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harts/chart16.xml" ContentType="application/vnd.openxmlformats-officedocument.drawingml.chart+xml"/>
  <Override PartName="/xl/drawings/drawing8.xml" ContentType="application/vnd.openxmlformats-officedocument.drawing+xml"/>
  <Override PartName="/xl/charts/chart17.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drawings/drawing10.xml" ContentType="application/vnd.openxmlformats-officedocument.drawing+xml"/>
  <Override PartName="/xl/charts/chart19.xml" ContentType="application/vnd.openxmlformats-officedocument.drawingml.chart+xml"/>
  <Override PartName="/xl/drawings/drawing11.xml" ContentType="application/vnd.openxmlformats-officedocument.drawing+xml"/>
  <Override PartName="/xl/charts/chart20.xml" ContentType="application/vnd.openxmlformats-officedocument.drawingml.chart+xml"/>
  <Override PartName="/xl/drawings/drawing12.xml" ContentType="application/vnd.openxmlformats-officedocument.drawing+xml"/>
  <Override PartName="/xl/charts/chart2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1111"/>
  <workbookPr/>
  <mc:AlternateContent xmlns:mc="http://schemas.openxmlformats.org/markup-compatibility/2006">
    <mc:Choice Requires="x15">
      <x15ac:absPath xmlns:x15ac="http://schemas.microsoft.com/office/spreadsheetml/2010/11/ac" url="/Users/macmini_2/Dropbox/00. OFICINA INTERNO/14. BID/08. Producto 2 (Excel)/"/>
    </mc:Choice>
  </mc:AlternateContent>
  <xr:revisionPtr revIDLastSave="0" documentId="13_ncr:1_{C214B57F-CE42-9741-8893-CEDA3B966184}" xr6:coauthVersionLast="36" xr6:coauthVersionMax="36" xr10:uidLastSave="{00000000-0000-0000-0000-000000000000}"/>
  <workbookProtection workbookAlgorithmName="SHA-512" workbookHashValue="9TNHOpdo26zgeJfVTceOJ56iWcm2ybrCjn/HMr2VmAHljyOhEwZ2FQfDEwXb9GvbsllRYdu+A3tIwgE6UKczvg==" workbookSaltValue="xv936Rvm1YXPgtZ/TfDwEw==" workbookSpinCount="100000" lockStructure="1"/>
  <bookViews>
    <workbookView xWindow="-20" yWindow="460" windowWidth="38400" windowHeight="21120" tabRatio="802" xr2:uid="{00000000-000D-0000-FFFF-FFFF00000000}"/>
  </bookViews>
  <sheets>
    <sheet name="DATOS" sheetId="1" r:id="rId1"/>
    <sheet name="SITIO" sheetId="15" r:id="rId2"/>
    <sheet name="ENERGÍA" sheetId="5" r:id="rId3"/>
    <sheet name="AGUA" sheetId="13" r:id="rId4"/>
    <sheet name="RESULTADOS" sheetId="16" r:id="rId5"/>
    <sheet name="Materiales Personalizados" sheetId="11" r:id="rId6"/>
    <sheet name="BASE" sheetId="19" state="hidden" r:id="rId7"/>
    <sheet name="Modelo de Radiación Solar" sheetId="18" state="hidden" r:id="rId8"/>
    <sheet name="BASE DE DATOS" sheetId="26" r:id="rId9"/>
    <sheet name="LINEA BASE MALA" sheetId="25" state="hidden" r:id="rId10"/>
    <sheet name="LINEAS BASE 1 y 2" sheetId="20" state="hidden" r:id="rId11"/>
    <sheet name="LINEAS BASE 3" sheetId="21" state="hidden" r:id="rId12"/>
    <sheet name="LINEAS BASE 4" sheetId="22" state="hidden" r:id="rId13"/>
    <sheet name="LINEAS BASE 5" sheetId="23" state="hidden" r:id="rId14"/>
    <sheet name="LINEAS BASE 6" sheetId="24" state="hidden" r:id="rId15"/>
  </sheets>
  <externalReferences>
    <externalReference r:id="rId16"/>
  </externalReferences>
  <definedNames>
    <definedName name="ab">'Materiales Personalizados'!$AK$91:$AK$94</definedName>
    <definedName name="adtacented">BASE!$DA$4:$DA$18</definedName>
    <definedName name="adyacented">BASE!$DA$4:$DA$18</definedName>
    <definedName name="adyacentem">BASE!$DA$4:$DB$29</definedName>
    <definedName name="AdyacenteT">BASE!$DA$34:$DA$37</definedName>
    <definedName name="af">BASE!$HE$4:$HF$19</definedName>
    <definedName name="AGUASS">AGUA!$M$47:$M$48</definedName>
    <definedName name="Aislantes">'Materiales Personalizados'!$K$216:$K$229</definedName>
    <definedName name="Aislantes_Lanas_y_Perlita">'Materiales Personalizados'!$K$187:$K$205</definedName>
    <definedName name="Aislantes_Plasticos">'Materiales Personalizados'!$K$206:$K$215</definedName>
    <definedName name="_xlnm.Print_Area" localSheetId="4">RESULTADOS!$C$2:$AM$96</definedName>
    <definedName name="Asfalto">'Materiales Personalizados'!$AG$9:$AG$11</definedName>
    <definedName name="BAP">'BASE DE DATOS'!$CX$4:$CX$97</definedName>
    <definedName name="Barreras_Vapor">'Materiales Personalizados'!$K$292:$K$310</definedName>
    <definedName name="BASTAAA">'Materiales Personalizados'!$AG$78:$AG$84</definedName>
    <definedName name="BIOCLIMATICO">BASE!$BG$7:$BO$18</definedName>
    <definedName name="Bloques_Hormigon">'Materiales Personalizados'!$K$271:$K$282</definedName>
    <definedName name="BRM">'Materiales Personalizados'!$AI$14:$AI$16</definedName>
    <definedName name="Buena">'Materiales Personalizados'!$AI$14:$AI$16</definedName>
    <definedName name="CA">BASE!$EH$4:$EP$5</definedName>
    <definedName name="CALEFACCION">BASE!$BX$4:$BX$22</definedName>
    <definedName name="CALEFACCIONm">BASE!$BX$4:$CA$22</definedName>
    <definedName name="Camaras">'Materiales Personalizados'!$K$311:$K$330</definedName>
    <definedName name="CAMBIOSa">BASE!#REF!</definedName>
    <definedName name="CAPAS">'Materiales Personalizados'!$K$419:$K$444</definedName>
    <definedName name="CARPINTERIA">'Materiales Personalizados'!$AC$33:$AC$42</definedName>
    <definedName name="CARPINTERIAm">'Materiales Personalizados'!$AC$33:$AD$42</definedName>
    <definedName name="CAT">'BASE DE DATOS'!$DA$4:$DA$97</definedName>
    <definedName name="CB">BASE!$EH$8:$EP$9</definedName>
    <definedName name="CC">BASE!$EH$12:$EP$13</definedName>
    <definedName name="CCC">'Materiales Personalizados'!$AK$81:$AK$84</definedName>
    <definedName name="CD">'BASE DE DATOS'!$DD$4:$DD$97</definedName>
    <definedName name="CERTIFICACION">'Materiales Personalizados'!$AI$84:$AI$86</definedName>
    <definedName name="CHB">'BASE DE DATOS'!$DM$4:$DM$97</definedName>
    <definedName name="CHC">'BASE DE DATOS'!$DJ$4:$DJ$97</definedName>
    <definedName name="CLIMA">BASE!$C$6:$AB$205</definedName>
    <definedName name="COLORES">'Materiales Personalizados'!$Z$61:$Z$64</definedName>
    <definedName name="COLORESEXT">'Materiales Personalizados'!$Z$61:$AA$64</definedName>
    <definedName name="COMBUSTIBLE">'Materiales Personalizados'!$AG$38:$AG$39</definedName>
    <definedName name="COMBUSTIBLES">'Materiales Personalizados'!$AK$3:$AK$5</definedName>
    <definedName name="Contrapiso_Ultraliviano">'Materiales Personalizados'!$K$331:$K$333</definedName>
    <definedName name="CONTROL">'Materiales Personalizados'!$AI$32:$AI$36</definedName>
    <definedName name="CR">'BASE DE DATOS'!$DG$4:$DG$97</definedName>
    <definedName name="Cuadras10">'Materiales Personalizados'!$AI$22:$AI$24</definedName>
    <definedName name="Cuadras20">'Materiales Personalizados'!$AI$26:$AI$28</definedName>
    <definedName name="Cuadras30">'Materiales Personalizados'!$AG$26:$AG$28</definedName>
    <definedName name="Cuadras5">'Materiales Personalizados'!$AG$18:$AG$20</definedName>
    <definedName name="dato1">'BASE DE DATOS'!$FN$8:$FO$30</definedName>
    <definedName name="Distancia_a_5">'Materiales Personalizados'!$AG$14:$AG$16</definedName>
    <definedName name="ENTORNO">'Materiales Personalizados'!$AI$74:$AI$76</definedName>
    <definedName name="ER">'BASE DE DATOS'!$DP$4:$DP$97</definedName>
    <definedName name="etiq">ENERGÍA!$AO$30:$AO$36</definedName>
    <definedName name="ETIQUETA">'Materiales Personalizados'!$AK$32:$AK$40</definedName>
    <definedName name="Extensivo">AGUA!$O$47:$O$49</definedName>
    <definedName name="FES">'Materiales Personalizados'!$BI$21:$BO$22</definedName>
    <definedName name="FM">'BASE DE DATOS'!$DS$4:$DS$97</definedName>
    <definedName name="Forjados">'Materiales Personalizados'!$K$291</definedName>
    <definedName name="Forjados_Vigueta_Ladrillo_Sapo_Capa_Comp">'Materiales Personalizados'!$K$283:$K$290</definedName>
    <definedName name="Forzada">ENERGÍA!$BO$251:$BO$252</definedName>
    <definedName name="Globo" localSheetId="9">INDEX(#REF!,MATCH(RESULTADOS!$O$22,#REF!,0))</definedName>
    <definedName name="Globo">INDEX(#REF!,MATCH(RESULTADOS!$O$22,#REF!,0))</definedName>
    <definedName name="Hormigones_Especiales">'Materiales Personalizados'!$K$78:$K$97</definedName>
    <definedName name="Hormigones_Normales_y_Livianos">'Materiales Personalizados'!$K$51:$K$77</definedName>
    <definedName name="ie">[1]Hoja2!$B$3:$B$5</definedName>
    <definedName name="ILUMINACION">'Materiales Personalizados'!$AK$24:$AK$26</definedName>
    <definedName name="imagenes" localSheetId="9">#REF!</definedName>
    <definedName name="imagenes">#REF!</definedName>
    <definedName name="inclinaciones">BASE!$FL$7:$GJ$29</definedName>
    <definedName name="JJ">'BASE DE DATOS'!$DV$4:$DV$97</definedName>
    <definedName name="kd">BASE!$DH$4:$DJ$4</definedName>
    <definedName name="kdm">BASE!$DH$5:$DJ$9</definedName>
    <definedName name="kmc">BASE!$DK$4:$DM$4</definedName>
    <definedName name="kmcm">BASE!$DK$5:$DM$9</definedName>
    <definedName name="KMURO">'Materiales Personalizados'!$AV$36:$AW$39</definedName>
    <definedName name="ks">BASE!$DE$4:$DG$4</definedName>
    <definedName name="ksm">BASE!$DE$5:$DG$9</definedName>
    <definedName name="KTECHOI">'Materiales Personalizados'!$BA$36:$BB$39</definedName>
    <definedName name="KTECHOV">'Materiales Personalizados'!$BA$42:$BB$45</definedName>
    <definedName name="Ladrillos_Ceramicos">'Materiales Personalizados'!$K$246:$K$270</definedName>
    <definedName name="Ladrillos_y_Bloques_Macizos">'Materiales Personalizados'!$K$241:$K$245</definedName>
    <definedName name="LAVAROPA">'Materiales Personalizados'!$AK$28:$AK$29</definedName>
    <definedName name="lineamientos">BASE!$BQ$3:$BV$17</definedName>
    <definedName name="LINEASBASE">BASE!$FG$4:$FI$9</definedName>
    <definedName name="LLUVIA">BASE!$DP$6:$EB$205</definedName>
    <definedName name="LOCALIDADES">'Materiales Personalizados'!$AM$3:$AM$200</definedName>
    <definedName name="losass">'Materiales Personalizados'!$Z$6:$Z$40</definedName>
    <definedName name="LP">'BASE DE DATOS'!$EB$4:$EB$97</definedName>
    <definedName name="LR">'BASE DE DATOS'!$DY$4:$DY$97</definedName>
    <definedName name="luz">'Materiales Personalizados'!$AI$45:$AI$48</definedName>
    <definedName name="Maderas">'Materiales Personalizados'!$K$130:$K$149</definedName>
    <definedName name="Materialesm">'Materiales Personalizados'!$K$4:$O$333</definedName>
    <definedName name="MEDIANERAd">'Materiales Personalizados'!$W$5:$W$60</definedName>
    <definedName name="MEDIANERAm">'Materiales Personalizados'!$W$5:$X$60</definedName>
    <definedName name="medias">'Materiales Personalizados'!$AK$57:$AK$59</definedName>
    <definedName name="Metales">'Materiales Personalizados'!$K$120:$K$129</definedName>
    <definedName name="Mortero">'Materiales Personalizados'!$K$34:$K$43</definedName>
    <definedName name="MS">'BASE DE DATOS'!$EH$4:$EH$97</definedName>
    <definedName name="MZ">'BASE DE DATOS'!$EE$4:$EE$97</definedName>
    <definedName name="Nacional">'Materiales Personalizados'!$AI$9:$AI$11</definedName>
    <definedName name="NIVELES">'Materiales Personalizados'!$AG$73:$AG$75</definedName>
    <definedName name="NQ">'BASE DE DATOS'!$EK$4:$EK$97</definedName>
    <definedName name="ORIENTACIONES">'Materiales Personalizados'!$AK$6:$AK$22</definedName>
    <definedName name="PAREDd">'Materiales Personalizados'!$U$5:$U$60</definedName>
    <definedName name="PAREDm">'Materiales Personalizados'!$U$5:$V$60</definedName>
    <definedName name="PERGOLA">'Materiales Personalizados'!$AG$90:$AG$93</definedName>
    <definedName name="Pinturas">'Materiales Personalizados'!$K$230:$K$240</definedName>
    <definedName name="PISOSd">'Materiales Personalizados'!$AG$9:$AG$11</definedName>
    <definedName name="PISOSm">'Materiales Personalizados'!$Z$5:$AA$40</definedName>
    <definedName name="Placas_y_Planchas">'Materiales Personalizados'!$K$98:$K$114</definedName>
    <definedName name="POSICIONV">'Materiales Personalizados'!$AK$69:$AK$71</definedName>
    <definedName name="PROTECCIONd">'Materiales Personalizados'!$AG$65:$AG$68</definedName>
    <definedName name="provincias">'Materiales Personalizados'!$AG$96:$AG$118</definedName>
    <definedName name="PUERTASd">'Materiales Personalizados'!$Q$87:$Q$98</definedName>
    <definedName name="PUERTASm">'Materiales Personalizados'!$Q$87:$R$107</definedName>
    <definedName name="qw">BASE!$DI$11:$DJ$15</definedName>
    <definedName name="RADIACIONSOLAR">BASE!$AS$6:$BE$226</definedName>
    <definedName name="REFIGERACION">BASE!$CB$4:$CB$16</definedName>
    <definedName name="REFRIGERACIONm">BASE!$CB$4:$CD$16</definedName>
    <definedName name="RENOVABLES">'Materiales Personalizados'!$AI$58:$AI$61</definedName>
    <definedName name="RIEGO">BASE!$DD$13:$DD$16</definedName>
    <definedName name="riegom">BASE!$DD$13:$DE$16</definedName>
    <definedName name="RN">'BASE DE DATOS'!$EN$4:$EN$97</definedName>
    <definedName name="Roca">'Materiales Personalizados'!$K$4:$K$14</definedName>
    <definedName name="SC">'BASE DE DATOS'!$FC$4:$FC$97</definedName>
    <definedName name="sd">[1]Hoja2!$A$3:$A$5</definedName>
    <definedName name="SE">'BASE DE DATOS'!$FF$4:$FF$97</definedName>
    <definedName name="SF">'BASE DE DATOS'!$EQ$4:$EQ$97</definedName>
    <definedName name="SI_NO">'Materiales Personalizados'!$AI$3:$AI$4</definedName>
    <definedName name="SITIOd">'Materiales Personalizados'!$AK$81:$AK$84</definedName>
    <definedName name="SJ">'BASE DE DATOS'!$EW$4:$EW$97</definedName>
    <definedName name="SL">'BASE DE DATOS'!$EZ$4:$EZ$97</definedName>
    <definedName name="SST">'Materiales Personalizados'!$AK$42:$AK$43</definedName>
    <definedName name="SSTDESTINO">'Materiales Personalizados'!$AK$49:$AK$51</definedName>
    <definedName name="ST">'BASE DE DATOS'!$ET$4:$ET$97</definedName>
    <definedName name="Suelo">'Materiales Personalizados'!$K$15:$K$33</definedName>
    <definedName name="Tableros">'Materiales Personalizados'!$K$150:$K$169</definedName>
    <definedName name="TAD">BASE!$HH$4:$HN$15</definedName>
    <definedName name="TC">'BASE DE DATOS'!$FI$4:$FI$97</definedName>
    <definedName name="TECHOSd">'Materiales Personalizados'!$Q$5:$Q$62</definedName>
    <definedName name="TECHOSm">'Materiales Personalizados'!$Q$5:$S$62</definedName>
    <definedName name="TEMPERATURASMENSUALES">BASE!$AD$6:$AP$226</definedName>
    <definedName name="TERMICOm" localSheetId="9">BASE!#REF!</definedName>
    <definedName name="TERMICOm" localSheetId="10">BASE!#REF!</definedName>
    <definedName name="TERMICOm" localSheetId="11">BASE!#REF!</definedName>
    <definedName name="TERMICOm" localSheetId="12">BASE!#REF!</definedName>
    <definedName name="TERMICOm" localSheetId="13">BASE!#REF!</definedName>
    <definedName name="TERMICOm" localSheetId="14">BASE!#REF!</definedName>
    <definedName name="TERMICOm">BASE!#REF!</definedName>
    <definedName name="Terminaciones">'Materiales Personalizados'!$K$170:$K$186</definedName>
    <definedName name="Terminaciones_Pisos_y_Techos">'Materiales Personalizados'!$K$170:$K$186</definedName>
    <definedName name="TF">'BASE DE DATOS'!$FL$4:$FL$97</definedName>
    <definedName name="TIPO">'Materiales Personalizados'!$AG$3:$AG$7</definedName>
    <definedName name="TIPOAPERTURAS">BASE!$CF$5:$CF$10</definedName>
    <definedName name="TIPOAPERTURASm">BASE!$CF$5:$CG$10</definedName>
    <definedName name="transporte">BASE!$ED$4:$EF$7</definedName>
    <definedName name="USOS">'Materiales Personalizados'!$AG$51:$AG$53</definedName>
    <definedName name="vege">BASE!$DD$5:$DD$9</definedName>
    <definedName name="VEGETACION">'Materiales Personalizados'!$AI$42:$AI$43</definedName>
    <definedName name="vent">'Materiales Personalizados'!$AG$30:$AG$33</definedName>
    <definedName name="ventilacion">'Materiales Personalizados'!$AG$79:$AG$84</definedName>
    <definedName name="VIDRIOd">'Materiales Personalizados'!$AC$5:$AC$30</definedName>
    <definedName name="Vidrios">'Materiales Personalizados'!$K$115:$K$119</definedName>
    <definedName name="VIDRIOSm">'Materiales Personalizados'!$AC$5:$AE$30</definedName>
    <definedName name="VIDRIOSTABLA">'Materiales Personalizados'!$AC$7:$AE$17</definedName>
    <definedName name="vt">[1]Hoja1!$O$15:$O$19</definedName>
    <definedName name="WVSP">'Materiales Personalizados'!$BD$23:$BE$29</definedName>
    <definedName name="Yeso">'Materiales Personalizados'!$K$44:$K$50</definedName>
    <definedName name="ZONA1">BASE!$CJ$4:$CW$5</definedName>
    <definedName name="ZONA2">BASE!$CJ$7:$CW$8</definedName>
    <definedName name="ZONA3">BASE!$CJ$10:$CY$11</definedName>
    <definedName name="ZZONAS">BASE!$BG$22:$BH$33</definedName>
  </definedNames>
  <calcPr calcId="181029"/>
  <extLst>
    <ext xmlns:mx="http://schemas.microsoft.com/office/mac/excel/2008/main" uri="{7523E5D3-25F3-A5E0-1632-64F254C22452}">
      <mx:ArchID Flags="2"/>
    </ext>
  </extLst>
</workbook>
</file>

<file path=xl/calcChain.xml><?xml version="1.0" encoding="utf-8"?>
<calcChain xmlns="http://schemas.openxmlformats.org/spreadsheetml/2006/main">
  <c r="BA173" i="5" l="1"/>
  <c r="BA172" i="5"/>
  <c r="BA171" i="5"/>
  <c r="BA170" i="5"/>
  <c r="BA169" i="5"/>
  <c r="BA168" i="5"/>
  <c r="BA167" i="5"/>
  <c r="BA166" i="5"/>
  <c r="BA165" i="5"/>
  <c r="BA164" i="5"/>
  <c r="BA155" i="5"/>
  <c r="BA154" i="5"/>
  <c r="BA153" i="5"/>
  <c r="BA152" i="5"/>
  <c r="BA151" i="5"/>
  <c r="BA150" i="5"/>
  <c r="BA149" i="5"/>
  <c r="BA148" i="5"/>
  <c r="BA147" i="5"/>
  <c r="BA146" i="5"/>
  <c r="BA137" i="5"/>
  <c r="BA136" i="5"/>
  <c r="BA135" i="5"/>
  <c r="BA134" i="5"/>
  <c r="BA133" i="5"/>
  <c r="BA132" i="5"/>
  <c r="BA131" i="5"/>
  <c r="BA130" i="5"/>
  <c r="BA129" i="5"/>
  <c r="BA128" i="5"/>
  <c r="BA111" i="5"/>
  <c r="BA112" i="5"/>
  <c r="BA113" i="5"/>
  <c r="BA114" i="5"/>
  <c r="BA115" i="5"/>
  <c r="BA116" i="5"/>
  <c r="BA117" i="5"/>
  <c r="BA118" i="5"/>
  <c r="BA119" i="5"/>
  <c r="BA110" i="5"/>
  <c r="HF7" i="26" l="1"/>
  <c r="HF8" i="26"/>
  <c r="HF6" i="26"/>
  <c r="HH4" i="26"/>
  <c r="HI4" i="26"/>
  <c r="HG4" i="26"/>
  <c r="F14" i="1" l="1"/>
  <c r="O26" i="16" l="1"/>
  <c r="H26" i="16" l="1"/>
  <c r="H24" i="16"/>
  <c r="H22" i="16"/>
  <c r="H20" i="16"/>
  <c r="O14" i="16" l="1"/>
  <c r="GP12" i="19" l="1"/>
  <c r="GP13" i="19"/>
  <c r="GP14" i="19"/>
  <c r="GP15" i="19"/>
  <c r="GP16" i="19"/>
  <c r="GP17" i="19"/>
  <c r="GP23" i="19"/>
  <c r="GP24" i="19"/>
  <c r="GQ73" i="19"/>
  <c r="GQ74" i="19"/>
  <c r="GQ75" i="19"/>
  <c r="GQ83" i="19"/>
  <c r="GR83" i="19"/>
  <c r="GQ86" i="19"/>
  <c r="GR86" i="19"/>
  <c r="GS86" i="19"/>
  <c r="AG13" i="5"/>
  <c r="AG12" i="5"/>
  <c r="AC15" i="5"/>
  <c r="AC16" i="5"/>
  <c r="AC14" i="5"/>
  <c r="GQ13" i="19" l="1"/>
  <c r="AG195" i="5"/>
  <c r="R226" i="25"/>
  <c r="R227" i="25"/>
  <c r="BA231" i="5"/>
  <c r="BA218" i="5"/>
  <c r="BA217" i="5"/>
  <c r="BA216" i="5"/>
  <c r="I88" i="1"/>
  <c r="S229" i="5" s="1"/>
  <c r="R224" i="25" s="1"/>
  <c r="I64" i="1"/>
  <c r="I81" i="1" s="1"/>
  <c r="GR6" i="19" s="1"/>
  <c r="K89" i="16"/>
  <c r="K87" i="16"/>
  <c r="K85" i="16"/>
  <c r="K81" i="16"/>
  <c r="K83" i="16"/>
  <c r="E81" i="16"/>
  <c r="E83" i="16"/>
  <c r="E85" i="16"/>
  <c r="E87" i="16"/>
  <c r="E89" i="16"/>
  <c r="K79" i="16"/>
  <c r="E79" i="16"/>
  <c r="BA220" i="5" l="1"/>
  <c r="BA229" i="5"/>
  <c r="BA221" i="5"/>
  <c r="BA230" i="5"/>
  <c r="BA214" i="5"/>
  <c r="BA222" i="5"/>
  <c r="BA215" i="5"/>
  <c r="BA219" i="5"/>
  <c r="BA223" i="5"/>
  <c r="GU6" i="19"/>
  <c r="S230" i="5"/>
  <c r="R225" i="25" s="1"/>
  <c r="I74" i="1"/>
  <c r="GQ6" i="19" s="1"/>
  <c r="I69" i="1"/>
  <c r="GP6" i="19" s="1"/>
  <c r="Y79" i="16"/>
  <c r="Y81" i="16"/>
  <c r="Y77" i="16"/>
  <c r="W14" i="16"/>
  <c r="W16" i="16"/>
  <c r="W18" i="16"/>
  <c r="AB206" i="5" l="1"/>
  <c r="DA49" i="19" l="1"/>
  <c r="DA50" i="19"/>
  <c r="DA51" i="19"/>
  <c r="DA52" i="19"/>
  <c r="DA48" i="19"/>
  <c r="DA42" i="19"/>
  <c r="DA43" i="19"/>
  <c r="DA44" i="19"/>
  <c r="DA41" i="19"/>
  <c r="DA37" i="19"/>
  <c r="DA36" i="19"/>
  <c r="DA35" i="19"/>
  <c r="DA34" i="19"/>
  <c r="AY207" i="5" l="1"/>
  <c r="AW207" i="5"/>
  <c r="AV228" i="5"/>
  <c r="AH214" i="5" l="1"/>
  <c r="AH215" i="5"/>
  <c r="AH216" i="5"/>
  <c r="AH217" i="5"/>
  <c r="AH218" i="5"/>
  <c r="AH219" i="5"/>
  <c r="AH220" i="5"/>
  <c r="AH221" i="5"/>
  <c r="AH222" i="5"/>
  <c r="AH223" i="5"/>
  <c r="AH213" i="5"/>
  <c r="AP195" i="5"/>
  <c r="AP196" i="5"/>
  <c r="AP197" i="5"/>
  <c r="AP198" i="5"/>
  <c r="AP199" i="5"/>
  <c r="AP200" i="5"/>
  <c r="AP201" i="5"/>
  <c r="AP202" i="5"/>
  <c r="AP203" i="5"/>
  <c r="AP204" i="5"/>
  <c r="AP205" i="5"/>
  <c r="AU95" i="24" l="1"/>
  <c r="C175" i="24"/>
  <c r="C176" i="24" s="1"/>
  <c r="C177" i="24" s="1"/>
  <c r="C178" i="24" s="1"/>
  <c r="C179" i="24" s="1"/>
  <c r="C180" i="24" s="1"/>
  <c r="C181" i="24" s="1"/>
  <c r="C182" i="24" s="1"/>
  <c r="C183" i="24" s="1"/>
  <c r="C184" i="24" s="1"/>
  <c r="Z104" i="24"/>
  <c r="U104" i="24"/>
  <c r="U122" i="24" s="1"/>
  <c r="R104" i="24"/>
  <c r="R122" i="24" s="1"/>
  <c r="R123" i="24" s="1"/>
  <c r="R124" i="24" s="1"/>
  <c r="R125" i="24" s="1"/>
  <c r="R126" i="24" s="1"/>
  <c r="R127" i="24" s="1"/>
  <c r="R128" i="24" s="1"/>
  <c r="R129" i="24" s="1"/>
  <c r="R130" i="24" s="1"/>
  <c r="P104" i="24"/>
  <c r="P122" i="24" s="1"/>
  <c r="AD156" i="24"/>
  <c r="AD138" i="24"/>
  <c r="AD120" i="24"/>
  <c r="Z122" i="24"/>
  <c r="AD102" i="24"/>
  <c r="P56" i="24"/>
  <c r="P57" i="24" s="1"/>
  <c r="P58" i="24" s="1"/>
  <c r="P59" i="24" s="1"/>
  <c r="P60" i="24" s="1"/>
  <c r="P66" i="24" s="1"/>
  <c r="P67" i="24" s="1"/>
  <c r="P68" i="24" s="1"/>
  <c r="P69" i="24" s="1"/>
  <c r="P70" i="24" s="1"/>
  <c r="P76" i="24" s="1"/>
  <c r="P77" i="24" s="1"/>
  <c r="P78" i="24" s="1"/>
  <c r="P79" i="24" s="1"/>
  <c r="P80" i="24" s="1"/>
  <c r="P86" i="24" s="1"/>
  <c r="P87" i="24" s="1"/>
  <c r="P88" i="24" s="1"/>
  <c r="P89" i="24" s="1"/>
  <c r="P90" i="24" s="1"/>
  <c r="P46" i="24"/>
  <c r="P47" i="24" s="1"/>
  <c r="P48" i="24" s="1"/>
  <c r="U140" i="24" l="1"/>
  <c r="U123" i="24"/>
  <c r="U124" i="24" s="1"/>
  <c r="U125" i="24" s="1"/>
  <c r="U126" i="24" s="1"/>
  <c r="U127" i="24" s="1"/>
  <c r="U128" i="24" s="1"/>
  <c r="U129" i="24" s="1"/>
  <c r="U130" i="24" s="1"/>
  <c r="U105" i="24"/>
  <c r="Z105" i="24"/>
  <c r="R140" i="24"/>
  <c r="Z123" i="24"/>
  <c r="Z124" i="24" s="1"/>
  <c r="Z125" i="24" s="1"/>
  <c r="Z126" i="24" s="1"/>
  <c r="Z127" i="24" s="1"/>
  <c r="Z128" i="24" s="1"/>
  <c r="Z129" i="24" s="1"/>
  <c r="Z130" i="24" s="1"/>
  <c r="Z140" i="24"/>
  <c r="R105" i="24"/>
  <c r="R106" i="24" s="1"/>
  <c r="R107" i="24" s="1"/>
  <c r="R108" i="24" s="1"/>
  <c r="R109" i="24" s="1"/>
  <c r="R110" i="24" s="1"/>
  <c r="R111" i="24" s="1"/>
  <c r="R112" i="24" s="1"/>
  <c r="P140" i="24"/>
  <c r="P123" i="24"/>
  <c r="P124" i="24" s="1"/>
  <c r="P125" i="24" s="1"/>
  <c r="P126" i="24" s="1"/>
  <c r="P127" i="24" s="1"/>
  <c r="P128" i="24" s="1"/>
  <c r="P129" i="24" s="1"/>
  <c r="P130" i="24" s="1"/>
  <c r="P105" i="24"/>
  <c r="P106" i="24" s="1"/>
  <c r="P107" i="24" s="1"/>
  <c r="P108" i="24" s="1"/>
  <c r="P109" i="24" s="1"/>
  <c r="P110" i="24" s="1"/>
  <c r="P111" i="24" s="1"/>
  <c r="P112" i="24" s="1"/>
  <c r="AU95" i="23"/>
  <c r="C175" i="23"/>
  <c r="C176" i="23" s="1"/>
  <c r="C177" i="23" s="1"/>
  <c r="C178" i="23" s="1"/>
  <c r="C179" i="23" s="1"/>
  <c r="C180" i="23" s="1"/>
  <c r="C181" i="23" s="1"/>
  <c r="C182" i="23" s="1"/>
  <c r="C183" i="23" s="1"/>
  <c r="C184" i="23" s="1"/>
  <c r="Z104" i="23"/>
  <c r="U104" i="23"/>
  <c r="R104" i="23"/>
  <c r="R105" i="23" s="1"/>
  <c r="R106" i="23" s="1"/>
  <c r="R107" i="23" s="1"/>
  <c r="R108" i="23" s="1"/>
  <c r="R109" i="23" s="1"/>
  <c r="R110" i="23" s="1"/>
  <c r="R111" i="23" s="1"/>
  <c r="R112" i="23" s="1"/>
  <c r="P104" i="23"/>
  <c r="P105" i="23" s="1"/>
  <c r="P106" i="23" s="1"/>
  <c r="P107" i="23" s="1"/>
  <c r="P108" i="23" s="1"/>
  <c r="P109" i="23" s="1"/>
  <c r="P110" i="23" s="1"/>
  <c r="P111" i="23" s="1"/>
  <c r="P112" i="23" s="1"/>
  <c r="AD156" i="23"/>
  <c r="AD138" i="23"/>
  <c r="U122" i="23"/>
  <c r="AD120" i="23"/>
  <c r="Z122" i="23"/>
  <c r="Z140" i="23" s="1"/>
  <c r="U105" i="23"/>
  <c r="U106" i="23" s="1"/>
  <c r="U107" i="23" s="1"/>
  <c r="U108" i="23" s="1"/>
  <c r="U109" i="23" s="1"/>
  <c r="U110" i="23" s="1"/>
  <c r="U111" i="23" s="1"/>
  <c r="U112" i="23" s="1"/>
  <c r="R122" i="23"/>
  <c r="AD102" i="23"/>
  <c r="P56" i="23"/>
  <c r="P57" i="23" s="1"/>
  <c r="P58" i="23" s="1"/>
  <c r="P59" i="23" s="1"/>
  <c r="P60" i="23" s="1"/>
  <c r="P66" i="23" s="1"/>
  <c r="P67" i="23" s="1"/>
  <c r="P68" i="23" s="1"/>
  <c r="P69" i="23" s="1"/>
  <c r="P70" i="23" s="1"/>
  <c r="P76" i="23" s="1"/>
  <c r="P77" i="23" s="1"/>
  <c r="P78" i="23" s="1"/>
  <c r="P79" i="23" s="1"/>
  <c r="P80" i="23" s="1"/>
  <c r="P86" i="23" s="1"/>
  <c r="P87" i="23" s="1"/>
  <c r="P88" i="23" s="1"/>
  <c r="P89" i="23" s="1"/>
  <c r="P90" i="23" s="1"/>
  <c r="P46" i="23"/>
  <c r="P47" i="23" s="1"/>
  <c r="P48" i="23" s="1"/>
  <c r="AU95" i="22"/>
  <c r="C175" i="22"/>
  <c r="C176" i="22" s="1"/>
  <c r="C177" i="22" s="1"/>
  <c r="C178" i="22" s="1"/>
  <c r="C179" i="22" s="1"/>
  <c r="C180" i="22" s="1"/>
  <c r="C181" i="22" s="1"/>
  <c r="C182" i="22" s="1"/>
  <c r="C183" i="22" s="1"/>
  <c r="C184" i="22" s="1"/>
  <c r="Z104" i="22"/>
  <c r="Z105" i="22" s="1"/>
  <c r="Z106" i="22" s="1"/>
  <c r="Z107" i="22" s="1"/>
  <c r="Z108" i="22" s="1"/>
  <c r="Z109" i="22" s="1"/>
  <c r="Z110" i="22" s="1"/>
  <c r="Z111" i="22" s="1"/>
  <c r="Z112" i="22" s="1"/>
  <c r="U104" i="22"/>
  <c r="U105" i="22" s="1"/>
  <c r="U106" i="22" s="1"/>
  <c r="U107" i="22" s="1"/>
  <c r="U108" i="22" s="1"/>
  <c r="U109" i="22" s="1"/>
  <c r="U110" i="22" s="1"/>
  <c r="U111" i="22" s="1"/>
  <c r="U112" i="22" s="1"/>
  <c r="R104" i="22"/>
  <c r="R105" i="22" s="1"/>
  <c r="R106" i="22" s="1"/>
  <c r="R107" i="22" s="1"/>
  <c r="R108" i="22" s="1"/>
  <c r="R109" i="22" s="1"/>
  <c r="R110" i="22" s="1"/>
  <c r="R111" i="22" s="1"/>
  <c r="R112" i="22" s="1"/>
  <c r="P104" i="22"/>
  <c r="P105" i="22" s="1"/>
  <c r="P106" i="22" s="1"/>
  <c r="P107" i="22" s="1"/>
  <c r="P108" i="22" s="1"/>
  <c r="P109" i="22" s="1"/>
  <c r="P110" i="22" s="1"/>
  <c r="P111" i="22" s="1"/>
  <c r="P112" i="22" s="1"/>
  <c r="Z122" i="22"/>
  <c r="Z140" i="22" s="1"/>
  <c r="U122" i="22"/>
  <c r="U123" i="22" s="1"/>
  <c r="R122" i="22"/>
  <c r="R140" i="22" s="1"/>
  <c r="P122" i="22"/>
  <c r="P140" i="22" s="1"/>
  <c r="P56" i="22"/>
  <c r="P57" i="22" s="1"/>
  <c r="P58" i="22" s="1"/>
  <c r="P59" i="22" s="1"/>
  <c r="P60" i="22" s="1"/>
  <c r="P66" i="22" s="1"/>
  <c r="P67" i="22" s="1"/>
  <c r="P68" i="22" s="1"/>
  <c r="P69" i="22" s="1"/>
  <c r="P70" i="22" s="1"/>
  <c r="P76" i="22" s="1"/>
  <c r="P77" i="22" s="1"/>
  <c r="P78" i="22" s="1"/>
  <c r="P79" i="22" s="1"/>
  <c r="P80" i="22" s="1"/>
  <c r="P86" i="22" s="1"/>
  <c r="P87" i="22" s="1"/>
  <c r="P88" i="22" s="1"/>
  <c r="P89" i="22" s="1"/>
  <c r="P90" i="22" s="1"/>
  <c r="P46" i="22"/>
  <c r="P47" i="22" s="1"/>
  <c r="P48" i="22" s="1"/>
  <c r="AU95" i="21"/>
  <c r="C175" i="21"/>
  <c r="C176" i="21" s="1"/>
  <c r="C177" i="21" s="1"/>
  <c r="C178" i="21" s="1"/>
  <c r="C179" i="21" s="1"/>
  <c r="C180" i="21" s="1"/>
  <c r="C181" i="21" s="1"/>
  <c r="C182" i="21" s="1"/>
  <c r="C183" i="21" s="1"/>
  <c r="C184" i="21" s="1"/>
  <c r="Z104" i="21"/>
  <c r="Z105" i="21" s="1"/>
  <c r="Z106" i="21" s="1"/>
  <c r="Z107" i="21" s="1"/>
  <c r="Z108" i="21" s="1"/>
  <c r="Z109" i="21" s="1"/>
  <c r="Z110" i="21" s="1"/>
  <c r="Z111" i="21" s="1"/>
  <c r="Z112" i="21" s="1"/>
  <c r="U104" i="21"/>
  <c r="U122" i="21" s="1"/>
  <c r="U140" i="21" s="1"/>
  <c r="R104" i="21"/>
  <c r="R122" i="21" s="1"/>
  <c r="P104" i="21"/>
  <c r="P105" i="21" s="1"/>
  <c r="P106" i="21" s="1"/>
  <c r="P107" i="21" s="1"/>
  <c r="P108" i="21" s="1"/>
  <c r="P109" i="21" s="1"/>
  <c r="P110" i="21" s="1"/>
  <c r="P111" i="21" s="1"/>
  <c r="P112" i="21" s="1"/>
  <c r="Z122" i="21"/>
  <c r="Z140" i="21" s="1"/>
  <c r="R105" i="21"/>
  <c r="R106" i="21" s="1"/>
  <c r="R107" i="21" s="1"/>
  <c r="R108" i="21" s="1"/>
  <c r="R109" i="21" s="1"/>
  <c r="R110" i="21" s="1"/>
  <c r="R111" i="21" s="1"/>
  <c r="R112" i="21" s="1"/>
  <c r="Z104" i="20"/>
  <c r="Z105" i="20" s="1"/>
  <c r="Z106" i="20" s="1"/>
  <c r="Z107" i="20" s="1"/>
  <c r="Z108" i="20" s="1"/>
  <c r="Z109" i="20" s="1"/>
  <c r="Z110" i="20" s="1"/>
  <c r="Z111" i="20" s="1"/>
  <c r="Z112" i="20" s="1"/>
  <c r="P56" i="21"/>
  <c r="P57" i="21" s="1"/>
  <c r="P58" i="21" s="1"/>
  <c r="P59" i="21" s="1"/>
  <c r="P60" i="21" s="1"/>
  <c r="P66" i="21" s="1"/>
  <c r="P67" i="21" s="1"/>
  <c r="P68" i="21" s="1"/>
  <c r="P69" i="21" s="1"/>
  <c r="P70" i="21" s="1"/>
  <c r="P76" i="21" s="1"/>
  <c r="P77" i="21" s="1"/>
  <c r="P78" i="21" s="1"/>
  <c r="P79" i="21" s="1"/>
  <c r="P80" i="21" s="1"/>
  <c r="P86" i="21" s="1"/>
  <c r="P87" i="21" s="1"/>
  <c r="P88" i="21" s="1"/>
  <c r="P89" i="21" s="1"/>
  <c r="P90" i="21" s="1"/>
  <c r="P56" i="20"/>
  <c r="P46" i="21"/>
  <c r="P47" i="21" s="1"/>
  <c r="P48" i="21" s="1"/>
  <c r="C175" i="20"/>
  <c r="C176" i="20" s="1"/>
  <c r="C177" i="20" s="1"/>
  <c r="C178" i="20" s="1"/>
  <c r="C179" i="20" s="1"/>
  <c r="C180" i="20" s="1"/>
  <c r="C181" i="20" s="1"/>
  <c r="C182" i="20" s="1"/>
  <c r="C183" i="20" s="1"/>
  <c r="C184" i="20" s="1"/>
  <c r="Z104" i="25"/>
  <c r="U104" i="20"/>
  <c r="U105" i="20" s="1"/>
  <c r="U106" i="20" s="1"/>
  <c r="U107" i="20" s="1"/>
  <c r="U108" i="20" s="1"/>
  <c r="U109" i="20" s="1"/>
  <c r="U110" i="20" s="1"/>
  <c r="U111" i="20" s="1"/>
  <c r="U112" i="20" s="1"/>
  <c r="U122" i="20" s="1"/>
  <c r="U123" i="20" s="1"/>
  <c r="U124" i="20" s="1"/>
  <c r="U125" i="20" s="1"/>
  <c r="U126" i="20" s="1"/>
  <c r="U127" i="20" s="1"/>
  <c r="U128" i="20" s="1"/>
  <c r="U129" i="20" s="1"/>
  <c r="U130" i="20" s="1"/>
  <c r="U140" i="20" s="1"/>
  <c r="U141" i="20" s="1"/>
  <c r="U142" i="20" s="1"/>
  <c r="U143" i="20" s="1"/>
  <c r="U144" i="20" s="1"/>
  <c r="U145" i="20" s="1"/>
  <c r="U146" i="20" s="1"/>
  <c r="U147" i="20" s="1"/>
  <c r="U148" i="20" s="1"/>
  <c r="U158" i="20" s="1"/>
  <c r="U159" i="20" s="1"/>
  <c r="U160" i="20" s="1"/>
  <c r="U161" i="20" s="1"/>
  <c r="U162" i="20" s="1"/>
  <c r="U163" i="20" s="1"/>
  <c r="U164" i="20" s="1"/>
  <c r="U165" i="20" s="1"/>
  <c r="U166" i="20" s="1"/>
  <c r="U104" i="25"/>
  <c r="R104" i="20"/>
  <c r="R104" i="25"/>
  <c r="P104" i="20"/>
  <c r="P104" i="25"/>
  <c r="P46" i="20"/>
  <c r="P47" i="20" s="1"/>
  <c r="P48" i="20" s="1"/>
  <c r="Q50" i="5"/>
  <c r="U11" i="13"/>
  <c r="T11" i="13"/>
  <c r="O11" i="13"/>
  <c r="O12" i="13"/>
  <c r="O13" i="13"/>
  <c r="O14" i="13"/>
  <c r="O15" i="13"/>
  <c r="O10" i="13"/>
  <c r="V250" i="5"/>
  <c r="V249" i="5"/>
  <c r="Q249" i="5"/>
  <c r="T243" i="5"/>
  <c r="T242" i="5"/>
  <c r="T241" i="5"/>
  <c r="S241" i="5"/>
  <c r="V238" i="5"/>
  <c r="T238" i="5"/>
  <c r="V237" i="5"/>
  <c r="U229" i="5"/>
  <c r="U230" i="5" s="1"/>
  <c r="U231" i="5" s="1"/>
  <c r="U232" i="5" s="1"/>
  <c r="T229" i="5"/>
  <c r="T230" i="5" s="1"/>
  <c r="T231" i="5" s="1"/>
  <c r="T232" i="5" s="1"/>
  <c r="Q229" i="5"/>
  <c r="V214" i="5"/>
  <c r="V215" i="5" s="1"/>
  <c r="V216" i="5" s="1"/>
  <c r="V217" i="5" s="1"/>
  <c r="V218" i="5" s="1"/>
  <c r="V219" i="5" s="1"/>
  <c r="V220" i="5" s="1"/>
  <c r="V221" i="5" s="1"/>
  <c r="V222" i="5" s="1"/>
  <c r="V223" i="5" s="1"/>
  <c r="V224" i="5" s="1"/>
  <c r="U214" i="5"/>
  <c r="U215" i="5" s="1"/>
  <c r="U216" i="5" s="1"/>
  <c r="U217" i="5" s="1"/>
  <c r="U218" i="5" s="1"/>
  <c r="U219" i="5" s="1"/>
  <c r="U220" i="5" s="1"/>
  <c r="U221" i="5" s="1"/>
  <c r="U222" i="5" s="1"/>
  <c r="U223" i="5" s="1"/>
  <c r="U224" i="5" s="1"/>
  <c r="T214" i="5"/>
  <c r="T215" i="5" s="1"/>
  <c r="T216" i="5" s="1"/>
  <c r="T217" i="5" s="1"/>
  <c r="T218" i="5" s="1"/>
  <c r="T219" i="5" s="1"/>
  <c r="T220" i="5" s="1"/>
  <c r="T221" i="5" s="1"/>
  <c r="T222" i="5" s="1"/>
  <c r="T223" i="5" s="1"/>
  <c r="T224" i="5" s="1"/>
  <c r="Q214" i="5"/>
  <c r="Q215" i="5" s="1"/>
  <c r="Q216" i="5" s="1"/>
  <c r="Q217" i="5" s="1"/>
  <c r="Q218" i="5" s="1"/>
  <c r="Q219" i="5" s="1"/>
  <c r="Q220" i="5" s="1"/>
  <c r="Q221" i="5" s="1"/>
  <c r="Q222" i="5" s="1"/>
  <c r="Q223" i="5" s="1"/>
  <c r="Q224" i="5" s="1"/>
  <c r="Q230" i="5"/>
  <c r="Q231" i="5" s="1"/>
  <c r="Q232" i="5" s="1"/>
  <c r="U195" i="5"/>
  <c r="Q195" i="5"/>
  <c r="BG12" i="25"/>
  <c r="BB12" i="25"/>
  <c r="BB13" i="25"/>
  <c r="BB14" i="25"/>
  <c r="BB15" i="25"/>
  <c r="BB16" i="25"/>
  <c r="BB11" i="25"/>
  <c r="U236" i="25"/>
  <c r="S238" i="25"/>
  <c r="S237" i="25"/>
  <c r="S236" i="25"/>
  <c r="R236" i="25"/>
  <c r="U233" i="25"/>
  <c r="U232" i="25"/>
  <c r="S233" i="25"/>
  <c r="R232" i="25"/>
  <c r="S232" i="25" s="1"/>
  <c r="T224" i="25"/>
  <c r="T225" i="25" s="1"/>
  <c r="T226" i="25" s="1"/>
  <c r="T227" i="25" s="1"/>
  <c r="S224" i="25"/>
  <c r="S225" i="25" s="1"/>
  <c r="S226" i="25" s="1"/>
  <c r="S227" i="25" s="1"/>
  <c r="P224" i="25"/>
  <c r="P225" i="25" s="1"/>
  <c r="P226" i="25" s="1"/>
  <c r="P227" i="25" s="1"/>
  <c r="U209" i="25"/>
  <c r="U210" i="25" s="1"/>
  <c r="U211" i="25" s="1"/>
  <c r="U212" i="25" s="1"/>
  <c r="U213" i="25" s="1"/>
  <c r="U214" i="25" s="1"/>
  <c r="U215" i="25" s="1"/>
  <c r="U216" i="25" s="1"/>
  <c r="U217" i="25" s="1"/>
  <c r="U218" i="25" s="1"/>
  <c r="U219" i="25" s="1"/>
  <c r="T209" i="25"/>
  <c r="T210" i="25" s="1"/>
  <c r="T211" i="25" s="1"/>
  <c r="T212" i="25" s="1"/>
  <c r="T213" i="25" s="1"/>
  <c r="T214" i="25" s="1"/>
  <c r="T215" i="25" s="1"/>
  <c r="T216" i="25" s="1"/>
  <c r="T217" i="25" s="1"/>
  <c r="T218" i="25" s="1"/>
  <c r="T219" i="25" s="1"/>
  <c r="S209" i="25"/>
  <c r="S210" i="25" s="1"/>
  <c r="S211" i="25" s="1"/>
  <c r="S212" i="25" s="1"/>
  <c r="S213" i="25" s="1"/>
  <c r="S214" i="25" s="1"/>
  <c r="S215" i="25" s="1"/>
  <c r="S216" i="25" s="1"/>
  <c r="S217" i="25" s="1"/>
  <c r="S218" i="25" s="1"/>
  <c r="S219" i="25" s="1"/>
  <c r="P209" i="25"/>
  <c r="P210" i="25" s="1"/>
  <c r="P211" i="25" s="1"/>
  <c r="P212" i="25" s="1"/>
  <c r="P213" i="25" s="1"/>
  <c r="P214" i="25" s="1"/>
  <c r="P215" i="25" s="1"/>
  <c r="P216" i="25" s="1"/>
  <c r="P217" i="25" s="1"/>
  <c r="P218" i="25" s="1"/>
  <c r="P219" i="25" s="1"/>
  <c r="T190" i="25"/>
  <c r="P190" i="25"/>
  <c r="Z105" i="25"/>
  <c r="Z106" i="25" s="1"/>
  <c r="Z107" i="25" s="1"/>
  <c r="Z108" i="25" s="1"/>
  <c r="Z109" i="25" s="1"/>
  <c r="Z110" i="25" s="1"/>
  <c r="Z111" i="25" s="1"/>
  <c r="Z112" i="25" s="1"/>
  <c r="Z122" i="25" s="1"/>
  <c r="Z123" i="25" s="1"/>
  <c r="Z124" i="25" s="1"/>
  <c r="Z125" i="25" s="1"/>
  <c r="Z126" i="25" s="1"/>
  <c r="Z127" i="25" s="1"/>
  <c r="Z128" i="25" s="1"/>
  <c r="Z129" i="25" s="1"/>
  <c r="Z130" i="25" s="1"/>
  <c r="Z140" i="25" s="1"/>
  <c r="Z141" i="25" s="1"/>
  <c r="Z142" i="25" s="1"/>
  <c r="Z143" i="25" s="1"/>
  <c r="Z144" i="25" s="1"/>
  <c r="Z145" i="25" s="1"/>
  <c r="Z146" i="25" s="1"/>
  <c r="Z147" i="25" s="1"/>
  <c r="Z148" i="25" s="1"/>
  <c r="Z158" i="25" s="1"/>
  <c r="Z159" i="25" s="1"/>
  <c r="Z160" i="25" s="1"/>
  <c r="Z161" i="25" s="1"/>
  <c r="Z162" i="25" s="1"/>
  <c r="Z163" i="25" s="1"/>
  <c r="Z164" i="25" s="1"/>
  <c r="Z165" i="25" s="1"/>
  <c r="Z166" i="25" s="1"/>
  <c r="W43" i="16"/>
  <c r="W41" i="16"/>
  <c r="W12" i="16"/>
  <c r="W59" i="16"/>
  <c r="W61" i="16"/>
  <c r="W57" i="16"/>
  <c r="P122" i="21" l="1"/>
  <c r="P140" i="21" s="1"/>
  <c r="R158" i="22"/>
  <c r="R159" i="22" s="1"/>
  <c r="R160" i="22" s="1"/>
  <c r="R161" i="22" s="1"/>
  <c r="R162" i="22" s="1"/>
  <c r="R163" i="22" s="1"/>
  <c r="R164" i="22" s="1"/>
  <c r="R165" i="22" s="1"/>
  <c r="R166" i="22" s="1"/>
  <c r="R141" i="22"/>
  <c r="R142" i="22" s="1"/>
  <c r="R143" i="22" s="1"/>
  <c r="R144" i="22" s="1"/>
  <c r="R145" i="22" s="1"/>
  <c r="R146" i="22" s="1"/>
  <c r="R147" i="22" s="1"/>
  <c r="R148" i="22" s="1"/>
  <c r="R123" i="21"/>
  <c r="R124" i="21" s="1"/>
  <c r="R125" i="21" s="1"/>
  <c r="R126" i="21" s="1"/>
  <c r="R127" i="21" s="1"/>
  <c r="R128" i="21" s="1"/>
  <c r="R129" i="21" s="1"/>
  <c r="R130" i="21" s="1"/>
  <c r="R140" i="21"/>
  <c r="R123" i="22"/>
  <c r="R124" i="22" s="1"/>
  <c r="R125" i="22" s="1"/>
  <c r="R126" i="22" s="1"/>
  <c r="R127" i="22" s="1"/>
  <c r="R128" i="22" s="1"/>
  <c r="R129" i="22" s="1"/>
  <c r="R130" i="22" s="1"/>
  <c r="U140" i="22"/>
  <c r="U158" i="22" s="1"/>
  <c r="U159" i="22" s="1"/>
  <c r="Z123" i="22"/>
  <c r="Z124" i="22" s="1"/>
  <c r="Z125" i="22" s="1"/>
  <c r="Z126" i="22" s="1"/>
  <c r="Z127" i="22" s="1"/>
  <c r="Z128" i="22" s="1"/>
  <c r="Z129" i="22" s="1"/>
  <c r="Z130" i="22" s="1"/>
  <c r="U105" i="21"/>
  <c r="P123" i="22"/>
  <c r="P124" i="22" s="1"/>
  <c r="P125" i="22" s="1"/>
  <c r="P126" i="22" s="1"/>
  <c r="P127" i="22" s="1"/>
  <c r="P128" i="22" s="1"/>
  <c r="P129" i="22" s="1"/>
  <c r="P130" i="22" s="1"/>
  <c r="Z158" i="24"/>
  <c r="Z141" i="24"/>
  <c r="R158" i="24"/>
  <c r="R159" i="24" s="1"/>
  <c r="R160" i="24" s="1"/>
  <c r="R161" i="24" s="1"/>
  <c r="R162" i="24" s="1"/>
  <c r="R163" i="24" s="1"/>
  <c r="R164" i="24" s="1"/>
  <c r="R165" i="24" s="1"/>
  <c r="R166" i="24" s="1"/>
  <c r="R141" i="24"/>
  <c r="R142" i="24" s="1"/>
  <c r="R143" i="24" s="1"/>
  <c r="R144" i="24" s="1"/>
  <c r="R145" i="24" s="1"/>
  <c r="R146" i="24" s="1"/>
  <c r="R147" i="24" s="1"/>
  <c r="R148" i="24" s="1"/>
  <c r="Z106" i="24"/>
  <c r="Z107" i="24" s="1"/>
  <c r="Z108" i="24" s="1"/>
  <c r="Z109" i="24" s="1"/>
  <c r="Z110" i="24" s="1"/>
  <c r="Z111" i="24" s="1"/>
  <c r="Z112" i="24" s="1"/>
  <c r="P141" i="24"/>
  <c r="P142" i="24" s="1"/>
  <c r="P143" i="24" s="1"/>
  <c r="P144" i="24" s="1"/>
  <c r="P145" i="24" s="1"/>
  <c r="P146" i="24" s="1"/>
  <c r="P147" i="24" s="1"/>
  <c r="P148" i="24" s="1"/>
  <c r="P158" i="24"/>
  <c r="P159" i="24" s="1"/>
  <c r="P160" i="24" s="1"/>
  <c r="P161" i="24" s="1"/>
  <c r="P162" i="24" s="1"/>
  <c r="P163" i="24" s="1"/>
  <c r="P164" i="24" s="1"/>
  <c r="P165" i="24" s="1"/>
  <c r="P166" i="24" s="1"/>
  <c r="U106" i="24"/>
  <c r="U107" i="24" s="1"/>
  <c r="U108" i="24" s="1"/>
  <c r="U109" i="24" s="1"/>
  <c r="U110" i="24" s="1"/>
  <c r="U111" i="24" s="1"/>
  <c r="U112" i="24" s="1"/>
  <c r="U158" i="24"/>
  <c r="U141" i="24"/>
  <c r="P122" i="23"/>
  <c r="U140" i="23"/>
  <c r="Z158" i="23"/>
  <c r="Z141" i="23"/>
  <c r="Z105" i="23"/>
  <c r="Z106" i="23" s="1"/>
  <c r="Z107" i="23" s="1"/>
  <c r="Z108" i="23" s="1"/>
  <c r="Z109" i="23" s="1"/>
  <c r="Z110" i="23" s="1"/>
  <c r="Z111" i="23" s="1"/>
  <c r="Z112" i="23" s="1"/>
  <c r="R140" i="23"/>
  <c r="R123" i="23"/>
  <c r="R124" i="23" s="1"/>
  <c r="R125" i="23" s="1"/>
  <c r="R126" i="23" s="1"/>
  <c r="R127" i="23" s="1"/>
  <c r="R128" i="23" s="1"/>
  <c r="R129" i="23" s="1"/>
  <c r="R130" i="23" s="1"/>
  <c r="Z123" i="23"/>
  <c r="U123" i="23"/>
  <c r="Z141" i="22"/>
  <c r="Z142" i="22" s="1"/>
  <c r="Z143" i="22" s="1"/>
  <c r="Z144" i="22" s="1"/>
  <c r="Z145" i="22" s="1"/>
  <c r="Z146" i="22" s="1"/>
  <c r="Z147" i="22" s="1"/>
  <c r="Z148" i="22" s="1"/>
  <c r="Z158" i="22"/>
  <c r="Z159" i="22" s="1"/>
  <c r="Z160" i="22" s="1"/>
  <c r="Z161" i="22" s="1"/>
  <c r="Z162" i="22" s="1"/>
  <c r="Z163" i="22" s="1"/>
  <c r="Z164" i="22" s="1"/>
  <c r="Z165" i="22" s="1"/>
  <c r="Z166" i="22" s="1"/>
  <c r="U160" i="22"/>
  <c r="U161" i="22" s="1"/>
  <c r="U162" i="22" s="1"/>
  <c r="U163" i="22" s="1"/>
  <c r="U164" i="22" s="1"/>
  <c r="U165" i="22" s="1"/>
  <c r="U166" i="22" s="1"/>
  <c r="U124" i="22"/>
  <c r="U125" i="22" s="1"/>
  <c r="U126" i="22" s="1"/>
  <c r="U127" i="22" s="1"/>
  <c r="U128" i="22" s="1"/>
  <c r="U129" i="22" s="1"/>
  <c r="U130" i="22" s="1"/>
  <c r="U141" i="22"/>
  <c r="P158" i="22"/>
  <c r="P159" i="22" s="1"/>
  <c r="P160" i="22" s="1"/>
  <c r="P161" i="22" s="1"/>
  <c r="P162" i="22" s="1"/>
  <c r="P163" i="22" s="1"/>
  <c r="P164" i="22" s="1"/>
  <c r="P165" i="22" s="1"/>
  <c r="P166" i="22" s="1"/>
  <c r="P141" i="22"/>
  <c r="P142" i="22" s="1"/>
  <c r="P143" i="22" s="1"/>
  <c r="P144" i="22" s="1"/>
  <c r="P145" i="22" s="1"/>
  <c r="P146" i="22" s="1"/>
  <c r="P147" i="22" s="1"/>
  <c r="P148" i="22" s="1"/>
  <c r="Z141" i="21"/>
  <c r="Z142" i="21" s="1"/>
  <c r="Z143" i="21" s="1"/>
  <c r="Z144" i="21" s="1"/>
  <c r="Z145" i="21" s="1"/>
  <c r="Z146" i="21" s="1"/>
  <c r="Z147" i="21" s="1"/>
  <c r="Z148" i="21" s="1"/>
  <c r="Z158" i="21"/>
  <c r="Z159" i="21" s="1"/>
  <c r="Z160" i="21" s="1"/>
  <c r="Z161" i="21" s="1"/>
  <c r="Z162" i="21" s="1"/>
  <c r="Z163" i="21" s="1"/>
  <c r="Z164" i="21" s="1"/>
  <c r="Z165" i="21" s="1"/>
  <c r="Z166" i="21" s="1"/>
  <c r="Z123" i="21"/>
  <c r="Z124" i="21" s="1"/>
  <c r="Z125" i="21" s="1"/>
  <c r="Z126" i="21" s="1"/>
  <c r="Z127" i="21" s="1"/>
  <c r="Z128" i="21" s="1"/>
  <c r="Z129" i="21" s="1"/>
  <c r="Z130" i="21" s="1"/>
  <c r="U158" i="21"/>
  <c r="U159" i="21" s="1"/>
  <c r="U160" i="21" s="1"/>
  <c r="U161" i="21" s="1"/>
  <c r="U162" i="21" s="1"/>
  <c r="U163" i="21" s="1"/>
  <c r="U164" i="21" s="1"/>
  <c r="U165" i="21" s="1"/>
  <c r="U166" i="21" s="1"/>
  <c r="U141" i="21"/>
  <c r="U142" i="21" s="1"/>
  <c r="U143" i="21" s="1"/>
  <c r="U144" i="21" s="1"/>
  <c r="U145" i="21" s="1"/>
  <c r="U146" i="21" s="1"/>
  <c r="U147" i="21" s="1"/>
  <c r="U148" i="21" s="1"/>
  <c r="U106" i="21"/>
  <c r="U107" i="21" s="1"/>
  <c r="U108" i="21" s="1"/>
  <c r="U109" i="21" s="1"/>
  <c r="U110" i="21" s="1"/>
  <c r="U111" i="21" s="1"/>
  <c r="U112" i="21" s="1"/>
  <c r="U123" i="21"/>
  <c r="U124" i="21" s="1"/>
  <c r="U125" i="21" s="1"/>
  <c r="U126" i="21" s="1"/>
  <c r="U127" i="21" s="1"/>
  <c r="U128" i="21" s="1"/>
  <c r="U129" i="21" s="1"/>
  <c r="U130" i="21" s="1"/>
  <c r="P141" i="21"/>
  <c r="P142" i="21" s="1"/>
  <c r="P143" i="21" s="1"/>
  <c r="P144" i="21" s="1"/>
  <c r="P145" i="21" s="1"/>
  <c r="P146" i="21" s="1"/>
  <c r="P147" i="21" s="1"/>
  <c r="P148" i="21" s="1"/>
  <c r="P158" i="21"/>
  <c r="P159" i="21" s="1"/>
  <c r="P160" i="21" s="1"/>
  <c r="P161" i="21" s="1"/>
  <c r="P162" i="21" s="1"/>
  <c r="P163" i="21" s="1"/>
  <c r="P164" i="21" s="1"/>
  <c r="P165" i="21" s="1"/>
  <c r="P166" i="21" s="1"/>
  <c r="P123" i="21"/>
  <c r="P124" i="21" s="1"/>
  <c r="P125" i="21" s="1"/>
  <c r="P126" i="21" s="1"/>
  <c r="P127" i="21" s="1"/>
  <c r="P128" i="21" s="1"/>
  <c r="P129" i="21" s="1"/>
  <c r="P130" i="21" s="1"/>
  <c r="AC34" i="11"/>
  <c r="AD34" i="11"/>
  <c r="AC35" i="11"/>
  <c r="AD35" i="11"/>
  <c r="AC36" i="11"/>
  <c r="AD36" i="11"/>
  <c r="AC37" i="11"/>
  <c r="AD37" i="11"/>
  <c r="AC38" i="11"/>
  <c r="AD38" i="11"/>
  <c r="AC39" i="11"/>
  <c r="AD39" i="11"/>
  <c r="AC40" i="11"/>
  <c r="AD40" i="11"/>
  <c r="AC41" i="11"/>
  <c r="AD41" i="11"/>
  <c r="AC42" i="11"/>
  <c r="AD42" i="11"/>
  <c r="AC43" i="11"/>
  <c r="AD43" i="11"/>
  <c r="AC44" i="11"/>
  <c r="AD44" i="11"/>
  <c r="AC45" i="11"/>
  <c r="AD45" i="11"/>
  <c r="AC46" i="11"/>
  <c r="AD46" i="11"/>
  <c r="AC47" i="11"/>
  <c r="AD47" i="11"/>
  <c r="AC48" i="11"/>
  <c r="AD48" i="11"/>
  <c r="AC49" i="11"/>
  <c r="AD49" i="11"/>
  <c r="AC50" i="11"/>
  <c r="AD50" i="11"/>
  <c r="AC51" i="11"/>
  <c r="AD51" i="11"/>
  <c r="AC52" i="11"/>
  <c r="AD52" i="11"/>
  <c r="AC53" i="11"/>
  <c r="AD53" i="11"/>
  <c r="AC54" i="11"/>
  <c r="AD54" i="11"/>
  <c r="AC55" i="11"/>
  <c r="AD55" i="11"/>
  <c r="AC56" i="11"/>
  <c r="AD56" i="11"/>
  <c r="AC57" i="11"/>
  <c r="AD57" i="11"/>
  <c r="AC58" i="11"/>
  <c r="AD58" i="11"/>
  <c r="AC59" i="11"/>
  <c r="AD59" i="11"/>
  <c r="AC60" i="11"/>
  <c r="AD60" i="11"/>
  <c r="AD33" i="11"/>
  <c r="AC33" i="11"/>
  <c r="Z6" i="11"/>
  <c r="AA6" i="11"/>
  <c r="P95" i="24" s="1"/>
  <c r="Z7" i="11"/>
  <c r="AA7" i="11"/>
  <c r="Z8" i="11"/>
  <c r="AA8" i="11"/>
  <c r="Z9" i="11"/>
  <c r="AA9" i="11"/>
  <c r="Z10" i="11"/>
  <c r="AA10" i="11"/>
  <c r="Z11" i="11"/>
  <c r="AA11" i="11"/>
  <c r="Z12" i="11"/>
  <c r="AA12" i="11"/>
  <c r="Z13" i="11"/>
  <c r="AA13" i="11"/>
  <c r="Z14" i="11"/>
  <c r="AA14" i="11"/>
  <c r="Z15" i="11"/>
  <c r="AA15" i="11"/>
  <c r="Z16" i="11"/>
  <c r="AA16" i="11"/>
  <c r="Z17" i="11"/>
  <c r="AA17" i="11"/>
  <c r="Z18" i="11"/>
  <c r="AA18" i="11"/>
  <c r="Z19" i="11"/>
  <c r="AA19" i="11"/>
  <c r="Z20" i="11"/>
  <c r="AA20" i="11"/>
  <c r="Z21" i="11"/>
  <c r="AA21" i="11"/>
  <c r="Z22" i="11"/>
  <c r="AA22" i="11"/>
  <c r="Z23" i="11"/>
  <c r="AA23" i="11"/>
  <c r="Z24" i="11"/>
  <c r="AA24" i="11"/>
  <c r="Z25" i="11"/>
  <c r="AA25" i="11"/>
  <c r="Z26" i="11"/>
  <c r="AA26" i="11"/>
  <c r="Z27" i="11"/>
  <c r="AA27" i="11"/>
  <c r="Z28" i="11"/>
  <c r="AA28" i="11"/>
  <c r="Z29" i="11"/>
  <c r="AA29" i="11"/>
  <c r="Z30" i="11"/>
  <c r="AA30" i="11"/>
  <c r="Z31" i="11"/>
  <c r="AA31" i="11"/>
  <c r="Z32" i="11"/>
  <c r="AA32" i="11"/>
  <c r="Z33" i="11"/>
  <c r="AA33" i="11"/>
  <c r="Z34" i="11"/>
  <c r="AA34" i="11"/>
  <c r="Z35" i="11"/>
  <c r="AA35" i="11"/>
  <c r="Z36" i="11"/>
  <c r="AA36" i="11"/>
  <c r="Z37" i="11"/>
  <c r="AA37" i="11"/>
  <c r="Z38" i="11"/>
  <c r="AA38" i="11"/>
  <c r="Z39" i="11"/>
  <c r="AA39" i="11"/>
  <c r="Z40" i="11"/>
  <c r="AA40" i="11"/>
  <c r="Z41" i="11"/>
  <c r="AA41" i="11"/>
  <c r="Z42" i="11"/>
  <c r="AA42" i="11"/>
  <c r="Z43" i="11"/>
  <c r="AA43" i="11"/>
  <c r="Z44" i="11"/>
  <c r="AA44" i="11"/>
  <c r="Z45" i="11"/>
  <c r="AA45" i="11"/>
  <c r="Z46" i="11"/>
  <c r="AA46" i="11"/>
  <c r="Z47" i="11"/>
  <c r="AA47" i="11"/>
  <c r="Z48" i="11"/>
  <c r="AA48" i="11"/>
  <c r="Z49" i="11"/>
  <c r="AA49" i="11"/>
  <c r="Z50" i="11"/>
  <c r="AA50" i="11"/>
  <c r="Z51" i="11"/>
  <c r="AA51" i="11"/>
  <c r="Z52" i="11"/>
  <c r="AA52" i="11"/>
  <c r="Z53" i="11"/>
  <c r="AA53" i="11"/>
  <c r="Z54" i="11"/>
  <c r="AA54" i="11"/>
  <c r="Z55" i="11"/>
  <c r="AA55" i="11"/>
  <c r="Z56" i="11"/>
  <c r="AA56" i="11"/>
  <c r="Z57" i="11"/>
  <c r="AA57" i="11"/>
  <c r="Z58" i="11"/>
  <c r="AA58" i="11"/>
  <c r="Z59" i="11"/>
  <c r="AA59" i="11"/>
  <c r="Z60" i="11"/>
  <c r="AA60" i="11"/>
  <c r="AC6" i="11"/>
  <c r="AD6" i="11"/>
  <c r="AE6" i="11"/>
  <c r="AC7" i="11"/>
  <c r="AD7" i="11"/>
  <c r="AE7" i="11"/>
  <c r="AC8" i="11"/>
  <c r="AD8" i="11"/>
  <c r="AE8" i="11"/>
  <c r="AC9" i="11"/>
  <c r="AD9" i="11"/>
  <c r="AE9" i="11"/>
  <c r="AC10" i="11"/>
  <c r="AD10" i="11"/>
  <c r="AE10" i="11"/>
  <c r="AC11" i="11"/>
  <c r="AD11" i="11"/>
  <c r="AE11" i="11"/>
  <c r="AC12" i="11"/>
  <c r="AD12" i="11"/>
  <c r="AE12" i="11"/>
  <c r="AC13" i="11"/>
  <c r="AD13" i="11"/>
  <c r="AE13" i="11"/>
  <c r="AC14" i="11"/>
  <c r="AD14" i="11"/>
  <c r="AE14" i="11"/>
  <c r="AC15" i="11"/>
  <c r="AD15" i="11"/>
  <c r="AE15" i="11"/>
  <c r="AC16" i="11"/>
  <c r="AD16" i="11"/>
  <c r="AE16" i="11"/>
  <c r="AC17" i="11"/>
  <c r="AD17" i="11"/>
  <c r="AE17" i="11"/>
  <c r="AC18" i="11"/>
  <c r="AD18" i="11"/>
  <c r="AE18" i="11"/>
  <c r="AC19" i="11"/>
  <c r="AD19" i="11"/>
  <c r="AE19" i="11"/>
  <c r="AC20" i="11"/>
  <c r="AD20" i="11"/>
  <c r="AE20" i="11"/>
  <c r="AC21" i="11"/>
  <c r="AD21" i="11"/>
  <c r="AE21" i="11"/>
  <c r="AC22" i="11"/>
  <c r="AD22" i="11"/>
  <c r="AE22" i="11"/>
  <c r="AC23" i="11"/>
  <c r="AD23" i="11"/>
  <c r="AE23" i="11"/>
  <c r="AC24" i="11"/>
  <c r="AD24" i="11"/>
  <c r="AE24" i="11"/>
  <c r="AC25" i="11"/>
  <c r="AD25" i="11"/>
  <c r="AE25" i="11"/>
  <c r="AC26" i="11"/>
  <c r="AD26" i="11"/>
  <c r="AE26" i="11"/>
  <c r="AC27" i="11"/>
  <c r="AD27" i="11"/>
  <c r="AE27" i="11"/>
  <c r="AC28" i="11"/>
  <c r="AD28" i="11"/>
  <c r="AE28" i="11"/>
  <c r="AC29" i="11"/>
  <c r="AD29" i="11"/>
  <c r="AE29" i="11"/>
  <c r="AC30" i="11"/>
  <c r="AD30" i="11"/>
  <c r="AE30" i="11"/>
  <c r="AE5" i="11"/>
  <c r="AD5" i="11"/>
  <c r="AC5" i="11"/>
  <c r="AA5" i="11"/>
  <c r="Z5" i="11"/>
  <c r="U21" i="11"/>
  <c r="V21" i="11"/>
  <c r="W21" i="11"/>
  <c r="X21" i="11"/>
  <c r="U22" i="11"/>
  <c r="V22" i="11"/>
  <c r="W22" i="11"/>
  <c r="X22" i="11"/>
  <c r="U23" i="11"/>
  <c r="V23" i="11"/>
  <c r="W23" i="11"/>
  <c r="X23" i="11"/>
  <c r="U24" i="11"/>
  <c r="V24" i="11"/>
  <c r="W24" i="11"/>
  <c r="X24" i="11"/>
  <c r="U25" i="11"/>
  <c r="V25" i="11"/>
  <c r="W25" i="11"/>
  <c r="X25" i="11"/>
  <c r="U26" i="11"/>
  <c r="V26" i="11"/>
  <c r="W26" i="11"/>
  <c r="X26" i="11"/>
  <c r="U27" i="11"/>
  <c r="V27" i="11"/>
  <c r="W27" i="11"/>
  <c r="X27" i="11"/>
  <c r="U28" i="11"/>
  <c r="V28" i="11"/>
  <c r="W28" i="11"/>
  <c r="X28" i="11"/>
  <c r="U29" i="11"/>
  <c r="V29" i="11"/>
  <c r="W29" i="11"/>
  <c r="X29" i="11"/>
  <c r="U30" i="11"/>
  <c r="V30" i="11"/>
  <c r="W30" i="11"/>
  <c r="X30" i="11"/>
  <c r="U31" i="11"/>
  <c r="V31" i="11"/>
  <c r="W31" i="11"/>
  <c r="X31" i="11"/>
  <c r="U32" i="11"/>
  <c r="V32" i="11"/>
  <c r="W32" i="11"/>
  <c r="X32" i="11"/>
  <c r="U33" i="11"/>
  <c r="V33" i="11"/>
  <c r="W33" i="11"/>
  <c r="X33" i="11"/>
  <c r="U34" i="11"/>
  <c r="V34" i="11"/>
  <c r="W34" i="11"/>
  <c r="X34" i="11"/>
  <c r="U35" i="11"/>
  <c r="V35" i="11"/>
  <c r="W35" i="11"/>
  <c r="X35" i="11"/>
  <c r="U36" i="11"/>
  <c r="V36" i="11"/>
  <c r="W36" i="11"/>
  <c r="X36" i="11"/>
  <c r="U37" i="11"/>
  <c r="V37" i="11"/>
  <c r="W37" i="11"/>
  <c r="X37" i="11"/>
  <c r="U38" i="11"/>
  <c r="V38" i="11"/>
  <c r="W38" i="11"/>
  <c r="X38" i="11"/>
  <c r="U39" i="11"/>
  <c r="V39" i="11"/>
  <c r="W39" i="11"/>
  <c r="X39" i="11"/>
  <c r="U40" i="11"/>
  <c r="V40" i="11"/>
  <c r="W40" i="11"/>
  <c r="X40" i="11"/>
  <c r="U41" i="11"/>
  <c r="V41" i="11"/>
  <c r="W41" i="11"/>
  <c r="X41" i="11"/>
  <c r="U42" i="11"/>
  <c r="V42" i="11"/>
  <c r="W42" i="11"/>
  <c r="X42" i="11"/>
  <c r="U43" i="11"/>
  <c r="V43" i="11"/>
  <c r="W43" i="11"/>
  <c r="X43" i="11"/>
  <c r="U44" i="11"/>
  <c r="V44" i="11"/>
  <c r="W44" i="11"/>
  <c r="X44" i="11"/>
  <c r="U45" i="11"/>
  <c r="V45" i="11"/>
  <c r="W45" i="11"/>
  <c r="X45" i="11"/>
  <c r="U46" i="11"/>
  <c r="V46" i="11"/>
  <c r="W46" i="11"/>
  <c r="X46" i="11"/>
  <c r="U47" i="11"/>
  <c r="V47" i="11"/>
  <c r="W47" i="11"/>
  <c r="X47" i="11"/>
  <c r="U48" i="11"/>
  <c r="V48" i="11"/>
  <c r="W48" i="11"/>
  <c r="X48" i="11"/>
  <c r="U49" i="11"/>
  <c r="V49" i="11"/>
  <c r="W49" i="11"/>
  <c r="X49" i="11"/>
  <c r="U50" i="11"/>
  <c r="V50" i="11"/>
  <c r="W50" i="11"/>
  <c r="X50" i="11"/>
  <c r="U51" i="11"/>
  <c r="V51" i="11"/>
  <c r="W51" i="11"/>
  <c r="X51" i="11"/>
  <c r="U52" i="11"/>
  <c r="V52" i="11"/>
  <c r="W52" i="11"/>
  <c r="X52" i="11"/>
  <c r="U53" i="11"/>
  <c r="V53" i="11"/>
  <c r="W53" i="11"/>
  <c r="X53" i="11"/>
  <c r="U54" i="11"/>
  <c r="V54" i="11"/>
  <c r="W54" i="11"/>
  <c r="X54" i="11"/>
  <c r="U55" i="11"/>
  <c r="V55" i="11"/>
  <c r="W55" i="11"/>
  <c r="X55" i="11"/>
  <c r="U56" i="11"/>
  <c r="V56" i="11"/>
  <c r="W56" i="11"/>
  <c r="X56" i="11"/>
  <c r="U57" i="11"/>
  <c r="V57" i="11"/>
  <c r="W57" i="11"/>
  <c r="X57" i="11"/>
  <c r="U58" i="11"/>
  <c r="V58" i="11"/>
  <c r="W58" i="11"/>
  <c r="X58" i="11"/>
  <c r="U59" i="11"/>
  <c r="V59" i="11"/>
  <c r="W59" i="11"/>
  <c r="X59" i="11"/>
  <c r="U60" i="11"/>
  <c r="V60" i="11"/>
  <c r="W60" i="11"/>
  <c r="X60" i="11"/>
  <c r="X20" i="11"/>
  <c r="W20" i="11"/>
  <c r="V20" i="11"/>
  <c r="U20" i="11"/>
  <c r="X19" i="11"/>
  <c r="W19" i="11"/>
  <c r="V19" i="11"/>
  <c r="U19" i="11"/>
  <c r="X18" i="11"/>
  <c r="W18" i="11"/>
  <c r="V18" i="11"/>
  <c r="U18" i="11"/>
  <c r="X17" i="11"/>
  <c r="W17" i="11"/>
  <c r="V17" i="11"/>
  <c r="U17" i="11"/>
  <c r="X16" i="11"/>
  <c r="W16" i="11"/>
  <c r="V16" i="11"/>
  <c r="U16" i="11"/>
  <c r="X15" i="11"/>
  <c r="W15" i="11"/>
  <c r="V15" i="11"/>
  <c r="U15" i="11"/>
  <c r="X14" i="11"/>
  <c r="W14" i="11"/>
  <c r="V14" i="11"/>
  <c r="U14" i="11"/>
  <c r="X13" i="11"/>
  <c r="W13" i="11"/>
  <c r="V13" i="11"/>
  <c r="U13" i="11"/>
  <c r="X12" i="11"/>
  <c r="W12" i="11"/>
  <c r="V12" i="11"/>
  <c r="U12" i="11"/>
  <c r="X11" i="11"/>
  <c r="W11" i="11"/>
  <c r="V11" i="11"/>
  <c r="U11" i="11"/>
  <c r="X10" i="11"/>
  <c r="W10" i="11"/>
  <c r="V10" i="11"/>
  <c r="U10" i="11"/>
  <c r="X9" i="11"/>
  <c r="W9" i="11"/>
  <c r="V9" i="11"/>
  <c r="U9" i="11"/>
  <c r="X8" i="11"/>
  <c r="W8" i="11"/>
  <c r="V8" i="11"/>
  <c r="U8" i="11"/>
  <c r="X7" i="11"/>
  <c r="W7" i="11"/>
  <c r="V7" i="11"/>
  <c r="U7" i="11"/>
  <c r="X6" i="11"/>
  <c r="W6" i="11"/>
  <c r="V6" i="11"/>
  <c r="U6" i="11"/>
  <c r="V5" i="11"/>
  <c r="W5" i="11"/>
  <c r="X5" i="11"/>
  <c r="U5" i="11"/>
  <c r="Q88" i="11"/>
  <c r="R88" i="11"/>
  <c r="Q89" i="11"/>
  <c r="R89" i="11"/>
  <c r="Q90" i="11"/>
  <c r="R90" i="11"/>
  <c r="Q91" i="11"/>
  <c r="R91" i="11"/>
  <c r="Q92" i="11"/>
  <c r="R92" i="11"/>
  <c r="Q93" i="11"/>
  <c r="R93" i="11"/>
  <c r="Q94" i="11"/>
  <c r="R94" i="11"/>
  <c r="Q95" i="11"/>
  <c r="R95" i="11"/>
  <c r="Q96" i="11"/>
  <c r="R96" i="11"/>
  <c r="Q97" i="11"/>
  <c r="R97" i="11"/>
  <c r="Q98" i="11"/>
  <c r="R98" i="11"/>
  <c r="Q99" i="11"/>
  <c r="R99" i="11"/>
  <c r="Q100" i="11"/>
  <c r="R100" i="11"/>
  <c r="Q101" i="11"/>
  <c r="R101" i="11"/>
  <c r="Q102" i="11"/>
  <c r="R102" i="11"/>
  <c r="Q103" i="11"/>
  <c r="R103" i="11"/>
  <c r="Q104" i="11"/>
  <c r="R104" i="11"/>
  <c r="Q105" i="11"/>
  <c r="R105" i="11"/>
  <c r="Q106" i="11"/>
  <c r="R106" i="11"/>
  <c r="Q107" i="11"/>
  <c r="R107" i="11"/>
  <c r="Q108" i="11"/>
  <c r="R108" i="11"/>
  <c r="Q109" i="11"/>
  <c r="R109" i="11"/>
  <c r="Q110" i="11"/>
  <c r="R110" i="11"/>
  <c r="Q111" i="11"/>
  <c r="R111" i="11"/>
  <c r="Q112" i="11"/>
  <c r="R112" i="11"/>
  <c r="Q113" i="11"/>
  <c r="R113" i="11"/>
  <c r="Q114" i="11"/>
  <c r="R114" i="11"/>
  <c r="Q115" i="11"/>
  <c r="R115" i="11"/>
  <c r="Q116" i="11"/>
  <c r="R116" i="11"/>
  <c r="Q117" i="11"/>
  <c r="R117" i="11"/>
  <c r="Q118" i="11"/>
  <c r="R118" i="11"/>
  <c r="Q119" i="11"/>
  <c r="R119" i="11"/>
  <c r="Q120" i="11"/>
  <c r="R120" i="11"/>
  <c r="Q121" i="11"/>
  <c r="R121" i="11"/>
  <c r="Q122" i="11"/>
  <c r="R122" i="11"/>
  <c r="Q123" i="11"/>
  <c r="R123" i="11"/>
  <c r="Q124" i="11"/>
  <c r="R124" i="11"/>
  <c r="Q125" i="11"/>
  <c r="R125" i="11"/>
  <c r="Q126" i="11"/>
  <c r="R126" i="11"/>
  <c r="Q127" i="11"/>
  <c r="R127" i="11"/>
  <c r="Q128" i="11"/>
  <c r="R128" i="11"/>
  <c r="Q129" i="11"/>
  <c r="R129" i="11"/>
  <c r="Q130" i="11"/>
  <c r="R130" i="11"/>
  <c r="Q131" i="11"/>
  <c r="R131" i="11"/>
  <c r="Q132" i="11"/>
  <c r="R132" i="11"/>
  <c r="Q133" i="11"/>
  <c r="R133" i="11"/>
  <c r="Q134" i="11"/>
  <c r="R134" i="11"/>
  <c r="Q135" i="11"/>
  <c r="R135" i="11"/>
  <c r="Q136" i="11"/>
  <c r="R136" i="11"/>
  <c r="Q137" i="11"/>
  <c r="R137" i="11"/>
  <c r="Q138" i="11"/>
  <c r="R138" i="11"/>
  <c r="Q139" i="11"/>
  <c r="R139" i="11"/>
  <c r="Q140" i="11"/>
  <c r="R140" i="11"/>
  <c r="Q141" i="11"/>
  <c r="R141" i="11"/>
  <c r="Q142" i="11"/>
  <c r="R142" i="11"/>
  <c r="Q143" i="11"/>
  <c r="R143" i="11"/>
  <c r="Q144" i="11"/>
  <c r="R144" i="11"/>
  <c r="Q145" i="11"/>
  <c r="R145" i="11"/>
  <c r="Q146" i="11"/>
  <c r="R146" i="11"/>
  <c r="Q147" i="11"/>
  <c r="R147" i="11"/>
  <c r="Q148" i="11"/>
  <c r="R148" i="11"/>
  <c r="Q149" i="11"/>
  <c r="R149" i="11"/>
  <c r="Q150" i="11"/>
  <c r="R150" i="11"/>
  <c r="Q151" i="11"/>
  <c r="R151" i="11"/>
  <c r="Q152" i="11"/>
  <c r="R152" i="11"/>
  <c r="Q153" i="11"/>
  <c r="R153" i="11"/>
  <c r="Q154" i="11"/>
  <c r="R154" i="11"/>
  <c r="Q155" i="11"/>
  <c r="R155" i="11"/>
  <c r="Q156" i="11"/>
  <c r="R156" i="11"/>
  <c r="Q157" i="11"/>
  <c r="R157" i="11"/>
  <c r="Q158" i="11"/>
  <c r="R158" i="11"/>
  <c r="Q159" i="11"/>
  <c r="R159" i="11"/>
  <c r="Q160" i="11"/>
  <c r="R160" i="11"/>
  <c r="Q161" i="11"/>
  <c r="R161" i="11"/>
  <c r="Q162" i="11"/>
  <c r="R162" i="11"/>
  <c r="Q163" i="11"/>
  <c r="R163" i="11"/>
  <c r="Q164" i="11"/>
  <c r="R164" i="11"/>
  <c r="Q165" i="11"/>
  <c r="R165" i="11"/>
  <c r="Q166" i="11"/>
  <c r="R166" i="11"/>
  <c r="Q167" i="11"/>
  <c r="R167" i="11"/>
  <c r="Q168" i="11"/>
  <c r="R168" i="11"/>
  <c r="Q169" i="11"/>
  <c r="R169" i="11"/>
  <c r="Q170" i="11"/>
  <c r="R170" i="11"/>
  <c r="Q171" i="11"/>
  <c r="R171" i="11"/>
  <c r="Q172" i="11"/>
  <c r="R172" i="11"/>
  <c r="Q173" i="11"/>
  <c r="R173" i="11"/>
  <c r="Q174" i="11"/>
  <c r="R174" i="11"/>
  <c r="Q175" i="11"/>
  <c r="R175" i="11"/>
  <c r="Q176" i="11"/>
  <c r="R176" i="11"/>
  <c r="Q177" i="11"/>
  <c r="R177" i="11"/>
  <c r="Q178" i="11"/>
  <c r="R178" i="11"/>
  <c r="Q179" i="11"/>
  <c r="R179" i="11"/>
  <c r="Q180" i="11"/>
  <c r="R180" i="11"/>
  <c r="Q181" i="11"/>
  <c r="R181" i="11"/>
  <c r="Q182" i="11"/>
  <c r="R182" i="11"/>
  <c r="Q183" i="11"/>
  <c r="R183" i="11"/>
  <c r="Q184" i="11"/>
  <c r="R184" i="11"/>
  <c r="Q185" i="11"/>
  <c r="R185" i="11"/>
  <c r="Q186" i="11"/>
  <c r="R186" i="11"/>
  <c r="Q187" i="11"/>
  <c r="R187" i="11"/>
  <c r="R87" i="11"/>
  <c r="Q87" i="11"/>
  <c r="Q63" i="11"/>
  <c r="R63" i="11"/>
  <c r="S63" i="11"/>
  <c r="Q64" i="11"/>
  <c r="R64" i="11"/>
  <c r="S64" i="11"/>
  <c r="Q65" i="11"/>
  <c r="R65" i="11"/>
  <c r="S65" i="11"/>
  <c r="Q66" i="11"/>
  <c r="R66" i="11"/>
  <c r="S66" i="11"/>
  <c r="Q67" i="11"/>
  <c r="R67" i="11"/>
  <c r="S67" i="11"/>
  <c r="Q68" i="11"/>
  <c r="R68" i="11"/>
  <c r="S68" i="11"/>
  <c r="Q69" i="11"/>
  <c r="R69" i="11"/>
  <c r="S69" i="11"/>
  <c r="Q70" i="11"/>
  <c r="R70" i="11"/>
  <c r="S70" i="11"/>
  <c r="Q71" i="11"/>
  <c r="R71" i="11"/>
  <c r="S71" i="11"/>
  <c r="Q72" i="11"/>
  <c r="R72" i="11"/>
  <c r="S72" i="11"/>
  <c r="Q73" i="11"/>
  <c r="R73" i="11"/>
  <c r="S73" i="11"/>
  <c r="Q74" i="11"/>
  <c r="R74" i="11"/>
  <c r="S74" i="11"/>
  <c r="Q75" i="11"/>
  <c r="R75" i="11"/>
  <c r="S75" i="11"/>
  <c r="Q76" i="11"/>
  <c r="R76" i="11"/>
  <c r="S76" i="11"/>
  <c r="Q77" i="11"/>
  <c r="R77" i="11"/>
  <c r="S77" i="11"/>
  <c r="Q78" i="11"/>
  <c r="R78" i="11"/>
  <c r="S78" i="11"/>
  <c r="Q79" i="11"/>
  <c r="R79" i="11"/>
  <c r="S79" i="11"/>
  <c r="Q80" i="11"/>
  <c r="R80" i="11"/>
  <c r="S80" i="11"/>
  <c r="Q81" i="11"/>
  <c r="R81" i="11"/>
  <c r="S81" i="11"/>
  <c r="Q82" i="11"/>
  <c r="R82" i="11"/>
  <c r="S82" i="11"/>
  <c r="Q83" i="11"/>
  <c r="R83" i="11"/>
  <c r="S83" i="11"/>
  <c r="Q84" i="11"/>
  <c r="R84" i="11"/>
  <c r="S84" i="11"/>
  <c r="Q85" i="11"/>
  <c r="R85" i="11"/>
  <c r="S85" i="11"/>
  <c r="Q6" i="11"/>
  <c r="R6" i="11"/>
  <c r="Q7" i="11"/>
  <c r="R7" i="11"/>
  <c r="Q8" i="11"/>
  <c r="R8" i="11"/>
  <c r="Q9" i="11"/>
  <c r="R9" i="11"/>
  <c r="Q10" i="11"/>
  <c r="R10" i="11"/>
  <c r="Q11" i="11"/>
  <c r="R11" i="11"/>
  <c r="Q12" i="11"/>
  <c r="R12" i="11"/>
  <c r="Q13" i="11"/>
  <c r="R13" i="11"/>
  <c r="Q14" i="11"/>
  <c r="R14" i="11"/>
  <c r="Q15" i="11"/>
  <c r="R15" i="11"/>
  <c r="Q16" i="11"/>
  <c r="R16" i="11"/>
  <c r="S16" i="11"/>
  <c r="Q17" i="11"/>
  <c r="R17" i="11"/>
  <c r="S17" i="11"/>
  <c r="Q18" i="11"/>
  <c r="R18" i="11"/>
  <c r="Q19" i="11"/>
  <c r="R19" i="11"/>
  <c r="Q20" i="11"/>
  <c r="R20" i="11"/>
  <c r="Q21" i="11"/>
  <c r="R21" i="11"/>
  <c r="Q22" i="11"/>
  <c r="R22" i="11"/>
  <c r="S22" i="11"/>
  <c r="Q23" i="11"/>
  <c r="R23" i="11"/>
  <c r="S23" i="11"/>
  <c r="Q24" i="11"/>
  <c r="R24" i="11"/>
  <c r="S24" i="11"/>
  <c r="Q25" i="11"/>
  <c r="R25" i="11"/>
  <c r="S25" i="11"/>
  <c r="Q26" i="11"/>
  <c r="R26" i="11"/>
  <c r="S26" i="11"/>
  <c r="Q27" i="11"/>
  <c r="R27" i="11"/>
  <c r="S27" i="11"/>
  <c r="Q28" i="11"/>
  <c r="R28" i="11"/>
  <c r="S28" i="11"/>
  <c r="Q29" i="11"/>
  <c r="R29" i="11"/>
  <c r="S29" i="11"/>
  <c r="Q30" i="11"/>
  <c r="R30" i="11"/>
  <c r="S30" i="11"/>
  <c r="Q31" i="11"/>
  <c r="R31" i="11"/>
  <c r="S31" i="11"/>
  <c r="Q32" i="11"/>
  <c r="R32" i="11"/>
  <c r="S32" i="11"/>
  <c r="Q33" i="11"/>
  <c r="R33" i="11"/>
  <c r="S33" i="11"/>
  <c r="Q34" i="11"/>
  <c r="R34" i="11"/>
  <c r="S34" i="11"/>
  <c r="Q35" i="11"/>
  <c r="R35" i="11"/>
  <c r="S35" i="11"/>
  <c r="Q36" i="11"/>
  <c r="R36" i="11"/>
  <c r="S36" i="11"/>
  <c r="Q37" i="11"/>
  <c r="R37" i="11"/>
  <c r="Q38" i="11"/>
  <c r="R38" i="11"/>
  <c r="S38" i="11"/>
  <c r="Q39" i="11"/>
  <c r="R39" i="11"/>
  <c r="Q40" i="11"/>
  <c r="R40" i="11"/>
  <c r="Q41" i="11"/>
  <c r="R41" i="11"/>
  <c r="Q42" i="11"/>
  <c r="R42" i="11"/>
  <c r="Q43" i="11"/>
  <c r="R43" i="11"/>
  <c r="Q44" i="11"/>
  <c r="R44" i="11"/>
  <c r="Q45" i="11"/>
  <c r="R45" i="11"/>
  <c r="Q46" i="11"/>
  <c r="R46" i="11"/>
  <c r="Q47" i="11"/>
  <c r="R47" i="11"/>
  <c r="Q48" i="11"/>
  <c r="R48" i="11"/>
  <c r="Q49" i="11"/>
  <c r="R49" i="11"/>
  <c r="Q50" i="11"/>
  <c r="R50" i="11"/>
  <c r="Q51" i="11"/>
  <c r="R51" i="11"/>
  <c r="Q52" i="11"/>
  <c r="R52" i="11"/>
  <c r="Q53" i="11"/>
  <c r="R53" i="11"/>
  <c r="Q54" i="11"/>
  <c r="R54" i="11"/>
  <c r="Q55" i="11"/>
  <c r="R55" i="11"/>
  <c r="Q56" i="11"/>
  <c r="R56" i="11"/>
  <c r="Q57" i="11"/>
  <c r="R57" i="11"/>
  <c r="Q58" i="11"/>
  <c r="R58" i="11"/>
  <c r="Q59" i="11"/>
  <c r="R59" i="11"/>
  <c r="Q60" i="11"/>
  <c r="R60" i="11"/>
  <c r="Q61" i="11"/>
  <c r="R61" i="11"/>
  <c r="Q62" i="11"/>
  <c r="R62" i="11"/>
  <c r="R5" i="11"/>
  <c r="S5" i="11"/>
  <c r="Q5" i="11"/>
  <c r="FS62" i="26"/>
  <c r="S62" i="11" s="1"/>
  <c r="FS61" i="26"/>
  <c r="S61" i="11" s="1"/>
  <c r="FS60" i="26"/>
  <c r="S60" i="11" s="1"/>
  <c r="FS59" i="26"/>
  <c r="S59" i="11" s="1"/>
  <c r="FS58" i="26"/>
  <c r="S58" i="11" s="1"/>
  <c r="FS57" i="26"/>
  <c r="S57" i="11" s="1"/>
  <c r="FS56" i="26"/>
  <c r="S56" i="11" s="1"/>
  <c r="FS55" i="26"/>
  <c r="S55" i="11" s="1"/>
  <c r="FS54" i="26"/>
  <c r="S54" i="11" s="1"/>
  <c r="FS53" i="26"/>
  <c r="S53" i="11" s="1"/>
  <c r="FS52" i="26"/>
  <c r="S52" i="11" s="1"/>
  <c r="FS51" i="26"/>
  <c r="S51" i="11" s="1"/>
  <c r="FS50" i="26"/>
  <c r="S50" i="11" s="1"/>
  <c r="FS49" i="26"/>
  <c r="S49" i="11" s="1"/>
  <c r="FS48" i="26"/>
  <c r="S48" i="11" s="1"/>
  <c r="FS47" i="26"/>
  <c r="S47" i="11" s="1"/>
  <c r="FS46" i="26"/>
  <c r="S46" i="11" s="1"/>
  <c r="FS45" i="26"/>
  <c r="S45" i="11" s="1"/>
  <c r="FS44" i="26"/>
  <c r="S44" i="11" s="1"/>
  <c r="FS43" i="26"/>
  <c r="S43" i="11" s="1"/>
  <c r="FS42" i="26"/>
  <c r="S42" i="11" s="1"/>
  <c r="FS41" i="26"/>
  <c r="S41" i="11" s="1"/>
  <c r="FS40" i="26"/>
  <c r="S40" i="11" s="1"/>
  <c r="FS39" i="26"/>
  <c r="S39" i="11" s="1"/>
  <c r="FS37" i="26"/>
  <c r="S37" i="11" s="1"/>
  <c r="FS21" i="26"/>
  <c r="S21" i="11" s="1"/>
  <c r="FS20" i="26"/>
  <c r="S20" i="11" s="1"/>
  <c r="FS19" i="26"/>
  <c r="S19" i="11" s="1"/>
  <c r="FS18" i="26"/>
  <c r="S18" i="11" s="1"/>
  <c r="FS15" i="26"/>
  <c r="S15" i="11" s="1"/>
  <c r="FS14" i="26"/>
  <c r="S14" i="11" s="1"/>
  <c r="FS13" i="26"/>
  <c r="S13" i="11" s="1"/>
  <c r="FS12" i="26"/>
  <c r="S12" i="11" s="1"/>
  <c r="FS11" i="26"/>
  <c r="S11" i="11" s="1"/>
  <c r="FS10" i="26"/>
  <c r="S10" i="11" s="1"/>
  <c r="FS9" i="26"/>
  <c r="S9" i="11" s="1"/>
  <c r="FS8" i="26"/>
  <c r="S8" i="11" s="1"/>
  <c r="FS7" i="26"/>
  <c r="S7" i="11" s="1"/>
  <c r="FS6" i="26"/>
  <c r="S6" i="11" s="1"/>
  <c r="FK8" i="19"/>
  <c r="FL8" i="19"/>
  <c r="FM8" i="19"/>
  <c r="FN8" i="19"/>
  <c r="FO8" i="19"/>
  <c r="FP8" i="19"/>
  <c r="FQ8" i="19"/>
  <c r="FR8" i="19"/>
  <c r="FS8" i="19"/>
  <c r="FT8" i="19"/>
  <c r="FU8" i="19"/>
  <c r="FV8" i="19"/>
  <c r="FW8" i="19"/>
  <c r="FX8" i="19"/>
  <c r="FY8" i="19"/>
  <c r="FZ8" i="19"/>
  <c r="GA8" i="19"/>
  <c r="GB8" i="19"/>
  <c r="GC8" i="19"/>
  <c r="GD8" i="19"/>
  <c r="GE8" i="19"/>
  <c r="GF8" i="19"/>
  <c r="GG8" i="19"/>
  <c r="GH8" i="19"/>
  <c r="GI8" i="19"/>
  <c r="GJ8" i="19"/>
  <c r="FK9" i="19"/>
  <c r="FL9" i="19"/>
  <c r="FM9" i="19"/>
  <c r="FN9" i="19"/>
  <c r="FO9" i="19"/>
  <c r="FP9" i="19"/>
  <c r="FQ9" i="19"/>
  <c r="FR9" i="19"/>
  <c r="FS9" i="19"/>
  <c r="FT9" i="19"/>
  <c r="FU9" i="19"/>
  <c r="FV9" i="19"/>
  <c r="FW9" i="19"/>
  <c r="FX9" i="19"/>
  <c r="FY9" i="19"/>
  <c r="FZ9" i="19"/>
  <c r="GA9" i="19"/>
  <c r="GB9" i="19"/>
  <c r="GC9" i="19"/>
  <c r="GD9" i="19"/>
  <c r="GE9" i="19"/>
  <c r="GF9" i="19"/>
  <c r="GG9" i="19"/>
  <c r="GH9" i="19"/>
  <c r="GI9" i="19"/>
  <c r="GJ9" i="19"/>
  <c r="FK10" i="19"/>
  <c r="FL10" i="19"/>
  <c r="FM10" i="19"/>
  <c r="FN10" i="19"/>
  <c r="FO10" i="19"/>
  <c r="FP10" i="19"/>
  <c r="FQ10" i="19"/>
  <c r="FR10" i="19"/>
  <c r="FS10" i="19"/>
  <c r="FT10" i="19"/>
  <c r="FU10" i="19"/>
  <c r="FV10" i="19"/>
  <c r="FW10" i="19"/>
  <c r="FX10" i="19"/>
  <c r="FY10" i="19"/>
  <c r="FZ10" i="19"/>
  <c r="GA10" i="19"/>
  <c r="GB10" i="19"/>
  <c r="GC10" i="19"/>
  <c r="GD10" i="19"/>
  <c r="GE10" i="19"/>
  <c r="GF10" i="19"/>
  <c r="GG10" i="19"/>
  <c r="GH10" i="19"/>
  <c r="GI10" i="19"/>
  <c r="GJ10" i="19"/>
  <c r="FK11" i="19"/>
  <c r="FL11" i="19"/>
  <c r="FM11" i="19"/>
  <c r="FN11" i="19"/>
  <c r="FO11" i="19"/>
  <c r="FP11" i="19"/>
  <c r="FQ11" i="19"/>
  <c r="FR11" i="19"/>
  <c r="FS11" i="19"/>
  <c r="FT11" i="19"/>
  <c r="FU11" i="19"/>
  <c r="FV11" i="19"/>
  <c r="FW11" i="19"/>
  <c r="FX11" i="19"/>
  <c r="FY11" i="19"/>
  <c r="FZ11" i="19"/>
  <c r="GA11" i="19"/>
  <c r="GB11" i="19"/>
  <c r="GC11" i="19"/>
  <c r="GD11" i="19"/>
  <c r="GE11" i="19"/>
  <c r="GF11" i="19"/>
  <c r="GG11" i="19"/>
  <c r="GH11" i="19"/>
  <c r="GI11" i="19"/>
  <c r="GJ11" i="19"/>
  <c r="FK12" i="19"/>
  <c r="FL12" i="19"/>
  <c r="FM12" i="19"/>
  <c r="FN12" i="19"/>
  <c r="FO12" i="19"/>
  <c r="FP12" i="19"/>
  <c r="FQ12" i="19"/>
  <c r="FR12" i="19"/>
  <c r="FS12" i="19"/>
  <c r="FT12" i="19"/>
  <c r="FU12" i="19"/>
  <c r="FV12" i="19"/>
  <c r="FW12" i="19"/>
  <c r="FX12" i="19"/>
  <c r="FY12" i="19"/>
  <c r="FZ12" i="19"/>
  <c r="GA12" i="19"/>
  <c r="GB12" i="19"/>
  <c r="GC12" i="19"/>
  <c r="GD12" i="19"/>
  <c r="GE12" i="19"/>
  <c r="GF12" i="19"/>
  <c r="GG12" i="19"/>
  <c r="GH12" i="19"/>
  <c r="GI12" i="19"/>
  <c r="GJ12" i="19"/>
  <c r="FK13" i="19"/>
  <c r="FL13" i="19"/>
  <c r="FM13" i="19"/>
  <c r="FN13" i="19"/>
  <c r="FO13" i="19"/>
  <c r="FP13" i="19"/>
  <c r="FQ13" i="19"/>
  <c r="FR13" i="19"/>
  <c r="FS13" i="19"/>
  <c r="FT13" i="19"/>
  <c r="FU13" i="19"/>
  <c r="FV13" i="19"/>
  <c r="FW13" i="19"/>
  <c r="FX13" i="19"/>
  <c r="FY13" i="19"/>
  <c r="FZ13" i="19"/>
  <c r="GA13" i="19"/>
  <c r="GB13" i="19"/>
  <c r="GC13" i="19"/>
  <c r="GD13" i="19"/>
  <c r="GE13" i="19"/>
  <c r="GF13" i="19"/>
  <c r="GG13" i="19"/>
  <c r="GH13" i="19"/>
  <c r="GI13" i="19"/>
  <c r="GJ13" i="19"/>
  <c r="FK14" i="19"/>
  <c r="FL14" i="19"/>
  <c r="FM14" i="19"/>
  <c r="FN14" i="19"/>
  <c r="FO14" i="19"/>
  <c r="FP14" i="19"/>
  <c r="FQ14" i="19"/>
  <c r="FR14" i="19"/>
  <c r="FS14" i="19"/>
  <c r="FT14" i="19"/>
  <c r="FU14" i="19"/>
  <c r="FV14" i="19"/>
  <c r="FW14" i="19"/>
  <c r="FX14" i="19"/>
  <c r="FY14" i="19"/>
  <c r="FZ14" i="19"/>
  <c r="GA14" i="19"/>
  <c r="GB14" i="19"/>
  <c r="GC14" i="19"/>
  <c r="GD14" i="19"/>
  <c r="GE14" i="19"/>
  <c r="GF14" i="19"/>
  <c r="GG14" i="19"/>
  <c r="GH14" i="19"/>
  <c r="GI14" i="19"/>
  <c r="GJ14" i="19"/>
  <c r="FK15" i="19"/>
  <c r="FL15" i="19"/>
  <c r="FM15" i="19"/>
  <c r="FN15" i="19"/>
  <c r="FO15" i="19"/>
  <c r="FP15" i="19"/>
  <c r="FQ15" i="19"/>
  <c r="FR15" i="19"/>
  <c r="FS15" i="19"/>
  <c r="FT15" i="19"/>
  <c r="FU15" i="19"/>
  <c r="FV15" i="19"/>
  <c r="FW15" i="19"/>
  <c r="FX15" i="19"/>
  <c r="FY15" i="19"/>
  <c r="FZ15" i="19"/>
  <c r="GA15" i="19"/>
  <c r="GB15" i="19"/>
  <c r="GC15" i="19"/>
  <c r="GD15" i="19"/>
  <c r="GE15" i="19"/>
  <c r="GF15" i="19"/>
  <c r="GG15" i="19"/>
  <c r="GH15" i="19"/>
  <c r="GI15" i="19"/>
  <c r="GJ15" i="19"/>
  <c r="FK16" i="19"/>
  <c r="FL16" i="19"/>
  <c r="FM16" i="19"/>
  <c r="FN16" i="19"/>
  <c r="FO16" i="19"/>
  <c r="FP16" i="19"/>
  <c r="FQ16" i="19"/>
  <c r="FR16" i="19"/>
  <c r="FS16" i="19"/>
  <c r="FT16" i="19"/>
  <c r="FU16" i="19"/>
  <c r="FV16" i="19"/>
  <c r="FW16" i="19"/>
  <c r="FX16" i="19"/>
  <c r="FY16" i="19"/>
  <c r="FZ16" i="19"/>
  <c r="GA16" i="19"/>
  <c r="GB16" i="19"/>
  <c r="GC16" i="19"/>
  <c r="GD16" i="19"/>
  <c r="GE16" i="19"/>
  <c r="GF16" i="19"/>
  <c r="GG16" i="19"/>
  <c r="GH16" i="19"/>
  <c r="GI16" i="19"/>
  <c r="GJ16" i="19"/>
  <c r="FK17" i="19"/>
  <c r="FL17" i="19"/>
  <c r="FM17" i="19"/>
  <c r="FN17" i="19"/>
  <c r="FO17" i="19"/>
  <c r="FP17" i="19"/>
  <c r="FQ17" i="19"/>
  <c r="FR17" i="19"/>
  <c r="FS17" i="19"/>
  <c r="FT17" i="19"/>
  <c r="FU17" i="19"/>
  <c r="FV17" i="19"/>
  <c r="FW17" i="19"/>
  <c r="FX17" i="19"/>
  <c r="FY17" i="19"/>
  <c r="FZ17" i="19"/>
  <c r="GA17" i="19"/>
  <c r="GB17" i="19"/>
  <c r="GC17" i="19"/>
  <c r="GD17" i="19"/>
  <c r="GE17" i="19"/>
  <c r="GF17" i="19"/>
  <c r="GG17" i="19"/>
  <c r="GH17" i="19"/>
  <c r="GI17" i="19"/>
  <c r="GJ17" i="19"/>
  <c r="FK18" i="19"/>
  <c r="FL18" i="19"/>
  <c r="FM18" i="19"/>
  <c r="FN18" i="19"/>
  <c r="FO18" i="19"/>
  <c r="FP18" i="19"/>
  <c r="FQ18" i="19"/>
  <c r="FR18" i="19"/>
  <c r="FS18" i="19"/>
  <c r="FT18" i="19"/>
  <c r="FU18" i="19"/>
  <c r="FV18" i="19"/>
  <c r="FW18" i="19"/>
  <c r="FX18" i="19"/>
  <c r="FY18" i="19"/>
  <c r="FZ18" i="19"/>
  <c r="GA18" i="19"/>
  <c r="GB18" i="19"/>
  <c r="GC18" i="19"/>
  <c r="GD18" i="19"/>
  <c r="GE18" i="19"/>
  <c r="GF18" i="19"/>
  <c r="GG18" i="19"/>
  <c r="GH18" i="19"/>
  <c r="GI18" i="19"/>
  <c r="GJ18" i="19"/>
  <c r="FK19" i="19"/>
  <c r="FL19" i="19"/>
  <c r="FM19" i="19"/>
  <c r="FN19" i="19"/>
  <c r="FO19" i="19"/>
  <c r="FP19" i="19"/>
  <c r="FQ19" i="19"/>
  <c r="FR19" i="19"/>
  <c r="FS19" i="19"/>
  <c r="FT19" i="19"/>
  <c r="FU19" i="19"/>
  <c r="FV19" i="19"/>
  <c r="FW19" i="19"/>
  <c r="FX19" i="19"/>
  <c r="FY19" i="19"/>
  <c r="FZ19" i="19"/>
  <c r="GA19" i="19"/>
  <c r="GB19" i="19"/>
  <c r="GC19" i="19"/>
  <c r="GD19" i="19"/>
  <c r="GE19" i="19"/>
  <c r="GF19" i="19"/>
  <c r="GG19" i="19"/>
  <c r="GH19" i="19"/>
  <c r="GI19" i="19"/>
  <c r="GJ19" i="19"/>
  <c r="FK20" i="19"/>
  <c r="FL20" i="19"/>
  <c r="FM20" i="19"/>
  <c r="FN20" i="19"/>
  <c r="FO20" i="19"/>
  <c r="FP20" i="19"/>
  <c r="FQ20" i="19"/>
  <c r="FR20" i="19"/>
  <c r="FS20" i="19"/>
  <c r="FT20" i="19"/>
  <c r="FU20" i="19"/>
  <c r="FV20" i="19"/>
  <c r="FW20" i="19"/>
  <c r="FX20" i="19"/>
  <c r="FY20" i="19"/>
  <c r="FZ20" i="19"/>
  <c r="GA20" i="19"/>
  <c r="GB20" i="19"/>
  <c r="GC20" i="19"/>
  <c r="GD20" i="19"/>
  <c r="GE20" i="19"/>
  <c r="GF20" i="19"/>
  <c r="GG20" i="19"/>
  <c r="GH20" i="19"/>
  <c r="GI20" i="19"/>
  <c r="GJ20" i="19"/>
  <c r="FK21" i="19"/>
  <c r="FL21" i="19"/>
  <c r="FM21" i="19"/>
  <c r="FN21" i="19"/>
  <c r="FO21" i="19"/>
  <c r="FP21" i="19"/>
  <c r="FQ21" i="19"/>
  <c r="FR21" i="19"/>
  <c r="FS21" i="19"/>
  <c r="FT21" i="19"/>
  <c r="FU21" i="19"/>
  <c r="FV21" i="19"/>
  <c r="FW21" i="19"/>
  <c r="FX21" i="19"/>
  <c r="FY21" i="19"/>
  <c r="FZ21" i="19"/>
  <c r="GA21" i="19"/>
  <c r="GB21" i="19"/>
  <c r="GC21" i="19"/>
  <c r="GD21" i="19"/>
  <c r="GE21" i="19"/>
  <c r="GF21" i="19"/>
  <c r="GG21" i="19"/>
  <c r="GH21" i="19"/>
  <c r="GI21" i="19"/>
  <c r="GJ21" i="19"/>
  <c r="FK22" i="19"/>
  <c r="FL22" i="19"/>
  <c r="FM22" i="19"/>
  <c r="FN22" i="19"/>
  <c r="FO22" i="19"/>
  <c r="FP22" i="19"/>
  <c r="FQ22" i="19"/>
  <c r="FR22" i="19"/>
  <c r="FS22" i="19"/>
  <c r="FT22" i="19"/>
  <c r="FU22" i="19"/>
  <c r="FV22" i="19"/>
  <c r="FW22" i="19"/>
  <c r="FX22" i="19"/>
  <c r="FY22" i="19"/>
  <c r="FZ22" i="19"/>
  <c r="GA22" i="19"/>
  <c r="GB22" i="19"/>
  <c r="GC22" i="19"/>
  <c r="GD22" i="19"/>
  <c r="GE22" i="19"/>
  <c r="GF22" i="19"/>
  <c r="GG22" i="19"/>
  <c r="GH22" i="19"/>
  <c r="GI22" i="19"/>
  <c r="GJ22" i="19"/>
  <c r="FK23" i="19"/>
  <c r="FL23" i="19"/>
  <c r="FM23" i="19"/>
  <c r="FN23" i="19"/>
  <c r="FO23" i="19"/>
  <c r="FP23" i="19"/>
  <c r="FQ23" i="19"/>
  <c r="FR23" i="19"/>
  <c r="FS23" i="19"/>
  <c r="FT23" i="19"/>
  <c r="FU23" i="19"/>
  <c r="FV23" i="19"/>
  <c r="FW23" i="19"/>
  <c r="FX23" i="19"/>
  <c r="FY23" i="19"/>
  <c r="FZ23" i="19"/>
  <c r="GA23" i="19"/>
  <c r="GB23" i="19"/>
  <c r="GC23" i="19"/>
  <c r="GD23" i="19"/>
  <c r="GE23" i="19"/>
  <c r="GF23" i="19"/>
  <c r="GG23" i="19"/>
  <c r="GH23" i="19"/>
  <c r="GI23" i="19"/>
  <c r="GJ23" i="19"/>
  <c r="FK24" i="19"/>
  <c r="FL24" i="19"/>
  <c r="FM24" i="19"/>
  <c r="FN24" i="19"/>
  <c r="FO24" i="19"/>
  <c r="FP24" i="19"/>
  <c r="FQ24" i="19"/>
  <c r="FR24" i="19"/>
  <c r="FS24" i="19"/>
  <c r="FT24" i="19"/>
  <c r="FU24" i="19"/>
  <c r="FV24" i="19"/>
  <c r="FW24" i="19"/>
  <c r="FX24" i="19"/>
  <c r="FY24" i="19"/>
  <c r="FZ24" i="19"/>
  <c r="GA24" i="19"/>
  <c r="GB24" i="19"/>
  <c r="GC24" i="19"/>
  <c r="GD24" i="19"/>
  <c r="GE24" i="19"/>
  <c r="GF24" i="19"/>
  <c r="GG24" i="19"/>
  <c r="GH24" i="19"/>
  <c r="GI24" i="19"/>
  <c r="GJ24" i="19"/>
  <c r="FK25" i="19"/>
  <c r="FL25" i="19"/>
  <c r="FM25" i="19"/>
  <c r="FN25" i="19"/>
  <c r="FO25" i="19"/>
  <c r="FP25" i="19"/>
  <c r="FQ25" i="19"/>
  <c r="FR25" i="19"/>
  <c r="FS25" i="19"/>
  <c r="FT25" i="19"/>
  <c r="FU25" i="19"/>
  <c r="FV25" i="19"/>
  <c r="FW25" i="19"/>
  <c r="FX25" i="19"/>
  <c r="FY25" i="19"/>
  <c r="FZ25" i="19"/>
  <c r="GA25" i="19"/>
  <c r="GB25" i="19"/>
  <c r="GC25" i="19"/>
  <c r="GD25" i="19"/>
  <c r="GE25" i="19"/>
  <c r="GF25" i="19"/>
  <c r="GG25" i="19"/>
  <c r="GH25" i="19"/>
  <c r="GI25" i="19"/>
  <c r="GJ25" i="19"/>
  <c r="FK26" i="19"/>
  <c r="FL26" i="19"/>
  <c r="FM26" i="19"/>
  <c r="FN26" i="19"/>
  <c r="FO26" i="19"/>
  <c r="FP26" i="19"/>
  <c r="FQ26" i="19"/>
  <c r="FR26" i="19"/>
  <c r="FS26" i="19"/>
  <c r="FT26" i="19"/>
  <c r="FU26" i="19"/>
  <c r="FV26" i="19"/>
  <c r="FW26" i="19"/>
  <c r="FX26" i="19"/>
  <c r="FY26" i="19"/>
  <c r="FZ26" i="19"/>
  <c r="GA26" i="19"/>
  <c r="GB26" i="19"/>
  <c r="GC26" i="19"/>
  <c r="GD26" i="19"/>
  <c r="GE26" i="19"/>
  <c r="GF26" i="19"/>
  <c r="GG26" i="19"/>
  <c r="GH26" i="19"/>
  <c r="GI26" i="19"/>
  <c r="GJ26" i="19"/>
  <c r="FK27" i="19"/>
  <c r="FL27" i="19"/>
  <c r="FM27" i="19"/>
  <c r="FN27" i="19"/>
  <c r="FO27" i="19"/>
  <c r="FP27" i="19"/>
  <c r="FQ27" i="19"/>
  <c r="FR27" i="19"/>
  <c r="FS27" i="19"/>
  <c r="FT27" i="19"/>
  <c r="FU27" i="19"/>
  <c r="FV27" i="19"/>
  <c r="FW27" i="19"/>
  <c r="FX27" i="19"/>
  <c r="FY27" i="19"/>
  <c r="FZ27" i="19"/>
  <c r="GA27" i="19"/>
  <c r="GB27" i="19"/>
  <c r="GC27" i="19"/>
  <c r="GD27" i="19"/>
  <c r="GE27" i="19"/>
  <c r="GF27" i="19"/>
  <c r="GG27" i="19"/>
  <c r="GH27" i="19"/>
  <c r="GI27" i="19"/>
  <c r="GJ27" i="19"/>
  <c r="FK28" i="19"/>
  <c r="FL28" i="19"/>
  <c r="FM28" i="19"/>
  <c r="FN28" i="19"/>
  <c r="FO28" i="19"/>
  <c r="FP28" i="19"/>
  <c r="FQ28" i="19"/>
  <c r="FR28" i="19"/>
  <c r="FS28" i="19"/>
  <c r="FT28" i="19"/>
  <c r="FU28" i="19"/>
  <c r="FV28" i="19"/>
  <c r="FW28" i="19"/>
  <c r="FX28" i="19"/>
  <c r="FY28" i="19"/>
  <c r="FZ28" i="19"/>
  <c r="GA28" i="19"/>
  <c r="GB28" i="19"/>
  <c r="GC28" i="19"/>
  <c r="GD28" i="19"/>
  <c r="GE28" i="19"/>
  <c r="GF28" i="19"/>
  <c r="GG28" i="19"/>
  <c r="GH28" i="19"/>
  <c r="GI28" i="19"/>
  <c r="GJ28" i="19"/>
  <c r="FK29" i="19"/>
  <c r="FL29" i="19"/>
  <c r="FM29" i="19"/>
  <c r="FN29" i="19"/>
  <c r="FO29" i="19"/>
  <c r="FP29" i="19"/>
  <c r="FQ29" i="19"/>
  <c r="FR29" i="19"/>
  <c r="FS29" i="19"/>
  <c r="FT29" i="19"/>
  <c r="FU29" i="19"/>
  <c r="FV29" i="19"/>
  <c r="FW29" i="19"/>
  <c r="FX29" i="19"/>
  <c r="FY29" i="19"/>
  <c r="FZ29" i="19"/>
  <c r="GA29" i="19"/>
  <c r="GB29" i="19"/>
  <c r="GC29" i="19"/>
  <c r="GD29" i="19"/>
  <c r="GE29" i="19"/>
  <c r="GF29" i="19"/>
  <c r="GG29" i="19"/>
  <c r="GH29" i="19"/>
  <c r="GI29" i="19"/>
  <c r="GJ29" i="19"/>
  <c r="FL7" i="19"/>
  <c r="FM7" i="19"/>
  <c r="FN7" i="19"/>
  <c r="FO7" i="19"/>
  <c r="FP7" i="19"/>
  <c r="FQ7" i="19"/>
  <c r="FR7" i="19"/>
  <c r="FS7" i="19"/>
  <c r="FT7" i="19"/>
  <c r="FU7" i="19"/>
  <c r="FV7" i="19"/>
  <c r="FW7" i="19"/>
  <c r="FX7" i="19"/>
  <c r="FY7" i="19"/>
  <c r="FZ7" i="19"/>
  <c r="GA7" i="19"/>
  <c r="GB7" i="19"/>
  <c r="GC7" i="19"/>
  <c r="GD7" i="19"/>
  <c r="GE7" i="19"/>
  <c r="GF7" i="19"/>
  <c r="GG7" i="19"/>
  <c r="GH7" i="19"/>
  <c r="GI7" i="19"/>
  <c r="GJ7" i="19"/>
  <c r="FK7" i="19"/>
  <c r="DQ7" i="19"/>
  <c r="DR7" i="19"/>
  <c r="DS7" i="19"/>
  <c r="DT7" i="19"/>
  <c r="DU7" i="19"/>
  <c r="DV7" i="19"/>
  <c r="DW7" i="19"/>
  <c r="DX7" i="19"/>
  <c r="DY7" i="19"/>
  <c r="DZ7" i="19"/>
  <c r="EA7" i="19"/>
  <c r="EB7" i="19"/>
  <c r="DQ8" i="19"/>
  <c r="DR8" i="19"/>
  <c r="DS8" i="19"/>
  <c r="DT8" i="19"/>
  <c r="DU8" i="19"/>
  <c r="DV8" i="19"/>
  <c r="DW8" i="19"/>
  <c r="DX8" i="19"/>
  <c r="DY8" i="19"/>
  <c r="DZ8" i="19"/>
  <c r="EA8" i="19"/>
  <c r="EB8" i="19"/>
  <c r="DQ9" i="19"/>
  <c r="DR9" i="19"/>
  <c r="DS9" i="19"/>
  <c r="DT9" i="19"/>
  <c r="DU9" i="19"/>
  <c r="DV9" i="19"/>
  <c r="DW9" i="19"/>
  <c r="DX9" i="19"/>
  <c r="DY9" i="19"/>
  <c r="DZ9" i="19"/>
  <c r="EA9" i="19"/>
  <c r="EB9" i="19"/>
  <c r="DQ10" i="19"/>
  <c r="DR10" i="19"/>
  <c r="DS10" i="19"/>
  <c r="DT10" i="19"/>
  <c r="DU10" i="19"/>
  <c r="DV10" i="19"/>
  <c r="DW10" i="19"/>
  <c r="DX10" i="19"/>
  <c r="DY10" i="19"/>
  <c r="DZ10" i="19"/>
  <c r="EA10" i="19"/>
  <c r="EB10" i="19"/>
  <c r="DQ11" i="19"/>
  <c r="DR11" i="19"/>
  <c r="DS11" i="19"/>
  <c r="DT11" i="19"/>
  <c r="DU11" i="19"/>
  <c r="DV11" i="19"/>
  <c r="DW11" i="19"/>
  <c r="DX11" i="19"/>
  <c r="DY11" i="19"/>
  <c r="DZ11" i="19"/>
  <c r="EA11" i="19"/>
  <c r="EB11" i="19"/>
  <c r="DQ12" i="19"/>
  <c r="DR12" i="19"/>
  <c r="DS12" i="19"/>
  <c r="DT12" i="19"/>
  <c r="DU12" i="19"/>
  <c r="DV12" i="19"/>
  <c r="DW12" i="19"/>
  <c r="DX12" i="19"/>
  <c r="DY12" i="19"/>
  <c r="DZ12" i="19"/>
  <c r="EA12" i="19"/>
  <c r="EB12" i="19"/>
  <c r="DQ13" i="19"/>
  <c r="DR13" i="19"/>
  <c r="DS13" i="19"/>
  <c r="DT13" i="19"/>
  <c r="DU13" i="19"/>
  <c r="DV13" i="19"/>
  <c r="DW13" i="19"/>
  <c r="DX13" i="19"/>
  <c r="DY13" i="19"/>
  <c r="DZ13" i="19"/>
  <c r="EA13" i="19"/>
  <c r="EB13" i="19"/>
  <c r="DQ14" i="19"/>
  <c r="DR14" i="19"/>
  <c r="DS14" i="19"/>
  <c r="DT14" i="19"/>
  <c r="DU14" i="19"/>
  <c r="DV14" i="19"/>
  <c r="DW14" i="19"/>
  <c r="DX14" i="19"/>
  <c r="DY14" i="19"/>
  <c r="DZ14" i="19"/>
  <c r="EA14" i="19"/>
  <c r="EB14" i="19"/>
  <c r="DQ15" i="19"/>
  <c r="DR15" i="19"/>
  <c r="DS15" i="19"/>
  <c r="DT15" i="19"/>
  <c r="DU15" i="19"/>
  <c r="DV15" i="19"/>
  <c r="DW15" i="19"/>
  <c r="DX15" i="19"/>
  <c r="DY15" i="19"/>
  <c r="DZ15" i="19"/>
  <c r="EA15" i="19"/>
  <c r="EB15" i="19"/>
  <c r="DQ16" i="19"/>
  <c r="DR16" i="19"/>
  <c r="DS16" i="19"/>
  <c r="DT16" i="19"/>
  <c r="DU16" i="19"/>
  <c r="DV16" i="19"/>
  <c r="DW16" i="19"/>
  <c r="DX16" i="19"/>
  <c r="DY16" i="19"/>
  <c r="DZ16" i="19"/>
  <c r="EA16" i="19"/>
  <c r="EB16" i="19"/>
  <c r="DQ17" i="19"/>
  <c r="DR17" i="19"/>
  <c r="DS17" i="19"/>
  <c r="DT17" i="19"/>
  <c r="DU17" i="19"/>
  <c r="DV17" i="19"/>
  <c r="DW17" i="19"/>
  <c r="DX17" i="19"/>
  <c r="DY17" i="19"/>
  <c r="DZ17" i="19"/>
  <c r="EA17" i="19"/>
  <c r="EB17" i="19"/>
  <c r="DQ18" i="19"/>
  <c r="DR18" i="19"/>
  <c r="DS18" i="19"/>
  <c r="DT18" i="19"/>
  <c r="DU18" i="19"/>
  <c r="DV18" i="19"/>
  <c r="DW18" i="19"/>
  <c r="DX18" i="19"/>
  <c r="DY18" i="19"/>
  <c r="DZ18" i="19"/>
  <c r="EA18" i="19"/>
  <c r="EB18" i="19"/>
  <c r="DQ19" i="19"/>
  <c r="DR19" i="19"/>
  <c r="DS19" i="19"/>
  <c r="DT19" i="19"/>
  <c r="DU19" i="19"/>
  <c r="DV19" i="19"/>
  <c r="DW19" i="19"/>
  <c r="DX19" i="19"/>
  <c r="DY19" i="19"/>
  <c r="DZ19" i="19"/>
  <c r="EA19" i="19"/>
  <c r="EB19" i="19"/>
  <c r="DQ20" i="19"/>
  <c r="DR20" i="19"/>
  <c r="DS20" i="19"/>
  <c r="DT20" i="19"/>
  <c r="DU20" i="19"/>
  <c r="DV20" i="19"/>
  <c r="DW20" i="19"/>
  <c r="DX20" i="19"/>
  <c r="DY20" i="19"/>
  <c r="DZ20" i="19"/>
  <c r="EA20" i="19"/>
  <c r="EB20" i="19"/>
  <c r="DQ21" i="19"/>
  <c r="DR21" i="19"/>
  <c r="DS21" i="19"/>
  <c r="DT21" i="19"/>
  <c r="DU21" i="19"/>
  <c r="DV21" i="19"/>
  <c r="DW21" i="19"/>
  <c r="DX21" i="19"/>
  <c r="DY21" i="19"/>
  <c r="DZ21" i="19"/>
  <c r="EA21" i="19"/>
  <c r="EB21" i="19"/>
  <c r="DQ22" i="19"/>
  <c r="DR22" i="19"/>
  <c r="DS22" i="19"/>
  <c r="DT22" i="19"/>
  <c r="DU22" i="19"/>
  <c r="DV22" i="19"/>
  <c r="DW22" i="19"/>
  <c r="DX22" i="19"/>
  <c r="DY22" i="19"/>
  <c r="DZ22" i="19"/>
  <c r="EA22" i="19"/>
  <c r="EB22" i="19"/>
  <c r="DQ23" i="19"/>
  <c r="DR23" i="19"/>
  <c r="DS23" i="19"/>
  <c r="DT23" i="19"/>
  <c r="DU23" i="19"/>
  <c r="DV23" i="19"/>
  <c r="DW23" i="19"/>
  <c r="DX23" i="19"/>
  <c r="DY23" i="19"/>
  <c r="DZ23" i="19"/>
  <c r="EA23" i="19"/>
  <c r="EB23" i="19"/>
  <c r="DQ24" i="19"/>
  <c r="DR24" i="19"/>
  <c r="DS24" i="19"/>
  <c r="DT24" i="19"/>
  <c r="DU24" i="19"/>
  <c r="DV24" i="19"/>
  <c r="DW24" i="19"/>
  <c r="DX24" i="19"/>
  <c r="DY24" i="19"/>
  <c r="DZ24" i="19"/>
  <c r="EA24" i="19"/>
  <c r="EB24" i="19"/>
  <c r="DQ25" i="19"/>
  <c r="DR25" i="19"/>
  <c r="DS25" i="19"/>
  <c r="DT25" i="19"/>
  <c r="DU25" i="19"/>
  <c r="DV25" i="19"/>
  <c r="DW25" i="19"/>
  <c r="DX25" i="19"/>
  <c r="DY25" i="19"/>
  <c r="DZ25" i="19"/>
  <c r="EA25" i="19"/>
  <c r="EB25" i="19"/>
  <c r="DQ26" i="19"/>
  <c r="DR26" i="19"/>
  <c r="DS26" i="19"/>
  <c r="DT26" i="19"/>
  <c r="DU26" i="19"/>
  <c r="DV26" i="19"/>
  <c r="DW26" i="19"/>
  <c r="DX26" i="19"/>
  <c r="DY26" i="19"/>
  <c r="DZ26" i="19"/>
  <c r="EA26" i="19"/>
  <c r="EB26" i="19"/>
  <c r="DQ27" i="19"/>
  <c r="DR27" i="19"/>
  <c r="DS27" i="19"/>
  <c r="DT27" i="19"/>
  <c r="DU27" i="19"/>
  <c r="DV27" i="19"/>
  <c r="DW27" i="19"/>
  <c r="DX27" i="19"/>
  <c r="DY27" i="19"/>
  <c r="DZ27" i="19"/>
  <c r="EA27" i="19"/>
  <c r="EB27" i="19"/>
  <c r="DQ28" i="19"/>
  <c r="DR28" i="19"/>
  <c r="DS28" i="19"/>
  <c r="DT28" i="19"/>
  <c r="DU28" i="19"/>
  <c r="DV28" i="19"/>
  <c r="DW28" i="19"/>
  <c r="DX28" i="19"/>
  <c r="DY28" i="19"/>
  <c r="DZ28" i="19"/>
  <c r="EA28" i="19"/>
  <c r="EB28" i="19"/>
  <c r="DQ29" i="19"/>
  <c r="DR29" i="19"/>
  <c r="DS29" i="19"/>
  <c r="DT29" i="19"/>
  <c r="DU29" i="19"/>
  <c r="DV29" i="19"/>
  <c r="DW29" i="19"/>
  <c r="DX29" i="19"/>
  <c r="DY29" i="19"/>
  <c r="DZ29" i="19"/>
  <c r="EA29" i="19"/>
  <c r="EB29" i="19"/>
  <c r="DQ30" i="19"/>
  <c r="DR30" i="19"/>
  <c r="DS30" i="19"/>
  <c r="DT30" i="19"/>
  <c r="DU30" i="19"/>
  <c r="DV30" i="19"/>
  <c r="DW30" i="19"/>
  <c r="DX30" i="19"/>
  <c r="DY30" i="19"/>
  <c r="DZ30" i="19"/>
  <c r="EA30" i="19"/>
  <c r="EB30" i="19"/>
  <c r="DQ31" i="19"/>
  <c r="DR31" i="19"/>
  <c r="DS31" i="19"/>
  <c r="DT31" i="19"/>
  <c r="DU31" i="19"/>
  <c r="DV31" i="19"/>
  <c r="DW31" i="19"/>
  <c r="DX31" i="19"/>
  <c r="DY31" i="19"/>
  <c r="DZ31" i="19"/>
  <c r="EA31" i="19"/>
  <c r="EB31" i="19"/>
  <c r="DQ32" i="19"/>
  <c r="DR32" i="19"/>
  <c r="DS32" i="19"/>
  <c r="DT32" i="19"/>
  <c r="DU32" i="19"/>
  <c r="DV32" i="19"/>
  <c r="DW32" i="19"/>
  <c r="DX32" i="19"/>
  <c r="DY32" i="19"/>
  <c r="DZ32" i="19"/>
  <c r="EA32" i="19"/>
  <c r="EB32" i="19"/>
  <c r="DQ33" i="19"/>
  <c r="DR33" i="19"/>
  <c r="DS33" i="19"/>
  <c r="DT33" i="19"/>
  <c r="DU33" i="19"/>
  <c r="DV33" i="19"/>
  <c r="DW33" i="19"/>
  <c r="DX33" i="19"/>
  <c r="DY33" i="19"/>
  <c r="DZ33" i="19"/>
  <c r="EA33" i="19"/>
  <c r="EB33" i="19"/>
  <c r="DQ34" i="19"/>
  <c r="DR34" i="19"/>
  <c r="DS34" i="19"/>
  <c r="DT34" i="19"/>
  <c r="DU34" i="19"/>
  <c r="DV34" i="19"/>
  <c r="DW34" i="19"/>
  <c r="DX34" i="19"/>
  <c r="DY34" i="19"/>
  <c r="DZ34" i="19"/>
  <c r="EA34" i="19"/>
  <c r="EB34" i="19"/>
  <c r="DQ35" i="19"/>
  <c r="DR35" i="19"/>
  <c r="DS35" i="19"/>
  <c r="DT35" i="19"/>
  <c r="DU35" i="19"/>
  <c r="DV35" i="19"/>
  <c r="DW35" i="19"/>
  <c r="DX35" i="19"/>
  <c r="DY35" i="19"/>
  <c r="DZ35" i="19"/>
  <c r="EA35" i="19"/>
  <c r="EB35" i="19"/>
  <c r="DQ36" i="19"/>
  <c r="DR36" i="19"/>
  <c r="DS36" i="19"/>
  <c r="DT36" i="19"/>
  <c r="DU36" i="19"/>
  <c r="DV36" i="19"/>
  <c r="DW36" i="19"/>
  <c r="DX36" i="19"/>
  <c r="DY36" i="19"/>
  <c r="DZ36" i="19"/>
  <c r="EA36" i="19"/>
  <c r="EB36" i="19"/>
  <c r="DQ37" i="19"/>
  <c r="DR37" i="19"/>
  <c r="DS37" i="19"/>
  <c r="DT37" i="19"/>
  <c r="DU37" i="19"/>
  <c r="DV37" i="19"/>
  <c r="DW37" i="19"/>
  <c r="DX37" i="19"/>
  <c r="DY37" i="19"/>
  <c r="DZ37" i="19"/>
  <c r="EA37" i="19"/>
  <c r="EB37" i="19"/>
  <c r="DQ38" i="19"/>
  <c r="DR38" i="19"/>
  <c r="DS38" i="19"/>
  <c r="DT38" i="19"/>
  <c r="DU38" i="19"/>
  <c r="DV38" i="19"/>
  <c r="DW38" i="19"/>
  <c r="DX38" i="19"/>
  <c r="DY38" i="19"/>
  <c r="DZ38" i="19"/>
  <c r="EA38" i="19"/>
  <c r="EB38" i="19"/>
  <c r="DQ39" i="19"/>
  <c r="DR39" i="19"/>
  <c r="DS39" i="19"/>
  <c r="DT39" i="19"/>
  <c r="DU39" i="19"/>
  <c r="DV39" i="19"/>
  <c r="DW39" i="19"/>
  <c r="DX39" i="19"/>
  <c r="DY39" i="19"/>
  <c r="DZ39" i="19"/>
  <c r="EA39" i="19"/>
  <c r="EB39" i="19"/>
  <c r="DQ40" i="19"/>
  <c r="DR40" i="19"/>
  <c r="DS40" i="19"/>
  <c r="DT40" i="19"/>
  <c r="DU40" i="19"/>
  <c r="DV40" i="19"/>
  <c r="DW40" i="19"/>
  <c r="DX40" i="19"/>
  <c r="DY40" i="19"/>
  <c r="DZ40" i="19"/>
  <c r="EA40" i="19"/>
  <c r="EB40" i="19"/>
  <c r="DQ41" i="19"/>
  <c r="DR41" i="19"/>
  <c r="DS41" i="19"/>
  <c r="DT41" i="19"/>
  <c r="DU41" i="19"/>
  <c r="DV41" i="19"/>
  <c r="DW41" i="19"/>
  <c r="DX41" i="19"/>
  <c r="DY41" i="19"/>
  <c r="DZ41" i="19"/>
  <c r="EA41" i="19"/>
  <c r="EB41" i="19"/>
  <c r="DQ42" i="19"/>
  <c r="DR42" i="19"/>
  <c r="DS42" i="19"/>
  <c r="DT42" i="19"/>
  <c r="DU42" i="19"/>
  <c r="DV42" i="19"/>
  <c r="DW42" i="19"/>
  <c r="DX42" i="19"/>
  <c r="DY42" i="19"/>
  <c r="DZ42" i="19"/>
  <c r="EA42" i="19"/>
  <c r="EB42" i="19"/>
  <c r="DQ43" i="19"/>
  <c r="DR43" i="19"/>
  <c r="DS43" i="19"/>
  <c r="DT43" i="19"/>
  <c r="DU43" i="19"/>
  <c r="DV43" i="19"/>
  <c r="DW43" i="19"/>
  <c r="DX43" i="19"/>
  <c r="DY43" i="19"/>
  <c r="DZ43" i="19"/>
  <c r="EA43" i="19"/>
  <c r="EB43" i="19"/>
  <c r="DQ44" i="19"/>
  <c r="DR44" i="19"/>
  <c r="DS44" i="19"/>
  <c r="DT44" i="19"/>
  <c r="DU44" i="19"/>
  <c r="DV44" i="19"/>
  <c r="DW44" i="19"/>
  <c r="DX44" i="19"/>
  <c r="DY44" i="19"/>
  <c r="DZ44" i="19"/>
  <c r="EA44" i="19"/>
  <c r="EB44" i="19"/>
  <c r="DQ45" i="19"/>
  <c r="DR45" i="19"/>
  <c r="DS45" i="19"/>
  <c r="DT45" i="19"/>
  <c r="DU45" i="19"/>
  <c r="DV45" i="19"/>
  <c r="DW45" i="19"/>
  <c r="DX45" i="19"/>
  <c r="DY45" i="19"/>
  <c r="DZ45" i="19"/>
  <c r="EA45" i="19"/>
  <c r="EB45" i="19"/>
  <c r="DQ46" i="19"/>
  <c r="DR46" i="19"/>
  <c r="DS46" i="19"/>
  <c r="DT46" i="19"/>
  <c r="DU46" i="19"/>
  <c r="DV46" i="19"/>
  <c r="DW46" i="19"/>
  <c r="DX46" i="19"/>
  <c r="DY46" i="19"/>
  <c r="DZ46" i="19"/>
  <c r="EA46" i="19"/>
  <c r="EB46" i="19"/>
  <c r="DQ47" i="19"/>
  <c r="DR47" i="19"/>
  <c r="DS47" i="19"/>
  <c r="DT47" i="19"/>
  <c r="DU47" i="19"/>
  <c r="DV47" i="19"/>
  <c r="DW47" i="19"/>
  <c r="DX47" i="19"/>
  <c r="DY47" i="19"/>
  <c r="DZ47" i="19"/>
  <c r="EA47" i="19"/>
  <c r="EB47" i="19"/>
  <c r="DQ48" i="19"/>
  <c r="DR48" i="19"/>
  <c r="DS48" i="19"/>
  <c r="DT48" i="19"/>
  <c r="DU48" i="19"/>
  <c r="DV48" i="19"/>
  <c r="DW48" i="19"/>
  <c r="DX48" i="19"/>
  <c r="DY48" i="19"/>
  <c r="DZ48" i="19"/>
  <c r="EA48" i="19"/>
  <c r="EB48" i="19"/>
  <c r="DQ49" i="19"/>
  <c r="DR49" i="19"/>
  <c r="DS49" i="19"/>
  <c r="DT49" i="19"/>
  <c r="DU49" i="19"/>
  <c r="DV49" i="19"/>
  <c r="DW49" i="19"/>
  <c r="DX49" i="19"/>
  <c r="DY49" i="19"/>
  <c r="DZ49" i="19"/>
  <c r="EA49" i="19"/>
  <c r="EB49" i="19"/>
  <c r="DQ50" i="19"/>
  <c r="DR50" i="19"/>
  <c r="DS50" i="19"/>
  <c r="DT50" i="19"/>
  <c r="DU50" i="19"/>
  <c r="DV50" i="19"/>
  <c r="DW50" i="19"/>
  <c r="DX50" i="19"/>
  <c r="DY50" i="19"/>
  <c r="DZ50" i="19"/>
  <c r="EA50" i="19"/>
  <c r="EB50" i="19"/>
  <c r="DQ51" i="19"/>
  <c r="DR51" i="19"/>
  <c r="DS51" i="19"/>
  <c r="DT51" i="19"/>
  <c r="DU51" i="19"/>
  <c r="DV51" i="19"/>
  <c r="DW51" i="19"/>
  <c r="DX51" i="19"/>
  <c r="DY51" i="19"/>
  <c r="DZ51" i="19"/>
  <c r="EA51" i="19"/>
  <c r="EB51" i="19"/>
  <c r="DQ52" i="19"/>
  <c r="DR52" i="19"/>
  <c r="DS52" i="19"/>
  <c r="DT52" i="19"/>
  <c r="DU52" i="19"/>
  <c r="DV52" i="19"/>
  <c r="DW52" i="19"/>
  <c r="DX52" i="19"/>
  <c r="DY52" i="19"/>
  <c r="DZ52" i="19"/>
  <c r="EA52" i="19"/>
  <c r="EB52" i="19"/>
  <c r="DQ53" i="19"/>
  <c r="DR53" i="19"/>
  <c r="DS53" i="19"/>
  <c r="DT53" i="19"/>
  <c r="DU53" i="19"/>
  <c r="DV53" i="19"/>
  <c r="DW53" i="19"/>
  <c r="DX53" i="19"/>
  <c r="DY53" i="19"/>
  <c r="DZ53" i="19"/>
  <c r="EA53" i="19"/>
  <c r="EB53" i="19"/>
  <c r="DQ54" i="19"/>
  <c r="DR54" i="19"/>
  <c r="DS54" i="19"/>
  <c r="DT54" i="19"/>
  <c r="DU54" i="19"/>
  <c r="DV54" i="19"/>
  <c r="DW54" i="19"/>
  <c r="DX54" i="19"/>
  <c r="DY54" i="19"/>
  <c r="DZ54" i="19"/>
  <c r="EA54" i="19"/>
  <c r="EB54" i="19"/>
  <c r="DQ55" i="19"/>
  <c r="DR55" i="19"/>
  <c r="DS55" i="19"/>
  <c r="DT55" i="19"/>
  <c r="DU55" i="19"/>
  <c r="DV55" i="19"/>
  <c r="DW55" i="19"/>
  <c r="DX55" i="19"/>
  <c r="DY55" i="19"/>
  <c r="DZ55" i="19"/>
  <c r="EA55" i="19"/>
  <c r="EB55" i="19"/>
  <c r="DQ56" i="19"/>
  <c r="DR56" i="19"/>
  <c r="DS56" i="19"/>
  <c r="DT56" i="19"/>
  <c r="DU56" i="19"/>
  <c r="DV56" i="19"/>
  <c r="DW56" i="19"/>
  <c r="DX56" i="19"/>
  <c r="DY56" i="19"/>
  <c r="DZ56" i="19"/>
  <c r="EA56" i="19"/>
  <c r="EB56" i="19"/>
  <c r="DQ57" i="19"/>
  <c r="DR57" i="19"/>
  <c r="DS57" i="19"/>
  <c r="DT57" i="19"/>
  <c r="DU57" i="19"/>
  <c r="DV57" i="19"/>
  <c r="DW57" i="19"/>
  <c r="DX57" i="19"/>
  <c r="DY57" i="19"/>
  <c r="DZ57" i="19"/>
  <c r="EA57" i="19"/>
  <c r="EB57" i="19"/>
  <c r="DQ58" i="19"/>
  <c r="DR58" i="19"/>
  <c r="DS58" i="19"/>
  <c r="DT58" i="19"/>
  <c r="DU58" i="19"/>
  <c r="DV58" i="19"/>
  <c r="DW58" i="19"/>
  <c r="DX58" i="19"/>
  <c r="DY58" i="19"/>
  <c r="DZ58" i="19"/>
  <c r="EA58" i="19"/>
  <c r="EB58" i="19"/>
  <c r="DQ59" i="19"/>
  <c r="DR59" i="19"/>
  <c r="DS59" i="19"/>
  <c r="DT59" i="19"/>
  <c r="DU59" i="19"/>
  <c r="DV59" i="19"/>
  <c r="DW59" i="19"/>
  <c r="DX59" i="19"/>
  <c r="DY59" i="19"/>
  <c r="DZ59" i="19"/>
  <c r="EA59" i="19"/>
  <c r="EB59" i="19"/>
  <c r="DQ60" i="19"/>
  <c r="DR60" i="19"/>
  <c r="DS60" i="19"/>
  <c r="DT60" i="19"/>
  <c r="DU60" i="19"/>
  <c r="DV60" i="19"/>
  <c r="DW60" i="19"/>
  <c r="DX60" i="19"/>
  <c r="DY60" i="19"/>
  <c r="DZ60" i="19"/>
  <c r="EA60" i="19"/>
  <c r="EB60" i="19"/>
  <c r="DQ61" i="19"/>
  <c r="DR61" i="19"/>
  <c r="DS61" i="19"/>
  <c r="DT61" i="19"/>
  <c r="DU61" i="19"/>
  <c r="DV61" i="19"/>
  <c r="DW61" i="19"/>
  <c r="DX61" i="19"/>
  <c r="DY61" i="19"/>
  <c r="DZ61" i="19"/>
  <c r="EA61" i="19"/>
  <c r="EB61" i="19"/>
  <c r="DQ62" i="19"/>
  <c r="DR62" i="19"/>
  <c r="DS62" i="19"/>
  <c r="DT62" i="19"/>
  <c r="DU62" i="19"/>
  <c r="DV62" i="19"/>
  <c r="DW62" i="19"/>
  <c r="DX62" i="19"/>
  <c r="DY62" i="19"/>
  <c r="DZ62" i="19"/>
  <c r="EA62" i="19"/>
  <c r="EB62" i="19"/>
  <c r="DQ63" i="19"/>
  <c r="DR63" i="19"/>
  <c r="DS63" i="19"/>
  <c r="DT63" i="19"/>
  <c r="DU63" i="19"/>
  <c r="DV63" i="19"/>
  <c r="DW63" i="19"/>
  <c r="DX63" i="19"/>
  <c r="DY63" i="19"/>
  <c r="DZ63" i="19"/>
  <c r="EA63" i="19"/>
  <c r="EB63" i="19"/>
  <c r="DQ64" i="19"/>
  <c r="DR64" i="19"/>
  <c r="DS64" i="19"/>
  <c r="DT64" i="19"/>
  <c r="DU64" i="19"/>
  <c r="DV64" i="19"/>
  <c r="DW64" i="19"/>
  <c r="DX64" i="19"/>
  <c r="DY64" i="19"/>
  <c r="DZ64" i="19"/>
  <c r="EA64" i="19"/>
  <c r="EB64" i="19"/>
  <c r="DQ65" i="19"/>
  <c r="DR65" i="19"/>
  <c r="DS65" i="19"/>
  <c r="DT65" i="19"/>
  <c r="DU65" i="19"/>
  <c r="DV65" i="19"/>
  <c r="DW65" i="19"/>
  <c r="DX65" i="19"/>
  <c r="DY65" i="19"/>
  <c r="DZ65" i="19"/>
  <c r="EA65" i="19"/>
  <c r="EB65" i="19"/>
  <c r="DQ66" i="19"/>
  <c r="DR66" i="19"/>
  <c r="DS66" i="19"/>
  <c r="DT66" i="19"/>
  <c r="DU66" i="19"/>
  <c r="DV66" i="19"/>
  <c r="DW66" i="19"/>
  <c r="DX66" i="19"/>
  <c r="DY66" i="19"/>
  <c r="DZ66" i="19"/>
  <c r="EA66" i="19"/>
  <c r="EB66" i="19"/>
  <c r="DQ67" i="19"/>
  <c r="DR67" i="19"/>
  <c r="DS67" i="19"/>
  <c r="DT67" i="19"/>
  <c r="DU67" i="19"/>
  <c r="DV67" i="19"/>
  <c r="DW67" i="19"/>
  <c r="DX67" i="19"/>
  <c r="DY67" i="19"/>
  <c r="DZ67" i="19"/>
  <c r="EA67" i="19"/>
  <c r="EB67" i="19"/>
  <c r="DQ68" i="19"/>
  <c r="DR68" i="19"/>
  <c r="DS68" i="19"/>
  <c r="DT68" i="19"/>
  <c r="DU68" i="19"/>
  <c r="DV68" i="19"/>
  <c r="DW68" i="19"/>
  <c r="DX68" i="19"/>
  <c r="DY68" i="19"/>
  <c r="DZ68" i="19"/>
  <c r="EA68" i="19"/>
  <c r="EB68" i="19"/>
  <c r="DQ69" i="19"/>
  <c r="DR69" i="19"/>
  <c r="DS69" i="19"/>
  <c r="DT69" i="19"/>
  <c r="DU69" i="19"/>
  <c r="DV69" i="19"/>
  <c r="DW69" i="19"/>
  <c r="DX69" i="19"/>
  <c r="DY69" i="19"/>
  <c r="DZ69" i="19"/>
  <c r="EA69" i="19"/>
  <c r="EB69" i="19"/>
  <c r="DQ70" i="19"/>
  <c r="DR70" i="19"/>
  <c r="DS70" i="19"/>
  <c r="DT70" i="19"/>
  <c r="DU70" i="19"/>
  <c r="DV70" i="19"/>
  <c r="DW70" i="19"/>
  <c r="DX70" i="19"/>
  <c r="DY70" i="19"/>
  <c r="DZ70" i="19"/>
  <c r="EA70" i="19"/>
  <c r="EB70" i="19"/>
  <c r="DQ71" i="19"/>
  <c r="DR71" i="19"/>
  <c r="DS71" i="19"/>
  <c r="DT71" i="19"/>
  <c r="DU71" i="19"/>
  <c r="DV71" i="19"/>
  <c r="DW71" i="19"/>
  <c r="DX71" i="19"/>
  <c r="DY71" i="19"/>
  <c r="DZ71" i="19"/>
  <c r="EA71" i="19"/>
  <c r="EB71" i="19"/>
  <c r="DQ72" i="19"/>
  <c r="DR72" i="19"/>
  <c r="DS72" i="19"/>
  <c r="DT72" i="19"/>
  <c r="DU72" i="19"/>
  <c r="DV72" i="19"/>
  <c r="DW72" i="19"/>
  <c r="DX72" i="19"/>
  <c r="DY72" i="19"/>
  <c r="DZ72" i="19"/>
  <c r="EA72" i="19"/>
  <c r="EB72" i="19"/>
  <c r="DQ73" i="19"/>
  <c r="DR73" i="19"/>
  <c r="DS73" i="19"/>
  <c r="DT73" i="19"/>
  <c r="DU73" i="19"/>
  <c r="DV73" i="19"/>
  <c r="DW73" i="19"/>
  <c r="DX73" i="19"/>
  <c r="DY73" i="19"/>
  <c r="DZ73" i="19"/>
  <c r="EA73" i="19"/>
  <c r="EB73" i="19"/>
  <c r="DQ74" i="19"/>
  <c r="DR74" i="19"/>
  <c r="DS74" i="19"/>
  <c r="DT74" i="19"/>
  <c r="DU74" i="19"/>
  <c r="DV74" i="19"/>
  <c r="DW74" i="19"/>
  <c r="DX74" i="19"/>
  <c r="DY74" i="19"/>
  <c r="DZ74" i="19"/>
  <c r="EA74" i="19"/>
  <c r="EB74" i="19"/>
  <c r="DQ75" i="19"/>
  <c r="DR75" i="19"/>
  <c r="DS75" i="19"/>
  <c r="DT75" i="19"/>
  <c r="DU75" i="19"/>
  <c r="DV75" i="19"/>
  <c r="DW75" i="19"/>
  <c r="DX75" i="19"/>
  <c r="DY75" i="19"/>
  <c r="DZ75" i="19"/>
  <c r="EA75" i="19"/>
  <c r="EB75" i="19"/>
  <c r="DQ76" i="19"/>
  <c r="DR76" i="19"/>
  <c r="DS76" i="19"/>
  <c r="DT76" i="19"/>
  <c r="DU76" i="19"/>
  <c r="DV76" i="19"/>
  <c r="DW76" i="19"/>
  <c r="DX76" i="19"/>
  <c r="DY76" i="19"/>
  <c r="DZ76" i="19"/>
  <c r="EA76" i="19"/>
  <c r="EB76" i="19"/>
  <c r="DQ77" i="19"/>
  <c r="DR77" i="19"/>
  <c r="DS77" i="19"/>
  <c r="DT77" i="19"/>
  <c r="DU77" i="19"/>
  <c r="DV77" i="19"/>
  <c r="DW77" i="19"/>
  <c r="DX77" i="19"/>
  <c r="DY77" i="19"/>
  <c r="DZ77" i="19"/>
  <c r="EA77" i="19"/>
  <c r="EB77" i="19"/>
  <c r="DQ78" i="19"/>
  <c r="DR78" i="19"/>
  <c r="DS78" i="19"/>
  <c r="DT78" i="19"/>
  <c r="DU78" i="19"/>
  <c r="DV78" i="19"/>
  <c r="DW78" i="19"/>
  <c r="DX78" i="19"/>
  <c r="DY78" i="19"/>
  <c r="DZ78" i="19"/>
  <c r="EA78" i="19"/>
  <c r="EB78" i="19"/>
  <c r="DQ79" i="19"/>
  <c r="DR79" i="19"/>
  <c r="DS79" i="19"/>
  <c r="DT79" i="19"/>
  <c r="DU79" i="19"/>
  <c r="DV79" i="19"/>
  <c r="DW79" i="19"/>
  <c r="DX79" i="19"/>
  <c r="DY79" i="19"/>
  <c r="DZ79" i="19"/>
  <c r="EA79" i="19"/>
  <c r="EB79" i="19"/>
  <c r="DQ80" i="19"/>
  <c r="DR80" i="19"/>
  <c r="DS80" i="19"/>
  <c r="DT80" i="19"/>
  <c r="DU80" i="19"/>
  <c r="DV80" i="19"/>
  <c r="DW80" i="19"/>
  <c r="DX80" i="19"/>
  <c r="DY80" i="19"/>
  <c r="DZ80" i="19"/>
  <c r="EA80" i="19"/>
  <c r="EB80" i="19"/>
  <c r="DQ81" i="19"/>
  <c r="DR81" i="19"/>
  <c r="DS81" i="19"/>
  <c r="DT81" i="19"/>
  <c r="DU81" i="19"/>
  <c r="DV81" i="19"/>
  <c r="DW81" i="19"/>
  <c r="DX81" i="19"/>
  <c r="DY81" i="19"/>
  <c r="DZ81" i="19"/>
  <c r="EA81" i="19"/>
  <c r="EB81" i="19"/>
  <c r="DQ82" i="19"/>
  <c r="DR82" i="19"/>
  <c r="DS82" i="19"/>
  <c r="DT82" i="19"/>
  <c r="DU82" i="19"/>
  <c r="DV82" i="19"/>
  <c r="DW82" i="19"/>
  <c r="DX82" i="19"/>
  <c r="DY82" i="19"/>
  <c r="DZ82" i="19"/>
  <c r="EA82" i="19"/>
  <c r="EB82" i="19"/>
  <c r="DQ83" i="19"/>
  <c r="DR83" i="19"/>
  <c r="DS83" i="19"/>
  <c r="DT83" i="19"/>
  <c r="DU83" i="19"/>
  <c r="DV83" i="19"/>
  <c r="DW83" i="19"/>
  <c r="DX83" i="19"/>
  <c r="DY83" i="19"/>
  <c r="DZ83" i="19"/>
  <c r="EA83" i="19"/>
  <c r="EB83" i="19"/>
  <c r="DQ84" i="19"/>
  <c r="DR84" i="19"/>
  <c r="DS84" i="19"/>
  <c r="DT84" i="19"/>
  <c r="DU84" i="19"/>
  <c r="DV84" i="19"/>
  <c r="DW84" i="19"/>
  <c r="DX84" i="19"/>
  <c r="DY84" i="19"/>
  <c r="DZ84" i="19"/>
  <c r="EA84" i="19"/>
  <c r="EB84" i="19"/>
  <c r="DQ85" i="19"/>
  <c r="DR85" i="19"/>
  <c r="DS85" i="19"/>
  <c r="DT85" i="19"/>
  <c r="DU85" i="19"/>
  <c r="DV85" i="19"/>
  <c r="DW85" i="19"/>
  <c r="DX85" i="19"/>
  <c r="DY85" i="19"/>
  <c r="DZ85" i="19"/>
  <c r="EA85" i="19"/>
  <c r="EB85" i="19"/>
  <c r="DQ86" i="19"/>
  <c r="DR86" i="19"/>
  <c r="DS86" i="19"/>
  <c r="DT86" i="19"/>
  <c r="DU86" i="19"/>
  <c r="DV86" i="19"/>
  <c r="DW86" i="19"/>
  <c r="DX86" i="19"/>
  <c r="DY86" i="19"/>
  <c r="DZ86" i="19"/>
  <c r="EA86" i="19"/>
  <c r="EB86" i="19"/>
  <c r="DQ87" i="19"/>
  <c r="DR87" i="19"/>
  <c r="DS87" i="19"/>
  <c r="DT87" i="19"/>
  <c r="DU87" i="19"/>
  <c r="DV87" i="19"/>
  <c r="DW87" i="19"/>
  <c r="DX87" i="19"/>
  <c r="DY87" i="19"/>
  <c r="DZ87" i="19"/>
  <c r="EA87" i="19"/>
  <c r="EB87" i="19"/>
  <c r="DQ88" i="19"/>
  <c r="DR88" i="19"/>
  <c r="DS88" i="19"/>
  <c r="DT88" i="19"/>
  <c r="DU88" i="19"/>
  <c r="DV88" i="19"/>
  <c r="DW88" i="19"/>
  <c r="DX88" i="19"/>
  <c r="DY88" i="19"/>
  <c r="DZ88" i="19"/>
  <c r="EA88" i="19"/>
  <c r="EB88" i="19"/>
  <c r="DQ89" i="19"/>
  <c r="DR89" i="19"/>
  <c r="DS89" i="19"/>
  <c r="DT89" i="19"/>
  <c r="DU89" i="19"/>
  <c r="DV89" i="19"/>
  <c r="DW89" i="19"/>
  <c r="DX89" i="19"/>
  <c r="DY89" i="19"/>
  <c r="DZ89" i="19"/>
  <c r="EA89" i="19"/>
  <c r="EB89" i="19"/>
  <c r="DQ90" i="19"/>
  <c r="DR90" i="19"/>
  <c r="DS90" i="19"/>
  <c r="DT90" i="19"/>
  <c r="DU90" i="19"/>
  <c r="DV90" i="19"/>
  <c r="DW90" i="19"/>
  <c r="DX90" i="19"/>
  <c r="DY90" i="19"/>
  <c r="DZ90" i="19"/>
  <c r="EA90" i="19"/>
  <c r="EB90" i="19"/>
  <c r="DQ91" i="19"/>
  <c r="DR91" i="19"/>
  <c r="DS91" i="19"/>
  <c r="DT91" i="19"/>
  <c r="DU91" i="19"/>
  <c r="DV91" i="19"/>
  <c r="DW91" i="19"/>
  <c r="DX91" i="19"/>
  <c r="DY91" i="19"/>
  <c r="DZ91" i="19"/>
  <c r="EA91" i="19"/>
  <c r="EB91" i="19"/>
  <c r="DQ92" i="19"/>
  <c r="DR92" i="19"/>
  <c r="DS92" i="19"/>
  <c r="DT92" i="19"/>
  <c r="DU92" i="19"/>
  <c r="DV92" i="19"/>
  <c r="DW92" i="19"/>
  <c r="DX92" i="19"/>
  <c r="DY92" i="19"/>
  <c r="DZ92" i="19"/>
  <c r="EA92" i="19"/>
  <c r="EB92" i="19"/>
  <c r="DQ93" i="19"/>
  <c r="DR93" i="19"/>
  <c r="DS93" i="19"/>
  <c r="DT93" i="19"/>
  <c r="DU93" i="19"/>
  <c r="DV93" i="19"/>
  <c r="DW93" i="19"/>
  <c r="DX93" i="19"/>
  <c r="DY93" i="19"/>
  <c r="DZ93" i="19"/>
  <c r="EA93" i="19"/>
  <c r="EB93" i="19"/>
  <c r="DQ94" i="19"/>
  <c r="DR94" i="19"/>
  <c r="DS94" i="19"/>
  <c r="DT94" i="19"/>
  <c r="DU94" i="19"/>
  <c r="DV94" i="19"/>
  <c r="DW94" i="19"/>
  <c r="DX94" i="19"/>
  <c r="DY94" i="19"/>
  <c r="DZ94" i="19"/>
  <c r="EA94" i="19"/>
  <c r="EB94" i="19"/>
  <c r="DQ95" i="19"/>
  <c r="DR95" i="19"/>
  <c r="DS95" i="19"/>
  <c r="DT95" i="19"/>
  <c r="DU95" i="19"/>
  <c r="DV95" i="19"/>
  <c r="DW95" i="19"/>
  <c r="DX95" i="19"/>
  <c r="DY95" i="19"/>
  <c r="DZ95" i="19"/>
  <c r="EA95" i="19"/>
  <c r="EB95" i="19"/>
  <c r="DQ96" i="19"/>
  <c r="DR96" i="19"/>
  <c r="DS96" i="19"/>
  <c r="DT96" i="19"/>
  <c r="DU96" i="19"/>
  <c r="DV96" i="19"/>
  <c r="DW96" i="19"/>
  <c r="DX96" i="19"/>
  <c r="DY96" i="19"/>
  <c r="DZ96" i="19"/>
  <c r="EA96" i="19"/>
  <c r="EB96" i="19"/>
  <c r="DQ97" i="19"/>
  <c r="DR97" i="19"/>
  <c r="DS97" i="19"/>
  <c r="DT97" i="19"/>
  <c r="DU97" i="19"/>
  <c r="DV97" i="19"/>
  <c r="DW97" i="19"/>
  <c r="DX97" i="19"/>
  <c r="DY97" i="19"/>
  <c r="DZ97" i="19"/>
  <c r="EA97" i="19"/>
  <c r="EB97" i="19"/>
  <c r="DQ98" i="19"/>
  <c r="DR98" i="19"/>
  <c r="DS98" i="19"/>
  <c r="DT98" i="19"/>
  <c r="DU98" i="19"/>
  <c r="DV98" i="19"/>
  <c r="DW98" i="19"/>
  <c r="DX98" i="19"/>
  <c r="DY98" i="19"/>
  <c r="DZ98" i="19"/>
  <c r="EA98" i="19"/>
  <c r="EB98" i="19"/>
  <c r="DQ99" i="19"/>
  <c r="DR99" i="19"/>
  <c r="DS99" i="19"/>
  <c r="DT99" i="19"/>
  <c r="DU99" i="19"/>
  <c r="DV99" i="19"/>
  <c r="DW99" i="19"/>
  <c r="DX99" i="19"/>
  <c r="DY99" i="19"/>
  <c r="DZ99" i="19"/>
  <c r="EA99" i="19"/>
  <c r="EB99" i="19"/>
  <c r="DQ100" i="19"/>
  <c r="DR100" i="19"/>
  <c r="DS100" i="19"/>
  <c r="DT100" i="19"/>
  <c r="DU100" i="19"/>
  <c r="DV100" i="19"/>
  <c r="DW100" i="19"/>
  <c r="DX100" i="19"/>
  <c r="DY100" i="19"/>
  <c r="DZ100" i="19"/>
  <c r="EA100" i="19"/>
  <c r="EB100" i="19"/>
  <c r="DQ101" i="19"/>
  <c r="DR101" i="19"/>
  <c r="DS101" i="19"/>
  <c r="DT101" i="19"/>
  <c r="DU101" i="19"/>
  <c r="DV101" i="19"/>
  <c r="DW101" i="19"/>
  <c r="DX101" i="19"/>
  <c r="DY101" i="19"/>
  <c r="DZ101" i="19"/>
  <c r="EA101" i="19"/>
  <c r="EB101" i="19"/>
  <c r="DQ102" i="19"/>
  <c r="DR102" i="19"/>
  <c r="DS102" i="19"/>
  <c r="DT102" i="19"/>
  <c r="DU102" i="19"/>
  <c r="DV102" i="19"/>
  <c r="DW102" i="19"/>
  <c r="DX102" i="19"/>
  <c r="DY102" i="19"/>
  <c r="DZ102" i="19"/>
  <c r="EA102" i="19"/>
  <c r="EB102" i="19"/>
  <c r="DQ103" i="19"/>
  <c r="DR103" i="19"/>
  <c r="DS103" i="19"/>
  <c r="DT103" i="19"/>
  <c r="DU103" i="19"/>
  <c r="DV103" i="19"/>
  <c r="DW103" i="19"/>
  <c r="DX103" i="19"/>
  <c r="DY103" i="19"/>
  <c r="DZ103" i="19"/>
  <c r="EA103" i="19"/>
  <c r="EB103" i="19"/>
  <c r="DQ104" i="19"/>
  <c r="DR104" i="19"/>
  <c r="DS104" i="19"/>
  <c r="DT104" i="19"/>
  <c r="DU104" i="19"/>
  <c r="DV104" i="19"/>
  <c r="DW104" i="19"/>
  <c r="DX104" i="19"/>
  <c r="DY104" i="19"/>
  <c r="DZ104" i="19"/>
  <c r="EA104" i="19"/>
  <c r="EB104" i="19"/>
  <c r="DQ105" i="19"/>
  <c r="DR105" i="19"/>
  <c r="DS105" i="19"/>
  <c r="DT105" i="19"/>
  <c r="DU105" i="19"/>
  <c r="DV105" i="19"/>
  <c r="DW105" i="19"/>
  <c r="DX105" i="19"/>
  <c r="DY105" i="19"/>
  <c r="DZ105" i="19"/>
  <c r="EA105" i="19"/>
  <c r="EB105" i="19"/>
  <c r="DQ106" i="19"/>
  <c r="DR106" i="19"/>
  <c r="DS106" i="19"/>
  <c r="DT106" i="19"/>
  <c r="DU106" i="19"/>
  <c r="DV106" i="19"/>
  <c r="DW106" i="19"/>
  <c r="DX106" i="19"/>
  <c r="DY106" i="19"/>
  <c r="DZ106" i="19"/>
  <c r="EA106" i="19"/>
  <c r="EB106" i="19"/>
  <c r="DQ107" i="19"/>
  <c r="DR107" i="19"/>
  <c r="DS107" i="19"/>
  <c r="DT107" i="19"/>
  <c r="DU107" i="19"/>
  <c r="DV107" i="19"/>
  <c r="DW107" i="19"/>
  <c r="DX107" i="19"/>
  <c r="DY107" i="19"/>
  <c r="DZ107" i="19"/>
  <c r="EA107" i="19"/>
  <c r="EB107" i="19"/>
  <c r="DQ108" i="19"/>
  <c r="DR108" i="19"/>
  <c r="DS108" i="19"/>
  <c r="DT108" i="19"/>
  <c r="DU108" i="19"/>
  <c r="DV108" i="19"/>
  <c r="DW108" i="19"/>
  <c r="DX108" i="19"/>
  <c r="DY108" i="19"/>
  <c r="DZ108" i="19"/>
  <c r="EA108" i="19"/>
  <c r="EB108" i="19"/>
  <c r="DQ109" i="19"/>
  <c r="DR109" i="19"/>
  <c r="DS109" i="19"/>
  <c r="DT109" i="19"/>
  <c r="DU109" i="19"/>
  <c r="DV109" i="19"/>
  <c r="DW109" i="19"/>
  <c r="DX109" i="19"/>
  <c r="DY109" i="19"/>
  <c r="DZ109" i="19"/>
  <c r="EA109" i="19"/>
  <c r="EB109" i="19"/>
  <c r="DQ110" i="19"/>
  <c r="DR110" i="19"/>
  <c r="DS110" i="19"/>
  <c r="DT110" i="19"/>
  <c r="DU110" i="19"/>
  <c r="DV110" i="19"/>
  <c r="DW110" i="19"/>
  <c r="DX110" i="19"/>
  <c r="DY110" i="19"/>
  <c r="DZ110" i="19"/>
  <c r="EA110" i="19"/>
  <c r="EB110" i="19"/>
  <c r="DQ111" i="19"/>
  <c r="DR111" i="19"/>
  <c r="DS111" i="19"/>
  <c r="DT111" i="19"/>
  <c r="DU111" i="19"/>
  <c r="DV111" i="19"/>
  <c r="DW111" i="19"/>
  <c r="DX111" i="19"/>
  <c r="DY111" i="19"/>
  <c r="DZ111" i="19"/>
  <c r="EA111" i="19"/>
  <c r="EB111" i="19"/>
  <c r="DQ112" i="19"/>
  <c r="DR112" i="19"/>
  <c r="DS112" i="19"/>
  <c r="DT112" i="19"/>
  <c r="DU112" i="19"/>
  <c r="DV112" i="19"/>
  <c r="DW112" i="19"/>
  <c r="DX112" i="19"/>
  <c r="DY112" i="19"/>
  <c r="DZ112" i="19"/>
  <c r="EA112" i="19"/>
  <c r="EB112" i="19"/>
  <c r="DQ113" i="19"/>
  <c r="DR113" i="19"/>
  <c r="DS113" i="19"/>
  <c r="DT113" i="19"/>
  <c r="DU113" i="19"/>
  <c r="DV113" i="19"/>
  <c r="DW113" i="19"/>
  <c r="DX113" i="19"/>
  <c r="DY113" i="19"/>
  <c r="DZ113" i="19"/>
  <c r="EA113" i="19"/>
  <c r="EB113" i="19"/>
  <c r="DQ114" i="19"/>
  <c r="DR114" i="19"/>
  <c r="DS114" i="19"/>
  <c r="DT114" i="19"/>
  <c r="DU114" i="19"/>
  <c r="DV114" i="19"/>
  <c r="DW114" i="19"/>
  <c r="DX114" i="19"/>
  <c r="DY114" i="19"/>
  <c r="DZ114" i="19"/>
  <c r="EA114" i="19"/>
  <c r="EB114" i="19"/>
  <c r="DQ115" i="19"/>
  <c r="DR115" i="19"/>
  <c r="DS115" i="19"/>
  <c r="DT115" i="19"/>
  <c r="DU115" i="19"/>
  <c r="DV115" i="19"/>
  <c r="DW115" i="19"/>
  <c r="DX115" i="19"/>
  <c r="DY115" i="19"/>
  <c r="DZ115" i="19"/>
  <c r="EA115" i="19"/>
  <c r="EB115" i="19"/>
  <c r="DQ116" i="19"/>
  <c r="DR116" i="19"/>
  <c r="DS116" i="19"/>
  <c r="DT116" i="19"/>
  <c r="DU116" i="19"/>
  <c r="DV116" i="19"/>
  <c r="DW116" i="19"/>
  <c r="DX116" i="19"/>
  <c r="DY116" i="19"/>
  <c r="DZ116" i="19"/>
  <c r="EA116" i="19"/>
  <c r="EB116" i="19"/>
  <c r="DQ117" i="19"/>
  <c r="DR117" i="19"/>
  <c r="DS117" i="19"/>
  <c r="DT117" i="19"/>
  <c r="DU117" i="19"/>
  <c r="DV117" i="19"/>
  <c r="DW117" i="19"/>
  <c r="DX117" i="19"/>
  <c r="DY117" i="19"/>
  <c r="DZ117" i="19"/>
  <c r="EA117" i="19"/>
  <c r="EB117" i="19"/>
  <c r="DQ118" i="19"/>
  <c r="DR118" i="19"/>
  <c r="DS118" i="19"/>
  <c r="DT118" i="19"/>
  <c r="DU118" i="19"/>
  <c r="DV118" i="19"/>
  <c r="DW118" i="19"/>
  <c r="DX118" i="19"/>
  <c r="DY118" i="19"/>
  <c r="DZ118" i="19"/>
  <c r="EA118" i="19"/>
  <c r="EB118" i="19"/>
  <c r="DQ119" i="19"/>
  <c r="DR119" i="19"/>
  <c r="DS119" i="19"/>
  <c r="DT119" i="19"/>
  <c r="DU119" i="19"/>
  <c r="DV119" i="19"/>
  <c r="DW119" i="19"/>
  <c r="DX119" i="19"/>
  <c r="DY119" i="19"/>
  <c r="DZ119" i="19"/>
  <c r="EA119" i="19"/>
  <c r="EB119" i="19"/>
  <c r="DQ120" i="19"/>
  <c r="DR120" i="19"/>
  <c r="DS120" i="19"/>
  <c r="DT120" i="19"/>
  <c r="DU120" i="19"/>
  <c r="DV120" i="19"/>
  <c r="DW120" i="19"/>
  <c r="DX120" i="19"/>
  <c r="DY120" i="19"/>
  <c r="DZ120" i="19"/>
  <c r="EA120" i="19"/>
  <c r="EB120" i="19"/>
  <c r="DQ121" i="19"/>
  <c r="DR121" i="19"/>
  <c r="DS121" i="19"/>
  <c r="DT121" i="19"/>
  <c r="DU121" i="19"/>
  <c r="DV121" i="19"/>
  <c r="DW121" i="19"/>
  <c r="DX121" i="19"/>
  <c r="DY121" i="19"/>
  <c r="DZ121" i="19"/>
  <c r="EA121" i="19"/>
  <c r="EB121" i="19"/>
  <c r="DQ122" i="19"/>
  <c r="DR122" i="19"/>
  <c r="DS122" i="19"/>
  <c r="DT122" i="19"/>
  <c r="DU122" i="19"/>
  <c r="DV122" i="19"/>
  <c r="DW122" i="19"/>
  <c r="DX122" i="19"/>
  <c r="DY122" i="19"/>
  <c r="DZ122" i="19"/>
  <c r="EA122" i="19"/>
  <c r="EB122" i="19"/>
  <c r="DQ123" i="19"/>
  <c r="DR123" i="19"/>
  <c r="DS123" i="19"/>
  <c r="DT123" i="19"/>
  <c r="DU123" i="19"/>
  <c r="DV123" i="19"/>
  <c r="DW123" i="19"/>
  <c r="DX123" i="19"/>
  <c r="DY123" i="19"/>
  <c r="DZ123" i="19"/>
  <c r="EA123" i="19"/>
  <c r="EB123" i="19"/>
  <c r="DQ124" i="19"/>
  <c r="DR124" i="19"/>
  <c r="DS124" i="19"/>
  <c r="DT124" i="19"/>
  <c r="DU124" i="19"/>
  <c r="DV124" i="19"/>
  <c r="DW124" i="19"/>
  <c r="DX124" i="19"/>
  <c r="DY124" i="19"/>
  <c r="DZ124" i="19"/>
  <c r="EA124" i="19"/>
  <c r="EB124" i="19"/>
  <c r="DQ125" i="19"/>
  <c r="DR125" i="19"/>
  <c r="DS125" i="19"/>
  <c r="DT125" i="19"/>
  <c r="DU125" i="19"/>
  <c r="DV125" i="19"/>
  <c r="DW125" i="19"/>
  <c r="DX125" i="19"/>
  <c r="DY125" i="19"/>
  <c r="DZ125" i="19"/>
  <c r="EA125" i="19"/>
  <c r="EB125" i="19"/>
  <c r="DQ126" i="19"/>
  <c r="DR126" i="19"/>
  <c r="DS126" i="19"/>
  <c r="DT126" i="19"/>
  <c r="DU126" i="19"/>
  <c r="DV126" i="19"/>
  <c r="DW126" i="19"/>
  <c r="DX126" i="19"/>
  <c r="DY126" i="19"/>
  <c r="DZ126" i="19"/>
  <c r="EA126" i="19"/>
  <c r="EB126" i="19"/>
  <c r="DQ127" i="19"/>
  <c r="DR127" i="19"/>
  <c r="DS127" i="19"/>
  <c r="DT127" i="19"/>
  <c r="DU127" i="19"/>
  <c r="DV127" i="19"/>
  <c r="DW127" i="19"/>
  <c r="DX127" i="19"/>
  <c r="DY127" i="19"/>
  <c r="DZ127" i="19"/>
  <c r="EA127" i="19"/>
  <c r="EB127" i="19"/>
  <c r="DQ128" i="19"/>
  <c r="DR128" i="19"/>
  <c r="DS128" i="19"/>
  <c r="DT128" i="19"/>
  <c r="DU128" i="19"/>
  <c r="DV128" i="19"/>
  <c r="DW128" i="19"/>
  <c r="DX128" i="19"/>
  <c r="DY128" i="19"/>
  <c r="DZ128" i="19"/>
  <c r="EA128" i="19"/>
  <c r="EB128" i="19"/>
  <c r="DQ129" i="19"/>
  <c r="DR129" i="19"/>
  <c r="DS129" i="19"/>
  <c r="DT129" i="19"/>
  <c r="DU129" i="19"/>
  <c r="DV129" i="19"/>
  <c r="DW129" i="19"/>
  <c r="DX129" i="19"/>
  <c r="DY129" i="19"/>
  <c r="DZ129" i="19"/>
  <c r="EA129" i="19"/>
  <c r="EB129" i="19"/>
  <c r="DQ130" i="19"/>
  <c r="DR130" i="19"/>
  <c r="DS130" i="19"/>
  <c r="DT130" i="19"/>
  <c r="DU130" i="19"/>
  <c r="DV130" i="19"/>
  <c r="DW130" i="19"/>
  <c r="DX130" i="19"/>
  <c r="DY130" i="19"/>
  <c r="DZ130" i="19"/>
  <c r="EA130" i="19"/>
  <c r="EB130" i="19"/>
  <c r="DQ131" i="19"/>
  <c r="DR131" i="19"/>
  <c r="DS131" i="19"/>
  <c r="DT131" i="19"/>
  <c r="DU131" i="19"/>
  <c r="DV131" i="19"/>
  <c r="DW131" i="19"/>
  <c r="DX131" i="19"/>
  <c r="DY131" i="19"/>
  <c r="DZ131" i="19"/>
  <c r="EA131" i="19"/>
  <c r="EB131" i="19"/>
  <c r="DQ132" i="19"/>
  <c r="DR132" i="19"/>
  <c r="DS132" i="19"/>
  <c r="DT132" i="19"/>
  <c r="DU132" i="19"/>
  <c r="DV132" i="19"/>
  <c r="DW132" i="19"/>
  <c r="DX132" i="19"/>
  <c r="DY132" i="19"/>
  <c r="DZ132" i="19"/>
  <c r="EA132" i="19"/>
  <c r="EB132" i="19"/>
  <c r="DQ133" i="19"/>
  <c r="DR133" i="19"/>
  <c r="DS133" i="19"/>
  <c r="DT133" i="19"/>
  <c r="DU133" i="19"/>
  <c r="DV133" i="19"/>
  <c r="DW133" i="19"/>
  <c r="DX133" i="19"/>
  <c r="DY133" i="19"/>
  <c r="DZ133" i="19"/>
  <c r="EA133" i="19"/>
  <c r="EB133" i="19"/>
  <c r="DQ134" i="19"/>
  <c r="DR134" i="19"/>
  <c r="DS134" i="19"/>
  <c r="DT134" i="19"/>
  <c r="DU134" i="19"/>
  <c r="DV134" i="19"/>
  <c r="DW134" i="19"/>
  <c r="DX134" i="19"/>
  <c r="DY134" i="19"/>
  <c r="DZ134" i="19"/>
  <c r="EA134" i="19"/>
  <c r="EB134" i="19"/>
  <c r="DQ135" i="19"/>
  <c r="DR135" i="19"/>
  <c r="DS135" i="19"/>
  <c r="DT135" i="19"/>
  <c r="DU135" i="19"/>
  <c r="DV135" i="19"/>
  <c r="DW135" i="19"/>
  <c r="DX135" i="19"/>
  <c r="DY135" i="19"/>
  <c r="DZ135" i="19"/>
  <c r="EA135" i="19"/>
  <c r="EB135" i="19"/>
  <c r="DQ136" i="19"/>
  <c r="DR136" i="19"/>
  <c r="DS136" i="19"/>
  <c r="DT136" i="19"/>
  <c r="DU136" i="19"/>
  <c r="DV136" i="19"/>
  <c r="DW136" i="19"/>
  <c r="DX136" i="19"/>
  <c r="DY136" i="19"/>
  <c r="DZ136" i="19"/>
  <c r="EA136" i="19"/>
  <c r="EB136" i="19"/>
  <c r="DQ137" i="19"/>
  <c r="DR137" i="19"/>
  <c r="DS137" i="19"/>
  <c r="DT137" i="19"/>
  <c r="DU137" i="19"/>
  <c r="DV137" i="19"/>
  <c r="DW137" i="19"/>
  <c r="DX137" i="19"/>
  <c r="DY137" i="19"/>
  <c r="DZ137" i="19"/>
  <c r="EA137" i="19"/>
  <c r="EB137" i="19"/>
  <c r="DQ138" i="19"/>
  <c r="DR138" i="19"/>
  <c r="DS138" i="19"/>
  <c r="DT138" i="19"/>
  <c r="DU138" i="19"/>
  <c r="DV138" i="19"/>
  <c r="DW138" i="19"/>
  <c r="DX138" i="19"/>
  <c r="DY138" i="19"/>
  <c r="DZ138" i="19"/>
  <c r="EA138" i="19"/>
  <c r="EB138" i="19"/>
  <c r="DQ139" i="19"/>
  <c r="DR139" i="19"/>
  <c r="DS139" i="19"/>
  <c r="DT139" i="19"/>
  <c r="DU139" i="19"/>
  <c r="DV139" i="19"/>
  <c r="DW139" i="19"/>
  <c r="DX139" i="19"/>
  <c r="DY139" i="19"/>
  <c r="DZ139" i="19"/>
  <c r="EA139" i="19"/>
  <c r="EB139" i="19"/>
  <c r="DQ140" i="19"/>
  <c r="DR140" i="19"/>
  <c r="DS140" i="19"/>
  <c r="DT140" i="19"/>
  <c r="DU140" i="19"/>
  <c r="DV140" i="19"/>
  <c r="DW140" i="19"/>
  <c r="DX140" i="19"/>
  <c r="DY140" i="19"/>
  <c r="DZ140" i="19"/>
  <c r="EA140" i="19"/>
  <c r="EB140" i="19"/>
  <c r="DQ141" i="19"/>
  <c r="DR141" i="19"/>
  <c r="DS141" i="19"/>
  <c r="DT141" i="19"/>
  <c r="DU141" i="19"/>
  <c r="DV141" i="19"/>
  <c r="DW141" i="19"/>
  <c r="DX141" i="19"/>
  <c r="DY141" i="19"/>
  <c r="DZ141" i="19"/>
  <c r="EA141" i="19"/>
  <c r="EB141" i="19"/>
  <c r="DQ142" i="19"/>
  <c r="DR142" i="19"/>
  <c r="DS142" i="19"/>
  <c r="DT142" i="19"/>
  <c r="DU142" i="19"/>
  <c r="DV142" i="19"/>
  <c r="DW142" i="19"/>
  <c r="DX142" i="19"/>
  <c r="DY142" i="19"/>
  <c r="DZ142" i="19"/>
  <c r="EA142" i="19"/>
  <c r="EB142" i="19"/>
  <c r="DQ143" i="19"/>
  <c r="DR143" i="19"/>
  <c r="DS143" i="19"/>
  <c r="DT143" i="19"/>
  <c r="DU143" i="19"/>
  <c r="DV143" i="19"/>
  <c r="DW143" i="19"/>
  <c r="DX143" i="19"/>
  <c r="DY143" i="19"/>
  <c r="DZ143" i="19"/>
  <c r="EA143" i="19"/>
  <c r="EB143" i="19"/>
  <c r="DQ144" i="19"/>
  <c r="DR144" i="19"/>
  <c r="DS144" i="19"/>
  <c r="DT144" i="19"/>
  <c r="DU144" i="19"/>
  <c r="DV144" i="19"/>
  <c r="DW144" i="19"/>
  <c r="DX144" i="19"/>
  <c r="DY144" i="19"/>
  <c r="DZ144" i="19"/>
  <c r="EA144" i="19"/>
  <c r="EB144" i="19"/>
  <c r="DQ145" i="19"/>
  <c r="DR145" i="19"/>
  <c r="DS145" i="19"/>
  <c r="DT145" i="19"/>
  <c r="DU145" i="19"/>
  <c r="DV145" i="19"/>
  <c r="DW145" i="19"/>
  <c r="DX145" i="19"/>
  <c r="DY145" i="19"/>
  <c r="DZ145" i="19"/>
  <c r="EA145" i="19"/>
  <c r="EB145" i="19"/>
  <c r="DQ146" i="19"/>
  <c r="DR146" i="19"/>
  <c r="DS146" i="19"/>
  <c r="DT146" i="19"/>
  <c r="DU146" i="19"/>
  <c r="DV146" i="19"/>
  <c r="DW146" i="19"/>
  <c r="DX146" i="19"/>
  <c r="DY146" i="19"/>
  <c r="DZ146" i="19"/>
  <c r="EA146" i="19"/>
  <c r="EB146" i="19"/>
  <c r="DQ147" i="19"/>
  <c r="DR147" i="19"/>
  <c r="DS147" i="19"/>
  <c r="DT147" i="19"/>
  <c r="DU147" i="19"/>
  <c r="DV147" i="19"/>
  <c r="DW147" i="19"/>
  <c r="DX147" i="19"/>
  <c r="DY147" i="19"/>
  <c r="DZ147" i="19"/>
  <c r="EA147" i="19"/>
  <c r="EB147" i="19"/>
  <c r="DQ148" i="19"/>
  <c r="DR148" i="19"/>
  <c r="DS148" i="19"/>
  <c r="DT148" i="19"/>
  <c r="DU148" i="19"/>
  <c r="DV148" i="19"/>
  <c r="DW148" i="19"/>
  <c r="DX148" i="19"/>
  <c r="DY148" i="19"/>
  <c r="DZ148" i="19"/>
  <c r="EA148" i="19"/>
  <c r="EB148" i="19"/>
  <c r="DQ149" i="19"/>
  <c r="DR149" i="19"/>
  <c r="DS149" i="19"/>
  <c r="DT149" i="19"/>
  <c r="DU149" i="19"/>
  <c r="DV149" i="19"/>
  <c r="DW149" i="19"/>
  <c r="DX149" i="19"/>
  <c r="DY149" i="19"/>
  <c r="DZ149" i="19"/>
  <c r="EA149" i="19"/>
  <c r="EB149" i="19"/>
  <c r="DQ150" i="19"/>
  <c r="DR150" i="19"/>
  <c r="DS150" i="19"/>
  <c r="DT150" i="19"/>
  <c r="DU150" i="19"/>
  <c r="DV150" i="19"/>
  <c r="DW150" i="19"/>
  <c r="DX150" i="19"/>
  <c r="DY150" i="19"/>
  <c r="DZ150" i="19"/>
  <c r="EA150" i="19"/>
  <c r="EB150" i="19"/>
  <c r="DQ151" i="19"/>
  <c r="DR151" i="19"/>
  <c r="DS151" i="19"/>
  <c r="DT151" i="19"/>
  <c r="DU151" i="19"/>
  <c r="DV151" i="19"/>
  <c r="DW151" i="19"/>
  <c r="DX151" i="19"/>
  <c r="DY151" i="19"/>
  <c r="DZ151" i="19"/>
  <c r="EA151" i="19"/>
  <c r="EB151" i="19"/>
  <c r="DQ152" i="19"/>
  <c r="DR152" i="19"/>
  <c r="DS152" i="19"/>
  <c r="DT152" i="19"/>
  <c r="DU152" i="19"/>
  <c r="DV152" i="19"/>
  <c r="DW152" i="19"/>
  <c r="DX152" i="19"/>
  <c r="DY152" i="19"/>
  <c r="DZ152" i="19"/>
  <c r="EA152" i="19"/>
  <c r="EB152" i="19"/>
  <c r="DQ153" i="19"/>
  <c r="DR153" i="19"/>
  <c r="DS153" i="19"/>
  <c r="DT153" i="19"/>
  <c r="DU153" i="19"/>
  <c r="DV153" i="19"/>
  <c r="DW153" i="19"/>
  <c r="DX153" i="19"/>
  <c r="DY153" i="19"/>
  <c r="DZ153" i="19"/>
  <c r="EA153" i="19"/>
  <c r="EB153" i="19"/>
  <c r="DQ154" i="19"/>
  <c r="DR154" i="19"/>
  <c r="DS154" i="19"/>
  <c r="DT154" i="19"/>
  <c r="DU154" i="19"/>
  <c r="DV154" i="19"/>
  <c r="DW154" i="19"/>
  <c r="DX154" i="19"/>
  <c r="DY154" i="19"/>
  <c r="DZ154" i="19"/>
  <c r="EA154" i="19"/>
  <c r="EB154" i="19"/>
  <c r="DQ155" i="19"/>
  <c r="DR155" i="19"/>
  <c r="DS155" i="19"/>
  <c r="DT155" i="19"/>
  <c r="DU155" i="19"/>
  <c r="DV155" i="19"/>
  <c r="DW155" i="19"/>
  <c r="DX155" i="19"/>
  <c r="DY155" i="19"/>
  <c r="DZ155" i="19"/>
  <c r="EA155" i="19"/>
  <c r="EB155" i="19"/>
  <c r="DQ156" i="19"/>
  <c r="DR156" i="19"/>
  <c r="DS156" i="19"/>
  <c r="DT156" i="19"/>
  <c r="DU156" i="19"/>
  <c r="DV156" i="19"/>
  <c r="DW156" i="19"/>
  <c r="DX156" i="19"/>
  <c r="DY156" i="19"/>
  <c r="DZ156" i="19"/>
  <c r="EA156" i="19"/>
  <c r="EB156" i="19"/>
  <c r="DQ157" i="19"/>
  <c r="DR157" i="19"/>
  <c r="DS157" i="19"/>
  <c r="DT157" i="19"/>
  <c r="DU157" i="19"/>
  <c r="DV157" i="19"/>
  <c r="DW157" i="19"/>
  <c r="DX157" i="19"/>
  <c r="DY157" i="19"/>
  <c r="DZ157" i="19"/>
  <c r="EA157" i="19"/>
  <c r="EB157" i="19"/>
  <c r="DQ158" i="19"/>
  <c r="DR158" i="19"/>
  <c r="DS158" i="19"/>
  <c r="DT158" i="19"/>
  <c r="DU158" i="19"/>
  <c r="DV158" i="19"/>
  <c r="DW158" i="19"/>
  <c r="DX158" i="19"/>
  <c r="DY158" i="19"/>
  <c r="DZ158" i="19"/>
  <c r="EA158" i="19"/>
  <c r="EB158" i="19"/>
  <c r="DQ159" i="19"/>
  <c r="DR159" i="19"/>
  <c r="DS159" i="19"/>
  <c r="DT159" i="19"/>
  <c r="DU159" i="19"/>
  <c r="DV159" i="19"/>
  <c r="DW159" i="19"/>
  <c r="DX159" i="19"/>
  <c r="DY159" i="19"/>
  <c r="DZ159" i="19"/>
  <c r="EA159" i="19"/>
  <c r="EB159" i="19"/>
  <c r="DQ160" i="19"/>
  <c r="DR160" i="19"/>
  <c r="DS160" i="19"/>
  <c r="DT160" i="19"/>
  <c r="DU160" i="19"/>
  <c r="DV160" i="19"/>
  <c r="DW160" i="19"/>
  <c r="DX160" i="19"/>
  <c r="DY160" i="19"/>
  <c r="DZ160" i="19"/>
  <c r="EA160" i="19"/>
  <c r="EB160" i="19"/>
  <c r="DQ161" i="19"/>
  <c r="DR161" i="19"/>
  <c r="DS161" i="19"/>
  <c r="DT161" i="19"/>
  <c r="DU161" i="19"/>
  <c r="DV161" i="19"/>
  <c r="DW161" i="19"/>
  <c r="DX161" i="19"/>
  <c r="DY161" i="19"/>
  <c r="DZ161" i="19"/>
  <c r="EA161" i="19"/>
  <c r="EB161" i="19"/>
  <c r="DQ162" i="19"/>
  <c r="DR162" i="19"/>
  <c r="DS162" i="19"/>
  <c r="DT162" i="19"/>
  <c r="DU162" i="19"/>
  <c r="DV162" i="19"/>
  <c r="DW162" i="19"/>
  <c r="DX162" i="19"/>
  <c r="DY162" i="19"/>
  <c r="DZ162" i="19"/>
  <c r="EA162" i="19"/>
  <c r="EB162" i="19"/>
  <c r="DQ163" i="19"/>
  <c r="DR163" i="19"/>
  <c r="DS163" i="19"/>
  <c r="DT163" i="19"/>
  <c r="DU163" i="19"/>
  <c r="DV163" i="19"/>
  <c r="DW163" i="19"/>
  <c r="DX163" i="19"/>
  <c r="DY163" i="19"/>
  <c r="DZ163" i="19"/>
  <c r="EA163" i="19"/>
  <c r="EB163" i="19"/>
  <c r="DQ164" i="19"/>
  <c r="DR164" i="19"/>
  <c r="DS164" i="19"/>
  <c r="DT164" i="19"/>
  <c r="DU164" i="19"/>
  <c r="DV164" i="19"/>
  <c r="DW164" i="19"/>
  <c r="DX164" i="19"/>
  <c r="DY164" i="19"/>
  <c r="DZ164" i="19"/>
  <c r="EA164" i="19"/>
  <c r="EB164" i="19"/>
  <c r="DQ165" i="19"/>
  <c r="DR165" i="19"/>
  <c r="DS165" i="19"/>
  <c r="DT165" i="19"/>
  <c r="DU165" i="19"/>
  <c r="DV165" i="19"/>
  <c r="DW165" i="19"/>
  <c r="DX165" i="19"/>
  <c r="DY165" i="19"/>
  <c r="DZ165" i="19"/>
  <c r="EA165" i="19"/>
  <c r="EB165" i="19"/>
  <c r="DQ166" i="19"/>
  <c r="DR166" i="19"/>
  <c r="DS166" i="19"/>
  <c r="DT166" i="19"/>
  <c r="DU166" i="19"/>
  <c r="DV166" i="19"/>
  <c r="DW166" i="19"/>
  <c r="DX166" i="19"/>
  <c r="DY166" i="19"/>
  <c r="DZ166" i="19"/>
  <c r="EA166" i="19"/>
  <c r="EB166" i="19"/>
  <c r="DQ167" i="19"/>
  <c r="DR167" i="19"/>
  <c r="DS167" i="19"/>
  <c r="DT167" i="19"/>
  <c r="DU167" i="19"/>
  <c r="DV167" i="19"/>
  <c r="DW167" i="19"/>
  <c r="DX167" i="19"/>
  <c r="DY167" i="19"/>
  <c r="DZ167" i="19"/>
  <c r="EA167" i="19"/>
  <c r="EB167" i="19"/>
  <c r="DQ168" i="19"/>
  <c r="DR168" i="19"/>
  <c r="DS168" i="19"/>
  <c r="DT168" i="19"/>
  <c r="DU168" i="19"/>
  <c r="DV168" i="19"/>
  <c r="DW168" i="19"/>
  <c r="DX168" i="19"/>
  <c r="DY168" i="19"/>
  <c r="DZ168" i="19"/>
  <c r="EA168" i="19"/>
  <c r="EB168" i="19"/>
  <c r="DQ169" i="19"/>
  <c r="DR169" i="19"/>
  <c r="DS169" i="19"/>
  <c r="DT169" i="19"/>
  <c r="DU169" i="19"/>
  <c r="DV169" i="19"/>
  <c r="DW169" i="19"/>
  <c r="DX169" i="19"/>
  <c r="DY169" i="19"/>
  <c r="DZ169" i="19"/>
  <c r="EA169" i="19"/>
  <c r="EB169" i="19"/>
  <c r="DQ170" i="19"/>
  <c r="DR170" i="19"/>
  <c r="DS170" i="19"/>
  <c r="DT170" i="19"/>
  <c r="DU170" i="19"/>
  <c r="DV170" i="19"/>
  <c r="DW170" i="19"/>
  <c r="DX170" i="19"/>
  <c r="DY170" i="19"/>
  <c r="DZ170" i="19"/>
  <c r="EA170" i="19"/>
  <c r="EB170" i="19"/>
  <c r="DQ171" i="19"/>
  <c r="DR171" i="19"/>
  <c r="DS171" i="19"/>
  <c r="DT171" i="19"/>
  <c r="DU171" i="19"/>
  <c r="DV171" i="19"/>
  <c r="DW171" i="19"/>
  <c r="DX171" i="19"/>
  <c r="DY171" i="19"/>
  <c r="DZ171" i="19"/>
  <c r="EA171" i="19"/>
  <c r="EB171" i="19"/>
  <c r="DQ172" i="19"/>
  <c r="DR172" i="19"/>
  <c r="DS172" i="19"/>
  <c r="DT172" i="19"/>
  <c r="DU172" i="19"/>
  <c r="DV172" i="19"/>
  <c r="DW172" i="19"/>
  <c r="DX172" i="19"/>
  <c r="DY172" i="19"/>
  <c r="DZ172" i="19"/>
  <c r="EA172" i="19"/>
  <c r="EB172" i="19"/>
  <c r="DQ173" i="19"/>
  <c r="DR173" i="19"/>
  <c r="DS173" i="19"/>
  <c r="DT173" i="19"/>
  <c r="DU173" i="19"/>
  <c r="DV173" i="19"/>
  <c r="DW173" i="19"/>
  <c r="DX173" i="19"/>
  <c r="DY173" i="19"/>
  <c r="DZ173" i="19"/>
  <c r="EA173" i="19"/>
  <c r="EB173" i="19"/>
  <c r="DQ174" i="19"/>
  <c r="DR174" i="19"/>
  <c r="DS174" i="19"/>
  <c r="DT174" i="19"/>
  <c r="DU174" i="19"/>
  <c r="DV174" i="19"/>
  <c r="DW174" i="19"/>
  <c r="DX174" i="19"/>
  <c r="DY174" i="19"/>
  <c r="DZ174" i="19"/>
  <c r="EA174" i="19"/>
  <c r="EB174" i="19"/>
  <c r="DQ175" i="19"/>
  <c r="DR175" i="19"/>
  <c r="DS175" i="19"/>
  <c r="DT175" i="19"/>
  <c r="DU175" i="19"/>
  <c r="DV175" i="19"/>
  <c r="DW175" i="19"/>
  <c r="DX175" i="19"/>
  <c r="DY175" i="19"/>
  <c r="DZ175" i="19"/>
  <c r="EA175" i="19"/>
  <c r="EB175" i="19"/>
  <c r="DQ176" i="19"/>
  <c r="DR176" i="19"/>
  <c r="DS176" i="19"/>
  <c r="DT176" i="19"/>
  <c r="DU176" i="19"/>
  <c r="DV176" i="19"/>
  <c r="DW176" i="19"/>
  <c r="DX176" i="19"/>
  <c r="DY176" i="19"/>
  <c r="DZ176" i="19"/>
  <c r="EA176" i="19"/>
  <c r="EB176" i="19"/>
  <c r="DQ177" i="19"/>
  <c r="DR177" i="19"/>
  <c r="DS177" i="19"/>
  <c r="DT177" i="19"/>
  <c r="DU177" i="19"/>
  <c r="DV177" i="19"/>
  <c r="DW177" i="19"/>
  <c r="DX177" i="19"/>
  <c r="DY177" i="19"/>
  <c r="DZ177" i="19"/>
  <c r="EA177" i="19"/>
  <c r="EB177" i="19"/>
  <c r="DQ178" i="19"/>
  <c r="DR178" i="19"/>
  <c r="DS178" i="19"/>
  <c r="DT178" i="19"/>
  <c r="DU178" i="19"/>
  <c r="DV178" i="19"/>
  <c r="DW178" i="19"/>
  <c r="DX178" i="19"/>
  <c r="DY178" i="19"/>
  <c r="DZ178" i="19"/>
  <c r="EA178" i="19"/>
  <c r="EB178" i="19"/>
  <c r="DQ179" i="19"/>
  <c r="DR179" i="19"/>
  <c r="DS179" i="19"/>
  <c r="DT179" i="19"/>
  <c r="DU179" i="19"/>
  <c r="DV179" i="19"/>
  <c r="DW179" i="19"/>
  <c r="DX179" i="19"/>
  <c r="DY179" i="19"/>
  <c r="DZ179" i="19"/>
  <c r="EA179" i="19"/>
  <c r="EB179" i="19"/>
  <c r="DQ180" i="19"/>
  <c r="DR180" i="19"/>
  <c r="DS180" i="19"/>
  <c r="DT180" i="19"/>
  <c r="DU180" i="19"/>
  <c r="DV180" i="19"/>
  <c r="DW180" i="19"/>
  <c r="DX180" i="19"/>
  <c r="DY180" i="19"/>
  <c r="DZ180" i="19"/>
  <c r="EA180" i="19"/>
  <c r="EB180" i="19"/>
  <c r="DQ181" i="19"/>
  <c r="DR181" i="19"/>
  <c r="DS181" i="19"/>
  <c r="DT181" i="19"/>
  <c r="DU181" i="19"/>
  <c r="DV181" i="19"/>
  <c r="DW181" i="19"/>
  <c r="DX181" i="19"/>
  <c r="DY181" i="19"/>
  <c r="DZ181" i="19"/>
  <c r="EA181" i="19"/>
  <c r="EB181" i="19"/>
  <c r="DQ182" i="19"/>
  <c r="DR182" i="19"/>
  <c r="DS182" i="19"/>
  <c r="DT182" i="19"/>
  <c r="DU182" i="19"/>
  <c r="DV182" i="19"/>
  <c r="DW182" i="19"/>
  <c r="DX182" i="19"/>
  <c r="DY182" i="19"/>
  <c r="DZ182" i="19"/>
  <c r="EA182" i="19"/>
  <c r="EB182" i="19"/>
  <c r="DQ183" i="19"/>
  <c r="DR183" i="19"/>
  <c r="DS183" i="19"/>
  <c r="DT183" i="19"/>
  <c r="DU183" i="19"/>
  <c r="DV183" i="19"/>
  <c r="DW183" i="19"/>
  <c r="DX183" i="19"/>
  <c r="DY183" i="19"/>
  <c r="DZ183" i="19"/>
  <c r="EA183" i="19"/>
  <c r="EB183" i="19"/>
  <c r="DQ184" i="19"/>
  <c r="DR184" i="19"/>
  <c r="DS184" i="19"/>
  <c r="DT184" i="19"/>
  <c r="DU184" i="19"/>
  <c r="DV184" i="19"/>
  <c r="DW184" i="19"/>
  <c r="DX184" i="19"/>
  <c r="DY184" i="19"/>
  <c r="DZ184" i="19"/>
  <c r="EA184" i="19"/>
  <c r="EB184" i="19"/>
  <c r="DQ185" i="19"/>
  <c r="DR185" i="19"/>
  <c r="DS185" i="19"/>
  <c r="DT185" i="19"/>
  <c r="DU185" i="19"/>
  <c r="DV185" i="19"/>
  <c r="DW185" i="19"/>
  <c r="DX185" i="19"/>
  <c r="DY185" i="19"/>
  <c r="DZ185" i="19"/>
  <c r="EA185" i="19"/>
  <c r="EB185" i="19"/>
  <c r="DQ186" i="19"/>
  <c r="DR186" i="19"/>
  <c r="DS186" i="19"/>
  <c r="DT186" i="19"/>
  <c r="DU186" i="19"/>
  <c r="DV186" i="19"/>
  <c r="DW186" i="19"/>
  <c r="DX186" i="19"/>
  <c r="DY186" i="19"/>
  <c r="DZ186" i="19"/>
  <c r="EA186" i="19"/>
  <c r="EB186" i="19"/>
  <c r="DQ187" i="19"/>
  <c r="DR187" i="19"/>
  <c r="DS187" i="19"/>
  <c r="DT187" i="19"/>
  <c r="DU187" i="19"/>
  <c r="DV187" i="19"/>
  <c r="DW187" i="19"/>
  <c r="DX187" i="19"/>
  <c r="DY187" i="19"/>
  <c r="DZ187" i="19"/>
  <c r="EA187" i="19"/>
  <c r="EB187" i="19"/>
  <c r="DQ188" i="19"/>
  <c r="DR188" i="19"/>
  <c r="DS188" i="19"/>
  <c r="DT188" i="19"/>
  <c r="DU188" i="19"/>
  <c r="DV188" i="19"/>
  <c r="DW188" i="19"/>
  <c r="DX188" i="19"/>
  <c r="DY188" i="19"/>
  <c r="DZ188" i="19"/>
  <c r="EA188" i="19"/>
  <c r="EB188" i="19"/>
  <c r="DQ189" i="19"/>
  <c r="DR189" i="19"/>
  <c r="DS189" i="19"/>
  <c r="DT189" i="19"/>
  <c r="DU189" i="19"/>
  <c r="DV189" i="19"/>
  <c r="DW189" i="19"/>
  <c r="DX189" i="19"/>
  <c r="DY189" i="19"/>
  <c r="DZ189" i="19"/>
  <c r="EA189" i="19"/>
  <c r="EB189" i="19"/>
  <c r="DQ190" i="19"/>
  <c r="DR190" i="19"/>
  <c r="DS190" i="19"/>
  <c r="DT190" i="19"/>
  <c r="DU190" i="19"/>
  <c r="DV190" i="19"/>
  <c r="DW190" i="19"/>
  <c r="DX190" i="19"/>
  <c r="DY190" i="19"/>
  <c r="DZ190" i="19"/>
  <c r="EA190" i="19"/>
  <c r="EB190" i="19"/>
  <c r="DQ191" i="19"/>
  <c r="DR191" i="19"/>
  <c r="DS191" i="19"/>
  <c r="DT191" i="19"/>
  <c r="DU191" i="19"/>
  <c r="DV191" i="19"/>
  <c r="DW191" i="19"/>
  <c r="DX191" i="19"/>
  <c r="DY191" i="19"/>
  <c r="DZ191" i="19"/>
  <c r="EA191" i="19"/>
  <c r="EB191" i="19"/>
  <c r="DQ192" i="19"/>
  <c r="DR192" i="19"/>
  <c r="DS192" i="19"/>
  <c r="DT192" i="19"/>
  <c r="DU192" i="19"/>
  <c r="DV192" i="19"/>
  <c r="DW192" i="19"/>
  <c r="DX192" i="19"/>
  <c r="DY192" i="19"/>
  <c r="DZ192" i="19"/>
  <c r="EA192" i="19"/>
  <c r="EB192" i="19"/>
  <c r="DQ193" i="19"/>
  <c r="DR193" i="19"/>
  <c r="DS193" i="19"/>
  <c r="DT193" i="19"/>
  <c r="DU193" i="19"/>
  <c r="DV193" i="19"/>
  <c r="DW193" i="19"/>
  <c r="DX193" i="19"/>
  <c r="DY193" i="19"/>
  <c r="DZ193" i="19"/>
  <c r="EA193" i="19"/>
  <c r="EB193" i="19"/>
  <c r="DQ194" i="19"/>
  <c r="DR194" i="19"/>
  <c r="DS194" i="19"/>
  <c r="DT194" i="19"/>
  <c r="DU194" i="19"/>
  <c r="DV194" i="19"/>
  <c r="DW194" i="19"/>
  <c r="DX194" i="19"/>
  <c r="DY194" i="19"/>
  <c r="DZ194" i="19"/>
  <c r="EA194" i="19"/>
  <c r="EB194" i="19"/>
  <c r="DQ195" i="19"/>
  <c r="DR195" i="19"/>
  <c r="DS195" i="19"/>
  <c r="DT195" i="19"/>
  <c r="DU195" i="19"/>
  <c r="DV195" i="19"/>
  <c r="DW195" i="19"/>
  <c r="DX195" i="19"/>
  <c r="DY195" i="19"/>
  <c r="DZ195" i="19"/>
  <c r="EA195" i="19"/>
  <c r="EB195" i="19"/>
  <c r="DQ196" i="19"/>
  <c r="DR196" i="19"/>
  <c r="DS196" i="19"/>
  <c r="DT196" i="19"/>
  <c r="DU196" i="19"/>
  <c r="DV196" i="19"/>
  <c r="DW196" i="19"/>
  <c r="DX196" i="19"/>
  <c r="DY196" i="19"/>
  <c r="DZ196" i="19"/>
  <c r="EA196" i="19"/>
  <c r="EB196" i="19"/>
  <c r="DQ197" i="19"/>
  <c r="DR197" i="19"/>
  <c r="DS197" i="19"/>
  <c r="DT197" i="19"/>
  <c r="DU197" i="19"/>
  <c r="DV197" i="19"/>
  <c r="DW197" i="19"/>
  <c r="DX197" i="19"/>
  <c r="DY197" i="19"/>
  <c r="DZ197" i="19"/>
  <c r="EA197" i="19"/>
  <c r="EB197" i="19"/>
  <c r="DQ198" i="19"/>
  <c r="DR198" i="19"/>
  <c r="DS198" i="19"/>
  <c r="DT198" i="19"/>
  <c r="DU198" i="19"/>
  <c r="DV198" i="19"/>
  <c r="DW198" i="19"/>
  <c r="DX198" i="19"/>
  <c r="DY198" i="19"/>
  <c r="DZ198" i="19"/>
  <c r="EA198" i="19"/>
  <c r="EB198" i="19"/>
  <c r="DQ199" i="19"/>
  <c r="DR199" i="19"/>
  <c r="DS199" i="19"/>
  <c r="DT199" i="19"/>
  <c r="DU199" i="19"/>
  <c r="DV199" i="19"/>
  <c r="DW199" i="19"/>
  <c r="DX199" i="19"/>
  <c r="DY199" i="19"/>
  <c r="DZ199" i="19"/>
  <c r="EA199" i="19"/>
  <c r="EB199" i="19"/>
  <c r="DQ200" i="19"/>
  <c r="DR200" i="19"/>
  <c r="DS200" i="19"/>
  <c r="DT200" i="19"/>
  <c r="DU200" i="19"/>
  <c r="DV200" i="19"/>
  <c r="DW200" i="19"/>
  <c r="DX200" i="19"/>
  <c r="DY200" i="19"/>
  <c r="DZ200" i="19"/>
  <c r="EA200" i="19"/>
  <c r="EB200" i="19"/>
  <c r="DQ201" i="19"/>
  <c r="DR201" i="19"/>
  <c r="DS201" i="19"/>
  <c r="DT201" i="19"/>
  <c r="DU201" i="19"/>
  <c r="DV201" i="19"/>
  <c r="DW201" i="19"/>
  <c r="DX201" i="19"/>
  <c r="DY201" i="19"/>
  <c r="DZ201" i="19"/>
  <c r="EA201" i="19"/>
  <c r="EB201" i="19"/>
  <c r="DQ202" i="19"/>
  <c r="DR202" i="19"/>
  <c r="DS202" i="19"/>
  <c r="DT202" i="19"/>
  <c r="DU202" i="19"/>
  <c r="DV202" i="19"/>
  <c r="DW202" i="19"/>
  <c r="DX202" i="19"/>
  <c r="DY202" i="19"/>
  <c r="DZ202" i="19"/>
  <c r="EA202" i="19"/>
  <c r="EB202" i="19"/>
  <c r="DQ203" i="19"/>
  <c r="DR203" i="19"/>
  <c r="DS203" i="19"/>
  <c r="DT203" i="19"/>
  <c r="DU203" i="19"/>
  <c r="DV203" i="19"/>
  <c r="DW203" i="19"/>
  <c r="DX203" i="19"/>
  <c r="DY203" i="19"/>
  <c r="DZ203" i="19"/>
  <c r="EA203" i="19"/>
  <c r="EB203" i="19"/>
  <c r="DQ204" i="19"/>
  <c r="DR204" i="19"/>
  <c r="DS204" i="19"/>
  <c r="DT204" i="19"/>
  <c r="DU204" i="19"/>
  <c r="DV204" i="19"/>
  <c r="DW204" i="19"/>
  <c r="DX204" i="19"/>
  <c r="DY204" i="19"/>
  <c r="DZ204" i="19"/>
  <c r="EA204" i="19"/>
  <c r="EB204" i="19"/>
  <c r="DQ205" i="19"/>
  <c r="DR205" i="19"/>
  <c r="DS205" i="19"/>
  <c r="DT205" i="19"/>
  <c r="DU205" i="19"/>
  <c r="DV205" i="19"/>
  <c r="DW205" i="19"/>
  <c r="DX205" i="19"/>
  <c r="DY205" i="19"/>
  <c r="DZ205" i="19"/>
  <c r="EA205" i="19"/>
  <c r="EB205" i="19"/>
  <c r="DQ6" i="19"/>
  <c r="DR6" i="19"/>
  <c r="DS6" i="19"/>
  <c r="DT6" i="19"/>
  <c r="DU6" i="19"/>
  <c r="DV6" i="19"/>
  <c r="DW6" i="19"/>
  <c r="DX6" i="19"/>
  <c r="DY6" i="19"/>
  <c r="DZ6" i="19"/>
  <c r="EA6" i="19"/>
  <c r="EB6" i="19"/>
  <c r="AE7" i="19"/>
  <c r="AF7" i="19"/>
  <c r="AG7" i="19"/>
  <c r="AH7" i="19"/>
  <c r="AI7" i="19"/>
  <c r="AJ7" i="19"/>
  <c r="AK7" i="19"/>
  <c r="AL7" i="19"/>
  <c r="AM7" i="19"/>
  <c r="AN7" i="19"/>
  <c r="AO7" i="19"/>
  <c r="AP7" i="19"/>
  <c r="AT7" i="19"/>
  <c r="AU7" i="19"/>
  <c r="AV7" i="19"/>
  <c r="AW7" i="19"/>
  <c r="AX7" i="19"/>
  <c r="AY7" i="19"/>
  <c r="AZ7" i="19"/>
  <c r="BA7" i="19"/>
  <c r="BB7" i="19"/>
  <c r="BC7" i="19"/>
  <c r="BD7" i="19"/>
  <c r="BE7" i="19"/>
  <c r="AE8" i="19"/>
  <c r="AF8" i="19"/>
  <c r="AG8" i="19"/>
  <c r="AH8" i="19"/>
  <c r="AI8" i="19"/>
  <c r="AJ8" i="19"/>
  <c r="AK8" i="19"/>
  <c r="AL8" i="19"/>
  <c r="AM8" i="19"/>
  <c r="AN8" i="19"/>
  <c r="AO8" i="19"/>
  <c r="AP8" i="19"/>
  <c r="AT8" i="19"/>
  <c r="AU8" i="19"/>
  <c r="AV8" i="19"/>
  <c r="AW8" i="19"/>
  <c r="AX8" i="19"/>
  <c r="AY8" i="19"/>
  <c r="AZ8" i="19"/>
  <c r="BA8" i="19"/>
  <c r="BB8" i="19"/>
  <c r="BC8" i="19"/>
  <c r="BD8" i="19"/>
  <c r="BE8" i="19"/>
  <c r="AE9" i="19"/>
  <c r="AF9" i="19"/>
  <c r="AG9" i="19"/>
  <c r="AH9" i="19"/>
  <c r="AI9" i="19"/>
  <c r="AJ9" i="19"/>
  <c r="AK9" i="19"/>
  <c r="AL9" i="19"/>
  <c r="AM9" i="19"/>
  <c r="AN9" i="19"/>
  <c r="AO9" i="19"/>
  <c r="AP9" i="19"/>
  <c r="AT9" i="19"/>
  <c r="AU9" i="19"/>
  <c r="AV9" i="19"/>
  <c r="AW9" i="19"/>
  <c r="AX9" i="19"/>
  <c r="AY9" i="19"/>
  <c r="AZ9" i="19"/>
  <c r="BA9" i="19"/>
  <c r="BB9" i="19"/>
  <c r="BC9" i="19"/>
  <c r="BD9" i="19"/>
  <c r="BE9" i="19"/>
  <c r="AE10" i="19"/>
  <c r="AF10" i="19"/>
  <c r="AG10" i="19"/>
  <c r="AH10" i="19"/>
  <c r="AI10" i="19"/>
  <c r="AJ10" i="19"/>
  <c r="AK10" i="19"/>
  <c r="AL10" i="19"/>
  <c r="AM10" i="19"/>
  <c r="AN10" i="19"/>
  <c r="AO10" i="19"/>
  <c r="AP10" i="19"/>
  <c r="AT10" i="19"/>
  <c r="AU10" i="19"/>
  <c r="AV10" i="19"/>
  <c r="AW10" i="19"/>
  <c r="AX10" i="19"/>
  <c r="AY10" i="19"/>
  <c r="AZ10" i="19"/>
  <c r="BA10" i="19"/>
  <c r="BB10" i="19"/>
  <c r="BC10" i="19"/>
  <c r="BD10" i="19"/>
  <c r="BE10" i="19"/>
  <c r="AE11" i="19"/>
  <c r="AF11" i="19"/>
  <c r="AG11" i="19"/>
  <c r="AH11" i="19"/>
  <c r="AI11" i="19"/>
  <c r="AJ11" i="19"/>
  <c r="AK11" i="19"/>
  <c r="AL11" i="19"/>
  <c r="AM11" i="19"/>
  <c r="AN11" i="19"/>
  <c r="AO11" i="19"/>
  <c r="AP11" i="19"/>
  <c r="AT11" i="19"/>
  <c r="AU11" i="19"/>
  <c r="AV11" i="19"/>
  <c r="AW11" i="19"/>
  <c r="AX11" i="19"/>
  <c r="AY11" i="19"/>
  <c r="AZ11" i="19"/>
  <c r="BA11" i="19"/>
  <c r="BB11" i="19"/>
  <c r="BC11" i="19"/>
  <c r="BD11" i="19"/>
  <c r="BE11" i="19"/>
  <c r="AE12" i="19"/>
  <c r="AF12" i="19"/>
  <c r="AG12" i="19"/>
  <c r="AH12" i="19"/>
  <c r="AI12" i="19"/>
  <c r="AJ12" i="19"/>
  <c r="AK12" i="19"/>
  <c r="AL12" i="19"/>
  <c r="AM12" i="19"/>
  <c r="AN12" i="19"/>
  <c r="AO12" i="19"/>
  <c r="AP12" i="19"/>
  <c r="AT12" i="19"/>
  <c r="AU12" i="19"/>
  <c r="AV12" i="19"/>
  <c r="AW12" i="19"/>
  <c r="AX12" i="19"/>
  <c r="AY12" i="19"/>
  <c r="AZ12" i="19"/>
  <c r="BA12" i="19"/>
  <c r="BB12" i="19"/>
  <c r="BC12" i="19"/>
  <c r="BD12" i="19"/>
  <c r="BE12" i="19"/>
  <c r="AE13" i="19"/>
  <c r="AF13" i="19"/>
  <c r="AG13" i="19"/>
  <c r="AH13" i="19"/>
  <c r="AI13" i="19"/>
  <c r="AJ13" i="19"/>
  <c r="AK13" i="19"/>
  <c r="AL13" i="19"/>
  <c r="AM13" i="19"/>
  <c r="AN13" i="19"/>
  <c r="AO13" i="19"/>
  <c r="AP13" i="19"/>
  <c r="AT13" i="19"/>
  <c r="AU13" i="19"/>
  <c r="AV13" i="19"/>
  <c r="AW13" i="19"/>
  <c r="AX13" i="19"/>
  <c r="AY13" i="19"/>
  <c r="AZ13" i="19"/>
  <c r="BA13" i="19"/>
  <c r="BB13" i="19"/>
  <c r="BC13" i="19"/>
  <c r="BD13" i="19"/>
  <c r="BE13" i="19"/>
  <c r="AE14" i="19"/>
  <c r="AF14" i="19"/>
  <c r="AG14" i="19"/>
  <c r="AH14" i="19"/>
  <c r="AI14" i="19"/>
  <c r="AJ14" i="19"/>
  <c r="AK14" i="19"/>
  <c r="AL14" i="19"/>
  <c r="AM14" i="19"/>
  <c r="AN14" i="19"/>
  <c r="AO14" i="19"/>
  <c r="AP14" i="19"/>
  <c r="AT14" i="19"/>
  <c r="AU14" i="19"/>
  <c r="AV14" i="19"/>
  <c r="AW14" i="19"/>
  <c r="AX14" i="19"/>
  <c r="AY14" i="19"/>
  <c r="AZ14" i="19"/>
  <c r="BA14" i="19"/>
  <c r="BB14" i="19"/>
  <c r="BC14" i="19"/>
  <c r="BD14" i="19"/>
  <c r="BE14" i="19"/>
  <c r="AE15" i="19"/>
  <c r="AF15" i="19"/>
  <c r="AG15" i="19"/>
  <c r="AH15" i="19"/>
  <c r="AI15" i="19"/>
  <c r="AJ15" i="19"/>
  <c r="AK15" i="19"/>
  <c r="AL15" i="19"/>
  <c r="AM15" i="19"/>
  <c r="AN15" i="19"/>
  <c r="AO15" i="19"/>
  <c r="AP15" i="19"/>
  <c r="AT15" i="19"/>
  <c r="AU15" i="19"/>
  <c r="AV15" i="19"/>
  <c r="AW15" i="19"/>
  <c r="AX15" i="19"/>
  <c r="AY15" i="19"/>
  <c r="AZ15" i="19"/>
  <c r="BA15" i="19"/>
  <c r="BB15" i="19"/>
  <c r="BC15" i="19"/>
  <c r="BD15" i="19"/>
  <c r="BE15" i="19"/>
  <c r="AE16" i="19"/>
  <c r="AF16" i="19"/>
  <c r="AG16" i="19"/>
  <c r="AH16" i="19"/>
  <c r="AI16" i="19"/>
  <c r="AJ16" i="19"/>
  <c r="AK16" i="19"/>
  <c r="AL16" i="19"/>
  <c r="AM16" i="19"/>
  <c r="AN16" i="19"/>
  <c r="AO16" i="19"/>
  <c r="AP16" i="19"/>
  <c r="AT16" i="19"/>
  <c r="AU16" i="19"/>
  <c r="AV16" i="19"/>
  <c r="AW16" i="19"/>
  <c r="AX16" i="19"/>
  <c r="AY16" i="19"/>
  <c r="AZ16" i="19"/>
  <c r="BA16" i="19"/>
  <c r="BB16" i="19"/>
  <c r="BC16" i="19"/>
  <c r="BD16" i="19"/>
  <c r="BE16" i="19"/>
  <c r="AE17" i="19"/>
  <c r="AF17" i="19"/>
  <c r="AG17" i="19"/>
  <c r="AH17" i="19"/>
  <c r="AI17" i="19"/>
  <c r="AJ17" i="19"/>
  <c r="AK17" i="19"/>
  <c r="AL17" i="19"/>
  <c r="AM17" i="19"/>
  <c r="AN17" i="19"/>
  <c r="AO17" i="19"/>
  <c r="AP17" i="19"/>
  <c r="AT17" i="19"/>
  <c r="AU17" i="19"/>
  <c r="AV17" i="19"/>
  <c r="AW17" i="19"/>
  <c r="AX17" i="19"/>
  <c r="AY17" i="19"/>
  <c r="AZ17" i="19"/>
  <c r="BA17" i="19"/>
  <c r="BB17" i="19"/>
  <c r="BC17" i="19"/>
  <c r="BD17" i="19"/>
  <c r="BE17" i="19"/>
  <c r="AE18" i="19"/>
  <c r="AF18" i="19"/>
  <c r="AG18" i="19"/>
  <c r="AH18" i="19"/>
  <c r="AI18" i="19"/>
  <c r="AJ18" i="19"/>
  <c r="AK18" i="19"/>
  <c r="AL18" i="19"/>
  <c r="AM18" i="19"/>
  <c r="AN18" i="19"/>
  <c r="AO18" i="19"/>
  <c r="AP18" i="19"/>
  <c r="AT18" i="19"/>
  <c r="AU18" i="19"/>
  <c r="AV18" i="19"/>
  <c r="AW18" i="19"/>
  <c r="AX18" i="19"/>
  <c r="AY18" i="19"/>
  <c r="AZ18" i="19"/>
  <c r="BA18" i="19"/>
  <c r="BB18" i="19"/>
  <c r="BC18" i="19"/>
  <c r="BD18" i="19"/>
  <c r="BE18" i="19"/>
  <c r="AE19" i="19"/>
  <c r="AF19" i="19"/>
  <c r="AG19" i="19"/>
  <c r="AH19" i="19"/>
  <c r="AI19" i="19"/>
  <c r="AJ19" i="19"/>
  <c r="AK19" i="19"/>
  <c r="AL19" i="19"/>
  <c r="AM19" i="19"/>
  <c r="AN19" i="19"/>
  <c r="AO19" i="19"/>
  <c r="AP19" i="19"/>
  <c r="AT19" i="19"/>
  <c r="AU19" i="19"/>
  <c r="AV19" i="19"/>
  <c r="AW19" i="19"/>
  <c r="AX19" i="19"/>
  <c r="AY19" i="19"/>
  <c r="AZ19" i="19"/>
  <c r="BA19" i="19"/>
  <c r="BB19" i="19"/>
  <c r="BC19" i="19"/>
  <c r="BD19" i="19"/>
  <c r="BE19" i="19"/>
  <c r="AE20" i="19"/>
  <c r="AF20" i="19"/>
  <c r="AG20" i="19"/>
  <c r="AH20" i="19"/>
  <c r="AI20" i="19"/>
  <c r="AJ20" i="19"/>
  <c r="AK20" i="19"/>
  <c r="AL20" i="19"/>
  <c r="AM20" i="19"/>
  <c r="AN20" i="19"/>
  <c r="AO20" i="19"/>
  <c r="AP20" i="19"/>
  <c r="AT20" i="19"/>
  <c r="AU20" i="19"/>
  <c r="AV20" i="19"/>
  <c r="AW20" i="19"/>
  <c r="AX20" i="19"/>
  <c r="AY20" i="19"/>
  <c r="AZ20" i="19"/>
  <c r="BA20" i="19"/>
  <c r="BB20" i="19"/>
  <c r="BC20" i="19"/>
  <c r="BD20" i="19"/>
  <c r="BE20" i="19"/>
  <c r="AE21" i="19"/>
  <c r="AF21" i="19"/>
  <c r="AG21" i="19"/>
  <c r="AH21" i="19"/>
  <c r="AI21" i="19"/>
  <c r="AJ21" i="19"/>
  <c r="AK21" i="19"/>
  <c r="AL21" i="19"/>
  <c r="AM21" i="19"/>
  <c r="AN21" i="19"/>
  <c r="AO21" i="19"/>
  <c r="AP21" i="19"/>
  <c r="AT21" i="19"/>
  <c r="AU21" i="19"/>
  <c r="AV21" i="19"/>
  <c r="AW21" i="19"/>
  <c r="AX21" i="19"/>
  <c r="AY21" i="19"/>
  <c r="AZ21" i="19"/>
  <c r="BA21" i="19"/>
  <c r="BB21" i="19"/>
  <c r="BC21" i="19"/>
  <c r="BD21" i="19"/>
  <c r="BE21" i="19"/>
  <c r="AE22" i="19"/>
  <c r="AF22" i="19"/>
  <c r="AG22" i="19"/>
  <c r="AH22" i="19"/>
  <c r="AI22" i="19"/>
  <c r="AJ22" i="19"/>
  <c r="AK22" i="19"/>
  <c r="AL22" i="19"/>
  <c r="AM22" i="19"/>
  <c r="AN22" i="19"/>
  <c r="AO22" i="19"/>
  <c r="AP22" i="19"/>
  <c r="AT22" i="19"/>
  <c r="AU22" i="19"/>
  <c r="AV22" i="19"/>
  <c r="AW22" i="19"/>
  <c r="AX22" i="19"/>
  <c r="AY22" i="19"/>
  <c r="AZ22" i="19"/>
  <c r="BA22" i="19"/>
  <c r="BB22" i="19"/>
  <c r="BC22" i="19"/>
  <c r="BD22" i="19"/>
  <c r="BE22" i="19"/>
  <c r="AE23" i="19"/>
  <c r="AF23" i="19"/>
  <c r="AG23" i="19"/>
  <c r="AH23" i="19"/>
  <c r="AI23" i="19"/>
  <c r="AJ23" i="19"/>
  <c r="AK23" i="19"/>
  <c r="AL23" i="19"/>
  <c r="AM23" i="19"/>
  <c r="AN23" i="19"/>
  <c r="AO23" i="19"/>
  <c r="AP23" i="19"/>
  <c r="AT23" i="19"/>
  <c r="AU23" i="19"/>
  <c r="AV23" i="19"/>
  <c r="AW23" i="19"/>
  <c r="AX23" i="19"/>
  <c r="AY23" i="19"/>
  <c r="AZ23" i="19"/>
  <c r="BA23" i="19"/>
  <c r="BB23" i="19"/>
  <c r="BC23" i="19"/>
  <c r="BD23" i="19"/>
  <c r="BE23" i="19"/>
  <c r="AE24" i="19"/>
  <c r="AF24" i="19"/>
  <c r="AG24" i="19"/>
  <c r="AH24" i="19"/>
  <c r="AI24" i="19"/>
  <c r="AJ24" i="19"/>
  <c r="AK24" i="19"/>
  <c r="AL24" i="19"/>
  <c r="AM24" i="19"/>
  <c r="AN24" i="19"/>
  <c r="AO24" i="19"/>
  <c r="AP24" i="19"/>
  <c r="AT24" i="19"/>
  <c r="AU24" i="19"/>
  <c r="AV24" i="19"/>
  <c r="AW24" i="19"/>
  <c r="AX24" i="19"/>
  <c r="AY24" i="19"/>
  <c r="AZ24" i="19"/>
  <c r="BA24" i="19"/>
  <c r="BB24" i="19"/>
  <c r="BC24" i="19"/>
  <c r="BD24" i="19"/>
  <c r="BE24" i="19"/>
  <c r="AE25" i="19"/>
  <c r="AF25" i="19"/>
  <c r="AG25" i="19"/>
  <c r="AH25" i="19"/>
  <c r="AI25" i="19"/>
  <c r="AJ25" i="19"/>
  <c r="AK25" i="19"/>
  <c r="AL25" i="19"/>
  <c r="AM25" i="19"/>
  <c r="AN25" i="19"/>
  <c r="AO25" i="19"/>
  <c r="AP25" i="19"/>
  <c r="AT25" i="19"/>
  <c r="AU25" i="19"/>
  <c r="AV25" i="19"/>
  <c r="AW25" i="19"/>
  <c r="AX25" i="19"/>
  <c r="AY25" i="19"/>
  <c r="AZ25" i="19"/>
  <c r="BA25" i="19"/>
  <c r="BB25" i="19"/>
  <c r="BC25" i="19"/>
  <c r="BD25" i="19"/>
  <c r="BE25" i="19"/>
  <c r="AE26" i="19"/>
  <c r="AF26" i="19"/>
  <c r="AG26" i="19"/>
  <c r="AH26" i="19"/>
  <c r="AI26" i="19"/>
  <c r="AJ26" i="19"/>
  <c r="AK26" i="19"/>
  <c r="AL26" i="19"/>
  <c r="AM26" i="19"/>
  <c r="AN26" i="19"/>
  <c r="AO26" i="19"/>
  <c r="AP26" i="19"/>
  <c r="AT26" i="19"/>
  <c r="AU26" i="19"/>
  <c r="AV26" i="19"/>
  <c r="AW26" i="19"/>
  <c r="AX26" i="19"/>
  <c r="AY26" i="19"/>
  <c r="AZ26" i="19"/>
  <c r="BA26" i="19"/>
  <c r="BB26" i="19"/>
  <c r="BC26" i="19"/>
  <c r="BD26" i="19"/>
  <c r="BE26" i="19"/>
  <c r="AE27" i="19"/>
  <c r="AF27" i="19"/>
  <c r="AG27" i="19"/>
  <c r="AH27" i="19"/>
  <c r="AI27" i="19"/>
  <c r="AJ27" i="19"/>
  <c r="AK27" i="19"/>
  <c r="AL27" i="19"/>
  <c r="AM27" i="19"/>
  <c r="AN27" i="19"/>
  <c r="AO27" i="19"/>
  <c r="AP27" i="19"/>
  <c r="AT27" i="19"/>
  <c r="AU27" i="19"/>
  <c r="AV27" i="19"/>
  <c r="AW27" i="19"/>
  <c r="AX27" i="19"/>
  <c r="AY27" i="19"/>
  <c r="AZ27" i="19"/>
  <c r="BA27" i="19"/>
  <c r="BB27" i="19"/>
  <c r="BC27" i="19"/>
  <c r="BD27" i="19"/>
  <c r="BE27" i="19"/>
  <c r="AE28" i="19"/>
  <c r="AF28" i="19"/>
  <c r="AG28" i="19"/>
  <c r="AH28" i="19"/>
  <c r="AI28" i="19"/>
  <c r="AJ28" i="19"/>
  <c r="AK28" i="19"/>
  <c r="AL28" i="19"/>
  <c r="AM28" i="19"/>
  <c r="AN28" i="19"/>
  <c r="AO28" i="19"/>
  <c r="AP28" i="19"/>
  <c r="AT28" i="19"/>
  <c r="AU28" i="19"/>
  <c r="AV28" i="19"/>
  <c r="AW28" i="19"/>
  <c r="AX28" i="19"/>
  <c r="AY28" i="19"/>
  <c r="AZ28" i="19"/>
  <c r="BA28" i="19"/>
  <c r="BB28" i="19"/>
  <c r="BC28" i="19"/>
  <c r="BD28" i="19"/>
  <c r="BE28" i="19"/>
  <c r="AE29" i="19"/>
  <c r="AF29" i="19"/>
  <c r="AG29" i="19"/>
  <c r="AH29" i="19"/>
  <c r="AI29" i="19"/>
  <c r="AJ29" i="19"/>
  <c r="AK29" i="19"/>
  <c r="AL29" i="19"/>
  <c r="AM29" i="19"/>
  <c r="AN29" i="19"/>
  <c r="AO29" i="19"/>
  <c r="AP29" i="19"/>
  <c r="AT29" i="19"/>
  <c r="AU29" i="19"/>
  <c r="AV29" i="19"/>
  <c r="AW29" i="19"/>
  <c r="AX29" i="19"/>
  <c r="AY29" i="19"/>
  <c r="AZ29" i="19"/>
  <c r="BA29" i="19"/>
  <c r="BB29" i="19"/>
  <c r="BC29" i="19"/>
  <c r="BD29" i="19"/>
  <c r="BE29" i="19"/>
  <c r="AE30" i="19"/>
  <c r="AF30" i="19"/>
  <c r="AG30" i="19"/>
  <c r="AH30" i="19"/>
  <c r="AI30" i="19"/>
  <c r="AJ30" i="19"/>
  <c r="AK30" i="19"/>
  <c r="AL30" i="19"/>
  <c r="AM30" i="19"/>
  <c r="AN30" i="19"/>
  <c r="AO30" i="19"/>
  <c r="AP30" i="19"/>
  <c r="AT30" i="19"/>
  <c r="AU30" i="19"/>
  <c r="AV30" i="19"/>
  <c r="AW30" i="19"/>
  <c r="AX30" i="19"/>
  <c r="AY30" i="19"/>
  <c r="AZ30" i="19"/>
  <c r="BA30" i="19"/>
  <c r="BB30" i="19"/>
  <c r="BC30" i="19"/>
  <c r="BD30" i="19"/>
  <c r="BE30" i="19"/>
  <c r="AE31" i="19"/>
  <c r="AF31" i="19"/>
  <c r="AG31" i="19"/>
  <c r="AH31" i="19"/>
  <c r="AI31" i="19"/>
  <c r="AJ31" i="19"/>
  <c r="AK31" i="19"/>
  <c r="AL31" i="19"/>
  <c r="AM31" i="19"/>
  <c r="AN31" i="19"/>
  <c r="AO31" i="19"/>
  <c r="AP31" i="19"/>
  <c r="AT31" i="19"/>
  <c r="AU31" i="19"/>
  <c r="AV31" i="19"/>
  <c r="AW31" i="19"/>
  <c r="AX31" i="19"/>
  <c r="AY31" i="19"/>
  <c r="AZ31" i="19"/>
  <c r="BA31" i="19"/>
  <c r="BB31" i="19"/>
  <c r="BC31" i="19"/>
  <c r="BD31" i="19"/>
  <c r="BE31" i="19"/>
  <c r="AE32" i="19"/>
  <c r="AF32" i="19"/>
  <c r="AG32" i="19"/>
  <c r="AH32" i="19"/>
  <c r="AI32" i="19"/>
  <c r="AJ32" i="19"/>
  <c r="AK32" i="19"/>
  <c r="AL32" i="19"/>
  <c r="AM32" i="19"/>
  <c r="AN32" i="19"/>
  <c r="AO32" i="19"/>
  <c r="AP32" i="19"/>
  <c r="AT32" i="19"/>
  <c r="AU32" i="19"/>
  <c r="AV32" i="19"/>
  <c r="AW32" i="19"/>
  <c r="AX32" i="19"/>
  <c r="AY32" i="19"/>
  <c r="AZ32" i="19"/>
  <c r="BA32" i="19"/>
  <c r="BB32" i="19"/>
  <c r="BC32" i="19"/>
  <c r="BD32" i="19"/>
  <c r="BE32" i="19"/>
  <c r="AE33" i="19"/>
  <c r="AF33" i="19"/>
  <c r="AG33" i="19"/>
  <c r="AH33" i="19"/>
  <c r="AI33" i="19"/>
  <c r="AJ33" i="19"/>
  <c r="AK33" i="19"/>
  <c r="AL33" i="19"/>
  <c r="AM33" i="19"/>
  <c r="AN33" i="19"/>
  <c r="AO33" i="19"/>
  <c r="AP33" i="19"/>
  <c r="AT33" i="19"/>
  <c r="AU33" i="19"/>
  <c r="AV33" i="19"/>
  <c r="AW33" i="19"/>
  <c r="AX33" i="19"/>
  <c r="AY33" i="19"/>
  <c r="AZ33" i="19"/>
  <c r="BA33" i="19"/>
  <c r="BB33" i="19"/>
  <c r="BC33" i="19"/>
  <c r="BD33" i="19"/>
  <c r="BE33" i="19"/>
  <c r="AE34" i="19"/>
  <c r="AF34" i="19"/>
  <c r="AG34" i="19"/>
  <c r="AH34" i="19"/>
  <c r="AI34" i="19"/>
  <c r="AJ34" i="19"/>
  <c r="AK34" i="19"/>
  <c r="AL34" i="19"/>
  <c r="AM34" i="19"/>
  <c r="AN34" i="19"/>
  <c r="AO34" i="19"/>
  <c r="AP34" i="19"/>
  <c r="AT34" i="19"/>
  <c r="AU34" i="19"/>
  <c r="AV34" i="19"/>
  <c r="AW34" i="19"/>
  <c r="AX34" i="19"/>
  <c r="AY34" i="19"/>
  <c r="AZ34" i="19"/>
  <c r="BA34" i="19"/>
  <c r="BB34" i="19"/>
  <c r="BC34" i="19"/>
  <c r="BD34" i="19"/>
  <c r="BE34" i="19"/>
  <c r="AE35" i="19"/>
  <c r="AF35" i="19"/>
  <c r="AG35" i="19"/>
  <c r="AH35" i="19"/>
  <c r="AI35" i="19"/>
  <c r="AJ35" i="19"/>
  <c r="AK35" i="19"/>
  <c r="AL35" i="19"/>
  <c r="AM35" i="19"/>
  <c r="AN35" i="19"/>
  <c r="AO35" i="19"/>
  <c r="AP35" i="19"/>
  <c r="AT35" i="19"/>
  <c r="AU35" i="19"/>
  <c r="AV35" i="19"/>
  <c r="AW35" i="19"/>
  <c r="AX35" i="19"/>
  <c r="AY35" i="19"/>
  <c r="AZ35" i="19"/>
  <c r="BA35" i="19"/>
  <c r="BB35" i="19"/>
  <c r="BC35" i="19"/>
  <c r="BD35" i="19"/>
  <c r="BE35" i="19"/>
  <c r="AE36" i="19"/>
  <c r="AF36" i="19"/>
  <c r="AG36" i="19"/>
  <c r="AH36" i="19"/>
  <c r="AI36" i="19"/>
  <c r="AJ36" i="19"/>
  <c r="AK36" i="19"/>
  <c r="AL36" i="19"/>
  <c r="AM36" i="19"/>
  <c r="AN36" i="19"/>
  <c r="AO36" i="19"/>
  <c r="AP36" i="19"/>
  <c r="AT36" i="19"/>
  <c r="AU36" i="19"/>
  <c r="AV36" i="19"/>
  <c r="AW36" i="19"/>
  <c r="AX36" i="19"/>
  <c r="AY36" i="19"/>
  <c r="AZ36" i="19"/>
  <c r="BA36" i="19"/>
  <c r="BB36" i="19"/>
  <c r="BC36" i="19"/>
  <c r="BD36" i="19"/>
  <c r="BE36" i="19"/>
  <c r="AE37" i="19"/>
  <c r="AF37" i="19"/>
  <c r="AG37" i="19"/>
  <c r="AH37" i="19"/>
  <c r="AI37" i="19"/>
  <c r="AJ37" i="19"/>
  <c r="AK37" i="19"/>
  <c r="AL37" i="19"/>
  <c r="AM37" i="19"/>
  <c r="AN37" i="19"/>
  <c r="AO37" i="19"/>
  <c r="AP37" i="19"/>
  <c r="AT37" i="19"/>
  <c r="AU37" i="19"/>
  <c r="AV37" i="19"/>
  <c r="AW37" i="19"/>
  <c r="AX37" i="19"/>
  <c r="AY37" i="19"/>
  <c r="AZ37" i="19"/>
  <c r="BA37" i="19"/>
  <c r="BB37" i="19"/>
  <c r="BC37" i="19"/>
  <c r="BD37" i="19"/>
  <c r="BE37" i="19"/>
  <c r="AE38" i="19"/>
  <c r="AF38" i="19"/>
  <c r="AG38" i="19"/>
  <c r="AH38" i="19"/>
  <c r="AI38" i="19"/>
  <c r="AJ38" i="19"/>
  <c r="AK38" i="19"/>
  <c r="AL38" i="19"/>
  <c r="AM38" i="19"/>
  <c r="AN38" i="19"/>
  <c r="AO38" i="19"/>
  <c r="AP38" i="19"/>
  <c r="AT38" i="19"/>
  <c r="AU38" i="19"/>
  <c r="AV38" i="19"/>
  <c r="AW38" i="19"/>
  <c r="AX38" i="19"/>
  <c r="AY38" i="19"/>
  <c r="AZ38" i="19"/>
  <c r="BA38" i="19"/>
  <c r="BB38" i="19"/>
  <c r="BC38" i="19"/>
  <c r="BD38" i="19"/>
  <c r="BE38" i="19"/>
  <c r="AE39" i="19"/>
  <c r="AF39" i="19"/>
  <c r="AG39" i="19"/>
  <c r="AH39" i="19"/>
  <c r="AI39" i="19"/>
  <c r="AJ39" i="19"/>
  <c r="AK39" i="19"/>
  <c r="AL39" i="19"/>
  <c r="AM39" i="19"/>
  <c r="AN39" i="19"/>
  <c r="AO39" i="19"/>
  <c r="AP39" i="19"/>
  <c r="AT39" i="19"/>
  <c r="AU39" i="19"/>
  <c r="AV39" i="19"/>
  <c r="AW39" i="19"/>
  <c r="AX39" i="19"/>
  <c r="AY39" i="19"/>
  <c r="AZ39" i="19"/>
  <c r="BA39" i="19"/>
  <c r="BB39" i="19"/>
  <c r="BC39" i="19"/>
  <c r="BD39" i="19"/>
  <c r="BE39" i="19"/>
  <c r="AE40" i="19"/>
  <c r="AF40" i="19"/>
  <c r="AG40" i="19"/>
  <c r="AH40" i="19"/>
  <c r="AI40" i="19"/>
  <c r="AJ40" i="19"/>
  <c r="AK40" i="19"/>
  <c r="AL40" i="19"/>
  <c r="AM40" i="19"/>
  <c r="AN40" i="19"/>
  <c r="AO40" i="19"/>
  <c r="AP40" i="19"/>
  <c r="AT40" i="19"/>
  <c r="AU40" i="19"/>
  <c r="AV40" i="19"/>
  <c r="AW40" i="19"/>
  <c r="AX40" i="19"/>
  <c r="AY40" i="19"/>
  <c r="AZ40" i="19"/>
  <c r="BA40" i="19"/>
  <c r="BB40" i="19"/>
  <c r="BC40" i="19"/>
  <c r="BD40" i="19"/>
  <c r="BE40" i="19"/>
  <c r="AE41" i="19"/>
  <c r="AF41" i="19"/>
  <c r="AG41" i="19"/>
  <c r="AH41" i="19"/>
  <c r="AI41" i="19"/>
  <c r="AJ41" i="19"/>
  <c r="AK41" i="19"/>
  <c r="AL41" i="19"/>
  <c r="AM41" i="19"/>
  <c r="AN41" i="19"/>
  <c r="AO41" i="19"/>
  <c r="AP41" i="19"/>
  <c r="AT41" i="19"/>
  <c r="AU41" i="19"/>
  <c r="AV41" i="19"/>
  <c r="AW41" i="19"/>
  <c r="AX41" i="19"/>
  <c r="AY41" i="19"/>
  <c r="AZ41" i="19"/>
  <c r="BA41" i="19"/>
  <c r="BB41" i="19"/>
  <c r="BC41" i="19"/>
  <c r="BD41" i="19"/>
  <c r="BE41" i="19"/>
  <c r="AE42" i="19"/>
  <c r="AF42" i="19"/>
  <c r="AG42" i="19"/>
  <c r="AH42" i="19"/>
  <c r="AI42" i="19"/>
  <c r="AJ42" i="19"/>
  <c r="AK42" i="19"/>
  <c r="AL42" i="19"/>
  <c r="AM42" i="19"/>
  <c r="AN42" i="19"/>
  <c r="AO42" i="19"/>
  <c r="AP42" i="19"/>
  <c r="AT42" i="19"/>
  <c r="AU42" i="19"/>
  <c r="AV42" i="19"/>
  <c r="AW42" i="19"/>
  <c r="AX42" i="19"/>
  <c r="AY42" i="19"/>
  <c r="AZ42" i="19"/>
  <c r="BA42" i="19"/>
  <c r="BB42" i="19"/>
  <c r="BC42" i="19"/>
  <c r="BD42" i="19"/>
  <c r="BE42" i="19"/>
  <c r="AE43" i="19"/>
  <c r="AF43" i="19"/>
  <c r="AG43" i="19"/>
  <c r="AH43" i="19"/>
  <c r="AI43" i="19"/>
  <c r="AJ43" i="19"/>
  <c r="AK43" i="19"/>
  <c r="AL43" i="19"/>
  <c r="AM43" i="19"/>
  <c r="AN43" i="19"/>
  <c r="AO43" i="19"/>
  <c r="AP43" i="19"/>
  <c r="AT43" i="19"/>
  <c r="AU43" i="19"/>
  <c r="AV43" i="19"/>
  <c r="AW43" i="19"/>
  <c r="AX43" i="19"/>
  <c r="AY43" i="19"/>
  <c r="AZ43" i="19"/>
  <c r="BA43" i="19"/>
  <c r="BB43" i="19"/>
  <c r="BC43" i="19"/>
  <c r="BD43" i="19"/>
  <c r="BE43" i="19"/>
  <c r="AE44" i="19"/>
  <c r="AF44" i="19"/>
  <c r="AG44" i="19"/>
  <c r="AH44" i="19"/>
  <c r="AI44" i="19"/>
  <c r="AJ44" i="19"/>
  <c r="AK44" i="19"/>
  <c r="AL44" i="19"/>
  <c r="AM44" i="19"/>
  <c r="AN44" i="19"/>
  <c r="AO44" i="19"/>
  <c r="AP44" i="19"/>
  <c r="AT44" i="19"/>
  <c r="AU44" i="19"/>
  <c r="AV44" i="19"/>
  <c r="AW44" i="19"/>
  <c r="AX44" i="19"/>
  <c r="AY44" i="19"/>
  <c r="AZ44" i="19"/>
  <c r="BA44" i="19"/>
  <c r="BB44" i="19"/>
  <c r="BC44" i="19"/>
  <c r="BD44" i="19"/>
  <c r="BE44" i="19"/>
  <c r="AE45" i="19"/>
  <c r="AF45" i="19"/>
  <c r="AG45" i="19"/>
  <c r="AH45" i="19"/>
  <c r="AI45" i="19"/>
  <c r="AJ45" i="19"/>
  <c r="AK45" i="19"/>
  <c r="AL45" i="19"/>
  <c r="AM45" i="19"/>
  <c r="AN45" i="19"/>
  <c r="AO45" i="19"/>
  <c r="AP45" i="19"/>
  <c r="AT45" i="19"/>
  <c r="AU45" i="19"/>
  <c r="AV45" i="19"/>
  <c r="AW45" i="19"/>
  <c r="AX45" i="19"/>
  <c r="AY45" i="19"/>
  <c r="AZ45" i="19"/>
  <c r="BA45" i="19"/>
  <c r="BB45" i="19"/>
  <c r="BC45" i="19"/>
  <c r="BD45" i="19"/>
  <c r="BE45" i="19"/>
  <c r="AE46" i="19"/>
  <c r="AF46" i="19"/>
  <c r="AG46" i="19"/>
  <c r="AH46" i="19"/>
  <c r="AI46" i="19"/>
  <c r="AJ46" i="19"/>
  <c r="AK46" i="19"/>
  <c r="AL46" i="19"/>
  <c r="AM46" i="19"/>
  <c r="AN46" i="19"/>
  <c r="AO46" i="19"/>
  <c r="AP46" i="19"/>
  <c r="AT46" i="19"/>
  <c r="AU46" i="19"/>
  <c r="AV46" i="19"/>
  <c r="AW46" i="19"/>
  <c r="AX46" i="19"/>
  <c r="AY46" i="19"/>
  <c r="AZ46" i="19"/>
  <c r="BA46" i="19"/>
  <c r="BB46" i="19"/>
  <c r="BC46" i="19"/>
  <c r="BD46" i="19"/>
  <c r="BE46" i="19"/>
  <c r="AE47" i="19"/>
  <c r="AF47" i="19"/>
  <c r="AG47" i="19"/>
  <c r="AH47" i="19"/>
  <c r="AI47" i="19"/>
  <c r="AJ47" i="19"/>
  <c r="AK47" i="19"/>
  <c r="AL47" i="19"/>
  <c r="AM47" i="19"/>
  <c r="AN47" i="19"/>
  <c r="AO47" i="19"/>
  <c r="AP47" i="19"/>
  <c r="AT47" i="19"/>
  <c r="AU47" i="19"/>
  <c r="AV47" i="19"/>
  <c r="AW47" i="19"/>
  <c r="AX47" i="19"/>
  <c r="AY47" i="19"/>
  <c r="AZ47" i="19"/>
  <c r="BA47" i="19"/>
  <c r="BB47" i="19"/>
  <c r="BC47" i="19"/>
  <c r="BD47" i="19"/>
  <c r="BE47" i="19"/>
  <c r="AE48" i="19"/>
  <c r="AF48" i="19"/>
  <c r="AG48" i="19"/>
  <c r="AH48" i="19"/>
  <c r="AI48" i="19"/>
  <c r="AJ48" i="19"/>
  <c r="AK48" i="19"/>
  <c r="AL48" i="19"/>
  <c r="AM48" i="19"/>
  <c r="AN48" i="19"/>
  <c r="AO48" i="19"/>
  <c r="AP48" i="19"/>
  <c r="AT48" i="19"/>
  <c r="AU48" i="19"/>
  <c r="AV48" i="19"/>
  <c r="AW48" i="19"/>
  <c r="AX48" i="19"/>
  <c r="AY48" i="19"/>
  <c r="AZ48" i="19"/>
  <c r="BA48" i="19"/>
  <c r="BB48" i="19"/>
  <c r="BC48" i="19"/>
  <c r="BD48" i="19"/>
  <c r="BE48" i="19"/>
  <c r="AE49" i="19"/>
  <c r="AF49" i="19"/>
  <c r="AG49" i="19"/>
  <c r="AH49" i="19"/>
  <c r="AI49" i="19"/>
  <c r="AJ49" i="19"/>
  <c r="AK49" i="19"/>
  <c r="AL49" i="19"/>
  <c r="AM49" i="19"/>
  <c r="AN49" i="19"/>
  <c r="AO49" i="19"/>
  <c r="AP49" i="19"/>
  <c r="AT49" i="19"/>
  <c r="AU49" i="19"/>
  <c r="AV49" i="19"/>
  <c r="AW49" i="19"/>
  <c r="AX49" i="19"/>
  <c r="AY49" i="19"/>
  <c r="AZ49" i="19"/>
  <c r="BA49" i="19"/>
  <c r="BB49" i="19"/>
  <c r="BC49" i="19"/>
  <c r="BD49" i="19"/>
  <c r="BE49" i="19"/>
  <c r="AE50" i="19"/>
  <c r="AF50" i="19"/>
  <c r="AG50" i="19"/>
  <c r="AH50" i="19"/>
  <c r="AI50" i="19"/>
  <c r="AJ50" i="19"/>
  <c r="AK50" i="19"/>
  <c r="AL50" i="19"/>
  <c r="AM50" i="19"/>
  <c r="AN50" i="19"/>
  <c r="AO50" i="19"/>
  <c r="AP50" i="19"/>
  <c r="AT50" i="19"/>
  <c r="AU50" i="19"/>
  <c r="AV50" i="19"/>
  <c r="AW50" i="19"/>
  <c r="AX50" i="19"/>
  <c r="AY50" i="19"/>
  <c r="AZ50" i="19"/>
  <c r="BA50" i="19"/>
  <c r="BB50" i="19"/>
  <c r="BC50" i="19"/>
  <c r="BD50" i="19"/>
  <c r="BE50" i="19"/>
  <c r="AE51" i="19"/>
  <c r="AF51" i="19"/>
  <c r="AG51" i="19"/>
  <c r="AH51" i="19"/>
  <c r="AI51" i="19"/>
  <c r="AJ51" i="19"/>
  <c r="AK51" i="19"/>
  <c r="AL51" i="19"/>
  <c r="AM51" i="19"/>
  <c r="AN51" i="19"/>
  <c r="AO51" i="19"/>
  <c r="AP51" i="19"/>
  <c r="AT51" i="19"/>
  <c r="AU51" i="19"/>
  <c r="AV51" i="19"/>
  <c r="AW51" i="19"/>
  <c r="AX51" i="19"/>
  <c r="AY51" i="19"/>
  <c r="AZ51" i="19"/>
  <c r="BA51" i="19"/>
  <c r="BB51" i="19"/>
  <c r="BC51" i="19"/>
  <c r="BD51" i="19"/>
  <c r="BE51" i="19"/>
  <c r="AE52" i="19"/>
  <c r="AF52" i="19"/>
  <c r="AG52" i="19"/>
  <c r="AH52" i="19"/>
  <c r="AI52" i="19"/>
  <c r="AJ52" i="19"/>
  <c r="AK52" i="19"/>
  <c r="AL52" i="19"/>
  <c r="AM52" i="19"/>
  <c r="AN52" i="19"/>
  <c r="AO52" i="19"/>
  <c r="AP52" i="19"/>
  <c r="AT52" i="19"/>
  <c r="AU52" i="19"/>
  <c r="AV52" i="19"/>
  <c r="AW52" i="19"/>
  <c r="AX52" i="19"/>
  <c r="AY52" i="19"/>
  <c r="AZ52" i="19"/>
  <c r="BA52" i="19"/>
  <c r="BB52" i="19"/>
  <c r="BC52" i="19"/>
  <c r="BD52" i="19"/>
  <c r="BE52" i="19"/>
  <c r="AE53" i="19"/>
  <c r="AF53" i="19"/>
  <c r="AG53" i="19"/>
  <c r="AH53" i="19"/>
  <c r="AI53" i="19"/>
  <c r="AJ53" i="19"/>
  <c r="AK53" i="19"/>
  <c r="AL53" i="19"/>
  <c r="AM53" i="19"/>
  <c r="AN53" i="19"/>
  <c r="AO53" i="19"/>
  <c r="AP53" i="19"/>
  <c r="AT53" i="19"/>
  <c r="AU53" i="19"/>
  <c r="AV53" i="19"/>
  <c r="AW53" i="19"/>
  <c r="AX53" i="19"/>
  <c r="AY53" i="19"/>
  <c r="AZ53" i="19"/>
  <c r="BA53" i="19"/>
  <c r="BB53" i="19"/>
  <c r="BC53" i="19"/>
  <c r="BD53" i="19"/>
  <c r="BE53" i="19"/>
  <c r="AE54" i="19"/>
  <c r="AF54" i="19"/>
  <c r="AG54" i="19"/>
  <c r="AH54" i="19"/>
  <c r="AI54" i="19"/>
  <c r="AJ54" i="19"/>
  <c r="AK54" i="19"/>
  <c r="AL54" i="19"/>
  <c r="AM54" i="19"/>
  <c r="AN54" i="19"/>
  <c r="AO54" i="19"/>
  <c r="AP54" i="19"/>
  <c r="AT54" i="19"/>
  <c r="AU54" i="19"/>
  <c r="AV54" i="19"/>
  <c r="AW54" i="19"/>
  <c r="AX54" i="19"/>
  <c r="AY54" i="19"/>
  <c r="AZ54" i="19"/>
  <c r="BA54" i="19"/>
  <c r="BB54" i="19"/>
  <c r="BC54" i="19"/>
  <c r="BD54" i="19"/>
  <c r="BE54" i="19"/>
  <c r="AE55" i="19"/>
  <c r="AF55" i="19"/>
  <c r="AG55" i="19"/>
  <c r="AH55" i="19"/>
  <c r="AI55" i="19"/>
  <c r="AJ55" i="19"/>
  <c r="AK55" i="19"/>
  <c r="AL55" i="19"/>
  <c r="AM55" i="19"/>
  <c r="AN55" i="19"/>
  <c r="AO55" i="19"/>
  <c r="AP55" i="19"/>
  <c r="AT55" i="19"/>
  <c r="AU55" i="19"/>
  <c r="AV55" i="19"/>
  <c r="AW55" i="19"/>
  <c r="AX55" i="19"/>
  <c r="AY55" i="19"/>
  <c r="AZ55" i="19"/>
  <c r="BA55" i="19"/>
  <c r="BB55" i="19"/>
  <c r="BC55" i="19"/>
  <c r="BD55" i="19"/>
  <c r="BE55" i="19"/>
  <c r="AE56" i="19"/>
  <c r="AF56" i="19"/>
  <c r="AG56" i="19"/>
  <c r="AH56" i="19"/>
  <c r="AI56" i="19"/>
  <c r="AJ56" i="19"/>
  <c r="AK56" i="19"/>
  <c r="AL56" i="19"/>
  <c r="AM56" i="19"/>
  <c r="AN56" i="19"/>
  <c r="AO56" i="19"/>
  <c r="AP56" i="19"/>
  <c r="AT56" i="19"/>
  <c r="AU56" i="19"/>
  <c r="AV56" i="19"/>
  <c r="AW56" i="19"/>
  <c r="AX56" i="19"/>
  <c r="AY56" i="19"/>
  <c r="AZ56" i="19"/>
  <c r="BA56" i="19"/>
  <c r="BB56" i="19"/>
  <c r="BC56" i="19"/>
  <c r="BD56" i="19"/>
  <c r="BE56" i="19"/>
  <c r="AE57" i="19"/>
  <c r="AF57" i="19"/>
  <c r="AG57" i="19"/>
  <c r="AH57" i="19"/>
  <c r="AI57" i="19"/>
  <c r="AJ57" i="19"/>
  <c r="AK57" i="19"/>
  <c r="AL57" i="19"/>
  <c r="AM57" i="19"/>
  <c r="AN57" i="19"/>
  <c r="AO57" i="19"/>
  <c r="AP57" i="19"/>
  <c r="AT57" i="19"/>
  <c r="AU57" i="19"/>
  <c r="AV57" i="19"/>
  <c r="AW57" i="19"/>
  <c r="AX57" i="19"/>
  <c r="AY57" i="19"/>
  <c r="AZ57" i="19"/>
  <c r="BA57" i="19"/>
  <c r="BB57" i="19"/>
  <c r="BC57" i="19"/>
  <c r="BD57" i="19"/>
  <c r="BE57" i="19"/>
  <c r="AE58" i="19"/>
  <c r="AF58" i="19"/>
  <c r="AG58" i="19"/>
  <c r="AH58" i="19"/>
  <c r="AI58" i="19"/>
  <c r="AJ58" i="19"/>
  <c r="AK58" i="19"/>
  <c r="AL58" i="19"/>
  <c r="AM58" i="19"/>
  <c r="AN58" i="19"/>
  <c r="AO58" i="19"/>
  <c r="AP58" i="19"/>
  <c r="AT58" i="19"/>
  <c r="AU58" i="19"/>
  <c r="AV58" i="19"/>
  <c r="AW58" i="19"/>
  <c r="AX58" i="19"/>
  <c r="AY58" i="19"/>
  <c r="AZ58" i="19"/>
  <c r="BA58" i="19"/>
  <c r="BB58" i="19"/>
  <c r="BC58" i="19"/>
  <c r="BD58" i="19"/>
  <c r="BE58" i="19"/>
  <c r="AE59" i="19"/>
  <c r="AF59" i="19"/>
  <c r="AG59" i="19"/>
  <c r="AH59" i="19"/>
  <c r="AI59" i="19"/>
  <c r="AJ59" i="19"/>
  <c r="AK59" i="19"/>
  <c r="AL59" i="19"/>
  <c r="AM59" i="19"/>
  <c r="AN59" i="19"/>
  <c r="AO59" i="19"/>
  <c r="AP59" i="19"/>
  <c r="AT59" i="19"/>
  <c r="AU59" i="19"/>
  <c r="AV59" i="19"/>
  <c r="AW59" i="19"/>
  <c r="AX59" i="19"/>
  <c r="AY59" i="19"/>
  <c r="AZ59" i="19"/>
  <c r="BA59" i="19"/>
  <c r="BB59" i="19"/>
  <c r="BC59" i="19"/>
  <c r="BD59" i="19"/>
  <c r="BE59" i="19"/>
  <c r="AE60" i="19"/>
  <c r="AF60" i="19"/>
  <c r="AG60" i="19"/>
  <c r="AH60" i="19"/>
  <c r="AI60" i="19"/>
  <c r="AJ60" i="19"/>
  <c r="AK60" i="19"/>
  <c r="AL60" i="19"/>
  <c r="AM60" i="19"/>
  <c r="AN60" i="19"/>
  <c r="AO60" i="19"/>
  <c r="AP60" i="19"/>
  <c r="AT60" i="19"/>
  <c r="AU60" i="19"/>
  <c r="AV60" i="19"/>
  <c r="AW60" i="19"/>
  <c r="AX60" i="19"/>
  <c r="AY60" i="19"/>
  <c r="AZ60" i="19"/>
  <c r="BA60" i="19"/>
  <c r="BB60" i="19"/>
  <c r="BC60" i="19"/>
  <c r="BD60" i="19"/>
  <c r="BE60" i="19"/>
  <c r="AE61" i="19"/>
  <c r="AF61" i="19"/>
  <c r="AG61" i="19"/>
  <c r="AH61" i="19"/>
  <c r="AI61" i="19"/>
  <c r="AJ61" i="19"/>
  <c r="AK61" i="19"/>
  <c r="AL61" i="19"/>
  <c r="AM61" i="19"/>
  <c r="AN61" i="19"/>
  <c r="AO61" i="19"/>
  <c r="AP61" i="19"/>
  <c r="AT61" i="19"/>
  <c r="AU61" i="19"/>
  <c r="AV61" i="19"/>
  <c r="AW61" i="19"/>
  <c r="AX61" i="19"/>
  <c r="AY61" i="19"/>
  <c r="AZ61" i="19"/>
  <c r="BA61" i="19"/>
  <c r="BB61" i="19"/>
  <c r="BC61" i="19"/>
  <c r="BD61" i="19"/>
  <c r="BE61" i="19"/>
  <c r="AE62" i="19"/>
  <c r="AF62" i="19"/>
  <c r="AG62" i="19"/>
  <c r="AH62" i="19"/>
  <c r="AI62" i="19"/>
  <c r="AJ62" i="19"/>
  <c r="AK62" i="19"/>
  <c r="AL62" i="19"/>
  <c r="AM62" i="19"/>
  <c r="AN62" i="19"/>
  <c r="AO62" i="19"/>
  <c r="AP62" i="19"/>
  <c r="AT62" i="19"/>
  <c r="AU62" i="19"/>
  <c r="AV62" i="19"/>
  <c r="AW62" i="19"/>
  <c r="AX62" i="19"/>
  <c r="AY62" i="19"/>
  <c r="AZ62" i="19"/>
  <c r="BA62" i="19"/>
  <c r="BB62" i="19"/>
  <c r="BC62" i="19"/>
  <c r="BD62" i="19"/>
  <c r="BE62" i="19"/>
  <c r="AE63" i="19"/>
  <c r="AF63" i="19"/>
  <c r="AG63" i="19"/>
  <c r="AH63" i="19"/>
  <c r="AI63" i="19"/>
  <c r="AJ63" i="19"/>
  <c r="AK63" i="19"/>
  <c r="AL63" i="19"/>
  <c r="AM63" i="19"/>
  <c r="AN63" i="19"/>
  <c r="AO63" i="19"/>
  <c r="AP63" i="19"/>
  <c r="AT63" i="19"/>
  <c r="AU63" i="19"/>
  <c r="AV63" i="19"/>
  <c r="AW63" i="19"/>
  <c r="AX63" i="19"/>
  <c r="AY63" i="19"/>
  <c r="AZ63" i="19"/>
  <c r="BA63" i="19"/>
  <c r="BB63" i="19"/>
  <c r="BC63" i="19"/>
  <c r="BD63" i="19"/>
  <c r="BE63" i="19"/>
  <c r="AE64" i="19"/>
  <c r="AF64" i="19"/>
  <c r="AG64" i="19"/>
  <c r="AH64" i="19"/>
  <c r="AI64" i="19"/>
  <c r="AJ64" i="19"/>
  <c r="AK64" i="19"/>
  <c r="AL64" i="19"/>
  <c r="AM64" i="19"/>
  <c r="AN64" i="19"/>
  <c r="AO64" i="19"/>
  <c r="AP64" i="19"/>
  <c r="AT64" i="19"/>
  <c r="AU64" i="19"/>
  <c r="AV64" i="19"/>
  <c r="AW64" i="19"/>
  <c r="AX64" i="19"/>
  <c r="AY64" i="19"/>
  <c r="AZ64" i="19"/>
  <c r="BA64" i="19"/>
  <c r="BB64" i="19"/>
  <c r="BC64" i="19"/>
  <c r="BD64" i="19"/>
  <c r="BE64" i="19"/>
  <c r="AE65" i="19"/>
  <c r="AF65" i="19"/>
  <c r="AG65" i="19"/>
  <c r="AH65" i="19"/>
  <c r="AI65" i="19"/>
  <c r="AJ65" i="19"/>
  <c r="AK65" i="19"/>
  <c r="AL65" i="19"/>
  <c r="AM65" i="19"/>
  <c r="AN65" i="19"/>
  <c r="AO65" i="19"/>
  <c r="AP65" i="19"/>
  <c r="AT65" i="19"/>
  <c r="AU65" i="19"/>
  <c r="AV65" i="19"/>
  <c r="AW65" i="19"/>
  <c r="AX65" i="19"/>
  <c r="AY65" i="19"/>
  <c r="AZ65" i="19"/>
  <c r="BA65" i="19"/>
  <c r="BB65" i="19"/>
  <c r="BC65" i="19"/>
  <c r="BD65" i="19"/>
  <c r="BE65" i="19"/>
  <c r="AE66" i="19"/>
  <c r="AF66" i="19"/>
  <c r="AG66" i="19"/>
  <c r="AH66" i="19"/>
  <c r="AI66" i="19"/>
  <c r="AJ66" i="19"/>
  <c r="AK66" i="19"/>
  <c r="AL66" i="19"/>
  <c r="AM66" i="19"/>
  <c r="AN66" i="19"/>
  <c r="AO66" i="19"/>
  <c r="AP66" i="19"/>
  <c r="AT66" i="19"/>
  <c r="AU66" i="19"/>
  <c r="AV66" i="19"/>
  <c r="AW66" i="19"/>
  <c r="AX66" i="19"/>
  <c r="AY66" i="19"/>
  <c r="AZ66" i="19"/>
  <c r="BA66" i="19"/>
  <c r="BB66" i="19"/>
  <c r="BC66" i="19"/>
  <c r="BD66" i="19"/>
  <c r="BE66" i="19"/>
  <c r="AE67" i="19"/>
  <c r="AF67" i="19"/>
  <c r="AG67" i="19"/>
  <c r="AH67" i="19"/>
  <c r="AI67" i="19"/>
  <c r="AJ67" i="19"/>
  <c r="AK67" i="19"/>
  <c r="AL67" i="19"/>
  <c r="AM67" i="19"/>
  <c r="AN67" i="19"/>
  <c r="AO67" i="19"/>
  <c r="AP67" i="19"/>
  <c r="AT67" i="19"/>
  <c r="AU67" i="19"/>
  <c r="AV67" i="19"/>
  <c r="AW67" i="19"/>
  <c r="AX67" i="19"/>
  <c r="AY67" i="19"/>
  <c r="AZ67" i="19"/>
  <c r="BA67" i="19"/>
  <c r="BB67" i="19"/>
  <c r="BC67" i="19"/>
  <c r="BD67" i="19"/>
  <c r="BE67" i="19"/>
  <c r="AE68" i="19"/>
  <c r="AF68" i="19"/>
  <c r="AG68" i="19"/>
  <c r="AH68" i="19"/>
  <c r="AI68" i="19"/>
  <c r="AJ68" i="19"/>
  <c r="AK68" i="19"/>
  <c r="AL68" i="19"/>
  <c r="AM68" i="19"/>
  <c r="AN68" i="19"/>
  <c r="AO68" i="19"/>
  <c r="AP68" i="19"/>
  <c r="AT68" i="19"/>
  <c r="AU68" i="19"/>
  <c r="AV68" i="19"/>
  <c r="AW68" i="19"/>
  <c r="AX68" i="19"/>
  <c r="AY68" i="19"/>
  <c r="AZ68" i="19"/>
  <c r="BA68" i="19"/>
  <c r="BB68" i="19"/>
  <c r="BC68" i="19"/>
  <c r="BD68" i="19"/>
  <c r="BE68" i="19"/>
  <c r="AE69" i="19"/>
  <c r="AF69" i="19"/>
  <c r="AG69" i="19"/>
  <c r="AH69" i="19"/>
  <c r="AI69" i="19"/>
  <c r="AJ69" i="19"/>
  <c r="AK69" i="19"/>
  <c r="AL69" i="19"/>
  <c r="AM69" i="19"/>
  <c r="AN69" i="19"/>
  <c r="AO69" i="19"/>
  <c r="AP69" i="19"/>
  <c r="AT69" i="19"/>
  <c r="AU69" i="19"/>
  <c r="AV69" i="19"/>
  <c r="AW69" i="19"/>
  <c r="AX69" i="19"/>
  <c r="AY69" i="19"/>
  <c r="AZ69" i="19"/>
  <c r="BA69" i="19"/>
  <c r="BB69" i="19"/>
  <c r="BC69" i="19"/>
  <c r="BD69" i="19"/>
  <c r="BE69" i="19"/>
  <c r="AE70" i="19"/>
  <c r="AF70" i="19"/>
  <c r="AG70" i="19"/>
  <c r="AH70" i="19"/>
  <c r="AI70" i="19"/>
  <c r="AJ70" i="19"/>
  <c r="AK70" i="19"/>
  <c r="AL70" i="19"/>
  <c r="AM70" i="19"/>
  <c r="AN70" i="19"/>
  <c r="AO70" i="19"/>
  <c r="AP70" i="19"/>
  <c r="AT70" i="19"/>
  <c r="AU70" i="19"/>
  <c r="AV70" i="19"/>
  <c r="AW70" i="19"/>
  <c r="AX70" i="19"/>
  <c r="AY70" i="19"/>
  <c r="AZ70" i="19"/>
  <c r="BA70" i="19"/>
  <c r="BB70" i="19"/>
  <c r="BC70" i="19"/>
  <c r="BD70" i="19"/>
  <c r="BE70" i="19"/>
  <c r="AE71" i="19"/>
  <c r="AF71" i="19"/>
  <c r="AG71" i="19"/>
  <c r="AH71" i="19"/>
  <c r="AI71" i="19"/>
  <c r="AJ71" i="19"/>
  <c r="AK71" i="19"/>
  <c r="AL71" i="19"/>
  <c r="AM71" i="19"/>
  <c r="AN71" i="19"/>
  <c r="AO71" i="19"/>
  <c r="AP71" i="19"/>
  <c r="AT71" i="19"/>
  <c r="AU71" i="19"/>
  <c r="AV71" i="19"/>
  <c r="AW71" i="19"/>
  <c r="AX71" i="19"/>
  <c r="AY71" i="19"/>
  <c r="AZ71" i="19"/>
  <c r="BA71" i="19"/>
  <c r="BB71" i="19"/>
  <c r="BC71" i="19"/>
  <c r="BD71" i="19"/>
  <c r="BE71" i="19"/>
  <c r="AE72" i="19"/>
  <c r="AF72" i="19"/>
  <c r="AG72" i="19"/>
  <c r="AH72" i="19"/>
  <c r="AI72" i="19"/>
  <c r="AJ72" i="19"/>
  <c r="AK72" i="19"/>
  <c r="AL72" i="19"/>
  <c r="AM72" i="19"/>
  <c r="AN72" i="19"/>
  <c r="AO72" i="19"/>
  <c r="AP72" i="19"/>
  <c r="AT72" i="19"/>
  <c r="AU72" i="19"/>
  <c r="AV72" i="19"/>
  <c r="AW72" i="19"/>
  <c r="AX72" i="19"/>
  <c r="AY72" i="19"/>
  <c r="AZ72" i="19"/>
  <c r="BA72" i="19"/>
  <c r="BB72" i="19"/>
  <c r="BC72" i="19"/>
  <c r="BD72" i="19"/>
  <c r="BE72" i="19"/>
  <c r="AE73" i="19"/>
  <c r="AF73" i="19"/>
  <c r="AG73" i="19"/>
  <c r="AH73" i="19"/>
  <c r="AI73" i="19"/>
  <c r="AJ73" i="19"/>
  <c r="AK73" i="19"/>
  <c r="AL73" i="19"/>
  <c r="AM73" i="19"/>
  <c r="AN73" i="19"/>
  <c r="AO73" i="19"/>
  <c r="AP73" i="19"/>
  <c r="AT73" i="19"/>
  <c r="AU73" i="19"/>
  <c r="AV73" i="19"/>
  <c r="AW73" i="19"/>
  <c r="AX73" i="19"/>
  <c r="AY73" i="19"/>
  <c r="AZ73" i="19"/>
  <c r="BA73" i="19"/>
  <c r="BB73" i="19"/>
  <c r="BC73" i="19"/>
  <c r="BD73" i="19"/>
  <c r="BE73" i="19"/>
  <c r="AE74" i="19"/>
  <c r="AF74" i="19"/>
  <c r="AG74" i="19"/>
  <c r="AH74" i="19"/>
  <c r="AI74" i="19"/>
  <c r="AJ74" i="19"/>
  <c r="AK74" i="19"/>
  <c r="AL74" i="19"/>
  <c r="AM74" i="19"/>
  <c r="AN74" i="19"/>
  <c r="AO74" i="19"/>
  <c r="AP74" i="19"/>
  <c r="AT74" i="19"/>
  <c r="AU74" i="19"/>
  <c r="AV74" i="19"/>
  <c r="AW74" i="19"/>
  <c r="AX74" i="19"/>
  <c r="AY74" i="19"/>
  <c r="AZ74" i="19"/>
  <c r="BA74" i="19"/>
  <c r="BB74" i="19"/>
  <c r="BC74" i="19"/>
  <c r="BD74" i="19"/>
  <c r="BE74" i="19"/>
  <c r="AE75" i="19"/>
  <c r="AF75" i="19"/>
  <c r="AG75" i="19"/>
  <c r="AH75" i="19"/>
  <c r="AI75" i="19"/>
  <c r="AJ75" i="19"/>
  <c r="AK75" i="19"/>
  <c r="AL75" i="19"/>
  <c r="AM75" i="19"/>
  <c r="AN75" i="19"/>
  <c r="AO75" i="19"/>
  <c r="AP75" i="19"/>
  <c r="AT75" i="19"/>
  <c r="AU75" i="19"/>
  <c r="AV75" i="19"/>
  <c r="AW75" i="19"/>
  <c r="AX75" i="19"/>
  <c r="AY75" i="19"/>
  <c r="AZ75" i="19"/>
  <c r="BA75" i="19"/>
  <c r="BB75" i="19"/>
  <c r="BC75" i="19"/>
  <c r="BD75" i="19"/>
  <c r="BE75" i="19"/>
  <c r="AE76" i="19"/>
  <c r="AF76" i="19"/>
  <c r="AG76" i="19"/>
  <c r="AH76" i="19"/>
  <c r="AI76" i="19"/>
  <c r="AJ76" i="19"/>
  <c r="AK76" i="19"/>
  <c r="AL76" i="19"/>
  <c r="AM76" i="19"/>
  <c r="AN76" i="19"/>
  <c r="AO76" i="19"/>
  <c r="AP76" i="19"/>
  <c r="AT76" i="19"/>
  <c r="AU76" i="19"/>
  <c r="AV76" i="19"/>
  <c r="AW76" i="19"/>
  <c r="AX76" i="19"/>
  <c r="AY76" i="19"/>
  <c r="AZ76" i="19"/>
  <c r="BA76" i="19"/>
  <c r="BB76" i="19"/>
  <c r="BC76" i="19"/>
  <c r="BD76" i="19"/>
  <c r="BE76" i="19"/>
  <c r="AE77" i="19"/>
  <c r="AF77" i="19"/>
  <c r="AG77" i="19"/>
  <c r="AH77" i="19"/>
  <c r="AI77" i="19"/>
  <c r="AJ77" i="19"/>
  <c r="AK77" i="19"/>
  <c r="AL77" i="19"/>
  <c r="AM77" i="19"/>
  <c r="AN77" i="19"/>
  <c r="AO77" i="19"/>
  <c r="AP77" i="19"/>
  <c r="AT77" i="19"/>
  <c r="AU77" i="19"/>
  <c r="AV77" i="19"/>
  <c r="AW77" i="19"/>
  <c r="AX77" i="19"/>
  <c r="AY77" i="19"/>
  <c r="AZ77" i="19"/>
  <c r="BA77" i="19"/>
  <c r="BB77" i="19"/>
  <c r="BC77" i="19"/>
  <c r="BD77" i="19"/>
  <c r="BE77" i="19"/>
  <c r="AE78" i="19"/>
  <c r="AF78" i="19"/>
  <c r="AG78" i="19"/>
  <c r="AH78" i="19"/>
  <c r="AI78" i="19"/>
  <c r="AJ78" i="19"/>
  <c r="AK78" i="19"/>
  <c r="AL78" i="19"/>
  <c r="AM78" i="19"/>
  <c r="AN78" i="19"/>
  <c r="AO78" i="19"/>
  <c r="AP78" i="19"/>
  <c r="AT78" i="19"/>
  <c r="AU78" i="19"/>
  <c r="AV78" i="19"/>
  <c r="AW78" i="19"/>
  <c r="AX78" i="19"/>
  <c r="AY78" i="19"/>
  <c r="AZ78" i="19"/>
  <c r="BA78" i="19"/>
  <c r="BB78" i="19"/>
  <c r="BC78" i="19"/>
  <c r="BD78" i="19"/>
  <c r="BE78" i="19"/>
  <c r="AE79" i="19"/>
  <c r="AF79" i="19"/>
  <c r="AG79" i="19"/>
  <c r="AH79" i="19"/>
  <c r="AI79" i="19"/>
  <c r="AJ79" i="19"/>
  <c r="AK79" i="19"/>
  <c r="AL79" i="19"/>
  <c r="AM79" i="19"/>
  <c r="AN79" i="19"/>
  <c r="AO79" i="19"/>
  <c r="AP79" i="19"/>
  <c r="AT79" i="19"/>
  <c r="AU79" i="19"/>
  <c r="AV79" i="19"/>
  <c r="AW79" i="19"/>
  <c r="AX79" i="19"/>
  <c r="AY79" i="19"/>
  <c r="AZ79" i="19"/>
  <c r="BA79" i="19"/>
  <c r="BB79" i="19"/>
  <c r="BC79" i="19"/>
  <c r="BD79" i="19"/>
  <c r="BE79" i="19"/>
  <c r="AE80" i="19"/>
  <c r="AF80" i="19"/>
  <c r="AG80" i="19"/>
  <c r="AH80" i="19"/>
  <c r="AI80" i="19"/>
  <c r="AJ80" i="19"/>
  <c r="AK80" i="19"/>
  <c r="AL80" i="19"/>
  <c r="AM80" i="19"/>
  <c r="AN80" i="19"/>
  <c r="AO80" i="19"/>
  <c r="AP80" i="19"/>
  <c r="AT80" i="19"/>
  <c r="AU80" i="19"/>
  <c r="AV80" i="19"/>
  <c r="AW80" i="19"/>
  <c r="AX80" i="19"/>
  <c r="AY80" i="19"/>
  <c r="AZ80" i="19"/>
  <c r="BA80" i="19"/>
  <c r="BB80" i="19"/>
  <c r="BC80" i="19"/>
  <c r="BD80" i="19"/>
  <c r="BE80" i="19"/>
  <c r="AE81" i="19"/>
  <c r="AF81" i="19"/>
  <c r="AG81" i="19"/>
  <c r="AH81" i="19"/>
  <c r="AI81" i="19"/>
  <c r="AJ81" i="19"/>
  <c r="AK81" i="19"/>
  <c r="AL81" i="19"/>
  <c r="AM81" i="19"/>
  <c r="AN81" i="19"/>
  <c r="AO81" i="19"/>
  <c r="AP81" i="19"/>
  <c r="AT81" i="19"/>
  <c r="AU81" i="19"/>
  <c r="AV81" i="19"/>
  <c r="AW81" i="19"/>
  <c r="AX81" i="19"/>
  <c r="AY81" i="19"/>
  <c r="AZ81" i="19"/>
  <c r="BA81" i="19"/>
  <c r="BB81" i="19"/>
  <c r="BC81" i="19"/>
  <c r="BD81" i="19"/>
  <c r="BE81" i="19"/>
  <c r="AE82" i="19"/>
  <c r="AF82" i="19"/>
  <c r="AG82" i="19"/>
  <c r="AH82" i="19"/>
  <c r="AI82" i="19"/>
  <c r="AJ82" i="19"/>
  <c r="AK82" i="19"/>
  <c r="AL82" i="19"/>
  <c r="AM82" i="19"/>
  <c r="AN82" i="19"/>
  <c r="AO82" i="19"/>
  <c r="AP82" i="19"/>
  <c r="AT82" i="19"/>
  <c r="AU82" i="19"/>
  <c r="AV82" i="19"/>
  <c r="AW82" i="19"/>
  <c r="AX82" i="19"/>
  <c r="AY82" i="19"/>
  <c r="AZ82" i="19"/>
  <c r="BA82" i="19"/>
  <c r="BB82" i="19"/>
  <c r="BC82" i="19"/>
  <c r="BD82" i="19"/>
  <c r="BE82" i="19"/>
  <c r="AE83" i="19"/>
  <c r="AF83" i="19"/>
  <c r="AG83" i="19"/>
  <c r="AH83" i="19"/>
  <c r="AI83" i="19"/>
  <c r="AJ83" i="19"/>
  <c r="AK83" i="19"/>
  <c r="AL83" i="19"/>
  <c r="AM83" i="19"/>
  <c r="AN83" i="19"/>
  <c r="AO83" i="19"/>
  <c r="AP83" i="19"/>
  <c r="AT83" i="19"/>
  <c r="AU83" i="19"/>
  <c r="AV83" i="19"/>
  <c r="AW83" i="19"/>
  <c r="AX83" i="19"/>
  <c r="AY83" i="19"/>
  <c r="AZ83" i="19"/>
  <c r="BA83" i="19"/>
  <c r="BB83" i="19"/>
  <c r="BC83" i="19"/>
  <c r="BD83" i="19"/>
  <c r="BE83" i="19"/>
  <c r="AE84" i="19"/>
  <c r="AF84" i="19"/>
  <c r="AG84" i="19"/>
  <c r="AH84" i="19"/>
  <c r="AI84" i="19"/>
  <c r="AJ84" i="19"/>
  <c r="AK84" i="19"/>
  <c r="AL84" i="19"/>
  <c r="AM84" i="19"/>
  <c r="AN84" i="19"/>
  <c r="AO84" i="19"/>
  <c r="AP84" i="19"/>
  <c r="AT84" i="19"/>
  <c r="AU84" i="19"/>
  <c r="AV84" i="19"/>
  <c r="AW84" i="19"/>
  <c r="AX84" i="19"/>
  <c r="AY84" i="19"/>
  <c r="AZ84" i="19"/>
  <c r="BA84" i="19"/>
  <c r="BB84" i="19"/>
  <c r="BC84" i="19"/>
  <c r="BD84" i="19"/>
  <c r="BE84" i="19"/>
  <c r="AE85" i="19"/>
  <c r="AF85" i="19"/>
  <c r="AG85" i="19"/>
  <c r="AH85" i="19"/>
  <c r="AI85" i="19"/>
  <c r="AJ85" i="19"/>
  <c r="AK85" i="19"/>
  <c r="AL85" i="19"/>
  <c r="AM85" i="19"/>
  <c r="AN85" i="19"/>
  <c r="AO85" i="19"/>
  <c r="AP85" i="19"/>
  <c r="AT85" i="19"/>
  <c r="AU85" i="19"/>
  <c r="AV85" i="19"/>
  <c r="AW85" i="19"/>
  <c r="AX85" i="19"/>
  <c r="AY85" i="19"/>
  <c r="AZ85" i="19"/>
  <c r="BA85" i="19"/>
  <c r="BB85" i="19"/>
  <c r="BC85" i="19"/>
  <c r="BD85" i="19"/>
  <c r="BE85" i="19"/>
  <c r="AE86" i="19"/>
  <c r="AF86" i="19"/>
  <c r="AG86" i="19"/>
  <c r="AH86" i="19"/>
  <c r="AI86" i="19"/>
  <c r="AJ86" i="19"/>
  <c r="AK86" i="19"/>
  <c r="AL86" i="19"/>
  <c r="AM86" i="19"/>
  <c r="AN86" i="19"/>
  <c r="AO86" i="19"/>
  <c r="AP86" i="19"/>
  <c r="AT86" i="19"/>
  <c r="AU86" i="19"/>
  <c r="AV86" i="19"/>
  <c r="AW86" i="19"/>
  <c r="AX86" i="19"/>
  <c r="AY86" i="19"/>
  <c r="AZ86" i="19"/>
  <c r="BA86" i="19"/>
  <c r="BB86" i="19"/>
  <c r="BC86" i="19"/>
  <c r="BD86" i="19"/>
  <c r="BE86" i="19"/>
  <c r="AE87" i="19"/>
  <c r="AF87" i="19"/>
  <c r="AG87" i="19"/>
  <c r="AH87" i="19"/>
  <c r="AI87" i="19"/>
  <c r="AJ87" i="19"/>
  <c r="AK87" i="19"/>
  <c r="AL87" i="19"/>
  <c r="AM87" i="19"/>
  <c r="AN87" i="19"/>
  <c r="AO87" i="19"/>
  <c r="AP87" i="19"/>
  <c r="AT87" i="19"/>
  <c r="AU87" i="19"/>
  <c r="AV87" i="19"/>
  <c r="AW87" i="19"/>
  <c r="AX87" i="19"/>
  <c r="AY87" i="19"/>
  <c r="AZ87" i="19"/>
  <c r="BA87" i="19"/>
  <c r="BB87" i="19"/>
  <c r="BC87" i="19"/>
  <c r="BD87" i="19"/>
  <c r="BE87" i="19"/>
  <c r="AE88" i="19"/>
  <c r="AF88" i="19"/>
  <c r="AG88" i="19"/>
  <c r="AH88" i="19"/>
  <c r="AI88" i="19"/>
  <c r="AJ88" i="19"/>
  <c r="AK88" i="19"/>
  <c r="AL88" i="19"/>
  <c r="AM88" i="19"/>
  <c r="AN88" i="19"/>
  <c r="AO88" i="19"/>
  <c r="AP88" i="19"/>
  <c r="AT88" i="19"/>
  <c r="AU88" i="19"/>
  <c r="AV88" i="19"/>
  <c r="AW88" i="19"/>
  <c r="AX88" i="19"/>
  <c r="AY88" i="19"/>
  <c r="AZ88" i="19"/>
  <c r="BA88" i="19"/>
  <c r="BB88" i="19"/>
  <c r="BC88" i="19"/>
  <c r="BD88" i="19"/>
  <c r="BE88" i="19"/>
  <c r="AE89" i="19"/>
  <c r="AF89" i="19"/>
  <c r="AG89" i="19"/>
  <c r="AH89" i="19"/>
  <c r="AI89" i="19"/>
  <c r="AJ89" i="19"/>
  <c r="AK89" i="19"/>
  <c r="AL89" i="19"/>
  <c r="AM89" i="19"/>
  <c r="AN89" i="19"/>
  <c r="AO89" i="19"/>
  <c r="AP89" i="19"/>
  <c r="AT89" i="19"/>
  <c r="AU89" i="19"/>
  <c r="AV89" i="19"/>
  <c r="AW89" i="19"/>
  <c r="AX89" i="19"/>
  <c r="AY89" i="19"/>
  <c r="AZ89" i="19"/>
  <c r="BA89" i="19"/>
  <c r="BB89" i="19"/>
  <c r="BC89" i="19"/>
  <c r="BD89" i="19"/>
  <c r="BE89" i="19"/>
  <c r="AE90" i="19"/>
  <c r="AF90" i="19"/>
  <c r="AG90" i="19"/>
  <c r="AH90" i="19"/>
  <c r="AI90" i="19"/>
  <c r="AJ90" i="19"/>
  <c r="AK90" i="19"/>
  <c r="AL90" i="19"/>
  <c r="AM90" i="19"/>
  <c r="AN90" i="19"/>
  <c r="AO90" i="19"/>
  <c r="AP90" i="19"/>
  <c r="AT90" i="19"/>
  <c r="AU90" i="19"/>
  <c r="AV90" i="19"/>
  <c r="AW90" i="19"/>
  <c r="AX90" i="19"/>
  <c r="AY90" i="19"/>
  <c r="AZ90" i="19"/>
  <c r="BA90" i="19"/>
  <c r="BB90" i="19"/>
  <c r="BC90" i="19"/>
  <c r="BD90" i="19"/>
  <c r="BE90" i="19"/>
  <c r="AE91" i="19"/>
  <c r="AF91" i="19"/>
  <c r="AG91" i="19"/>
  <c r="AH91" i="19"/>
  <c r="AI91" i="19"/>
  <c r="AJ91" i="19"/>
  <c r="AK91" i="19"/>
  <c r="AL91" i="19"/>
  <c r="AM91" i="19"/>
  <c r="AN91" i="19"/>
  <c r="AO91" i="19"/>
  <c r="AP91" i="19"/>
  <c r="AT91" i="19"/>
  <c r="AU91" i="19"/>
  <c r="AV91" i="19"/>
  <c r="AW91" i="19"/>
  <c r="AX91" i="19"/>
  <c r="AY91" i="19"/>
  <c r="AZ91" i="19"/>
  <c r="BA91" i="19"/>
  <c r="BB91" i="19"/>
  <c r="BC91" i="19"/>
  <c r="BD91" i="19"/>
  <c r="BE91" i="19"/>
  <c r="AE92" i="19"/>
  <c r="AF92" i="19"/>
  <c r="AG92" i="19"/>
  <c r="AH92" i="19"/>
  <c r="AI92" i="19"/>
  <c r="AJ92" i="19"/>
  <c r="AK92" i="19"/>
  <c r="AL92" i="19"/>
  <c r="AM92" i="19"/>
  <c r="AN92" i="19"/>
  <c r="AO92" i="19"/>
  <c r="AP92" i="19"/>
  <c r="AT92" i="19"/>
  <c r="AU92" i="19"/>
  <c r="AV92" i="19"/>
  <c r="AW92" i="19"/>
  <c r="AX92" i="19"/>
  <c r="AY92" i="19"/>
  <c r="AZ92" i="19"/>
  <c r="BA92" i="19"/>
  <c r="BB92" i="19"/>
  <c r="BC92" i="19"/>
  <c r="BD92" i="19"/>
  <c r="BE92" i="19"/>
  <c r="AE93" i="19"/>
  <c r="AF93" i="19"/>
  <c r="AG93" i="19"/>
  <c r="AH93" i="19"/>
  <c r="AI93" i="19"/>
  <c r="AJ93" i="19"/>
  <c r="AK93" i="19"/>
  <c r="AL93" i="19"/>
  <c r="AM93" i="19"/>
  <c r="AN93" i="19"/>
  <c r="AO93" i="19"/>
  <c r="AP93" i="19"/>
  <c r="AT93" i="19"/>
  <c r="AU93" i="19"/>
  <c r="AV93" i="19"/>
  <c r="AW93" i="19"/>
  <c r="AX93" i="19"/>
  <c r="AY93" i="19"/>
  <c r="AZ93" i="19"/>
  <c r="BA93" i="19"/>
  <c r="BB93" i="19"/>
  <c r="BC93" i="19"/>
  <c r="BD93" i="19"/>
  <c r="BE93" i="19"/>
  <c r="AE94" i="19"/>
  <c r="AF94" i="19"/>
  <c r="AG94" i="19"/>
  <c r="AH94" i="19"/>
  <c r="AI94" i="19"/>
  <c r="AJ94" i="19"/>
  <c r="AK94" i="19"/>
  <c r="AL94" i="19"/>
  <c r="AM94" i="19"/>
  <c r="AN94" i="19"/>
  <c r="AO94" i="19"/>
  <c r="AP94" i="19"/>
  <c r="AT94" i="19"/>
  <c r="AU94" i="19"/>
  <c r="AV94" i="19"/>
  <c r="AW94" i="19"/>
  <c r="AX94" i="19"/>
  <c r="AY94" i="19"/>
  <c r="AZ94" i="19"/>
  <c r="BA94" i="19"/>
  <c r="BB94" i="19"/>
  <c r="BC94" i="19"/>
  <c r="BD94" i="19"/>
  <c r="BE94" i="19"/>
  <c r="AE95" i="19"/>
  <c r="AF95" i="19"/>
  <c r="AG95" i="19"/>
  <c r="AH95" i="19"/>
  <c r="AI95" i="19"/>
  <c r="AJ95" i="19"/>
  <c r="AK95" i="19"/>
  <c r="AL95" i="19"/>
  <c r="AM95" i="19"/>
  <c r="AN95" i="19"/>
  <c r="AO95" i="19"/>
  <c r="AP95" i="19"/>
  <c r="AT95" i="19"/>
  <c r="AU95" i="19"/>
  <c r="AV95" i="19"/>
  <c r="AW95" i="19"/>
  <c r="AX95" i="19"/>
  <c r="AY95" i="19"/>
  <c r="AZ95" i="19"/>
  <c r="BA95" i="19"/>
  <c r="BB95" i="19"/>
  <c r="BC95" i="19"/>
  <c r="BD95" i="19"/>
  <c r="BE95" i="19"/>
  <c r="AE96" i="19"/>
  <c r="AF96" i="19"/>
  <c r="AG96" i="19"/>
  <c r="AH96" i="19"/>
  <c r="AI96" i="19"/>
  <c r="AJ96" i="19"/>
  <c r="AK96" i="19"/>
  <c r="AL96" i="19"/>
  <c r="AM96" i="19"/>
  <c r="AN96" i="19"/>
  <c r="AO96" i="19"/>
  <c r="AP96" i="19"/>
  <c r="AT96" i="19"/>
  <c r="AU96" i="19"/>
  <c r="AV96" i="19"/>
  <c r="AW96" i="19"/>
  <c r="AX96" i="19"/>
  <c r="AY96" i="19"/>
  <c r="AZ96" i="19"/>
  <c r="BA96" i="19"/>
  <c r="BB96" i="19"/>
  <c r="BC96" i="19"/>
  <c r="BD96" i="19"/>
  <c r="BE96" i="19"/>
  <c r="AE97" i="19"/>
  <c r="AF97" i="19"/>
  <c r="AG97" i="19"/>
  <c r="AH97" i="19"/>
  <c r="AI97" i="19"/>
  <c r="AJ97" i="19"/>
  <c r="AK97" i="19"/>
  <c r="AL97" i="19"/>
  <c r="AM97" i="19"/>
  <c r="AN97" i="19"/>
  <c r="AO97" i="19"/>
  <c r="AP97" i="19"/>
  <c r="AT97" i="19"/>
  <c r="AU97" i="19"/>
  <c r="AV97" i="19"/>
  <c r="AW97" i="19"/>
  <c r="AX97" i="19"/>
  <c r="AY97" i="19"/>
  <c r="AZ97" i="19"/>
  <c r="BA97" i="19"/>
  <c r="BB97" i="19"/>
  <c r="BC97" i="19"/>
  <c r="BD97" i="19"/>
  <c r="BE97" i="19"/>
  <c r="AE98" i="19"/>
  <c r="AF98" i="19"/>
  <c r="AG98" i="19"/>
  <c r="AH98" i="19"/>
  <c r="AI98" i="19"/>
  <c r="AJ98" i="19"/>
  <c r="AK98" i="19"/>
  <c r="AL98" i="19"/>
  <c r="AM98" i="19"/>
  <c r="AN98" i="19"/>
  <c r="AO98" i="19"/>
  <c r="AP98" i="19"/>
  <c r="AT98" i="19"/>
  <c r="AU98" i="19"/>
  <c r="AV98" i="19"/>
  <c r="AW98" i="19"/>
  <c r="AX98" i="19"/>
  <c r="AY98" i="19"/>
  <c r="AZ98" i="19"/>
  <c r="BA98" i="19"/>
  <c r="BB98" i="19"/>
  <c r="BC98" i="19"/>
  <c r="BD98" i="19"/>
  <c r="BE98" i="19"/>
  <c r="AE99" i="19"/>
  <c r="AF99" i="19"/>
  <c r="AG99" i="19"/>
  <c r="AH99" i="19"/>
  <c r="AI99" i="19"/>
  <c r="AJ99" i="19"/>
  <c r="AK99" i="19"/>
  <c r="AL99" i="19"/>
  <c r="AM99" i="19"/>
  <c r="AN99" i="19"/>
  <c r="AO99" i="19"/>
  <c r="AP99" i="19"/>
  <c r="AT99" i="19"/>
  <c r="AU99" i="19"/>
  <c r="AV99" i="19"/>
  <c r="AW99" i="19"/>
  <c r="AX99" i="19"/>
  <c r="AY99" i="19"/>
  <c r="AZ99" i="19"/>
  <c r="BA99" i="19"/>
  <c r="BB99" i="19"/>
  <c r="BC99" i="19"/>
  <c r="BD99" i="19"/>
  <c r="BE99" i="19"/>
  <c r="AE100" i="19"/>
  <c r="AF100" i="19"/>
  <c r="AG100" i="19"/>
  <c r="AH100" i="19"/>
  <c r="AI100" i="19"/>
  <c r="AJ100" i="19"/>
  <c r="AK100" i="19"/>
  <c r="AL100" i="19"/>
  <c r="AM100" i="19"/>
  <c r="AN100" i="19"/>
  <c r="AO100" i="19"/>
  <c r="AP100" i="19"/>
  <c r="AT100" i="19"/>
  <c r="AU100" i="19"/>
  <c r="AV100" i="19"/>
  <c r="AW100" i="19"/>
  <c r="AX100" i="19"/>
  <c r="AY100" i="19"/>
  <c r="AZ100" i="19"/>
  <c r="BA100" i="19"/>
  <c r="BB100" i="19"/>
  <c r="BC100" i="19"/>
  <c r="BD100" i="19"/>
  <c r="BE100" i="19"/>
  <c r="AE101" i="19"/>
  <c r="AF101" i="19"/>
  <c r="AG101" i="19"/>
  <c r="AH101" i="19"/>
  <c r="AI101" i="19"/>
  <c r="AJ101" i="19"/>
  <c r="AK101" i="19"/>
  <c r="AL101" i="19"/>
  <c r="AM101" i="19"/>
  <c r="AN101" i="19"/>
  <c r="AO101" i="19"/>
  <c r="AP101" i="19"/>
  <c r="AT101" i="19"/>
  <c r="AU101" i="19"/>
  <c r="AV101" i="19"/>
  <c r="AW101" i="19"/>
  <c r="AX101" i="19"/>
  <c r="AY101" i="19"/>
  <c r="AZ101" i="19"/>
  <c r="BA101" i="19"/>
  <c r="BB101" i="19"/>
  <c r="BC101" i="19"/>
  <c r="BD101" i="19"/>
  <c r="BE101" i="19"/>
  <c r="AE102" i="19"/>
  <c r="AF102" i="19"/>
  <c r="AG102" i="19"/>
  <c r="AH102" i="19"/>
  <c r="AI102" i="19"/>
  <c r="AJ102" i="19"/>
  <c r="AK102" i="19"/>
  <c r="AL102" i="19"/>
  <c r="AM102" i="19"/>
  <c r="AN102" i="19"/>
  <c r="AO102" i="19"/>
  <c r="AP102" i="19"/>
  <c r="AT102" i="19"/>
  <c r="AU102" i="19"/>
  <c r="AV102" i="19"/>
  <c r="AW102" i="19"/>
  <c r="AX102" i="19"/>
  <c r="AY102" i="19"/>
  <c r="AZ102" i="19"/>
  <c r="BA102" i="19"/>
  <c r="BB102" i="19"/>
  <c r="BC102" i="19"/>
  <c r="BD102" i="19"/>
  <c r="BE102" i="19"/>
  <c r="AE103" i="19"/>
  <c r="AF103" i="19"/>
  <c r="AG103" i="19"/>
  <c r="AH103" i="19"/>
  <c r="AI103" i="19"/>
  <c r="AJ103" i="19"/>
  <c r="AK103" i="19"/>
  <c r="AL103" i="19"/>
  <c r="AM103" i="19"/>
  <c r="AN103" i="19"/>
  <c r="AO103" i="19"/>
  <c r="AP103" i="19"/>
  <c r="AT103" i="19"/>
  <c r="AU103" i="19"/>
  <c r="AV103" i="19"/>
  <c r="AW103" i="19"/>
  <c r="AX103" i="19"/>
  <c r="AY103" i="19"/>
  <c r="AZ103" i="19"/>
  <c r="BA103" i="19"/>
  <c r="BB103" i="19"/>
  <c r="BC103" i="19"/>
  <c r="BD103" i="19"/>
  <c r="BE103" i="19"/>
  <c r="AE104" i="19"/>
  <c r="AF104" i="19"/>
  <c r="AG104" i="19"/>
  <c r="AH104" i="19"/>
  <c r="AI104" i="19"/>
  <c r="AJ104" i="19"/>
  <c r="AK104" i="19"/>
  <c r="AL104" i="19"/>
  <c r="AM104" i="19"/>
  <c r="AN104" i="19"/>
  <c r="AO104" i="19"/>
  <c r="AP104" i="19"/>
  <c r="AT104" i="19"/>
  <c r="AU104" i="19"/>
  <c r="AV104" i="19"/>
  <c r="AW104" i="19"/>
  <c r="AX104" i="19"/>
  <c r="AY104" i="19"/>
  <c r="AZ104" i="19"/>
  <c r="BA104" i="19"/>
  <c r="BB104" i="19"/>
  <c r="BC104" i="19"/>
  <c r="BD104" i="19"/>
  <c r="BE104" i="19"/>
  <c r="AE105" i="19"/>
  <c r="AF105" i="19"/>
  <c r="AG105" i="19"/>
  <c r="AH105" i="19"/>
  <c r="AI105" i="19"/>
  <c r="AJ105" i="19"/>
  <c r="AK105" i="19"/>
  <c r="AL105" i="19"/>
  <c r="AM105" i="19"/>
  <c r="AN105" i="19"/>
  <c r="AO105" i="19"/>
  <c r="AP105" i="19"/>
  <c r="AT105" i="19"/>
  <c r="AU105" i="19"/>
  <c r="AV105" i="19"/>
  <c r="AW105" i="19"/>
  <c r="AX105" i="19"/>
  <c r="AY105" i="19"/>
  <c r="AZ105" i="19"/>
  <c r="BA105" i="19"/>
  <c r="BB105" i="19"/>
  <c r="BC105" i="19"/>
  <c r="BD105" i="19"/>
  <c r="BE105" i="19"/>
  <c r="AE106" i="19"/>
  <c r="AF106" i="19"/>
  <c r="AG106" i="19"/>
  <c r="AH106" i="19"/>
  <c r="AI106" i="19"/>
  <c r="AJ106" i="19"/>
  <c r="AK106" i="19"/>
  <c r="AL106" i="19"/>
  <c r="AM106" i="19"/>
  <c r="AN106" i="19"/>
  <c r="AO106" i="19"/>
  <c r="AP106" i="19"/>
  <c r="AT106" i="19"/>
  <c r="AU106" i="19"/>
  <c r="AV106" i="19"/>
  <c r="AW106" i="19"/>
  <c r="AX106" i="19"/>
  <c r="AY106" i="19"/>
  <c r="AZ106" i="19"/>
  <c r="BA106" i="19"/>
  <c r="BB106" i="19"/>
  <c r="BC106" i="19"/>
  <c r="BD106" i="19"/>
  <c r="BE106" i="19"/>
  <c r="AE107" i="19"/>
  <c r="AF107" i="19"/>
  <c r="AG107" i="19"/>
  <c r="AH107" i="19"/>
  <c r="AI107" i="19"/>
  <c r="AJ107" i="19"/>
  <c r="AK107" i="19"/>
  <c r="AL107" i="19"/>
  <c r="AM107" i="19"/>
  <c r="AN107" i="19"/>
  <c r="AO107" i="19"/>
  <c r="AP107" i="19"/>
  <c r="AT107" i="19"/>
  <c r="AU107" i="19"/>
  <c r="AV107" i="19"/>
  <c r="AW107" i="19"/>
  <c r="AX107" i="19"/>
  <c r="AY107" i="19"/>
  <c r="AZ107" i="19"/>
  <c r="BA107" i="19"/>
  <c r="BB107" i="19"/>
  <c r="BC107" i="19"/>
  <c r="BD107" i="19"/>
  <c r="BE107" i="19"/>
  <c r="AE108" i="19"/>
  <c r="AF108" i="19"/>
  <c r="AG108" i="19"/>
  <c r="AH108" i="19"/>
  <c r="AI108" i="19"/>
  <c r="AJ108" i="19"/>
  <c r="AK108" i="19"/>
  <c r="AL108" i="19"/>
  <c r="AM108" i="19"/>
  <c r="AN108" i="19"/>
  <c r="AO108" i="19"/>
  <c r="AP108" i="19"/>
  <c r="AT108" i="19"/>
  <c r="AU108" i="19"/>
  <c r="AV108" i="19"/>
  <c r="AW108" i="19"/>
  <c r="AX108" i="19"/>
  <c r="AY108" i="19"/>
  <c r="AZ108" i="19"/>
  <c r="BA108" i="19"/>
  <c r="BB108" i="19"/>
  <c r="BC108" i="19"/>
  <c r="BD108" i="19"/>
  <c r="BE108" i="19"/>
  <c r="AE109" i="19"/>
  <c r="AF109" i="19"/>
  <c r="AG109" i="19"/>
  <c r="AH109" i="19"/>
  <c r="AI109" i="19"/>
  <c r="AJ109" i="19"/>
  <c r="AK109" i="19"/>
  <c r="AL109" i="19"/>
  <c r="AM109" i="19"/>
  <c r="AN109" i="19"/>
  <c r="AO109" i="19"/>
  <c r="AP109" i="19"/>
  <c r="AT109" i="19"/>
  <c r="AU109" i="19"/>
  <c r="AV109" i="19"/>
  <c r="AW109" i="19"/>
  <c r="AX109" i="19"/>
  <c r="AY109" i="19"/>
  <c r="AZ109" i="19"/>
  <c r="BA109" i="19"/>
  <c r="BB109" i="19"/>
  <c r="BC109" i="19"/>
  <c r="BD109" i="19"/>
  <c r="BE109" i="19"/>
  <c r="AE110" i="19"/>
  <c r="AF110" i="19"/>
  <c r="AG110" i="19"/>
  <c r="AH110" i="19"/>
  <c r="AI110" i="19"/>
  <c r="AJ110" i="19"/>
  <c r="AK110" i="19"/>
  <c r="AL110" i="19"/>
  <c r="AM110" i="19"/>
  <c r="AN110" i="19"/>
  <c r="AO110" i="19"/>
  <c r="AP110" i="19"/>
  <c r="AT110" i="19"/>
  <c r="AU110" i="19"/>
  <c r="AV110" i="19"/>
  <c r="AW110" i="19"/>
  <c r="AX110" i="19"/>
  <c r="AY110" i="19"/>
  <c r="AZ110" i="19"/>
  <c r="BA110" i="19"/>
  <c r="BB110" i="19"/>
  <c r="BC110" i="19"/>
  <c r="BD110" i="19"/>
  <c r="BE110" i="19"/>
  <c r="AE111" i="19"/>
  <c r="AF111" i="19"/>
  <c r="AG111" i="19"/>
  <c r="AH111" i="19"/>
  <c r="AI111" i="19"/>
  <c r="AJ111" i="19"/>
  <c r="AK111" i="19"/>
  <c r="AL111" i="19"/>
  <c r="AM111" i="19"/>
  <c r="AN111" i="19"/>
  <c r="AO111" i="19"/>
  <c r="AP111" i="19"/>
  <c r="AT111" i="19"/>
  <c r="AU111" i="19"/>
  <c r="AV111" i="19"/>
  <c r="AW111" i="19"/>
  <c r="AX111" i="19"/>
  <c r="AY111" i="19"/>
  <c r="AZ111" i="19"/>
  <c r="BA111" i="19"/>
  <c r="BB111" i="19"/>
  <c r="BC111" i="19"/>
  <c r="BD111" i="19"/>
  <c r="BE111" i="19"/>
  <c r="AE112" i="19"/>
  <c r="AF112" i="19"/>
  <c r="AG112" i="19"/>
  <c r="AH112" i="19"/>
  <c r="AI112" i="19"/>
  <c r="AJ112" i="19"/>
  <c r="AK112" i="19"/>
  <c r="AL112" i="19"/>
  <c r="AM112" i="19"/>
  <c r="AN112" i="19"/>
  <c r="AO112" i="19"/>
  <c r="AP112" i="19"/>
  <c r="AT112" i="19"/>
  <c r="AU112" i="19"/>
  <c r="AV112" i="19"/>
  <c r="AW112" i="19"/>
  <c r="AX112" i="19"/>
  <c r="AY112" i="19"/>
  <c r="AZ112" i="19"/>
  <c r="BA112" i="19"/>
  <c r="BB112" i="19"/>
  <c r="BC112" i="19"/>
  <c r="BD112" i="19"/>
  <c r="BE112" i="19"/>
  <c r="AE113" i="19"/>
  <c r="AF113" i="19"/>
  <c r="AG113" i="19"/>
  <c r="AH113" i="19"/>
  <c r="AI113" i="19"/>
  <c r="AJ113" i="19"/>
  <c r="AK113" i="19"/>
  <c r="AL113" i="19"/>
  <c r="AM113" i="19"/>
  <c r="AN113" i="19"/>
  <c r="AO113" i="19"/>
  <c r="AP113" i="19"/>
  <c r="AT113" i="19"/>
  <c r="AU113" i="19"/>
  <c r="AV113" i="19"/>
  <c r="AW113" i="19"/>
  <c r="AX113" i="19"/>
  <c r="AY113" i="19"/>
  <c r="AZ113" i="19"/>
  <c r="BA113" i="19"/>
  <c r="BB113" i="19"/>
  <c r="BC113" i="19"/>
  <c r="BD113" i="19"/>
  <c r="BE113" i="19"/>
  <c r="AE114" i="19"/>
  <c r="AF114" i="19"/>
  <c r="AG114" i="19"/>
  <c r="AH114" i="19"/>
  <c r="AI114" i="19"/>
  <c r="AJ114" i="19"/>
  <c r="AK114" i="19"/>
  <c r="AL114" i="19"/>
  <c r="AM114" i="19"/>
  <c r="AN114" i="19"/>
  <c r="AO114" i="19"/>
  <c r="AP114" i="19"/>
  <c r="AT114" i="19"/>
  <c r="AU114" i="19"/>
  <c r="AV114" i="19"/>
  <c r="AW114" i="19"/>
  <c r="AX114" i="19"/>
  <c r="AY114" i="19"/>
  <c r="AZ114" i="19"/>
  <c r="BA114" i="19"/>
  <c r="BB114" i="19"/>
  <c r="BC114" i="19"/>
  <c r="BD114" i="19"/>
  <c r="BE114" i="19"/>
  <c r="AE115" i="19"/>
  <c r="AF115" i="19"/>
  <c r="AG115" i="19"/>
  <c r="AH115" i="19"/>
  <c r="AI115" i="19"/>
  <c r="AJ115" i="19"/>
  <c r="AK115" i="19"/>
  <c r="AL115" i="19"/>
  <c r="AM115" i="19"/>
  <c r="AN115" i="19"/>
  <c r="AO115" i="19"/>
  <c r="AP115" i="19"/>
  <c r="AT115" i="19"/>
  <c r="AU115" i="19"/>
  <c r="AV115" i="19"/>
  <c r="AW115" i="19"/>
  <c r="AX115" i="19"/>
  <c r="AY115" i="19"/>
  <c r="AZ115" i="19"/>
  <c r="BA115" i="19"/>
  <c r="BB115" i="19"/>
  <c r="BC115" i="19"/>
  <c r="BD115" i="19"/>
  <c r="BE115" i="19"/>
  <c r="AE116" i="19"/>
  <c r="AF116" i="19"/>
  <c r="AG116" i="19"/>
  <c r="AH116" i="19"/>
  <c r="AI116" i="19"/>
  <c r="AJ116" i="19"/>
  <c r="AK116" i="19"/>
  <c r="AL116" i="19"/>
  <c r="AM116" i="19"/>
  <c r="AN116" i="19"/>
  <c r="AO116" i="19"/>
  <c r="AP116" i="19"/>
  <c r="AT116" i="19"/>
  <c r="AU116" i="19"/>
  <c r="AV116" i="19"/>
  <c r="AW116" i="19"/>
  <c r="AX116" i="19"/>
  <c r="AY116" i="19"/>
  <c r="AZ116" i="19"/>
  <c r="BA116" i="19"/>
  <c r="BB116" i="19"/>
  <c r="BC116" i="19"/>
  <c r="BD116" i="19"/>
  <c r="BE116" i="19"/>
  <c r="AE117" i="19"/>
  <c r="AF117" i="19"/>
  <c r="AG117" i="19"/>
  <c r="AH117" i="19"/>
  <c r="AI117" i="19"/>
  <c r="AJ117" i="19"/>
  <c r="AK117" i="19"/>
  <c r="AL117" i="19"/>
  <c r="AM117" i="19"/>
  <c r="AN117" i="19"/>
  <c r="AO117" i="19"/>
  <c r="AP117" i="19"/>
  <c r="AT117" i="19"/>
  <c r="AU117" i="19"/>
  <c r="AV117" i="19"/>
  <c r="AW117" i="19"/>
  <c r="AX117" i="19"/>
  <c r="AY117" i="19"/>
  <c r="AZ117" i="19"/>
  <c r="BA117" i="19"/>
  <c r="BB117" i="19"/>
  <c r="BC117" i="19"/>
  <c r="BD117" i="19"/>
  <c r="BE117" i="19"/>
  <c r="AE118" i="19"/>
  <c r="AF118" i="19"/>
  <c r="AG118" i="19"/>
  <c r="AH118" i="19"/>
  <c r="AI118" i="19"/>
  <c r="AJ118" i="19"/>
  <c r="AK118" i="19"/>
  <c r="AL118" i="19"/>
  <c r="AM118" i="19"/>
  <c r="AN118" i="19"/>
  <c r="AO118" i="19"/>
  <c r="AP118" i="19"/>
  <c r="AT118" i="19"/>
  <c r="AU118" i="19"/>
  <c r="AV118" i="19"/>
  <c r="AW118" i="19"/>
  <c r="AX118" i="19"/>
  <c r="AY118" i="19"/>
  <c r="AZ118" i="19"/>
  <c r="BA118" i="19"/>
  <c r="BB118" i="19"/>
  <c r="BC118" i="19"/>
  <c r="BD118" i="19"/>
  <c r="BE118" i="19"/>
  <c r="AE119" i="19"/>
  <c r="AF119" i="19"/>
  <c r="AG119" i="19"/>
  <c r="AH119" i="19"/>
  <c r="AI119" i="19"/>
  <c r="AJ119" i="19"/>
  <c r="AK119" i="19"/>
  <c r="AL119" i="19"/>
  <c r="AM119" i="19"/>
  <c r="AN119" i="19"/>
  <c r="AO119" i="19"/>
  <c r="AP119" i="19"/>
  <c r="AT119" i="19"/>
  <c r="AU119" i="19"/>
  <c r="AV119" i="19"/>
  <c r="AW119" i="19"/>
  <c r="AX119" i="19"/>
  <c r="AY119" i="19"/>
  <c r="AZ119" i="19"/>
  <c r="BA119" i="19"/>
  <c r="BB119" i="19"/>
  <c r="BC119" i="19"/>
  <c r="BD119" i="19"/>
  <c r="BE119" i="19"/>
  <c r="AE120" i="19"/>
  <c r="AF120" i="19"/>
  <c r="AG120" i="19"/>
  <c r="AH120" i="19"/>
  <c r="AI120" i="19"/>
  <c r="AJ120" i="19"/>
  <c r="AK120" i="19"/>
  <c r="AL120" i="19"/>
  <c r="AM120" i="19"/>
  <c r="AN120" i="19"/>
  <c r="AO120" i="19"/>
  <c r="AP120" i="19"/>
  <c r="AT120" i="19"/>
  <c r="AU120" i="19"/>
  <c r="AV120" i="19"/>
  <c r="AW120" i="19"/>
  <c r="AX120" i="19"/>
  <c r="AY120" i="19"/>
  <c r="AZ120" i="19"/>
  <c r="BA120" i="19"/>
  <c r="BB120" i="19"/>
  <c r="BC120" i="19"/>
  <c r="BD120" i="19"/>
  <c r="BE120" i="19"/>
  <c r="AE121" i="19"/>
  <c r="AF121" i="19"/>
  <c r="AG121" i="19"/>
  <c r="AH121" i="19"/>
  <c r="AI121" i="19"/>
  <c r="AJ121" i="19"/>
  <c r="AK121" i="19"/>
  <c r="AL121" i="19"/>
  <c r="AM121" i="19"/>
  <c r="AN121" i="19"/>
  <c r="AO121" i="19"/>
  <c r="AP121" i="19"/>
  <c r="AT121" i="19"/>
  <c r="AU121" i="19"/>
  <c r="AV121" i="19"/>
  <c r="AW121" i="19"/>
  <c r="AX121" i="19"/>
  <c r="AY121" i="19"/>
  <c r="AZ121" i="19"/>
  <c r="BA121" i="19"/>
  <c r="BB121" i="19"/>
  <c r="BC121" i="19"/>
  <c r="BD121" i="19"/>
  <c r="BE121" i="19"/>
  <c r="AE122" i="19"/>
  <c r="AF122" i="19"/>
  <c r="AG122" i="19"/>
  <c r="AH122" i="19"/>
  <c r="AI122" i="19"/>
  <c r="AJ122" i="19"/>
  <c r="AK122" i="19"/>
  <c r="AL122" i="19"/>
  <c r="AM122" i="19"/>
  <c r="AN122" i="19"/>
  <c r="AO122" i="19"/>
  <c r="AP122" i="19"/>
  <c r="AT122" i="19"/>
  <c r="AU122" i="19"/>
  <c r="AV122" i="19"/>
  <c r="AW122" i="19"/>
  <c r="AX122" i="19"/>
  <c r="AY122" i="19"/>
  <c r="AZ122" i="19"/>
  <c r="BA122" i="19"/>
  <c r="BB122" i="19"/>
  <c r="BC122" i="19"/>
  <c r="BD122" i="19"/>
  <c r="BE122" i="19"/>
  <c r="AE123" i="19"/>
  <c r="AF123" i="19"/>
  <c r="AG123" i="19"/>
  <c r="AH123" i="19"/>
  <c r="AI123" i="19"/>
  <c r="AJ123" i="19"/>
  <c r="AK123" i="19"/>
  <c r="AL123" i="19"/>
  <c r="AM123" i="19"/>
  <c r="AN123" i="19"/>
  <c r="AO123" i="19"/>
  <c r="AP123" i="19"/>
  <c r="AT123" i="19"/>
  <c r="AU123" i="19"/>
  <c r="AV123" i="19"/>
  <c r="AW123" i="19"/>
  <c r="AX123" i="19"/>
  <c r="AY123" i="19"/>
  <c r="AZ123" i="19"/>
  <c r="BA123" i="19"/>
  <c r="BB123" i="19"/>
  <c r="BC123" i="19"/>
  <c r="BD123" i="19"/>
  <c r="BE123" i="19"/>
  <c r="AE124" i="19"/>
  <c r="AF124" i="19"/>
  <c r="AG124" i="19"/>
  <c r="AH124" i="19"/>
  <c r="AI124" i="19"/>
  <c r="AJ124" i="19"/>
  <c r="AK124" i="19"/>
  <c r="AL124" i="19"/>
  <c r="AM124" i="19"/>
  <c r="AN124" i="19"/>
  <c r="AO124" i="19"/>
  <c r="AP124" i="19"/>
  <c r="AT124" i="19"/>
  <c r="AU124" i="19"/>
  <c r="AV124" i="19"/>
  <c r="AW124" i="19"/>
  <c r="AX124" i="19"/>
  <c r="AY124" i="19"/>
  <c r="AZ124" i="19"/>
  <c r="BA124" i="19"/>
  <c r="BB124" i="19"/>
  <c r="BC124" i="19"/>
  <c r="BD124" i="19"/>
  <c r="BE124" i="19"/>
  <c r="AE125" i="19"/>
  <c r="AF125" i="19"/>
  <c r="AG125" i="19"/>
  <c r="AH125" i="19"/>
  <c r="AI125" i="19"/>
  <c r="AJ125" i="19"/>
  <c r="AK125" i="19"/>
  <c r="AL125" i="19"/>
  <c r="AM125" i="19"/>
  <c r="AN125" i="19"/>
  <c r="AO125" i="19"/>
  <c r="AP125" i="19"/>
  <c r="AT125" i="19"/>
  <c r="AU125" i="19"/>
  <c r="AV125" i="19"/>
  <c r="AW125" i="19"/>
  <c r="AX125" i="19"/>
  <c r="AY125" i="19"/>
  <c r="AZ125" i="19"/>
  <c r="BA125" i="19"/>
  <c r="BB125" i="19"/>
  <c r="BC125" i="19"/>
  <c r="BD125" i="19"/>
  <c r="BE125" i="19"/>
  <c r="AE126" i="19"/>
  <c r="AF126" i="19"/>
  <c r="AG126" i="19"/>
  <c r="AH126" i="19"/>
  <c r="AI126" i="19"/>
  <c r="AJ126" i="19"/>
  <c r="AK126" i="19"/>
  <c r="AL126" i="19"/>
  <c r="AM126" i="19"/>
  <c r="AN126" i="19"/>
  <c r="AO126" i="19"/>
  <c r="AP126" i="19"/>
  <c r="AT126" i="19"/>
  <c r="AU126" i="19"/>
  <c r="AV126" i="19"/>
  <c r="AW126" i="19"/>
  <c r="AX126" i="19"/>
  <c r="AY126" i="19"/>
  <c r="AZ126" i="19"/>
  <c r="BA126" i="19"/>
  <c r="BB126" i="19"/>
  <c r="BC126" i="19"/>
  <c r="BD126" i="19"/>
  <c r="BE126" i="19"/>
  <c r="AE127" i="19"/>
  <c r="AF127" i="19"/>
  <c r="AG127" i="19"/>
  <c r="AH127" i="19"/>
  <c r="AI127" i="19"/>
  <c r="AJ127" i="19"/>
  <c r="AK127" i="19"/>
  <c r="AL127" i="19"/>
  <c r="AM127" i="19"/>
  <c r="AN127" i="19"/>
  <c r="AO127" i="19"/>
  <c r="AP127" i="19"/>
  <c r="AT127" i="19"/>
  <c r="AU127" i="19"/>
  <c r="AV127" i="19"/>
  <c r="AW127" i="19"/>
  <c r="AX127" i="19"/>
  <c r="AY127" i="19"/>
  <c r="AZ127" i="19"/>
  <c r="BA127" i="19"/>
  <c r="BB127" i="19"/>
  <c r="BC127" i="19"/>
  <c r="BD127" i="19"/>
  <c r="BE127" i="19"/>
  <c r="AE128" i="19"/>
  <c r="AF128" i="19"/>
  <c r="AG128" i="19"/>
  <c r="AH128" i="19"/>
  <c r="AI128" i="19"/>
  <c r="AJ128" i="19"/>
  <c r="AK128" i="19"/>
  <c r="AL128" i="19"/>
  <c r="AM128" i="19"/>
  <c r="AN128" i="19"/>
  <c r="AO128" i="19"/>
  <c r="AP128" i="19"/>
  <c r="AT128" i="19"/>
  <c r="AU128" i="19"/>
  <c r="AV128" i="19"/>
  <c r="AW128" i="19"/>
  <c r="AX128" i="19"/>
  <c r="AY128" i="19"/>
  <c r="AZ128" i="19"/>
  <c r="BA128" i="19"/>
  <c r="BB128" i="19"/>
  <c r="BC128" i="19"/>
  <c r="BD128" i="19"/>
  <c r="BE128" i="19"/>
  <c r="AE129" i="19"/>
  <c r="AF129" i="19"/>
  <c r="AG129" i="19"/>
  <c r="AH129" i="19"/>
  <c r="AI129" i="19"/>
  <c r="AJ129" i="19"/>
  <c r="AK129" i="19"/>
  <c r="AL129" i="19"/>
  <c r="AM129" i="19"/>
  <c r="AN129" i="19"/>
  <c r="AO129" i="19"/>
  <c r="AP129" i="19"/>
  <c r="AT129" i="19"/>
  <c r="AU129" i="19"/>
  <c r="AV129" i="19"/>
  <c r="AW129" i="19"/>
  <c r="AX129" i="19"/>
  <c r="AY129" i="19"/>
  <c r="AZ129" i="19"/>
  <c r="BA129" i="19"/>
  <c r="BB129" i="19"/>
  <c r="BC129" i="19"/>
  <c r="BD129" i="19"/>
  <c r="BE129" i="19"/>
  <c r="AE130" i="19"/>
  <c r="AF130" i="19"/>
  <c r="AG130" i="19"/>
  <c r="AH130" i="19"/>
  <c r="AI130" i="19"/>
  <c r="AJ130" i="19"/>
  <c r="AK130" i="19"/>
  <c r="AL130" i="19"/>
  <c r="AM130" i="19"/>
  <c r="AN130" i="19"/>
  <c r="AO130" i="19"/>
  <c r="AP130" i="19"/>
  <c r="AT130" i="19"/>
  <c r="AU130" i="19"/>
  <c r="AV130" i="19"/>
  <c r="AW130" i="19"/>
  <c r="AX130" i="19"/>
  <c r="AY130" i="19"/>
  <c r="AZ130" i="19"/>
  <c r="BA130" i="19"/>
  <c r="BB130" i="19"/>
  <c r="BC130" i="19"/>
  <c r="BD130" i="19"/>
  <c r="BE130" i="19"/>
  <c r="AE131" i="19"/>
  <c r="AF131" i="19"/>
  <c r="AG131" i="19"/>
  <c r="AH131" i="19"/>
  <c r="AI131" i="19"/>
  <c r="AJ131" i="19"/>
  <c r="AK131" i="19"/>
  <c r="AL131" i="19"/>
  <c r="AM131" i="19"/>
  <c r="AN131" i="19"/>
  <c r="AO131" i="19"/>
  <c r="AP131" i="19"/>
  <c r="AT131" i="19"/>
  <c r="AU131" i="19"/>
  <c r="AV131" i="19"/>
  <c r="AW131" i="19"/>
  <c r="AX131" i="19"/>
  <c r="AY131" i="19"/>
  <c r="AZ131" i="19"/>
  <c r="BA131" i="19"/>
  <c r="BB131" i="19"/>
  <c r="BC131" i="19"/>
  <c r="BD131" i="19"/>
  <c r="BE131" i="19"/>
  <c r="AE132" i="19"/>
  <c r="AF132" i="19"/>
  <c r="AG132" i="19"/>
  <c r="AH132" i="19"/>
  <c r="AI132" i="19"/>
  <c r="AJ132" i="19"/>
  <c r="AK132" i="19"/>
  <c r="AL132" i="19"/>
  <c r="AM132" i="19"/>
  <c r="AN132" i="19"/>
  <c r="AO132" i="19"/>
  <c r="AP132" i="19"/>
  <c r="AT132" i="19"/>
  <c r="AU132" i="19"/>
  <c r="AV132" i="19"/>
  <c r="AW132" i="19"/>
  <c r="AX132" i="19"/>
  <c r="AY132" i="19"/>
  <c r="AZ132" i="19"/>
  <c r="BA132" i="19"/>
  <c r="BB132" i="19"/>
  <c r="BC132" i="19"/>
  <c r="BD132" i="19"/>
  <c r="BE132" i="19"/>
  <c r="AE133" i="19"/>
  <c r="AF133" i="19"/>
  <c r="AG133" i="19"/>
  <c r="AH133" i="19"/>
  <c r="AI133" i="19"/>
  <c r="AJ133" i="19"/>
  <c r="AK133" i="19"/>
  <c r="AL133" i="19"/>
  <c r="AM133" i="19"/>
  <c r="AN133" i="19"/>
  <c r="AO133" i="19"/>
  <c r="AP133" i="19"/>
  <c r="AT133" i="19"/>
  <c r="AU133" i="19"/>
  <c r="AV133" i="19"/>
  <c r="AW133" i="19"/>
  <c r="AX133" i="19"/>
  <c r="AY133" i="19"/>
  <c r="AZ133" i="19"/>
  <c r="BA133" i="19"/>
  <c r="BB133" i="19"/>
  <c r="BC133" i="19"/>
  <c r="BD133" i="19"/>
  <c r="BE133" i="19"/>
  <c r="AE134" i="19"/>
  <c r="AF134" i="19"/>
  <c r="AG134" i="19"/>
  <c r="AH134" i="19"/>
  <c r="AI134" i="19"/>
  <c r="AJ134" i="19"/>
  <c r="AK134" i="19"/>
  <c r="AL134" i="19"/>
  <c r="AM134" i="19"/>
  <c r="AN134" i="19"/>
  <c r="AO134" i="19"/>
  <c r="AP134" i="19"/>
  <c r="AT134" i="19"/>
  <c r="AU134" i="19"/>
  <c r="AV134" i="19"/>
  <c r="AW134" i="19"/>
  <c r="AX134" i="19"/>
  <c r="AY134" i="19"/>
  <c r="AZ134" i="19"/>
  <c r="BA134" i="19"/>
  <c r="BB134" i="19"/>
  <c r="BC134" i="19"/>
  <c r="BD134" i="19"/>
  <c r="BE134" i="19"/>
  <c r="AE135" i="19"/>
  <c r="AF135" i="19"/>
  <c r="AG135" i="19"/>
  <c r="AH135" i="19"/>
  <c r="AI135" i="19"/>
  <c r="AJ135" i="19"/>
  <c r="AK135" i="19"/>
  <c r="AL135" i="19"/>
  <c r="AM135" i="19"/>
  <c r="AN135" i="19"/>
  <c r="AO135" i="19"/>
  <c r="AP135" i="19"/>
  <c r="AT135" i="19"/>
  <c r="AU135" i="19"/>
  <c r="AV135" i="19"/>
  <c r="AW135" i="19"/>
  <c r="AX135" i="19"/>
  <c r="AY135" i="19"/>
  <c r="AZ135" i="19"/>
  <c r="BA135" i="19"/>
  <c r="BB135" i="19"/>
  <c r="BC135" i="19"/>
  <c r="BD135" i="19"/>
  <c r="BE135" i="19"/>
  <c r="AE136" i="19"/>
  <c r="AF136" i="19"/>
  <c r="AG136" i="19"/>
  <c r="AH136" i="19"/>
  <c r="AI136" i="19"/>
  <c r="AJ136" i="19"/>
  <c r="AK136" i="19"/>
  <c r="AL136" i="19"/>
  <c r="AM136" i="19"/>
  <c r="AN136" i="19"/>
  <c r="AO136" i="19"/>
  <c r="AP136" i="19"/>
  <c r="AT136" i="19"/>
  <c r="AU136" i="19"/>
  <c r="AV136" i="19"/>
  <c r="AW136" i="19"/>
  <c r="AX136" i="19"/>
  <c r="AY136" i="19"/>
  <c r="AZ136" i="19"/>
  <c r="BA136" i="19"/>
  <c r="BB136" i="19"/>
  <c r="BC136" i="19"/>
  <c r="BD136" i="19"/>
  <c r="BE136" i="19"/>
  <c r="AE137" i="19"/>
  <c r="AF137" i="19"/>
  <c r="AG137" i="19"/>
  <c r="AH137" i="19"/>
  <c r="AI137" i="19"/>
  <c r="AJ137" i="19"/>
  <c r="AK137" i="19"/>
  <c r="AL137" i="19"/>
  <c r="AM137" i="19"/>
  <c r="AN137" i="19"/>
  <c r="AO137" i="19"/>
  <c r="AP137" i="19"/>
  <c r="AT137" i="19"/>
  <c r="AU137" i="19"/>
  <c r="AV137" i="19"/>
  <c r="AW137" i="19"/>
  <c r="AX137" i="19"/>
  <c r="AY137" i="19"/>
  <c r="AZ137" i="19"/>
  <c r="BA137" i="19"/>
  <c r="BB137" i="19"/>
  <c r="BC137" i="19"/>
  <c r="BD137" i="19"/>
  <c r="BE137" i="19"/>
  <c r="AE138" i="19"/>
  <c r="AF138" i="19"/>
  <c r="AG138" i="19"/>
  <c r="AH138" i="19"/>
  <c r="AI138" i="19"/>
  <c r="AJ138" i="19"/>
  <c r="AK138" i="19"/>
  <c r="AL138" i="19"/>
  <c r="AM138" i="19"/>
  <c r="AN138" i="19"/>
  <c r="AO138" i="19"/>
  <c r="AP138" i="19"/>
  <c r="AT138" i="19"/>
  <c r="AU138" i="19"/>
  <c r="AV138" i="19"/>
  <c r="AW138" i="19"/>
  <c r="AX138" i="19"/>
  <c r="AY138" i="19"/>
  <c r="AZ138" i="19"/>
  <c r="BA138" i="19"/>
  <c r="BB138" i="19"/>
  <c r="BC138" i="19"/>
  <c r="BD138" i="19"/>
  <c r="BE138" i="19"/>
  <c r="AE139" i="19"/>
  <c r="AF139" i="19"/>
  <c r="AG139" i="19"/>
  <c r="AH139" i="19"/>
  <c r="AI139" i="19"/>
  <c r="AJ139" i="19"/>
  <c r="AK139" i="19"/>
  <c r="AL139" i="19"/>
  <c r="AM139" i="19"/>
  <c r="AN139" i="19"/>
  <c r="AO139" i="19"/>
  <c r="AP139" i="19"/>
  <c r="AT139" i="19"/>
  <c r="AU139" i="19"/>
  <c r="AV139" i="19"/>
  <c r="AW139" i="19"/>
  <c r="AX139" i="19"/>
  <c r="AY139" i="19"/>
  <c r="AZ139" i="19"/>
  <c r="BA139" i="19"/>
  <c r="BB139" i="19"/>
  <c r="BC139" i="19"/>
  <c r="BD139" i="19"/>
  <c r="BE139" i="19"/>
  <c r="AE140" i="19"/>
  <c r="AF140" i="19"/>
  <c r="AG140" i="19"/>
  <c r="AH140" i="19"/>
  <c r="AI140" i="19"/>
  <c r="AJ140" i="19"/>
  <c r="AK140" i="19"/>
  <c r="AL140" i="19"/>
  <c r="AM140" i="19"/>
  <c r="AN140" i="19"/>
  <c r="AO140" i="19"/>
  <c r="AP140" i="19"/>
  <c r="AT140" i="19"/>
  <c r="AU140" i="19"/>
  <c r="AV140" i="19"/>
  <c r="AW140" i="19"/>
  <c r="AX140" i="19"/>
  <c r="AY140" i="19"/>
  <c r="AZ140" i="19"/>
  <c r="BA140" i="19"/>
  <c r="BB140" i="19"/>
  <c r="BC140" i="19"/>
  <c r="BD140" i="19"/>
  <c r="BE140" i="19"/>
  <c r="AE141" i="19"/>
  <c r="AF141" i="19"/>
  <c r="AG141" i="19"/>
  <c r="AH141" i="19"/>
  <c r="AI141" i="19"/>
  <c r="AJ141" i="19"/>
  <c r="AK141" i="19"/>
  <c r="AL141" i="19"/>
  <c r="AM141" i="19"/>
  <c r="AN141" i="19"/>
  <c r="AO141" i="19"/>
  <c r="AP141" i="19"/>
  <c r="AT141" i="19"/>
  <c r="AU141" i="19"/>
  <c r="AV141" i="19"/>
  <c r="AW141" i="19"/>
  <c r="AX141" i="19"/>
  <c r="AY141" i="19"/>
  <c r="AZ141" i="19"/>
  <c r="BA141" i="19"/>
  <c r="BB141" i="19"/>
  <c r="BC141" i="19"/>
  <c r="BD141" i="19"/>
  <c r="BE141" i="19"/>
  <c r="AE142" i="19"/>
  <c r="AF142" i="19"/>
  <c r="AG142" i="19"/>
  <c r="AH142" i="19"/>
  <c r="AI142" i="19"/>
  <c r="AJ142" i="19"/>
  <c r="AK142" i="19"/>
  <c r="AL142" i="19"/>
  <c r="AM142" i="19"/>
  <c r="AN142" i="19"/>
  <c r="AO142" i="19"/>
  <c r="AP142" i="19"/>
  <c r="AT142" i="19"/>
  <c r="AU142" i="19"/>
  <c r="AV142" i="19"/>
  <c r="AW142" i="19"/>
  <c r="AX142" i="19"/>
  <c r="AY142" i="19"/>
  <c r="AZ142" i="19"/>
  <c r="BA142" i="19"/>
  <c r="BB142" i="19"/>
  <c r="BC142" i="19"/>
  <c r="BD142" i="19"/>
  <c r="BE142" i="19"/>
  <c r="AE143" i="19"/>
  <c r="AF143" i="19"/>
  <c r="AG143" i="19"/>
  <c r="AH143" i="19"/>
  <c r="AI143" i="19"/>
  <c r="AJ143" i="19"/>
  <c r="AK143" i="19"/>
  <c r="AL143" i="19"/>
  <c r="AM143" i="19"/>
  <c r="AN143" i="19"/>
  <c r="AO143" i="19"/>
  <c r="AP143" i="19"/>
  <c r="AT143" i="19"/>
  <c r="AU143" i="19"/>
  <c r="AV143" i="19"/>
  <c r="AW143" i="19"/>
  <c r="AX143" i="19"/>
  <c r="AY143" i="19"/>
  <c r="AZ143" i="19"/>
  <c r="BA143" i="19"/>
  <c r="BB143" i="19"/>
  <c r="BC143" i="19"/>
  <c r="BD143" i="19"/>
  <c r="BE143" i="19"/>
  <c r="AE144" i="19"/>
  <c r="AF144" i="19"/>
  <c r="AG144" i="19"/>
  <c r="AH144" i="19"/>
  <c r="AI144" i="19"/>
  <c r="AJ144" i="19"/>
  <c r="AK144" i="19"/>
  <c r="AL144" i="19"/>
  <c r="AM144" i="19"/>
  <c r="AN144" i="19"/>
  <c r="AO144" i="19"/>
  <c r="AP144" i="19"/>
  <c r="AT144" i="19"/>
  <c r="AU144" i="19"/>
  <c r="AV144" i="19"/>
  <c r="AW144" i="19"/>
  <c r="AX144" i="19"/>
  <c r="AY144" i="19"/>
  <c r="AZ144" i="19"/>
  <c r="BA144" i="19"/>
  <c r="BB144" i="19"/>
  <c r="BC144" i="19"/>
  <c r="BD144" i="19"/>
  <c r="BE144" i="19"/>
  <c r="AE145" i="19"/>
  <c r="AF145" i="19"/>
  <c r="AG145" i="19"/>
  <c r="AH145" i="19"/>
  <c r="AI145" i="19"/>
  <c r="AJ145" i="19"/>
  <c r="AK145" i="19"/>
  <c r="AL145" i="19"/>
  <c r="AM145" i="19"/>
  <c r="AN145" i="19"/>
  <c r="AO145" i="19"/>
  <c r="AP145" i="19"/>
  <c r="AT145" i="19"/>
  <c r="AU145" i="19"/>
  <c r="AV145" i="19"/>
  <c r="AW145" i="19"/>
  <c r="AX145" i="19"/>
  <c r="AY145" i="19"/>
  <c r="AZ145" i="19"/>
  <c r="BA145" i="19"/>
  <c r="BB145" i="19"/>
  <c r="BC145" i="19"/>
  <c r="BD145" i="19"/>
  <c r="BE145" i="19"/>
  <c r="AE146" i="19"/>
  <c r="AF146" i="19"/>
  <c r="AG146" i="19"/>
  <c r="AH146" i="19"/>
  <c r="AI146" i="19"/>
  <c r="AJ146" i="19"/>
  <c r="AK146" i="19"/>
  <c r="AL146" i="19"/>
  <c r="AM146" i="19"/>
  <c r="AN146" i="19"/>
  <c r="AO146" i="19"/>
  <c r="AP146" i="19"/>
  <c r="AT146" i="19"/>
  <c r="AU146" i="19"/>
  <c r="AV146" i="19"/>
  <c r="AW146" i="19"/>
  <c r="AX146" i="19"/>
  <c r="AY146" i="19"/>
  <c r="AZ146" i="19"/>
  <c r="BA146" i="19"/>
  <c r="BB146" i="19"/>
  <c r="BC146" i="19"/>
  <c r="BD146" i="19"/>
  <c r="BE146" i="19"/>
  <c r="AE147" i="19"/>
  <c r="AF147" i="19"/>
  <c r="AG147" i="19"/>
  <c r="AH147" i="19"/>
  <c r="AI147" i="19"/>
  <c r="AJ147" i="19"/>
  <c r="AK147" i="19"/>
  <c r="AL147" i="19"/>
  <c r="AM147" i="19"/>
  <c r="AN147" i="19"/>
  <c r="AO147" i="19"/>
  <c r="AP147" i="19"/>
  <c r="AT147" i="19"/>
  <c r="AU147" i="19"/>
  <c r="AV147" i="19"/>
  <c r="AW147" i="19"/>
  <c r="AX147" i="19"/>
  <c r="AY147" i="19"/>
  <c r="AZ147" i="19"/>
  <c r="BA147" i="19"/>
  <c r="BB147" i="19"/>
  <c r="BC147" i="19"/>
  <c r="BD147" i="19"/>
  <c r="BE147" i="19"/>
  <c r="AE148" i="19"/>
  <c r="AF148" i="19"/>
  <c r="AG148" i="19"/>
  <c r="AH148" i="19"/>
  <c r="AI148" i="19"/>
  <c r="AJ148" i="19"/>
  <c r="AK148" i="19"/>
  <c r="AL148" i="19"/>
  <c r="AM148" i="19"/>
  <c r="AN148" i="19"/>
  <c r="AO148" i="19"/>
  <c r="AP148" i="19"/>
  <c r="AT148" i="19"/>
  <c r="AU148" i="19"/>
  <c r="AV148" i="19"/>
  <c r="AW148" i="19"/>
  <c r="AX148" i="19"/>
  <c r="AY148" i="19"/>
  <c r="AZ148" i="19"/>
  <c r="BA148" i="19"/>
  <c r="BB148" i="19"/>
  <c r="BC148" i="19"/>
  <c r="BD148" i="19"/>
  <c r="BE148" i="19"/>
  <c r="AE149" i="19"/>
  <c r="AF149" i="19"/>
  <c r="AG149" i="19"/>
  <c r="AH149" i="19"/>
  <c r="AI149" i="19"/>
  <c r="AJ149" i="19"/>
  <c r="AK149" i="19"/>
  <c r="AL149" i="19"/>
  <c r="AM149" i="19"/>
  <c r="AN149" i="19"/>
  <c r="AO149" i="19"/>
  <c r="AP149" i="19"/>
  <c r="AT149" i="19"/>
  <c r="AU149" i="19"/>
  <c r="AV149" i="19"/>
  <c r="AW149" i="19"/>
  <c r="AX149" i="19"/>
  <c r="AY149" i="19"/>
  <c r="AZ149" i="19"/>
  <c r="BA149" i="19"/>
  <c r="BB149" i="19"/>
  <c r="BC149" i="19"/>
  <c r="BD149" i="19"/>
  <c r="BE149" i="19"/>
  <c r="AE150" i="19"/>
  <c r="AF150" i="19"/>
  <c r="AG150" i="19"/>
  <c r="AH150" i="19"/>
  <c r="AI150" i="19"/>
  <c r="AJ150" i="19"/>
  <c r="AK150" i="19"/>
  <c r="AL150" i="19"/>
  <c r="AM150" i="19"/>
  <c r="AN150" i="19"/>
  <c r="AO150" i="19"/>
  <c r="AP150" i="19"/>
  <c r="AT150" i="19"/>
  <c r="AU150" i="19"/>
  <c r="AV150" i="19"/>
  <c r="AW150" i="19"/>
  <c r="AX150" i="19"/>
  <c r="AY150" i="19"/>
  <c r="AZ150" i="19"/>
  <c r="BA150" i="19"/>
  <c r="BB150" i="19"/>
  <c r="BC150" i="19"/>
  <c r="BD150" i="19"/>
  <c r="BE150" i="19"/>
  <c r="AE151" i="19"/>
  <c r="AF151" i="19"/>
  <c r="AG151" i="19"/>
  <c r="AH151" i="19"/>
  <c r="AI151" i="19"/>
  <c r="AJ151" i="19"/>
  <c r="AK151" i="19"/>
  <c r="AL151" i="19"/>
  <c r="AM151" i="19"/>
  <c r="AN151" i="19"/>
  <c r="AO151" i="19"/>
  <c r="AP151" i="19"/>
  <c r="AT151" i="19"/>
  <c r="AU151" i="19"/>
  <c r="AV151" i="19"/>
  <c r="AW151" i="19"/>
  <c r="AX151" i="19"/>
  <c r="AY151" i="19"/>
  <c r="AZ151" i="19"/>
  <c r="BA151" i="19"/>
  <c r="BB151" i="19"/>
  <c r="BC151" i="19"/>
  <c r="BD151" i="19"/>
  <c r="BE151" i="19"/>
  <c r="AE152" i="19"/>
  <c r="AF152" i="19"/>
  <c r="AG152" i="19"/>
  <c r="AH152" i="19"/>
  <c r="AI152" i="19"/>
  <c r="AJ152" i="19"/>
  <c r="AK152" i="19"/>
  <c r="AL152" i="19"/>
  <c r="AM152" i="19"/>
  <c r="AN152" i="19"/>
  <c r="AO152" i="19"/>
  <c r="AP152" i="19"/>
  <c r="AT152" i="19"/>
  <c r="AU152" i="19"/>
  <c r="AV152" i="19"/>
  <c r="AW152" i="19"/>
  <c r="AX152" i="19"/>
  <c r="AY152" i="19"/>
  <c r="AZ152" i="19"/>
  <c r="BA152" i="19"/>
  <c r="BB152" i="19"/>
  <c r="BC152" i="19"/>
  <c r="BD152" i="19"/>
  <c r="BE152" i="19"/>
  <c r="AE153" i="19"/>
  <c r="AF153" i="19"/>
  <c r="AG153" i="19"/>
  <c r="AH153" i="19"/>
  <c r="AI153" i="19"/>
  <c r="AJ153" i="19"/>
  <c r="AK153" i="19"/>
  <c r="AL153" i="19"/>
  <c r="AM153" i="19"/>
  <c r="AN153" i="19"/>
  <c r="AO153" i="19"/>
  <c r="AP153" i="19"/>
  <c r="AT153" i="19"/>
  <c r="AU153" i="19"/>
  <c r="AV153" i="19"/>
  <c r="AW153" i="19"/>
  <c r="AX153" i="19"/>
  <c r="AY153" i="19"/>
  <c r="AZ153" i="19"/>
  <c r="BA153" i="19"/>
  <c r="BB153" i="19"/>
  <c r="BC153" i="19"/>
  <c r="BD153" i="19"/>
  <c r="BE153" i="19"/>
  <c r="AE154" i="19"/>
  <c r="AF154" i="19"/>
  <c r="AG154" i="19"/>
  <c r="AH154" i="19"/>
  <c r="AI154" i="19"/>
  <c r="AJ154" i="19"/>
  <c r="AK154" i="19"/>
  <c r="AL154" i="19"/>
  <c r="AM154" i="19"/>
  <c r="AN154" i="19"/>
  <c r="AO154" i="19"/>
  <c r="AP154" i="19"/>
  <c r="AT154" i="19"/>
  <c r="AU154" i="19"/>
  <c r="AV154" i="19"/>
  <c r="AW154" i="19"/>
  <c r="AX154" i="19"/>
  <c r="AY154" i="19"/>
  <c r="AZ154" i="19"/>
  <c r="BA154" i="19"/>
  <c r="BB154" i="19"/>
  <c r="BC154" i="19"/>
  <c r="BD154" i="19"/>
  <c r="BE154" i="19"/>
  <c r="AE155" i="19"/>
  <c r="AF155" i="19"/>
  <c r="AG155" i="19"/>
  <c r="AH155" i="19"/>
  <c r="AI155" i="19"/>
  <c r="AJ155" i="19"/>
  <c r="AK155" i="19"/>
  <c r="AL155" i="19"/>
  <c r="AM155" i="19"/>
  <c r="AN155" i="19"/>
  <c r="AO155" i="19"/>
  <c r="AP155" i="19"/>
  <c r="AT155" i="19"/>
  <c r="AU155" i="19"/>
  <c r="AV155" i="19"/>
  <c r="AW155" i="19"/>
  <c r="AX155" i="19"/>
  <c r="AY155" i="19"/>
  <c r="AZ155" i="19"/>
  <c r="BA155" i="19"/>
  <c r="BB155" i="19"/>
  <c r="BC155" i="19"/>
  <c r="BD155" i="19"/>
  <c r="BE155" i="19"/>
  <c r="AE156" i="19"/>
  <c r="AF156" i="19"/>
  <c r="AG156" i="19"/>
  <c r="AH156" i="19"/>
  <c r="AI156" i="19"/>
  <c r="AJ156" i="19"/>
  <c r="AK156" i="19"/>
  <c r="AL156" i="19"/>
  <c r="AM156" i="19"/>
  <c r="AN156" i="19"/>
  <c r="AO156" i="19"/>
  <c r="AP156" i="19"/>
  <c r="AT156" i="19"/>
  <c r="AU156" i="19"/>
  <c r="AV156" i="19"/>
  <c r="AW156" i="19"/>
  <c r="AX156" i="19"/>
  <c r="AY156" i="19"/>
  <c r="AZ156" i="19"/>
  <c r="BA156" i="19"/>
  <c r="BB156" i="19"/>
  <c r="BC156" i="19"/>
  <c r="BD156" i="19"/>
  <c r="BE156" i="19"/>
  <c r="AE157" i="19"/>
  <c r="AF157" i="19"/>
  <c r="AG157" i="19"/>
  <c r="AH157" i="19"/>
  <c r="AI157" i="19"/>
  <c r="AJ157" i="19"/>
  <c r="AK157" i="19"/>
  <c r="AL157" i="19"/>
  <c r="AM157" i="19"/>
  <c r="AN157" i="19"/>
  <c r="AO157" i="19"/>
  <c r="AP157" i="19"/>
  <c r="AT157" i="19"/>
  <c r="AU157" i="19"/>
  <c r="AV157" i="19"/>
  <c r="AW157" i="19"/>
  <c r="AX157" i="19"/>
  <c r="AY157" i="19"/>
  <c r="AZ157" i="19"/>
  <c r="BA157" i="19"/>
  <c r="BB157" i="19"/>
  <c r="BC157" i="19"/>
  <c r="BD157" i="19"/>
  <c r="BE157" i="19"/>
  <c r="AE158" i="19"/>
  <c r="AF158" i="19"/>
  <c r="AG158" i="19"/>
  <c r="AH158" i="19"/>
  <c r="AI158" i="19"/>
  <c r="AJ158" i="19"/>
  <c r="AK158" i="19"/>
  <c r="AL158" i="19"/>
  <c r="AM158" i="19"/>
  <c r="AN158" i="19"/>
  <c r="AO158" i="19"/>
  <c r="AP158" i="19"/>
  <c r="AT158" i="19"/>
  <c r="AU158" i="19"/>
  <c r="AV158" i="19"/>
  <c r="AW158" i="19"/>
  <c r="AX158" i="19"/>
  <c r="AY158" i="19"/>
  <c r="AZ158" i="19"/>
  <c r="BA158" i="19"/>
  <c r="BB158" i="19"/>
  <c r="BC158" i="19"/>
  <c r="BD158" i="19"/>
  <c r="BE158" i="19"/>
  <c r="AE159" i="19"/>
  <c r="AF159" i="19"/>
  <c r="AG159" i="19"/>
  <c r="AH159" i="19"/>
  <c r="AI159" i="19"/>
  <c r="AJ159" i="19"/>
  <c r="AK159" i="19"/>
  <c r="AL159" i="19"/>
  <c r="AM159" i="19"/>
  <c r="AN159" i="19"/>
  <c r="AO159" i="19"/>
  <c r="AP159" i="19"/>
  <c r="AT159" i="19"/>
  <c r="AU159" i="19"/>
  <c r="AV159" i="19"/>
  <c r="AW159" i="19"/>
  <c r="AX159" i="19"/>
  <c r="AY159" i="19"/>
  <c r="AZ159" i="19"/>
  <c r="BA159" i="19"/>
  <c r="BB159" i="19"/>
  <c r="BC159" i="19"/>
  <c r="BD159" i="19"/>
  <c r="BE159" i="19"/>
  <c r="AE160" i="19"/>
  <c r="AF160" i="19"/>
  <c r="AG160" i="19"/>
  <c r="AH160" i="19"/>
  <c r="AI160" i="19"/>
  <c r="AJ160" i="19"/>
  <c r="AK160" i="19"/>
  <c r="AL160" i="19"/>
  <c r="AM160" i="19"/>
  <c r="AN160" i="19"/>
  <c r="AO160" i="19"/>
  <c r="AP160" i="19"/>
  <c r="AT160" i="19"/>
  <c r="AU160" i="19"/>
  <c r="AV160" i="19"/>
  <c r="AW160" i="19"/>
  <c r="AX160" i="19"/>
  <c r="AY160" i="19"/>
  <c r="AZ160" i="19"/>
  <c r="BA160" i="19"/>
  <c r="BB160" i="19"/>
  <c r="BC160" i="19"/>
  <c r="BD160" i="19"/>
  <c r="BE160" i="19"/>
  <c r="AE161" i="19"/>
  <c r="AF161" i="19"/>
  <c r="AG161" i="19"/>
  <c r="AH161" i="19"/>
  <c r="AI161" i="19"/>
  <c r="AJ161" i="19"/>
  <c r="AK161" i="19"/>
  <c r="AL161" i="19"/>
  <c r="AM161" i="19"/>
  <c r="AN161" i="19"/>
  <c r="AO161" i="19"/>
  <c r="AP161" i="19"/>
  <c r="AT161" i="19"/>
  <c r="AU161" i="19"/>
  <c r="AV161" i="19"/>
  <c r="AW161" i="19"/>
  <c r="AX161" i="19"/>
  <c r="AY161" i="19"/>
  <c r="AZ161" i="19"/>
  <c r="BA161" i="19"/>
  <c r="BB161" i="19"/>
  <c r="BC161" i="19"/>
  <c r="BD161" i="19"/>
  <c r="BE161" i="19"/>
  <c r="AE162" i="19"/>
  <c r="AF162" i="19"/>
  <c r="AG162" i="19"/>
  <c r="AH162" i="19"/>
  <c r="AI162" i="19"/>
  <c r="AJ162" i="19"/>
  <c r="AK162" i="19"/>
  <c r="AL162" i="19"/>
  <c r="AM162" i="19"/>
  <c r="AN162" i="19"/>
  <c r="AO162" i="19"/>
  <c r="AP162" i="19"/>
  <c r="AT162" i="19"/>
  <c r="AU162" i="19"/>
  <c r="AV162" i="19"/>
  <c r="AW162" i="19"/>
  <c r="AX162" i="19"/>
  <c r="AY162" i="19"/>
  <c r="AZ162" i="19"/>
  <c r="BA162" i="19"/>
  <c r="BB162" i="19"/>
  <c r="BC162" i="19"/>
  <c r="BD162" i="19"/>
  <c r="BE162" i="19"/>
  <c r="AE163" i="19"/>
  <c r="AF163" i="19"/>
  <c r="AG163" i="19"/>
  <c r="AH163" i="19"/>
  <c r="AI163" i="19"/>
  <c r="AJ163" i="19"/>
  <c r="AK163" i="19"/>
  <c r="AL163" i="19"/>
  <c r="AM163" i="19"/>
  <c r="AN163" i="19"/>
  <c r="AO163" i="19"/>
  <c r="AP163" i="19"/>
  <c r="AT163" i="19"/>
  <c r="AU163" i="19"/>
  <c r="AV163" i="19"/>
  <c r="AW163" i="19"/>
  <c r="AX163" i="19"/>
  <c r="AY163" i="19"/>
  <c r="AZ163" i="19"/>
  <c r="BA163" i="19"/>
  <c r="BB163" i="19"/>
  <c r="BC163" i="19"/>
  <c r="BD163" i="19"/>
  <c r="BE163" i="19"/>
  <c r="AE164" i="19"/>
  <c r="AF164" i="19"/>
  <c r="AG164" i="19"/>
  <c r="AH164" i="19"/>
  <c r="AI164" i="19"/>
  <c r="AJ164" i="19"/>
  <c r="AK164" i="19"/>
  <c r="AL164" i="19"/>
  <c r="AM164" i="19"/>
  <c r="AN164" i="19"/>
  <c r="AO164" i="19"/>
  <c r="AP164" i="19"/>
  <c r="AT164" i="19"/>
  <c r="AU164" i="19"/>
  <c r="AV164" i="19"/>
  <c r="AW164" i="19"/>
  <c r="AX164" i="19"/>
  <c r="AY164" i="19"/>
  <c r="AZ164" i="19"/>
  <c r="BA164" i="19"/>
  <c r="BB164" i="19"/>
  <c r="BC164" i="19"/>
  <c r="BD164" i="19"/>
  <c r="BE164" i="19"/>
  <c r="AE165" i="19"/>
  <c r="AF165" i="19"/>
  <c r="AG165" i="19"/>
  <c r="AH165" i="19"/>
  <c r="AI165" i="19"/>
  <c r="AJ165" i="19"/>
  <c r="AK165" i="19"/>
  <c r="AL165" i="19"/>
  <c r="AM165" i="19"/>
  <c r="AN165" i="19"/>
  <c r="AO165" i="19"/>
  <c r="AP165" i="19"/>
  <c r="AT165" i="19"/>
  <c r="AU165" i="19"/>
  <c r="AV165" i="19"/>
  <c r="AW165" i="19"/>
  <c r="AX165" i="19"/>
  <c r="AY165" i="19"/>
  <c r="AZ165" i="19"/>
  <c r="BA165" i="19"/>
  <c r="BB165" i="19"/>
  <c r="BC165" i="19"/>
  <c r="BD165" i="19"/>
  <c r="BE165" i="19"/>
  <c r="AE166" i="19"/>
  <c r="AF166" i="19"/>
  <c r="AG166" i="19"/>
  <c r="AH166" i="19"/>
  <c r="AI166" i="19"/>
  <c r="AJ166" i="19"/>
  <c r="AK166" i="19"/>
  <c r="AL166" i="19"/>
  <c r="AM166" i="19"/>
  <c r="AN166" i="19"/>
  <c r="AO166" i="19"/>
  <c r="AP166" i="19"/>
  <c r="AT166" i="19"/>
  <c r="AU166" i="19"/>
  <c r="AV166" i="19"/>
  <c r="AW166" i="19"/>
  <c r="AX166" i="19"/>
  <c r="AY166" i="19"/>
  <c r="AZ166" i="19"/>
  <c r="BA166" i="19"/>
  <c r="BB166" i="19"/>
  <c r="BC166" i="19"/>
  <c r="BD166" i="19"/>
  <c r="BE166" i="19"/>
  <c r="AE167" i="19"/>
  <c r="AF167" i="19"/>
  <c r="AG167" i="19"/>
  <c r="AH167" i="19"/>
  <c r="AI167" i="19"/>
  <c r="AJ167" i="19"/>
  <c r="AK167" i="19"/>
  <c r="AL167" i="19"/>
  <c r="AM167" i="19"/>
  <c r="AN167" i="19"/>
  <c r="AO167" i="19"/>
  <c r="AP167" i="19"/>
  <c r="AT167" i="19"/>
  <c r="AU167" i="19"/>
  <c r="AV167" i="19"/>
  <c r="AW167" i="19"/>
  <c r="AX167" i="19"/>
  <c r="AY167" i="19"/>
  <c r="AZ167" i="19"/>
  <c r="BA167" i="19"/>
  <c r="BB167" i="19"/>
  <c r="BC167" i="19"/>
  <c r="BD167" i="19"/>
  <c r="BE167" i="19"/>
  <c r="AE168" i="19"/>
  <c r="AF168" i="19"/>
  <c r="AG168" i="19"/>
  <c r="AH168" i="19"/>
  <c r="AI168" i="19"/>
  <c r="AJ168" i="19"/>
  <c r="AK168" i="19"/>
  <c r="AL168" i="19"/>
  <c r="AM168" i="19"/>
  <c r="AN168" i="19"/>
  <c r="AO168" i="19"/>
  <c r="AP168" i="19"/>
  <c r="AT168" i="19"/>
  <c r="AU168" i="19"/>
  <c r="AV168" i="19"/>
  <c r="AW168" i="19"/>
  <c r="AX168" i="19"/>
  <c r="AY168" i="19"/>
  <c r="AZ168" i="19"/>
  <c r="BA168" i="19"/>
  <c r="BB168" i="19"/>
  <c r="BC168" i="19"/>
  <c r="BD168" i="19"/>
  <c r="BE168" i="19"/>
  <c r="AE169" i="19"/>
  <c r="AF169" i="19"/>
  <c r="AG169" i="19"/>
  <c r="AH169" i="19"/>
  <c r="AI169" i="19"/>
  <c r="AJ169" i="19"/>
  <c r="AK169" i="19"/>
  <c r="AL169" i="19"/>
  <c r="AM169" i="19"/>
  <c r="AN169" i="19"/>
  <c r="AO169" i="19"/>
  <c r="AP169" i="19"/>
  <c r="AT169" i="19"/>
  <c r="AU169" i="19"/>
  <c r="AV169" i="19"/>
  <c r="AW169" i="19"/>
  <c r="AX169" i="19"/>
  <c r="AY169" i="19"/>
  <c r="AZ169" i="19"/>
  <c r="BA169" i="19"/>
  <c r="BB169" i="19"/>
  <c r="BC169" i="19"/>
  <c r="BD169" i="19"/>
  <c r="BE169" i="19"/>
  <c r="AE170" i="19"/>
  <c r="AF170" i="19"/>
  <c r="AG170" i="19"/>
  <c r="AH170" i="19"/>
  <c r="AI170" i="19"/>
  <c r="AJ170" i="19"/>
  <c r="AK170" i="19"/>
  <c r="AL170" i="19"/>
  <c r="AM170" i="19"/>
  <c r="AN170" i="19"/>
  <c r="AO170" i="19"/>
  <c r="AP170" i="19"/>
  <c r="AT170" i="19"/>
  <c r="AU170" i="19"/>
  <c r="AV170" i="19"/>
  <c r="AW170" i="19"/>
  <c r="AX170" i="19"/>
  <c r="AY170" i="19"/>
  <c r="AZ170" i="19"/>
  <c r="BA170" i="19"/>
  <c r="BB170" i="19"/>
  <c r="BC170" i="19"/>
  <c r="BD170" i="19"/>
  <c r="BE170" i="19"/>
  <c r="AE171" i="19"/>
  <c r="AF171" i="19"/>
  <c r="AG171" i="19"/>
  <c r="AH171" i="19"/>
  <c r="AI171" i="19"/>
  <c r="AJ171" i="19"/>
  <c r="AK171" i="19"/>
  <c r="AL171" i="19"/>
  <c r="AM171" i="19"/>
  <c r="AN171" i="19"/>
  <c r="AO171" i="19"/>
  <c r="AP171" i="19"/>
  <c r="AT171" i="19"/>
  <c r="AU171" i="19"/>
  <c r="AV171" i="19"/>
  <c r="AW171" i="19"/>
  <c r="AX171" i="19"/>
  <c r="AY171" i="19"/>
  <c r="AZ171" i="19"/>
  <c r="BA171" i="19"/>
  <c r="BB171" i="19"/>
  <c r="BC171" i="19"/>
  <c r="BD171" i="19"/>
  <c r="BE171" i="19"/>
  <c r="AE172" i="19"/>
  <c r="AF172" i="19"/>
  <c r="AG172" i="19"/>
  <c r="AH172" i="19"/>
  <c r="AI172" i="19"/>
  <c r="AJ172" i="19"/>
  <c r="AK172" i="19"/>
  <c r="AL172" i="19"/>
  <c r="AM172" i="19"/>
  <c r="AN172" i="19"/>
  <c r="AO172" i="19"/>
  <c r="AP172" i="19"/>
  <c r="AT172" i="19"/>
  <c r="AU172" i="19"/>
  <c r="AV172" i="19"/>
  <c r="AW172" i="19"/>
  <c r="AX172" i="19"/>
  <c r="AY172" i="19"/>
  <c r="AZ172" i="19"/>
  <c r="BA172" i="19"/>
  <c r="BB172" i="19"/>
  <c r="BC172" i="19"/>
  <c r="BD172" i="19"/>
  <c r="BE172" i="19"/>
  <c r="AE173" i="19"/>
  <c r="AF173" i="19"/>
  <c r="AG173" i="19"/>
  <c r="AH173" i="19"/>
  <c r="AI173" i="19"/>
  <c r="AJ173" i="19"/>
  <c r="AK173" i="19"/>
  <c r="AL173" i="19"/>
  <c r="AM173" i="19"/>
  <c r="AN173" i="19"/>
  <c r="AO173" i="19"/>
  <c r="AP173" i="19"/>
  <c r="AT173" i="19"/>
  <c r="AU173" i="19"/>
  <c r="AV173" i="19"/>
  <c r="AW173" i="19"/>
  <c r="AX173" i="19"/>
  <c r="AY173" i="19"/>
  <c r="AZ173" i="19"/>
  <c r="BA173" i="19"/>
  <c r="BB173" i="19"/>
  <c r="BC173" i="19"/>
  <c r="BD173" i="19"/>
  <c r="BE173" i="19"/>
  <c r="AE174" i="19"/>
  <c r="AF174" i="19"/>
  <c r="AG174" i="19"/>
  <c r="AH174" i="19"/>
  <c r="AI174" i="19"/>
  <c r="AJ174" i="19"/>
  <c r="AK174" i="19"/>
  <c r="AL174" i="19"/>
  <c r="AM174" i="19"/>
  <c r="AN174" i="19"/>
  <c r="AO174" i="19"/>
  <c r="AP174" i="19"/>
  <c r="AT174" i="19"/>
  <c r="AU174" i="19"/>
  <c r="AV174" i="19"/>
  <c r="AW174" i="19"/>
  <c r="AX174" i="19"/>
  <c r="AY174" i="19"/>
  <c r="AZ174" i="19"/>
  <c r="BA174" i="19"/>
  <c r="BB174" i="19"/>
  <c r="BC174" i="19"/>
  <c r="BD174" i="19"/>
  <c r="BE174" i="19"/>
  <c r="AE175" i="19"/>
  <c r="AF175" i="19"/>
  <c r="AG175" i="19"/>
  <c r="AH175" i="19"/>
  <c r="AI175" i="19"/>
  <c r="AJ175" i="19"/>
  <c r="AK175" i="19"/>
  <c r="AL175" i="19"/>
  <c r="AM175" i="19"/>
  <c r="AN175" i="19"/>
  <c r="AO175" i="19"/>
  <c r="AP175" i="19"/>
  <c r="AT175" i="19"/>
  <c r="AU175" i="19"/>
  <c r="AV175" i="19"/>
  <c r="AW175" i="19"/>
  <c r="AX175" i="19"/>
  <c r="AY175" i="19"/>
  <c r="AZ175" i="19"/>
  <c r="BA175" i="19"/>
  <c r="BB175" i="19"/>
  <c r="BC175" i="19"/>
  <c r="BD175" i="19"/>
  <c r="BE175" i="19"/>
  <c r="AE176" i="19"/>
  <c r="AF176" i="19"/>
  <c r="AG176" i="19"/>
  <c r="AH176" i="19"/>
  <c r="AI176" i="19"/>
  <c r="AJ176" i="19"/>
  <c r="AK176" i="19"/>
  <c r="AL176" i="19"/>
  <c r="AM176" i="19"/>
  <c r="AN176" i="19"/>
  <c r="AO176" i="19"/>
  <c r="AP176" i="19"/>
  <c r="AT176" i="19"/>
  <c r="AU176" i="19"/>
  <c r="AV176" i="19"/>
  <c r="AW176" i="19"/>
  <c r="AX176" i="19"/>
  <c r="AY176" i="19"/>
  <c r="AZ176" i="19"/>
  <c r="BA176" i="19"/>
  <c r="BB176" i="19"/>
  <c r="BC176" i="19"/>
  <c r="BD176" i="19"/>
  <c r="BE176" i="19"/>
  <c r="AE177" i="19"/>
  <c r="AF177" i="19"/>
  <c r="AG177" i="19"/>
  <c r="AH177" i="19"/>
  <c r="AI177" i="19"/>
  <c r="AJ177" i="19"/>
  <c r="AK177" i="19"/>
  <c r="AL177" i="19"/>
  <c r="AM177" i="19"/>
  <c r="AN177" i="19"/>
  <c r="AO177" i="19"/>
  <c r="AP177" i="19"/>
  <c r="AT177" i="19"/>
  <c r="AU177" i="19"/>
  <c r="AV177" i="19"/>
  <c r="AW177" i="19"/>
  <c r="AX177" i="19"/>
  <c r="AY177" i="19"/>
  <c r="AZ177" i="19"/>
  <c r="BA177" i="19"/>
  <c r="BB177" i="19"/>
  <c r="BC177" i="19"/>
  <c r="BD177" i="19"/>
  <c r="BE177" i="19"/>
  <c r="AE178" i="19"/>
  <c r="AF178" i="19"/>
  <c r="AG178" i="19"/>
  <c r="AH178" i="19"/>
  <c r="AI178" i="19"/>
  <c r="AJ178" i="19"/>
  <c r="AK178" i="19"/>
  <c r="AL178" i="19"/>
  <c r="AM178" i="19"/>
  <c r="AN178" i="19"/>
  <c r="AO178" i="19"/>
  <c r="AP178" i="19"/>
  <c r="AT178" i="19"/>
  <c r="AU178" i="19"/>
  <c r="AV178" i="19"/>
  <c r="AW178" i="19"/>
  <c r="AX178" i="19"/>
  <c r="AY178" i="19"/>
  <c r="AZ178" i="19"/>
  <c r="BA178" i="19"/>
  <c r="BB178" i="19"/>
  <c r="BC178" i="19"/>
  <c r="BD178" i="19"/>
  <c r="BE178" i="19"/>
  <c r="AE179" i="19"/>
  <c r="AF179" i="19"/>
  <c r="AG179" i="19"/>
  <c r="AH179" i="19"/>
  <c r="AI179" i="19"/>
  <c r="AJ179" i="19"/>
  <c r="AK179" i="19"/>
  <c r="AL179" i="19"/>
  <c r="AM179" i="19"/>
  <c r="AN179" i="19"/>
  <c r="AO179" i="19"/>
  <c r="AP179" i="19"/>
  <c r="AT179" i="19"/>
  <c r="AU179" i="19"/>
  <c r="AV179" i="19"/>
  <c r="AW179" i="19"/>
  <c r="AX179" i="19"/>
  <c r="AY179" i="19"/>
  <c r="AZ179" i="19"/>
  <c r="BA179" i="19"/>
  <c r="BB179" i="19"/>
  <c r="BC179" i="19"/>
  <c r="BD179" i="19"/>
  <c r="BE179" i="19"/>
  <c r="AE180" i="19"/>
  <c r="AF180" i="19"/>
  <c r="AG180" i="19"/>
  <c r="AH180" i="19"/>
  <c r="AI180" i="19"/>
  <c r="AJ180" i="19"/>
  <c r="AK180" i="19"/>
  <c r="AL180" i="19"/>
  <c r="AM180" i="19"/>
  <c r="AN180" i="19"/>
  <c r="AO180" i="19"/>
  <c r="AP180" i="19"/>
  <c r="AT180" i="19"/>
  <c r="AU180" i="19"/>
  <c r="AV180" i="19"/>
  <c r="AW180" i="19"/>
  <c r="AX180" i="19"/>
  <c r="AY180" i="19"/>
  <c r="AZ180" i="19"/>
  <c r="BA180" i="19"/>
  <c r="BB180" i="19"/>
  <c r="BC180" i="19"/>
  <c r="BD180" i="19"/>
  <c r="BE180" i="19"/>
  <c r="AE181" i="19"/>
  <c r="AF181" i="19"/>
  <c r="AG181" i="19"/>
  <c r="AH181" i="19"/>
  <c r="AI181" i="19"/>
  <c r="AJ181" i="19"/>
  <c r="AK181" i="19"/>
  <c r="AL181" i="19"/>
  <c r="AM181" i="19"/>
  <c r="AN181" i="19"/>
  <c r="AO181" i="19"/>
  <c r="AP181" i="19"/>
  <c r="AT181" i="19"/>
  <c r="AU181" i="19"/>
  <c r="AV181" i="19"/>
  <c r="AW181" i="19"/>
  <c r="AX181" i="19"/>
  <c r="AY181" i="19"/>
  <c r="AZ181" i="19"/>
  <c r="BA181" i="19"/>
  <c r="BB181" i="19"/>
  <c r="BC181" i="19"/>
  <c r="BD181" i="19"/>
  <c r="BE181" i="19"/>
  <c r="AE182" i="19"/>
  <c r="AF182" i="19"/>
  <c r="AG182" i="19"/>
  <c r="AH182" i="19"/>
  <c r="AI182" i="19"/>
  <c r="AJ182" i="19"/>
  <c r="AK182" i="19"/>
  <c r="AL182" i="19"/>
  <c r="AM182" i="19"/>
  <c r="AN182" i="19"/>
  <c r="AO182" i="19"/>
  <c r="AP182" i="19"/>
  <c r="AT182" i="19"/>
  <c r="AU182" i="19"/>
  <c r="AV182" i="19"/>
  <c r="AW182" i="19"/>
  <c r="AX182" i="19"/>
  <c r="AY182" i="19"/>
  <c r="AZ182" i="19"/>
  <c r="BA182" i="19"/>
  <c r="BB182" i="19"/>
  <c r="BC182" i="19"/>
  <c r="BD182" i="19"/>
  <c r="BE182" i="19"/>
  <c r="AE183" i="19"/>
  <c r="AF183" i="19"/>
  <c r="AG183" i="19"/>
  <c r="AH183" i="19"/>
  <c r="AI183" i="19"/>
  <c r="AJ183" i="19"/>
  <c r="AK183" i="19"/>
  <c r="AL183" i="19"/>
  <c r="AM183" i="19"/>
  <c r="AN183" i="19"/>
  <c r="AO183" i="19"/>
  <c r="AP183" i="19"/>
  <c r="AT183" i="19"/>
  <c r="AU183" i="19"/>
  <c r="AV183" i="19"/>
  <c r="AW183" i="19"/>
  <c r="AX183" i="19"/>
  <c r="AY183" i="19"/>
  <c r="AZ183" i="19"/>
  <c r="BA183" i="19"/>
  <c r="BB183" i="19"/>
  <c r="BC183" i="19"/>
  <c r="BD183" i="19"/>
  <c r="BE183" i="19"/>
  <c r="AE184" i="19"/>
  <c r="AF184" i="19"/>
  <c r="AG184" i="19"/>
  <c r="AH184" i="19"/>
  <c r="AI184" i="19"/>
  <c r="AJ184" i="19"/>
  <c r="AK184" i="19"/>
  <c r="AL184" i="19"/>
  <c r="AM184" i="19"/>
  <c r="AN184" i="19"/>
  <c r="AO184" i="19"/>
  <c r="AP184" i="19"/>
  <c r="AT184" i="19"/>
  <c r="AU184" i="19"/>
  <c r="AV184" i="19"/>
  <c r="AW184" i="19"/>
  <c r="AX184" i="19"/>
  <c r="AY184" i="19"/>
  <c r="AZ184" i="19"/>
  <c r="BA184" i="19"/>
  <c r="BB184" i="19"/>
  <c r="BC184" i="19"/>
  <c r="BD184" i="19"/>
  <c r="BE184" i="19"/>
  <c r="AE185" i="19"/>
  <c r="AF185" i="19"/>
  <c r="AG185" i="19"/>
  <c r="AH185" i="19"/>
  <c r="AI185" i="19"/>
  <c r="AJ185" i="19"/>
  <c r="AK185" i="19"/>
  <c r="AL185" i="19"/>
  <c r="AM185" i="19"/>
  <c r="AN185" i="19"/>
  <c r="AO185" i="19"/>
  <c r="AP185" i="19"/>
  <c r="AT185" i="19"/>
  <c r="AU185" i="19"/>
  <c r="AV185" i="19"/>
  <c r="AW185" i="19"/>
  <c r="AX185" i="19"/>
  <c r="AY185" i="19"/>
  <c r="AZ185" i="19"/>
  <c r="BA185" i="19"/>
  <c r="BB185" i="19"/>
  <c r="BC185" i="19"/>
  <c r="BD185" i="19"/>
  <c r="BE185" i="19"/>
  <c r="AE186" i="19"/>
  <c r="AF186" i="19"/>
  <c r="AG186" i="19"/>
  <c r="AH186" i="19"/>
  <c r="AI186" i="19"/>
  <c r="AJ186" i="19"/>
  <c r="AK186" i="19"/>
  <c r="AL186" i="19"/>
  <c r="AM186" i="19"/>
  <c r="AN186" i="19"/>
  <c r="AO186" i="19"/>
  <c r="AP186" i="19"/>
  <c r="AT186" i="19"/>
  <c r="AU186" i="19"/>
  <c r="AV186" i="19"/>
  <c r="AW186" i="19"/>
  <c r="AX186" i="19"/>
  <c r="AY186" i="19"/>
  <c r="AZ186" i="19"/>
  <c r="BA186" i="19"/>
  <c r="BB186" i="19"/>
  <c r="BC186" i="19"/>
  <c r="BD186" i="19"/>
  <c r="BE186" i="19"/>
  <c r="AE187" i="19"/>
  <c r="AF187" i="19"/>
  <c r="AG187" i="19"/>
  <c r="AH187" i="19"/>
  <c r="AI187" i="19"/>
  <c r="AJ187" i="19"/>
  <c r="AK187" i="19"/>
  <c r="AL187" i="19"/>
  <c r="AM187" i="19"/>
  <c r="AN187" i="19"/>
  <c r="AO187" i="19"/>
  <c r="AP187" i="19"/>
  <c r="AT187" i="19"/>
  <c r="AU187" i="19"/>
  <c r="AV187" i="19"/>
  <c r="AW187" i="19"/>
  <c r="AX187" i="19"/>
  <c r="AY187" i="19"/>
  <c r="AZ187" i="19"/>
  <c r="BA187" i="19"/>
  <c r="BB187" i="19"/>
  <c r="BC187" i="19"/>
  <c r="BD187" i="19"/>
  <c r="BE187" i="19"/>
  <c r="AE188" i="19"/>
  <c r="AF188" i="19"/>
  <c r="AG188" i="19"/>
  <c r="AH188" i="19"/>
  <c r="AI188" i="19"/>
  <c r="AJ188" i="19"/>
  <c r="AK188" i="19"/>
  <c r="AL188" i="19"/>
  <c r="AM188" i="19"/>
  <c r="AN188" i="19"/>
  <c r="AO188" i="19"/>
  <c r="AP188" i="19"/>
  <c r="AT188" i="19"/>
  <c r="AU188" i="19"/>
  <c r="AV188" i="19"/>
  <c r="AW188" i="19"/>
  <c r="AX188" i="19"/>
  <c r="AY188" i="19"/>
  <c r="AZ188" i="19"/>
  <c r="BA188" i="19"/>
  <c r="BB188" i="19"/>
  <c r="BC188" i="19"/>
  <c r="BD188" i="19"/>
  <c r="BE188" i="19"/>
  <c r="AE189" i="19"/>
  <c r="AF189" i="19"/>
  <c r="AG189" i="19"/>
  <c r="AH189" i="19"/>
  <c r="AI189" i="19"/>
  <c r="AJ189" i="19"/>
  <c r="AK189" i="19"/>
  <c r="AL189" i="19"/>
  <c r="AM189" i="19"/>
  <c r="AN189" i="19"/>
  <c r="AO189" i="19"/>
  <c r="AP189" i="19"/>
  <c r="AT189" i="19"/>
  <c r="AU189" i="19"/>
  <c r="AV189" i="19"/>
  <c r="AW189" i="19"/>
  <c r="AX189" i="19"/>
  <c r="AY189" i="19"/>
  <c r="AZ189" i="19"/>
  <c r="BA189" i="19"/>
  <c r="BB189" i="19"/>
  <c r="BC189" i="19"/>
  <c r="BD189" i="19"/>
  <c r="BE189" i="19"/>
  <c r="AE190" i="19"/>
  <c r="AF190" i="19"/>
  <c r="AG190" i="19"/>
  <c r="AH190" i="19"/>
  <c r="AI190" i="19"/>
  <c r="AJ190" i="19"/>
  <c r="AK190" i="19"/>
  <c r="AL190" i="19"/>
  <c r="AM190" i="19"/>
  <c r="AN190" i="19"/>
  <c r="AO190" i="19"/>
  <c r="AP190" i="19"/>
  <c r="AT190" i="19"/>
  <c r="AU190" i="19"/>
  <c r="AV190" i="19"/>
  <c r="AW190" i="19"/>
  <c r="AX190" i="19"/>
  <c r="AY190" i="19"/>
  <c r="AZ190" i="19"/>
  <c r="BA190" i="19"/>
  <c r="BB190" i="19"/>
  <c r="BC190" i="19"/>
  <c r="BD190" i="19"/>
  <c r="BE190" i="19"/>
  <c r="AE191" i="19"/>
  <c r="AF191" i="19"/>
  <c r="AG191" i="19"/>
  <c r="AH191" i="19"/>
  <c r="AI191" i="19"/>
  <c r="AJ191" i="19"/>
  <c r="AK191" i="19"/>
  <c r="AL191" i="19"/>
  <c r="AM191" i="19"/>
  <c r="AN191" i="19"/>
  <c r="AO191" i="19"/>
  <c r="AP191" i="19"/>
  <c r="AT191" i="19"/>
  <c r="AU191" i="19"/>
  <c r="AV191" i="19"/>
  <c r="AW191" i="19"/>
  <c r="AX191" i="19"/>
  <c r="AY191" i="19"/>
  <c r="AZ191" i="19"/>
  <c r="BA191" i="19"/>
  <c r="BB191" i="19"/>
  <c r="BC191" i="19"/>
  <c r="BD191" i="19"/>
  <c r="BE191" i="19"/>
  <c r="AE192" i="19"/>
  <c r="AF192" i="19"/>
  <c r="AG192" i="19"/>
  <c r="AH192" i="19"/>
  <c r="AI192" i="19"/>
  <c r="AJ192" i="19"/>
  <c r="AK192" i="19"/>
  <c r="AL192" i="19"/>
  <c r="AM192" i="19"/>
  <c r="AN192" i="19"/>
  <c r="AO192" i="19"/>
  <c r="AP192" i="19"/>
  <c r="AT192" i="19"/>
  <c r="AU192" i="19"/>
  <c r="AV192" i="19"/>
  <c r="AW192" i="19"/>
  <c r="AX192" i="19"/>
  <c r="AY192" i="19"/>
  <c r="AZ192" i="19"/>
  <c r="BA192" i="19"/>
  <c r="BB192" i="19"/>
  <c r="BC192" i="19"/>
  <c r="BD192" i="19"/>
  <c r="BE192" i="19"/>
  <c r="AE193" i="19"/>
  <c r="AF193" i="19"/>
  <c r="AG193" i="19"/>
  <c r="AH193" i="19"/>
  <c r="AI193" i="19"/>
  <c r="AJ193" i="19"/>
  <c r="AK193" i="19"/>
  <c r="AL193" i="19"/>
  <c r="AM193" i="19"/>
  <c r="AN193" i="19"/>
  <c r="AO193" i="19"/>
  <c r="AP193" i="19"/>
  <c r="AT193" i="19"/>
  <c r="AU193" i="19"/>
  <c r="AV193" i="19"/>
  <c r="AW193" i="19"/>
  <c r="AX193" i="19"/>
  <c r="AY193" i="19"/>
  <c r="AZ193" i="19"/>
  <c r="BA193" i="19"/>
  <c r="BB193" i="19"/>
  <c r="BC193" i="19"/>
  <c r="BD193" i="19"/>
  <c r="BE193" i="19"/>
  <c r="AE194" i="19"/>
  <c r="AF194" i="19"/>
  <c r="AG194" i="19"/>
  <c r="AH194" i="19"/>
  <c r="AI194" i="19"/>
  <c r="AJ194" i="19"/>
  <c r="AK194" i="19"/>
  <c r="AL194" i="19"/>
  <c r="AM194" i="19"/>
  <c r="AN194" i="19"/>
  <c r="AO194" i="19"/>
  <c r="AP194" i="19"/>
  <c r="AT194" i="19"/>
  <c r="AU194" i="19"/>
  <c r="AV194" i="19"/>
  <c r="AW194" i="19"/>
  <c r="AX194" i="19"/>
  <c r="AY194" i="19"/>
  <c r="AZ194" i="19"/>
  <c r="BA194" i="19"/>
  <c r="BB194" i="19"/>
  <c r="BC194" i="19"/>
  <c r="BD194" i="19"/>
  <c r="BE194" i="19"/>
  <c r="AE195" i="19"/>
  <c r="AF195" i="19"/>
  <c r="AG195" i="19"/>
  <c r="AH195" i="19"/>
  <c r="AI195" i="19"/>
  <c r="AJ195" i="19"/>
  <c r="AK195" i="19"/>
  <c r="AL195" i="19"/>
  <c r="AM195" i="19"/>
  <c r="AN195" i="19"/>
  <c r="AO195" i="19"/>
  <c r="AP195" i="19"/>
  <c r="AT195" i="19"/>
  <c r="AU195" i="19"/>
  <c r="AV195" i="19"/>
  <c r="AW195" i="19"/>
  <c r="AX195" i="19"/>
  <c r="AY195" i="19"/>
  <c r="AZ195" i="19"/>
  <c r="BA195" i="19"/>
  <c r="BB195" i="19"/>
  <c r="BC195" i="19"/>
  <c r="BD195" i="19"/>
  <c r="BE195" i="19"/>
  <c r="AE196" i="19"/>
  <c r="AF196" i="19"/>
  <c r="AG196" i="19"/>
  <c r="AH196" i="19"/>
  <c r="AI196" i="19"/>
  <c r="AJ196" i="19"/>
  <c r="AK196" i="19"/>
  <c r="AL196" i="19"/>
  <c r="AM196" i="19"/>
  <c r="AN196" i="19"/>
  <c r="AO196" i="19"/>
  <c r="AP196" i="19"/>
  <c r="AT196" i="19"/>
  <c r="AU196" i="19"/>
  <c r="AV196" i="19"/>
  <c r="AW196" i="19"/>
  <c r="AX196" i="19"/>
  <c r="AY196" i="19"/>
  <c r="AZ196" i="19"/>
  <c r="BA196" i="19"/>
  <c r="BB196" i="19"/>
  <c r="BC196" i="19"/>
  <c r="BD196" i="19"/>
  <c r="BE196" i="19"/>
  <c r="AE197" i="19"/>
  <c r="AF197" i="19"/>
  <c r="AG197" i="19"/>
  <c r="AH197" i="19"/>
  <c r="AI197" i="19"/>
  <c r="AJ197" i="19"/>
  <c r="AK197" i="19"/>
  <c r="AL197" i="19"/>
  <c r="AM197" i="19"/>
  <c r="AN197" i="19"/>
  <c r="AO197" i="19"/>
  <c r="AP197" i="19"/>
  <c r="AT197" i="19"/>
  <c r="AU197" i="19"/>
  <c r="AV197" i="19"/>
  <c r="AW197" i="19"/>
  <c r="AX197" i="19"/>
  <c r="AY197" i="19"/>
  <c r="AZ197" i="19"/>
  <c r="BA197" i="19"/>
  <c r="BB197" i="19"/>
  <c r="BC197" i="19"/>
  <c r="BD197" i="19"/>
  <c r="BE197" i="19"/>
  <c r="AE198" i="19"/>
  <c r="AF198" i="19"/>
  <c r="AG198" i="19"/>
  <c r="AH198" i="19"/>
  <c r="AI198" i="19"/>
  <c r="AJ198" i="19"/>
  <c r="AK198" i="19"/>
  <c r="AL198" i="19"/>
  <c r="AM198" i="19"/>
  <c r="AN198" i="19"/>
  <c r="AO198" i="19"/>
  <c r="AP198" i="19"/>
  <c r="AT198" i="19"/>
  <c r="AU198" i="19"/>
  <c r="AV198" i="19"/>
  <c r="AW198" i="19"/>
  <c r="AX198" i="19"/>
  <c r="AY198" i="19"/>
  <c r="AZ198" i="19"/>
  <c r="BA198" i="19"/>
  <c r="BB198" i="19"/>
  <c r="BC198" i="19"/>
  <c r="BD198" i="19"/>
  <c r="BE198" i="19"/>
  <c r="AE199" i="19"/>
  <c r="AF199" i="19"/>
  <c r="AG199" i="19"/>
  <c r="AH199" i="19"/>
  <c r="AI199" i="19"/>
  <c r="AJ199" i="19"/>
  <c r="AK199" i="19"/>
  <c r="AL199" i="19"/>
  <c r="AM199" i="19"/>
  <c r="AN199" i="19"/>
  <c r="AO199" i="19"/>
  <c r="AP199" i="19"/>
  <c r="AT199" i="19"/>
  <c r="AU199" i="19"/>
  <c r="AV199" i="19"/>
  <c r="AW199" i="19"/>
  <c r="AX199" i="19"/>
  <c r="AY199" i="19"/>
  <c r="AZ199" i="19"/>
  <c r="BA199" i="19"/>
  <c r="BB199" i="19"/>
  <c r="BC199" i="19"/>
  <c r="BD199" i="19"/>
  <c r="BE199" i="19"/>
  <c r="AE200" i="19"/>
  <c r="AF200" i="19"/>
  <c r="AG200" i="19"/>
  <c r="AH200" i="19"/>
  <c r="AI200" i="19"/>
  <c r="AJ200" i="19"/>
  <c r="AK200" i="19"/>
  <c r="AL200" i="19"/>
  <c r="AM200" i="19"/>
  <c r="AN200" i="19"/>
  <c r="AO200" i="19"/>
  <c r="AP200" i="19"/>
  <c r="AT200" i="19"/>
  <c r="AU200" i="19"/>
  <c r="AV200" i="19"/>
  <c r="AW200" i="19"/>
  <c r="AX200" i="19"/>
  <c r="AY200" i="19"/>
  <c r="AZ200" i="19"/>
  <c r="BA200" i="19"/>
  <c r="BB200" i="19"/>
  <c r="BC200" i="19"/>
  <c r="BD200" i="19"/>
  <c r="BE200" i="19"/>
  <c r="AE201" i="19"/>
  <c r="AF201" i="19"/>
  <c r="AG201" i="19"/>
  <c r="AH201" i="19"/>
  <c r="AI201" i="19"/>
  <c r="AJ201" i="19"/>
  <c r="AK201" i="19"/>
  <c r="AL201" i="19"/>
  <c r="AM201" i="19"/>
  <c r="AN201" i="19"/>
  <c r="AO201" i="19"/>
  <c r="AP201" i="19"/>
  <c r="AT201" i="19"/>
  <c r="AU201" i="19"/>
  <c r="AV201" i="19"/>
  <c r="AW201" i="19"/>
  <c r="AX201" i="19"/>
  <c r="AY201" i="19"/>
  <c r="AZ201" i="19"/>
  <c r="BA201" i="19"/>
  <c r="BB201" i="19"/>
  <c r="BC201" i="19"/>
  <c r="BD201" i="19"/>
  <c r="BE201" i="19"/>
  <c r="AE202" i="19"/>
  <c r="AF202" i="19"/>
  <c r="AG202" i="19"/>
  <c r="AH202" i="19"/>
  <c r="AI202" i="19"/>
  <c r="AJ202" i="19"/>
  <c r="AK202" i="19"/>
  <c r="AL202" i="19"/>
  <c r="AM202" i="19"/>
  <c r="AN202" i="19"/>
  <c r="AO202" i="19"/>
  <c r="AP202" i="19"/>
  <c r="AT202" i="19"/>
  <c r="AU202" i="19"/>
  <c r="AV202" i="19"/>
  <c r="AW202" i="19"/>
  <c r="AX202" i="19"/>
  <c r="AY202" i="19"/>
  <c r="AZ202" i="19"/>
  <c r="BA202" i="19"/>
  <c r="BB202" i="19"/>
  <c r="BC202" i="19"/>
  <c r="BD202" i="19"/>
  <c r="BE202" i="19"/>
  <c r="AE203" i="19"/>
  <c r="AF203" i="19"/>
  <c r="AG203" i="19"/>
  <c r="AH203" i="19"/>
  <c r="AI203" i="19"/>
  <c r="AJ203" i="19"/>
  <c r="AK203" i="19"/>
  <c r="AL203" i="19"/>
  <c r="AM203" i="19"/>
  <c r="AN203" i="19"/>
  <c r="AO203" i="19"/>
  <c r="AP203" i="19"/>
  <c r="AT203" i="19"/>
  <c r="AU203" i="19"/>
  <c r="AV203" i="19"/>
  <c r="AW203" i="19"/>
  <c r="AX203" i="19"/>
  <c r="AY203" i="19"/>
  <c r="AZ203" i="19"/>
  <c r="BA203" i="19"/>
  <c r="BB203" i="19"/>
  <c r="BC203" i="19"/>
  <c r="BD203" i="19"/>
  <c r="BE203" i="19"/>
  <c r="AE204" i="19"/>
  <c r="AF204" i="19"/>
  <c r="AG204" i="19"/>
  <c r="AH204" i="19"/>
  <c r="AI204" i="19"/>
  <c r="AJ204" i="19"/>
  <c r="AK204" i="19"/>
  <c r="AL204" i="19"/>
  <c r="AM204" i="19"/>
  <c r="AN204" i="19"/>
  <c r="AO204" i="19"/>
  <c r="AP204" i="19"/>
  <c r="AT204" i="19"/>
  <c r="AU204" i="19"/>
  <c r="AV204" i="19"/>
  <c r="AW204" i="19"/>
  <c r="AX204" i="19"/>
  <c r="AY204" i="19"/>
  <c r="AZ204" i="19"/>
  <c r="BA204" i="19"/>
  <c r="BB204" i="19"/>
  <c r="BC204" i="19"/>
  <c r="BD204" i="19"/>
  <c r="BE204" i="19"/>
  <c r="AE205" i="19"/>
  <c r="AF205" i="19"/>
  <c r="AG205" i="19"/>
  <c r="AH205" i="19"/>
  <c r="AI205" i="19"/>
  <c r="AJ205" i="19"/>
  <c r="AK205" i="19"/>
  <c r="AL205" i="19"/>
  <c r="AM205" i="19"/>
  <c r="AN205" i="19"/>
  <c r="AO205" i="19"/>
  <c r="AP205" i="19"/>
  <c r="AT205" i="19"/>
  <c r="AU205" i="19"/>
  <c r="AV205" i="19"/>
  <c r="AW205" i="19"/>
  <c r="AX205" i="19"/>
  <c r="AY205" i="19"/>
  <c r="AZ205" i="19"/>
  <c r="BA205" i="19"/>
  <c r="BB205" i="19"/>
  <c r="BC205" i="19"/>
  <c r="BD205" i="19"/>
  <c r="BE205" i="19"/>
  <c r="AT6" i="19"/>
  <c r="AU6" i="19"/>
  <c r="AV6" i="19"/>
  <c r="AW6" i="19"/>
  <c r="AX6" i="19"/>
  <c r="AY6" i="19"/>
  <c r="AZ6" i="19"/>
  <c r="BA6" i="19"/>
  <c r="BB6" i="19"/>
  <c r="BC6" i="19"/>
  <c r="BD6" i="19"/>
  <c r="BE6" i="19"/>
  <c r="AE6" i="19"/>
  <c r="AF6" i="19"/>
  <c r="AG6" i="19"/>
  <c r="AH6" i="19"/>
  <c r="AI6" i="19"/>
  <c r="AJ6" i="19"/>
  <c r="AK6" i="19"/>
  <c r="AL6" i="19"/>
  <c r="AM6" i="19"/>
  <c r="AN6" i="19"/>
  <c r="AO6" i="19"/>
  <c r="AP6" i="19"/>
  <c r="B7" i="19"/>
  <c r="C7" i="19"/>
  <c r="D7" i="19"/>
  <c r="E7" i="19"/>
  <c r="F7" i="19"/>
  <c r="G7" i="19"/>
  <c r="H7" i="19"/>
  <c r="I7" i="19"/>
  <c r="J7" i="19"/>
  <c r="K7" i="19"/>
  <c r="L7" i="19"/>
  <c r="M7" i="19"/>
  <c r="N7" i="19"/>
  <c r="O7" i="19"/>
  <c r="P7" i="19"/>
  <c r="Q7" i="19"/>
  <c r="R7" i="19"/>
  <c r="S7" i="19"/>
  <c r="T7" i="19"/>
  <c r="U7" i="19"/>
  <c r="V7" i="19"/>
  <c r="W7" i="19"/>
  <c r="X7" i="19"/>
  <c r="Y7" i="19"/>
  <c r="Z7" i="19"/>
  <c r="AB7" i="19"/>
  <c r="B8" i="19"/>
  <c r="C8" i="19"/>
  <c r="D8" i="19"/>
  <c r="E8" i="19"/>
  <c r="F8" i="19"/>
  <c r="G8" i="19"/>
  <c r="H8" i="19"/>
  <c r="I8" i="19"/>
  <c r="J8" i="19"/>
  <c r="K8" i="19"/>
  <c r="L8" i="19"/>
  <c r="M8" i="19"/>
  <c r="N8" i="19"/>
  <c r="O8" i="19"/>
  <c r="P8" i="19"/>
  <c r="Q8" i="19"/>
  <c r="R8" i="19"/>
  <c r="S8" i="19"/>
  <c r="T8" i="19"/>
  <c r="U8" i="19"/>
  <c r="V8" i="19"/>
  <c r="W8" i="19"/>
  <c r="X8" i="19"/>
  <c r="Y8" i="19"/>
  <c r="Z8" i="19"/>
  <c r="AB8" i="19"/>
  <c r="B9" i="19"/>
  <c r="C9" i="19"/>
  <c r="D9" i="19"/>
  <c r="E9" i="19"/>
  <c r="F9" i="19"/>
  <c r="G9" i="19"/>
  <c r="H9" i="19"/>
  <c r="I9" i="19"/>
  <c r="J9" i="19"/>
  <c r="K9" i="19"/>
  <c r="L9" i="19"/>
  <c r="M9" i="19"/>
  <c r="N9" i="19"/>
  <c r="O9" i="19"/>
  <c r="P9" i="19"/>
  <c r="Q9" i="19"/>
  <c r="R9" i="19"/>
  <c r="S9" i="19"/>
  <c r="T9" i="19"/>
  <c r="U9" i="19"/>
  <c r="V9" i="19"/>
  <c r="W9" i="19"/>
  <c r="X9" i="19"/>
  <c r="Y9" i="19"/>
  <c r="Z9" i="19"/>
  <c r="AB9" i="19"/>
  <c r="B10" i="19"/>
  <c r="C10" i="19"/>
  <c r="D10" i="19"/>
  <c r="E10" i="19"/>
  <c r="F10" i="19"/>
  <c r="G10" i="19"/>
  <c r="H10" i="19"/>
  <c r="I10" i="19"/>
  <c r="J10" i="19"/>
  <c r="K10" i="19"/>
  <c r="L10" i="19"/>
  <c r="M10" i="19"/>
  <c r="N10" i="19"/>
  <c r="O10" i="19"/>
  <c r="P10" i="19"/>
  <c r="Q10" i="19"/>
  <c r="R10" i="19"/>
  <c r="S10" i="19"/>
  <c r="T10" i="19"/>
  <c r="U10" i="19"/>
  <c r="V10" i="19"/>
  <c r="W10" i="19"/>
  <c r="X10" i="19"/>
  <c r="Y10" i="19"/>
  <c r="Z10" i="19"/>
  <c r="AB10" i="19"/>
  <c r="B11" i="19"/>
  <c r="C11" i="19"/>
  <c r="D11" i="19"/>
  <c r="E11" i="19"/>
  <c r="F11" i="19"/>
  <c r="G11" i="19"/>
  <c r="H11" i="19"/>
  <c r="I11" i="19"/>
  <c r="J11" i="19"/>
  <c r="K11" i="19"/>
  <c r="L11" i="19"/>
  <c r="M11" i="19"/>
  <c r="N11" i="19"/>
  <c r="O11" i="19"/>
  <c r="P11" i="19"/>
  <c r="Q11" i="19"/>
  <c r="R11" i="19"/>
  <c r="S11" i="19"/>
  <c r="T11" i="19"/>
  <c r="U11" i="19"/>
  <c r="V11" i="19"/>
  <c r="W11" i="19"/>
  <c r="X11" i="19"/>
  <c r="Y11" i="19"/>
  <c r="Z11" i="19"/>
  <c r="AB11" i="19"/>
  <c r="B12" i="19"/>
  <c r="C12" i="19"/>
  <c r="D12" i="19"/>
  <c r="E12" i="19"/>
  <c r="F12" i="19"/>
  <c r="G12" i="19"/>
  <c r="H12" i="19"/>
  <c r="I12" i="19"/>
  <c r="J12" i="19"/>
  <c r="K12" i="19"/>
  <c r="L12" i="19"/>
  <c r="M12" i="19"/>
  <c r="N12" i="19"/>
  <c r="O12" i="19"/>
  <c r="P12" i="19"/>
  <c r="Q12" i="19"/>
  <c r="R12" i="19"/>
  <c r="S12" i="19"/>
  <c r="T12" i="19"/>
  <c r="U12" i="19"/>
  <c r="V12" i="19"/>
  <c r="W12" i="19"/>
  <c r="X12" i="19"/>
  <c r="Y12" i="19"/>
  <c r="Z12" i="19"/>
  <c r="AB12" i="19"/>
  <c r="B13" i="19"/>
  <c r="C13" i="19"/>
  <c r="D13" i="19"/>
  <c r="E13" i="19"/>
  <c r="F13" i="19"/>
  <c r="G13" i="19"/>
  <c r="H13" i="19"/>
  <c r="I13" i="19"/>
  <c r="J13" i="19"/>
  <c r="K13" i="19"/>
  <c r="L13" i="19"/>
  <c r="M13" i="19"/>
  <c r="N13" i="19"/>
  <c r="O13" i="19"/>
  <c r="P13" i="19"/>
  <c r="Q13" i="19"/>
  <c r="R13" i="19"/>
  <c r="S13" i="19"/>
  <c r="T13" i="19"/>
  <c r="U13" i="19"/>
  <c r="V13" i="19"/>
  <c r="W13" i="19"/>
  <c r="X13" i="19"/>
  <c r="Y13" i="19"/>
  <c r="Z13" i="19"/>
  <c r="AB13" i="19"/>
  <c r="B14" i="19"/>
  <c r="C14" i="19"/>
  <c r="D14" i="19"/>
  <c r="E14" i="19"/>
  <c r="F14" i="19"/>
  <c r="G14" i="19"/>
  <c r="H14" i="19"/>
  <c r="I14" i="19"/>
  <c r="J14" i="19"/>
  <c r="K14" i="19"/>
  <c r="L14" i="19"/>
  <c r="M14" i="19"/>
  <c r="N14" i="19"/>
  <c r="O14" i="19"/>
  <c r="P14" i="19"/>
  <c r="Q14" i="19"/>
  <c r="R14" i="19"/>
  <c r="S14" i="19"/>
  <c r="T14" i="19"/>
  <c r="U14" i="19"/>
  <c r="V14" i="19"/>
  <c r="W14" i="19"/>
  <c r="X14" i="19"/>
  <c r="Y14" i="19"/>
  <c r="Z14" i="19"/>
  <c r="AB14" i="19"/>
  <c r="B15" i="19"/>
  <c r="C15" i="19"/>
  <c r="D15" i="19"/>
  <c r="E15" i="19"/>
  <c r="F15" i="19"/>
  <c r="G15" i="19"/>
  <c r="H15" i="19"/>
  <c r="I15" i="19"/>
  <c r="J15" i="19"/>
  <c r="K15" i="19"/>
  <c r="L15" i="19"/>
  <c r="M15" i="19"/>
  <c r="N15" i="19"/>
  <c r="O15" i="19"/>
  <c r="P15" i="19"/>
  <c r="Q15" i="19"/>
  <c r="R15" i="19"/>
  <c r="S15" i="19"/>
  <c r="T15" i="19"/>
  <c r="U15" i="19"/>
  <c r="V15" i="19"/>
  <c r="W15" i="19"/>
  <c r="X15" i="19"/>
  <c r="Y15" i="19"/>
  <c r="Z15" i="19"/>
  <c r="AB15" i="19"/>
  <c r="B16" i="19"/>
  <c r="C16" i="19"/>
  <c r="D16" i="19"/>
  <c r="E16" i="19"/>
  <c r="F16" i="19"/>
  <c r="G16" i="19"/>
  <c r="H16" i="19"/>
  <c r="I16" i="19"/>
  <c r="J16" i="19"/>
  <c r="K16" i="19"/>
  <c r="L16" i="19"/>
  <c r="M16" i="19"/>
  <c r="N16" i="19"/>
  <c r="O16" i="19"/>
  <c r="P16" i="19"/>
  <c r="Q16" i="19"/>
  <c r="R16" i="19"/>
  <c r="S16" i="19"/>
  <c r="T16" i="19"/>
  <c r="U16" i="19"/>
  <c r="V16" i="19"/>
  <c r="W16" i="19"/>
  <c r="X16" i="19"/>
  <c r="Y16" i="19"/>
  <c r="Z16" i="19"/>
  <c r="AB16" i="19"/>
  <c r="B17" i="19"/>
  <c r="C17" i="19"/>
  <c r="D17" i="19"/>
  <c r="E17" i="19"/>
  <c r="F17" i="19"/>
  <c r="G17" i="19"/>
  <c r="H17" i="19"/>
  <c r="I17" i="19"/>
  <c r="J17" i="19"/>
  <c r="K17" i="19"/>
  <c r="L17" i="19"/>
  <c r="M17" i="19"/>
  <c r="N17" i="19"/>
  <c r="O17" i="19"/>
  <c r="P17" i="19"/>
  <c r="Q17" i="19"/>
  <c r="R17" i="19"/>
  <c r="S17" i="19"/>
  <c r="T17" i="19"/>
  <c r="U17" i="19"/>
  <c r="V17" i="19"/>
  <c r="W17" i="19"/>
  <c r="X17" i="19"/>
  <c r="Y17" i="19"/>
  <c r="Z17" i="19"/>
  <c r="AB17" i="19"/>
  <c r="B18" i="19"/>
  <c r="C18" i="19"/>
  <c r="D18" i="19"/>
  <c r="E18" i="19"/>
  <c r="F18" i="19"/>
  <c r="G18" i="19"/>
  <c r="H18" i="19"/>
  <c r="I18" i="19"/>
  <c r="J18" i="19"/>
  <c r="K18" i="19"/>
  <c r="L18" i="19"/>
  <c r="M18" i="19"/>
  <c r="N18" i="19"/>
  <c r="O18" i="19"/>
  <c r="P18" i="19"/>
  <c r="Q18" i="19"/>
  <c r="R18" i="19"/>
  <c r="S18" i="19"/>
  <c r="T18" i="19"/>
  <c r="U18" i="19"/>
  <c r="V18" i="19"/>
  <c r="W18" i="19"/>
  <c r="X18" i="19"/>
  <c r="Y18" i="19"/>
  <c r="Z18" i="19"/>
  <c r="AB18" i="19"/>
  <c r="B19" i="19"/>
  <c r="C19" i="19"/>
  <c r="D19" i="19"/>
  <c r="E19" i="19"/>
  <c r="F19" i="19"/>
  <c r="G19" i="19"/>
  <c r="H19" i="19"/>
  <c r="I19" i="19"/>
  <c r="J19" i="19"/>
  <c r="K19" i="19"/>
  <c r="L19" i="19"/>
  <c r="M19" i="19"/>
  <c r="N19" i="19"/>
  <c r="O19" i="19"/>
  <c r="P19" i="19"/>
  <c r="Q19" i="19"/>
  <c r="R19" i="19"/>
  <c r="S19" i="19"/>
  <c r="T19" i="19"/>
  <c r="U19" i="19"/>
  <c r="V19" i="19"/>
  <c r="W19" i="19"/>
  <c r="X19" i="19"/>
  <c r="Y19" i="19"/>
  <c r="Z19" i="19"/>
  <c r="AB19" i="19"/>
  <c r="B20" i="19"/>
  <c r="C20" i="19"/>
  <c r="D20" i="19"/>
  <c r="E20" i="19"/>
  <c r="F20" i="19"/>
  <c r="G20" i="19"/>
  <c r="H20" i="19"/>
  <c r="I20" i="19"/>
  <c r="J20" i="19"/>
  <c r="K20" i="19"/>
  <c r="L20" i="19"/>
  <c r="M20" i="19"/>
  <c r="N20" i="19"/>
  <c r="O20" i="19"/>
  <c r="P20" i="19"/>
  <c r="Q20" i="19"/>
  <c r="R20" i="19"/>
  <c r="S20" i="19"/>
  <c r="T20" i="19"/>
  <c r="U20" i="19"/>
  <c r="V20" i="19"/>
  <c r="W20" i="19"/>
  <c r="X20" i="19"/>
  <c r="Y20" i="19"/>
  <c r="Z20" i="19"/>
  <c r="AB20" i="19"/>
  <c r="B21" i="19"/>
  <c r="C21" i="19"/>
  <c r="D21" i="19"/>
  <c r="E21" i="19"/>
  <c r="F21" i="19"/>
  <c r="G21" i="19"/>
  <c r="H21" i="19"/>
  <c r="I21" i="19"/>
  <c r="J21" i="19"/>
  <c r="K21" i="19"/>
  <c r="L21" i="19"/>
  <c r="M21" i="19"/>
  <c r="N21" i="19"/>
  <c r="O21" i="19"/>
  <c r="P21" i="19"/>
  <c r="Q21" i="19"/>
  <c r="R21" i="19"/>
  <c r="S21" i="19"/>
  <c r="T21" i="19"/>
  <c r="U21" i="19"/>
  <c r="V21" i="19"/>
  <c r="W21" i="19"/>
  <c r="X21" i="19"/>
  <c r="Y21" i="19"/>
  <c r="Z21" i="19"/>
  <c r="AB21" i="19"/>
  <c r="B22" i="19"/>
  <c r="C22" i="19"/>
  <c r="D22" i="19"/>
  <c r="E22" i="19"/>
  <c r="F22" i="19"/>
  <c r="G22" i="19"/>
  <c r="H22" i="19"/>
  <c r="I22" i="19"/>
  <c r="J22" i="19"/>
  <c r="K22" i="19"/>
  <c r="L22" i="19"/>
  <c r="M22" i="19"/>
  <c r="N22" i="19"/>
  <c r="O22" i="19"/>
  <c r="P22" i="19"/>
  <c r="Q22" i="19"/>
  <c r="R22" i="19"/>
  <c r="S22" i="19"/>
  <c r="T22" i="19"/>
  <c r="U22" i="19"/>
  <c r="V22" i="19"/>
  <c r="W22" i="19"/>
  <c r="X22" i="19"/>
  <c r="Y22" i="19"/>
  <c r="Z22" i="19"/>
  <c r="AB22" i="19"/>
  <c r="B23" i="19"/>
  <c r="C23" i="19"/>
  <c r="D23" i="19"/>
  <c r="E23" i="19"/>
  <c r="F23" i="19"/>
  <c r="G23" i="19"/>
  <c r="H23" i="19"/>
  <c r="I23" i="19"/>
  <c r="J23" i="19"/>
  <c r="K23" i="19"/>
  <c r="L23" i="19"/>
  <c r="M23" i="19"/>
  <c r="N23" i="19"/>
  <c r="O23" i="19"/>
  <c r="P23" i="19"/>
  <c r="Q23" i="19"/>
  <c r="R23" i="19"/>
  <c r="S23" i="19"/>
  <c r="T23" i="19"/>
  <c r="U23" i="19"/>
  <c r="V23" i="19"/>
  <c r="W23" i="19"/>
  <c r="X23" i="19"/>
  <c r="Y23" i="19"/>
  <c r="Z23" i="19"/>
  <c r="AB23" i="19"/>
  <c r="B24" i="19"/>
  <c r="C24" i="19"/>
  <c r="D24" i="19"/>
  <c r="E24" i="19"/>
  <c r="F24" i="19"/>
  <c r="G24" i="19"/>
  <c r="H24" i="19"/>
  <c r="I24" i="19"/>
  <c r="J24" i="19"/>
  <c r="K24" i="19"/>
  <c r="L24" i="19"/>
  <c r="M24" i="19"/>
  <c r="N24" i="19"/>
  <c r="O24" i="19"/>
  <c r="P24" i="19"/>
  <c r="Q24" i="19"/>
  <c r="R24" i="19"/>
  <c r="S24" i="19"/>
  <c r="T24" i="19"/>
  <c r="U24" i="19"/>
  <c r="V24" i="19"/>
  <c r="W24" i="19"/>
  <c r="X24" i="19"/>
  <c r="Y24" i="19"/>
  <c r="Z24" i="19"/>
  <c r="AB24" i="19"/>
  <c r="B25" i="19"/>
  <c r="C25" i="19"/>
  <c r="D25" i="19"/>
  <c r="E25" i="19"/>
  <c r="F25" i="19"/>
  <c r="G25" i="19"/>
  <c r="H25" i="19"/>
  <c r="I25" i="19"/>
  <c r="J25" i="19"/>
  <c r="K25" i="19"/>
  <c r="L25" i="19"/>
  <c r="M25" i="19"/>
  <c r="N25" i="19"/>
  <c r="O25" i="19"/>
  <c r="P25" i="19"/>
  <c r="Q25" i="19"/>
  <c r="R25" i="19"/>
  <c r="S25" i="19"/>
  <c r="T25" i="19"/>
  <c r="U25" i="19"/>
  <c r="V25" i="19"/>
  <c r="W25" i="19"/>
  <c r="X25" i="19"/>
  <c r="Y25" i="19"/>
  <c r="Z25" i="19"/>
  <c r="AB25" i="19"/>
  <c r="B26" i="19"/>
  <c r="C26" i="19"/>
  <c r="D26" i="19"/>
  <c r="E26" i="19"/>
  <c r="F26" i="19"/>
  <c r="G26" i="19"/>
  <c r="H26" i="19"/>
  <c r="I26" i="19"/>
  <c r="J26" i="19"/>
  <c r="K26" i="19"/>
  <c r="L26" i="19"/>
  <c r="M26" i="19"/>
  <c r="N26" i="19"/>
  <c r="O26" i="19"/>
  <c r="P26" i="19"/>
  <c r="Q26" i="19"/>
  <c r="R26" i="19"/>
  <c r="S26" i="19"/>
  <c r="T26" i="19"/>
  <c r="U26" i="19"/>
  <c r="V26" i="19"/>
  <c r="W26" i="19"/>
  <c r="X26" i="19"/>
  <c r="Y26" i="19"/>
  <c r="Z26" i="19"/>
  <c r="AB26" i="19"/>
  <c r="B27" i="19"/>
  <c r="C27" i="19"/>
  <c r="D27" i="19"/>
  <c r="E27" i="19"/>
  <c r="F27" i="19"/>
  <c r="G27" i="19"/>
  <c r="H27" i="19"/>
  <c r="I27" i="19"/>
  <c r="J27" i="19"/>
  <c r="K27" i="19"/>
  <c r="L27" i="19"/>
  <c r="M27" i="19"/>
  <c r="N27" i="19"/>
  <c r="O27" i="19"/>
  <c r="P27" i="19"/>
  <c r="Q27" i="19"/>
  <c r="R27" i="19"/>
  <c r="S27" i="19"/>
  <c r="T27" i="19"/>
  <c r="U27" i="19"/>
  <c r="V27" i="19"/>
  <c r="W27" i="19"/>
  <c r="X27" i="19"/>
  <c r="Y27" i="19"/>
  <c r="Z27" i="19"/>
  <c r="AB27" i="19"/>
  <c r="B28" i="19"/>
  <c r="C28" i="19"/>
  <c r="D28" i="19"/>
  <c r="E28" i="19"/>
  <c r="F28" i="19"/>
  <c r="G28" i="19"/>
  <c r="H28" i="19"/>
  <c r="I28" i="19"/>
  <c r="J28" i="19"/>
  <c r="K28" i="19"/>
  <c r="L28" i="19"/>
  <c r="M28" i="19"/>
  <c r="N28" i="19"/>
  <c r="O28" i="19"/>
  <c r="P28" i="19"/>
  <c r="Q28" i="19"/>
  <c r="R28" i="19"/>
  <c r="S28" i="19"/>
  <c r="T28" i="19"/>
  <c r="U28" i="19"/>
  <c r="V28" i="19"/>
  <c r="W28" i="19"/>
  <c r="X28" i="19"/>
  <c r="Y28" i="19"/>
  <c r="Z28" i="19"/>
  <c r="AB28" i="19"/>
  <c r="B29" i="19"/>
  <c r="C29" i="19"/>
  <c r="D29" i="19"/>
  <c r="E29" i="19"/>
  <c r="F29" i="19"/>
  <c r="G29" i="19"/>
  <c r="H29" i="19"/>
  <c r="I29" i="19"/>
  <c r="J29" i="19"/>
  <c r="K29" i="19"/>
  <c r="L29" i="19"/>
  <c r="M29" i="19"/>
  <c r="N29" i="19"/>
  <c r="O29" i="19"/>
  <c r="P29" i="19"/>
  <c r="Q29" i="19"/>
  <c r="R29" i="19"/>
  <c r="S29" i="19"/>
  <c r="T29" i="19"/>
  <c r="U29" i="19"/>
  <c r="V29" i="19"/>
  <c r="W29" i="19"/>
  <c r="X29" i="19"/>
  <c r="Y29" i="19"/>
  <c r="Z29" i="19"/>
  <c r="AB29" i="19"/>
  <c r="B30" i="19"/>
  <c r="C30" i="19"/>
  <c r="D30" i="19"/>
  <c r="E30" i="19"/>
  <c r="F30" i="19"/>
  <c r="G30" i="19"/>
  <c r="H30" i="19"/>
  <c r="I30" i="19"/>
  <c r="J30" i="19"/>
  <c r="K30" i="19"/>
  <c r="L30" i="19"/>
  <c r="M30" i="19"/>
  <c r="N30" i="19"/>
  <c r="O30" i="19"/>
  <c r="P30" i="19"/>
  <c r="Q30" i="19"/>
  <c r="R30" i="19"/>
  <c r="S30" i="19"/>
  <c r="T30" i="19"/>
  <c r="U30" i="19"/>
  <c r="V30" i="19"/>
  <c r="W30" i="19"/>
  <c r="X30" i="19"/>
  <c r="Y30" i="19"/>
  <c r="Z30" i="19"/>
  <c r="AB30" i="19"/>
  <c r="B31" i="19"/>
  <c r="C31" i="19"/>
  <c r="D31" i="19"/>
  <c r="E31" i="19"/>
  <c r="F31" i="19"/>
  <c r="G31" i="19"/>
  <c r="H31" i="19"/>
  <c r="I31" i="19"/>
  <c r="J31" i="19"/>
  <c r="K31" i="19"/>
  <c r="L31" i="19"/>
  <c r="M31" i="19"/>
  <c r="N31" i="19"/>
  <c r="O31" i="19"/>
  <c r="P31" i="19"/>
  <c r="Q31" i="19"/>
  <c r="R31" i="19"/>
  <c r="S31" i="19"/>
  <c r="T31" i="19"/>
  <c r="U31" i="19"/>
  <c r="V31" i="19"/>
  <c r="W31" i="19"/>
  <c r="X31" i="19"/>
  <c r="Y31" i="19"/>
  <c r="Z31" i="19"/>
  <c r="AB31" i="19"/>
  <c r="B32" i="19"/>
  <c r="C32" i="19"/>
  <c r="D32" i="19"/>
  <c r="E32" i="19"/>
  <c r="F32" i="19"/>
  <c r="G32" i="19"/>
  <c r="H32" i="19"/>
  <c r="I32" i="19"/>
  <c r="J32" i="19"/>
  <c r="K32" i="19"/>
  <c r="L32" i="19"/>
  <c r="M32" i="19"/>
  <c r="N32" i="19"/>
  <c r="O32" i="19"/>
  <c r="P32" i="19"/>
  <c r="Q32" i="19"/>
  <c r="R32" i="19"/>
  <c r="S32" i="19"/>
  <c r="T32" i="19"/>
  <c r="U32" i="19"/>
  <c r="V32" i="19"/>
  <c r="W32" i="19"/>
  <c r="X32" i="19"/>
  <c r="Y32" i="19"/>
  <c r="Z32" i="19"/>
  <c r="AB32" i="19"/>
  <c r="B33" i="19"/>
  <c r="C33" i="19"/>
  <c r="D33" i="19"/>
  <c r="E33" i="19"/>
  <c r="F33" i="19"/>
  <c r="G33" i="19"/>
  <c r="H33" i="19"/>
  <c r="I33" i="19"/>
  <c r="J33" i="19"/>
  <c r="K33" i="19"/>
  <c r="L33" i="19"/>
  <c r="M33" i="19"/>
  <c r="N33" i="19"/>
  <c r="O33" i="19"/>
  <c r="P33" i="19"/>
  <c r="Q33" i="19"/>
  <c r="R33" i="19"/>
  <c r="S33" i="19"/>
  <c r="T33" i="19"/>
  <c r="U33" i="19"/>
  <c r="V33" i="19"/>
  <c r="W33" i="19"/>
  <c r="X33" i="19"/>
  <c r="Y33" i="19"/>
  <c r="Z33" i="19"/>
  <c r="AB33" i="19"/>
  <c r="B34" i="19"/>
  <c r="C34" i="19"/>
  <c r="D34" i="19"/>
  <c r="E34" i="19"/>
  <c r="F34" i="19"/>
  <c r="G34" i="19"/>
  <c r="H34" i="19"/>
  <c r="I34" i="19"/>
  <c r="J34" i="19"/>
  <c r="K34" i="19"/>
  <c r="L34" i="19"/>
  <c r="M34" i="19"/>
  <c r="N34" i="19"/>
  <c r="O34" i="19"/>
  <c r="P34" i="19"/>
  <c r="Q34" i="19"/>
  <c r="R34" i="19"/>
  <c r="S34" i="19"/>
  <c r="T34" i="19"/>
  <c r="U34" i="19"/>
  <c r="V34" i="19"/>
  <c r="W34" i="19"/>
  <c r="X34" i="19"/>
  <c r="Y34" i="19"/>
  <c r="Z34" i="19"/>
  <c r="AB34" i="19"/>
  <c r="B35" i="19"/>
  <c r="C35" i="19"/>
  <c r="D35" i="19"/>
  <c r="E35" i="19"/>
  <c r="F35" i="19"/>
  <c r="G35" i="19"/>
  <c r="H35" i="19"/>
  <c r="I35" i="19"/>
  <c r="J35" i="19"/>
  <c r="K35" i="19"/>
  <c r="L35" i="19"/>
  <c r="M35" i="19"/>
  <c r="N35" i="19"/>
  <c r="O35" i="19"/>
  <c r="P35" i="19"/>
  <c r="Q35" i="19"/>
  <c r="R35" i="19"/>
  <c r="S35" i="19"/>
  <c r="T35" i="19"/>
  <c r="U35" i="19"/>
  <c r="V35" i="19"/>
  <c r="W35" i="19"/>
  <c r="X35" i="19"/>
  <c r="Y35" i="19"/>
  <c r="Z35" i="19"/>
  <c r="AB35" i="19"/>
  <c r="B36" i="19"/>
  <c r="C36" i="19"/>
  <c r="D36" i="19"/>
  <c r="E36" i="19"/>
  <c r="F36" i="19"/>
  <c r="G36" i="19"/>
  <c r="H36" i="19"/>
  <c r="I36" i="19"/>
  <c r="J36" i="19"/>
  <c r="K36" i="19"/>
  <c r="L36" i="19"/>
  <c r="M36" i="19"/>
  <c r="N36" i="19"/>
  <c r="O36" i="19"/>
  <c r="P36" i="19"/>
  <c r="Q36" i="19"/>
  <c r="R36" i="19"/>
  <c r="S36" i="19"/>
  <c r="T36" i="19"/>
  <c r="U36" i="19"/>
  <c r="V36" i="19"/>
  <c r="W36" i="19"/>
  <c r="X36" i="19"/>
  <c r="Y36" i="19"/>
  <c r="Z36" i="19"/>
  <c r="AB36" i="19"/>
  <c r="B37" i="19"/>
  <c r="C37" i="19"/>
  <c r="D37" i="19"/>
  <c r="E37" i="19"/>
  <c r="F37" i="19"/>
  <c r="G37" i="19"/>
  <c r="H37" i="19"/>
  <c r="I37" i="19"/>
  <c r="J37" i="19"/>
  <c r="K37" i="19"/>
  <c r="L37" i="19"/>
  <c r="M37" i="19"/>
  <c r="N37" i="19"/>
  <c r="O37" i="19"/>
  <c r="P37" i="19"/>
  <c r="Q37" i="19"/>
  <c r="R37" i="19"/>
  <c r="S37" i="19"/>
  <c r="T37" i="19"/>
  <c r="U37" i="19"/>
  <c r="V37" i="19"/>
  <c r="W37" i="19"/>
  <c r="X37" i="19"/>
  <c r="Y37" i="19"/>
  <c r="Z37" i="19"/>
  <c r="AB37" i="19"/>
  <c r="B38" i="19"/>
  <c r="C38" i="19"/>
  <c r="D38" i="19"/>
  <c r="E38" i="19"/>
  <c r="F38" i="19"/>
  <c r="G38" i="19"/>
  <c r="H38" i="19"/>
  <c r="I38" i="19"/>
  <c r="J38" i="19"/>
  <c r="K38" i="19"/>
  <c r="L38" i="19"/>
  <c r="M38" i="19"/>
  <c r="N38" i="19"/>
  <c r="O38" i="19"/>
  <c r="P38" i="19"/>
  <c r="Q38" i="19"/>
  <c r="R38" i="19"/>
  <c r="S38" i="19"/>
  <c r="T38" i="19"/>
  <c r="U38" i="19"/>
  <c r="V38" i="19"/>
  <c r="W38" i="19"/>
  <c r="X38" i="19"/>
  <c r="Y38" i="19"/>
  <c r="Z38" i="19"/>
  <c r="AB38" i="19"/>
  <c r="B39" i="19"/>
  <c r="C39" i="19"/>
  <c r="D39" i="19"/>
  <c r="E39" i="19"/>
  <c r="F39" i="19"/>
  <c r="G39" i="19"/>
  <c r="H39" i="19"/>
  <c r="I39" i="19"/>
  <c r="J39" i="19"/>
  <c r="K39" i="19"/>
  <c r="L39" i="19"/>
  <c r="M39" i="19"/>
  <c r="N39" i="19"/>
  <c r="O39" i="19"/>
  <c r="P39" i="19"/>
  <c r="Q39" i="19"/>
  <c r="R39" i="19"/>
  <c r="S39" i="19"/>
  <c r="T39" i="19"/>
  <c r="U39" i="19"/>
  <c r="V39" i="19"/>
  <c r="W39" i="19"/>
  <c r="X39" i="19"/>
  <c r="Y39" i="19"/>
  <c r="Z39" i="19"/>
  <c r="AB39" i="19"/>
  <c r="B40" i="19"/>
  <c r="C40" i="19"/>
  <c r="D40" i="19"/>
  <c r="E40" i="19"/>
  <c r="F40" i="19"/>
  <c r="G40" i="19"/>
  <c r="H40" i="19"/>
  <c r="I40" i="19"/>
  <c r="J40" i="19"/>
  <c r="K40" i="19"/>
  <c r="L40" i="19"/>
  <c r="M40" i="19"/>
  <c r="N40" i="19"/>
  <c r="O40" i="19"/>
  <c r="P40" i="19"/>
  <c r="Q40" i="19"/>
  <c r="R40" i="19"/>
  <c r="S40" i="19"/>
  <c r="T40" i="19"/>
  <c r="U40" i="19"/>
  <c r="V40" i="19"/>
  <c r="W40" i="19"/>
  <c r="X40" i="19"/>
  <c r="Y40" i="19"/>
  <c r="Z40" i="19"/>
  <c r="AB40" i="19"/>
  <c r="B41" i="19"/>
  <c r="C41" i="19"/>
  <c r="D41" i="19"/>
  <c r="E41" i="19"/>
  <c r="F41" i="19"/>
  <c r="G41" i="19"/>
  <c r="H41" i="19"/>
  <c r="I41" i="19"/>
  <c r="J41" i="19"/>
  <c r="K41" i="19"/>
  <c r="L41" i="19"/>
  <c r="M41" i="19"/>
  <c r="N41" i="19"/>
  <c r="O41" i="19"/>
  <c r="P41" i="19"/>
  <c r="Q41" i="19"/>
  <c r="R41" i="19"/>
  <c r="S41" i="19"/>
  <c r="T41" i="19"/>
  <c r="U41" i="19"/>
  <c r="V41" i="19"/>
  <c r="W41" i="19"/>
  <c r="X41" i="19"/>
  <c r="Y41" i="19"/>
  <c r="Z41" i="19"/>
  <c r="AB41" i="19"/>
  <c r="B42" i="19"/>
  <c r="C42" i="19"/>
  <c r="D42" i="19"/>
  <c r="E42" i="19"/>
  <c r="F42" i="19"/>
  <c r="G42" i="19"/>
  <c r="H42" i="19"/>
  <c r="I42" i="19"/>
  <c r="J42" i="19"/>
  <c r="K42" i="19"/>
  <c r="L42" i="19"/>
  <c r="M42" i="19"/>
  <c r="N42" i="19"/>
  <c r="O42" i="19"/>
  <c r="P42" i="19"/>
  <c r="Q42" i="19"/>
  <c r="R42" i="19"/>
  <c r="S42" i="19"/>
  <c r="T42" i="19"/>
  <c r="U42" i="19"/>
  <c r="V42" i="19"/>
  <c r="W42" i="19"/>
  <c r="X42" i="19"/>
  <c r="Y42" i="19"/>
  <c r="Z42" i="19"/>
  <c r="AB42" i="19"/>
  <c r="B43" i="19"/>
  <c r="C43" i="19"/>
  <c r="D43" i="19"/>
  <c r="E43" i="19"/>
  <c r="F43" i="19"/>
  <c r="G43" i="19"/>
  <c r="H43" i="19"/>
  <c r="I43" i="19"/>
  <c r="J43" i="19"/>
  <c r="K43" i="19"/>
  <c r="L43" i="19"/>
  <c r="M43" i="19"/>
  <c r="N43" i="19"/>
  <c r="O43" i="19"/>
  <c r="P43" i="19"/>
  <c r="Q43" i="19"/>
  <c r="R43" i="19"/>
  <c r="S43" i="19"/>
  <c r="T43" i="19"/>
  <c r="U43" i="19"/>
  <c r="V43" i="19"/>
  <c r="W43" i="19"/>
  <c r="X43" i="19"/>
  <c r="Y43" i="19"/>
  <c r="Z43" i="19"/>
  <c r="AB43" i="19"/>
  <c r="B44" i="19"/>
  <c r="C44" i="19"/>
  <c r="D44" i="19"/>
  <c r="E44" i="19"/>
  <c r="F44" i="19"/>
  <c r="G44" i="19"/>
  <c r="H44" i="19"/>
  <c r="I44" i="19"/>
  <c r="J44" i="19"/>
  <c r="K44" i="19"/>
  <c r="L44" i="19"/>
  <c r="M44" i="19"/>
  <c r="N44" i="19"/>
  <c r="O44" i="19"/>
  <c r="P44" i="19"/>
  <c r="Q44" i="19"/>
  <c r="R44" i="19"/>
  <c r="S44" i="19"/>
  <c r="T44" i="19"/>
  <c r="U44" i="19"/>
  <c r="V44" i="19"/>
  <c r="W44" i="19"/>
  <c r="X44" i="19"/>
  <c r="Y44" i="19"/>
  <c r="Z44" i="19"/>
  <c r="AB44" i="19"/>
  <c r="B45" i="19"/>
  <c r="C45" i="19"/>
  <c r="D45" i="19"/>
  <c r="E45" i="19"/>
  <c r="F45" i="19"/>
  <c r="G45" i="19"/>
  <c r="H45" i="19"/>
  <c r="I45" i="19"/>
  <c r="J45" i="19"/>
  <c r="K45" i="19"/>
  <c r="L45" i="19"/>
  <c r="M45" i="19"/>
  <c r="N45" i="19"/>
  <c r="O45" i="19"/>
  <c r="P45" i="19"/>
  <c r="Q45" i="19"/>
  <c r="R45" i="19"/>
  <c r="S45" i="19"/>
  <c r="T45" i="19"/>
  <c r="U45" i="19"/>
  <c r="V45" i="19"/>
  <c r="W45" i="19"/>
  <c r="X45" i="19"/>
  <c r="Y45" i="19"/>
  <c r="Z45" i="19"/>
  <c r="AB45" i="19"/>
  <c r="B46" i="19"/>
  <c r="C46" i="19"/>
  <c r="D46" i="19"/>
  <c r="E46" i="19"/>
  <c r="F46" i="19"/>
  <c r="G46" i="19"/>
  <c r="H46" i="19"/>
  <c r="I46" i="19"/>
  <c r="J46" i="19"/>
  <c r="K46" i="19"/>
  <c r="L46" i="19"/>
  <c r="M46" i="19"/>
  <c r="N46" i="19"/>
  <c r="O46" i="19"/>
  <c r="P46" i="19"/>
  <c r="Q46" i="19"/>
  <c r="R46" i="19"/>
  <c r="S46" i="19"/>
  <c r="T46" i="19"/>
  <c r="U46" i="19"/>
  <c r="V46" i="19"/>
  <c r="W46" i="19"/>
  <c r="X46" i="19"/>
  <c r="Y46" i="19"/>
  <c r="Z46" i="19"/>
  <c r="AB46" i="19"/>
  <c r="B47" i="19"/>
  <c r="C47" i="19"/>
  <c r="D47" i="19"/>
  <c r="E47" i="19"/>
  <c r="F47" i="19"/>
  <c r="G47" i="19"/>
  <c r="H47" i="19"/>
  <c r="I47" i="19"/>
  <c r="J47" i="19"/>
  <c r="K47" i="19"/>
  <c r="L47" i="19"/>
  <c r="M47" i="19"/>
  <c r="N47" i="19"/>
  <c r="O47" i="19"/>
  <c r="P47" i="19"/>
  <c r="Q47" i="19"/>
  <c r="R47" i="19"/>
  <c r="S47" i="19"/>
  <c r="T47" i="19"/>
  <c r="U47" i="19"/>
  <c r="V47" i="19"/>
  <c r="W47" i="19"/>
  <c r="X47" i="19"/>
  <c r="Y47" i="19"/>
  <c r="Z47" i="19"/>
  <c r="AB47" i="19"/>
  <c r="B48" i="19"/>
  <c r="C48" i="19"/>
  <c r="D48" i="19"/>
  <c r="E48" i="19"/>
  <c r="F48" i="19"/>
  <c r="G48" i="19"/>
  <c r="H48" i="19"/>
  <c r="I48" i="19"/>
  <c r="J48" i="19"/>
  <c r="K48" i="19"/>
  <c r="L48" i="19"/>
  <c r="M48" i="19"/>
  <c r="N48" i="19"/>
  <c r="O48" i="19"/>
  <c r="P48" i="19"/>
  <c r="Q48" i="19"/>
  <c r="R48" i="19"/>
  <c r="S48" i="19"/>
  <c r="T48" i="19"/>
  <c r="U48" i="19"/>
  <c r="V48" i="19"/>
  <c r="W48" i="19"/>
  <c r="X48" i="19"/>
  <c r="Y48" i="19"/>
  <c r="Z48" i="19"/>
  <c r="AB48" i="19"/>
  <c r="B49" i="19"/>
  <c r="C49" i="19"/>
  <c r="D49" i="19"/>
  <c r="E49" i="19"/>
  <c r="F49" i="19"/>
  <c r="G49" i="19"/>
  <c r="H49" i="19"/>
  <c r="I49" i="19"/>
  <c r="J49" i="19"/>
  <c r="K49" i="19"/>
  <c r="L49" i="19"/>
  <c r="M49" i="19"/>
  <c r="N49" i="19"/>
  <c r="O49" i="19"/>
  <c r="P49" i="19"/>
  <c r="Q49" i="19"/>
  <c r="R49" i="19"/>
  <c r="S49" i="19"/>
  <c r="T49" i="19"/>
  <c r="U49" i="19"/>
  <c r="V49" i="19"/>
  <c r="W49" i="19"/>
  <c r="X49" i="19"/>
  <c r="Y49" i="19"/>
  <c r="Z49" i="19"/>
  <c r="AB49" i="19"/>
  <c r="B50" i="19"/>
  <c r="C50" i="19"/>
  <c r="D50" i="19"/>
  <c r="E50" i="19"/>
  <c r="F50" i="19"/>
  <c r="G50" i="19"/>
  <c r="H50" i="19"/>
  <c r="I50" i="19"/>
  <c r="J50" i="19"/>
  <c r="K50" i="19"/>
  <c r="L50" i="19"/>
  <c r="M50" i="19"/>
  <c r="N50" i="19"/>
  <c r="O50" i="19"/>
  <c r="P50" i="19"/>
  <c r="Q50" i="19"/>
  <c r="R50" i="19"/>
  <c r="S50" i="19"/>
  <c r="T50" i="19"/>
  <c r="U50" i="19"/>
  <c r="V50" i="19"/>
  <c r="W50" i="19"/>
  <c r="X50" i="19"/>
  <c r="Y50" i="19"/>
  <c r="Z50" i="19"/>
  <c r="AB50" i="19"/>
  <c r="B51" i="19"/>
  <c r="C51" i="19"/>
  <c r="D51" i="19"/>
  <c r="E51" i="19"/>
  <c r="F51" i="19"/>
  <c r="G51" i="19"/>
  <c r="H51" i="19"/>
  <c r="I51" i="19"/>
  <c r="J51" i="19"/>
  <c r="K51" i="19"/>
  <c r="L51" i="19"/>
  <c r="M51" i="19"/>
  <c r="N51" i="19"/>
  <c r="O51" i="19"/>
  <c r="P51" i="19"/>
  <c r="Q51" i="19"/>
  <c r="R51" i="19"/>
  <c r="S51" i="19"/>
  <c r="T51" i="19"/>
  <c r="U51" i="19"/>
  <c r="V51" i="19"/>
  <c r="W51" i="19"/>
  <c r="X51" i="19"/>
  <c r="Y51" i="19"/>
  <c r="Z51" i="19"/>
  <c r="AB51" i="19"/>
  <c r="B52" i="19"/>
  <c r="C52" i="19"/>
  <c r="D52" i="19"/>
  <c r="E52" i="19"/>
  <c r="F52" i="19"/>
  <c r="G52" i="19"/>
  <c r="H52" i="19"/>
  <c r="I52" i="19"/>
  <c r="J52" i="19"/>
  <c r="K52" i="19"/>
  <c r="L52" i="19"/>
  <c r="M52" i="19"/>
  <c r="N52" i="19"/>
  <c r="O52" i="19"/>
  <c r="P52" i="19"/>
  <c r="Q52" i="19"/>
  <c r="R52" i="19"/>
  <c r="S52" i="19"/>
  <c r="T52" i="19"/>
  <c r="U52" i="19"/>
  <c r="V52" i="19"/>
  <c r="W52" i="19"/>
  <c r="X52" i="19"/>
  <c r="Y52" i="19"/>
  <c r="Z52" i="19"/>
  <c r="AB52" i="19"/>
  <c r="B53" i="19"/>
  <c r="C53" i="19"/>
  <c r="D53" i="19"/>
  <c r="E53" i="19"/>
  <c r="F53" i="19"/>
  <c r="G53" i="19"/>
  <c r="H53" i="19"/>
  <c r="I53" i="19"/>
  <c r="J53" i="19"/>
  <c r="K53" i="19"/>
  <c r="L53" i="19"/>
  <c r="M53" i="19"/>
  <c r="N53" i="19"/>
  <c r="O53" i="19"/>
  <c r="P53" i="19"/>
  <c r="Q53" i="19"/>
  <c r="R53" i="19"/>
  <c r="S53" i="19"/>
  <c r="T53" i="19"/>
  <c r="U53" i="19"/>
  <c r="V53" i="19"/>
  <c r="W53" i="19"/>
  <c r="X53" i="19"/>
  <c r="Y53" i="19"/>
  <c r="Z53" i="19"/>
  <c r="AB53" i="19"/>
  <c r="B54" i="19"/>
  <c r="C54" i="19"/>
  <c r="D54" i="19"/>
  <c r="E54" i="19"/>
  <c r="F54" i="19"/>
  <c r="G54" i="19"/>
  <c r="H54" i="19"/>
  <c r="I54" i="19"/>
  <c r="J54" i="19"/>
  <c r="K54" i="19"/>
  <c r="L54" i="19"/>
  <c r="M54" i="19"/>
  <c r="N54" i="19"/>
  <c r="O54" i="19"/>
  <c r="P54" i="19"/>
  <c r="Q54" i="19"/>
  <c r="R54" i="19"/>
  <c r="S54" i="19"/>
  <c r="T54" i="19"/>
  <c r="U54" i="19"/>
  <c r="V54" i="19"/>
  <c r="W54" i="19"/>
  <c r="X54" i="19"/>
  <c r="Y54" i="19"/>
  <c r="Z54" i="19"/>
  <c r="AB54" i="19"/>
  <c r="B55" i="19"/>
  <c r="C55" i="19"/>
  <c r="D55" i="19"/>
  <c r="E55" i="19"/>
  <c r="F55" i="19"/>
  <c r="G55" i="19"/>
  <c r="H55" i="19"/>
  <c r="I55" i="19"/>
  <c r="J55" i="19"/>
  <c r="K55" i="19"/>
  <c r="L55" i="19"/>
  <c r="M55" i="19"/>
  <c r="N55" i="19"/>
  <c r="O55" i="19"/>
  <c r="P55" i="19"/>
  <c r="Q55" i="19"/>
  <c r="R55" i="19"/>
  <c r="S55" i="19"/>
  <c r="T55" i="19"/>
  <c r="U55" i="19"/>
  <c r="V55" i="19"/>
  <c r="W55" i="19"/>
  <c r="X55" i="19"/>
  <c r="Y55" i="19"/>
  <c r="Z55" i="19"/>
  <c r="AB55" i="19"/>
  <c r="B56" i="19"/>
  <c r="C56" i="19"/>
  <c r="D56" i="19"/>
  <c r="E56" i="19"/>
  <c r="F56" i="19"/>
  <c r="G56" i="19"/>
  <c r="H56" i="19"/>
  <c r="I56" i="19"/>
  <c r="J56" i="19"/>
  <c r="K56" i="19"/>
  <c r="L56" i="19"/>
  <c r="M56" i="19"/>
  <c r="N56" i="19"/>
  <c r="O56" i="19"/>
  <c r="P56" i="19"/>
  <c r="Q56" i="19"/>
  <c r="R56" i="19"/>
  <c r="S56" i="19"/>
  <c r="T56" i="19"/>
  <c r="U56" i="19"/>
  <c r="V56" i="19"/>
  <c r="W56" i="19"/>
  <c r="X56" i="19"/>
  <c r="Y56" i="19"/>
  <c r="Z56" i="19"/>
  <c r="AB56" i="19"/>
  <c r="B57" i="19"/>
  <c r="C57" i="19"/>
  <c r="D57" i="19"/>
  <c r="E57" i="19"/>
  <c r="F57" i="19"/>
  <c r="G57" i="19"/>
  <c r="H57" i="19"/>
  <c r="I57" i="19"/>
  <c r="J57" i="19"/>
  <c r="K57" i="19"/>
  <c r="L57" i="19"/>
  <c r="M57" i="19"/>
  <c r="N57" i="19"/>
  <c r="O57" i="19"/>
  <c r="P57" i="19"/>
  <c r="Q57" i="19"/>
  <c r="R57" i="19"/>
  <c r="S57" i="19"/>
  <c r="T57" i="19"/>
  <c r="U57" i="19"/>
  <c r="V57" i="19"/>
  <c r="W57" i="19"/>
  <c r="X57" i="19"/>
  <c r="Y57" i="19"/>
  <c r="Z57" i="19"/>
  <c r="AB57" i="19"/>
  <c r="B58" i="19"/>
  <c r="C58" i="19"/>
  <c r="D58" i="19"/>
  <c r="E58" i="19"/>
  <c r="F58" i="19"/>
  <c r="G58" i="19"/>
  <c r="H58" i="19"/>
  <c r="I58" i="19"/>
  <c r="J58" i="19"/>
  <c r="K58" i="19"/>
  <c r="L58" i="19"/>
  <c r="M58" i="19"/>
  <c r="N58" i="19"/>
  <c r="O58" i="19"/>
  <c r="P58" i="19"/>
  <c r="Q58" i="19"/>
  <c r="R58" i="19"/>
  <c r="S58" i="19"/>
  <c r="T58" i="19"/>
  <c r="U58" i="19"/>
  <c r="V58" i="19"/>
  <c r="W58" i="19"/>
  <c r="X58" i="19"/>
  <c r="Y58" i="19"/>
  <c r="Z58" i="19"/>
  <c r="AB58" i="19"/>
  <c r="B59" i="19"/>
  <c r="C59" i="19"/>
  <c r="D59" i="19"/>
  <c r="E59" i="19"/>
  <c r="F59" i="19"/>
  <c r="G59" i="19"/>
  <c r="H59" i="19"/>
  <c r="I59" i="19"/>
  <c r="J59" i="19"/>
  <c r="K59" i="19"/>
  <c r="L59" i="19"/>
  <c r="M59" i="19"/>
  <c r="N59" i="19"/>
  <c r="O59" i="19"/>
  <c r="P59" i="19"/>
  <c r="Q59" i="19"/>
  <c r="R59" i="19"/>
  <c r="S59" i="19"/>
  <c r="T59" i="19"/>
  <c r="U59" i="19"/>
  <c r="V59" i="19"/>
  <c r="W59" i="19"/>
  <c r="X59" i="19"/>
  <c r="Y59" i="19"/>
  <c r="Z59" i="19"/>
  <c r="AB59" i="19"/>
  <c r="B60" i="19"/>
  <c r="C60" i="19"/>
  <c r="D60" i="19"/>
  <c r="E60" i="19"/>
  <c r="F60" i="19"/>
  <c r="G60" i="19"/>
  <c r="H60" i="19"/>
  <c r="I60" i="19"/>
  <c r="J60" i="19"/>
  <c r="K60" i="19"/>
  <c r="L60" i="19"/>
  <c r="M60" i="19"/>
  <c r="N60" i="19"/>
  <c r="O60" i="19"/>
  <c r="P60" i="19"/>
  <c r="Q60" i="19"/>
  <c r="R60" i="19"/>
  <c r="S60" i="19"/>
  <c r="T60" i="19"/>
  <c r="U60" i="19"/>
  <c r="V60" i="19"/>
  <c r="W60" i="19"/>
  <c r="X60" i="19"/>
  <c r="Y60" i="19"/>
  <c r="Z60" i="19"/>
  <c r="AB60" i="19"/>
  <c r="B61" i="19"/>
  <c r="C61" i="19"/>
  <c r="D61" i="19"/>
  <c r="E61" i="19"/>
  <c r="F61" i="19"/>
  <c r="G61" i="19"/>
  <c r="H61" i="19"/>
  <c r="I61" i="19"/>
  <c r="J61" i="19"/>
  <c r="K61" i="19"/>
  <c r="L61" i="19"/>
  <c r="M61" i="19"/>
  <c r="N61" i="19"/>
  <c r="O61" i="19"/>
  <c r="P61" i="19"/>
  <c r="Q61" i="19"/>
  <c r="R61" i="19"/>
  <c r="S61" i="19"/>
  <c r="T61" i="19"/>
  <c r="U61" i="19"/>
  <c r="V61" i="19"/>
  <c r="W61" i="19"/>
  <c r="X61" i="19"/>
  <c r="Y61" i="19"/>
  <c r="Z61" i="19"/>
  <c r="AB61" i="19"/>
  <c r="B62" i="19"/>
  <c r="C62" i="19"/>
  <c r="D62" i="19"/>
  <c r="E62" i="19"/>
  <c r="F62" i="19"/>
  <c r="G62" i="19"/>
  <c r="H62" i="19"/>
  <c r="I62" i="19"/>
  <c r="J62" i="19"/>
  <c r="K62" i="19"/>
  <c r="L62" i="19"/>
  <c r="M62" i="19"/>
  <c r="N62" i="19"/>
  <c r="O62" i="19"/>
  <c r="P62" i="19"/>
  <c r="Q62" i="19"/>
  <c r="R62" i="19"/>
  <c r="S62" i="19"/>
  <c r="T62" i="19"/>
  <c r="U62" i="19"/>
  <c r="V62" i="19"/>
  <c r="W62" i="19"/>
  <c r="X62" i="19"/>
  <c r="Y62" i="19"/>
  <c r="Z62" i="19"/>
  <c r="AB62" i="19"/>
  <c r="B63" i="19"/>
  <c r="C63" i="19"/>
  <c r="D63" i="19"/>
  <c r="E63" i="19"/>
  <c r="F63" i="19"/>
  <c r="G63" i="19"/>
  <c r="H63" i="19"/>
  <c r="I63" i="19"/>
  <c r="J63" i="19"/>
  <c r="K63" i="19"/>
  <c r="L63" i="19"/>
  <c r="M63" i="19"/>
  <c r="N63" i="19"/>
  <c r="O63" i="19"/>
  <c r="P63" i="19"/>
  <c r="Q63" i="19"/>
  <c r="R63" i="19"/>
  <c r="S63" i="19"/>
  <c r="T63" i="19"/>
  <c r="U63" i="19"/>
  <c r="V63" i="19"/>
  <c r="W63" i="19"/>
  <c r="X63" i="19"/>
  <c r="Y63" i="19"/>
  <c r="Z63" i="19"/>
  <c r="AB63" i="19"/>
  <c r="B64" i="19"/>
  <c r="C64" i="19"/>
  <c r="D64" i="19"/>
  <c r="E64" i="19"/>
  <c r="F64" i="19"/>
  <c r="G64" i="19"/>
  <c r="H64" i="19"/>
  <c r="I64" i="19"/>
  <c r="J64" i="19"/>
  <c r="K64" i="19"/>
  <c r="L64" i="19"/>
  <c r="M64" i="19"/>
  <c r="N64" i="19"/>
  <c r="O64" i="19"/>
  <c r="P64" i="19"/>
  <c r="Q64" i="19"/>
  <c r="R64" i="19"/>
  <c r="S64" i="19"/>
  <c r="T64" i="19"/>
  <c r="U64" i="19"/>
  <c r="V64" i="19"/>
  <c r="W64" i="19"/>
  <c r="X64" i="19"/>
  <c r="Y64" i="19"/>
  <c r="Z64" i="19"/>
  <c r="AB64" i="19"/>
  <c r="B65" i="19"/>
  <c r="C65" i="19"/>
  <c r="D65" i="19"/>
  <c r="E65" i="19"/>
  <c r="F65" i="19"/>
  <c r="G65" i="19"/>
  <c r="H65" i="19"/>
  <c r="I65" i="19"/>
  <c r="J65" i="19"/>
  <c r="K65" i="19"/>
  <c r="L65" i="19"/>
  <c r="M65" i="19"/>
  <c r="N65" i="19"/>
  <c r="O65" i="19"/>
  <c r="P65" i="19"/>
  <c r="Q65" i="19"/>
  <c r="R65" i="19"/>
  <c r="S65" i="19"/>
  <c r="T65" i="19"/>
  <c r="U65" i="19"/>
  <c r="V65" i="19"/>
  <c r="W65" i="19"/>
  <c r="X65" i="19"/>
  <c r="Y65" i="19"/>
  <c r="Z65" i="19"/>
  <c r="AB65" i="19"/>
  <c r="B66" i="19"/>
  <c r="C66" i="19"/>
  <c r="D66" i="19"/>
  <c r="E66" i="19"/>
  <c r="F66" i="19"/>
  <c r="G66" i="19"/>
  <c r="H66" i="19"/>
  <c r="I66" i="19"/>
  <c r="J66" i="19"/>
  <c r="K66" i="19"/>
  <c r="L66" i="19"/>
  <c r="M66" i="19"/>
  <c r="N66" i="19"/>
  <c r="O66" i="19"/>
  <c r="P66" i="19"/>
  <c r="Q66" i="19"/>
  <c r="R66" i="19"/>
  <c r="S66" i="19"/>
  <c r="T66" i="19"/>
  <c r="U66" i="19"/>
  <c r="V66" i="19"/>
  <c r="W66" i="19"/>
  <c r="X66" i="19"/>
  <c r="Y66" i="19"/>
  <c r="Z66" i="19"/>
  <c r="AB66" i="19"/>
  <c r="B67" i="19"/>
  <c r="C67" i="19"/>
  <c r="D67" i="19"/>
  <c r="E67" i="19"/>
  <c r="F67" i="19"/>
  <c r="G67" i="19"/>
  <c r="H67" i="19"/>
  <c r="I67" i="19"/>
  <c r="J67" i="19"/>
  <c r="K67" i="19"/>
  <c r="L67" i="19"/>
  <c r="M67" i="19"/>
  <c r="N67" i="19"/>
  <c r="O67" i="19"/>
  <c r="P67" i="19"/>
  <c r="Q67" i="19"/>
  <c r="R67" i="19"/>
  <c r="S67" i="19"/>
  <c r="T67" i="19"/>
  <c r="U67" i="19"/>
  <c r="V67" i="19"/>
  <c r="W67" i="19"/>
  <c r="X67" i="19"/>
  <c r="Y67" i="19"/>
  <c r="Z67" i="19"/>
  <c r="AB67" i="19"/>
  <c r="B68" i="19"/>
  <c r="C68" i="19"/>
  <c r="D68" i="19"/>
  <c r="E68" i="19"/>
  <c r="F68" i="19"/>
  <c r="G68" i="19"/>
  <c r="H68" i="19"/>
  <c r="I68" i="19"/>
  <c r="J68" i="19"/>
  <c r="K68" i="19"/>
  <c r="L68" i="19"/>
  <c r="M68" i="19"/>
  <c r="N68" i="19"/>
  <c r="O68" i="19"/>
  <c r="P68" i="19"/>
  <c r="Q68" i="19"/>
  <c r="R68" i="19"/>
  <c r="S68" i="19"/>
  <c r="T68" i="19"/>
  <c r="U68" i="19"/>
  <c r="V68" i="19"/>
  <c r="W68" i="19"/>
  <c r="X68" i="19"/>
  <c r="Y68" i="19"/>
  <c r="Z68" i="19"/>
  <c r="AB68" i="19"/>
  <c r="B69" i="19"/>
  <c r="C69" i="19"/>
  <c r="D69" i="19"/>
  <c r="E69" i="19"/>
  <c r="F69" i="19"/>
  <c r="G69" i="19"/>
  <c r="H69" i="19"/>
  <c r="I69" i="19"/>
  <c r="J69" i="19"/>
  <c r="K69" i="19"/>
  <c r="L69" i="19"/>
  <c r="M69" i="19"/>
  <c r="N69" i="19"/>
  <c r="O69" i="19"/>
  <c r="P69" i="19"/>
  <c r="Q69" i="19"/>
  <c r="R69" i="19"/>
  <c r="S69" i="19"/>
  <c r="T69" i="19"/>
  <c r="U69" i="19"/>
  <c r="V69" i="19"/>
  <c r="W69" i="19"/>
  <c r="X69" i="19"/>
  <c r="Y69" i="19"/>
  <c r="Z69" i="19"/>
  <c r="AB69" i="19"/>
  <c r="B70" i="19"/>
  <c r="C70" i="19"/>
  <c r="D70" i="19"/>
  <c r="E70" i="19"/>
  <c r="F70" i="19"/>
  <c r="G70" i="19"/>
  <c r="H70" i="19"/>
  <c r="I70" i="19"/>
  <c r="J70" i="19"/>
  <c r="K70" i="19"/>
  <c r="L70" i="19"/>
  <c r="M70" i="19"/>
  <c r="N70" i="19"/>
  <c r="O70" i="19"/>
  <c r="P70" i="19"/>
  <c r="Q70" i="19"/>
  <c r="R70" i="19"/>
  <c r="S70" i="19"/>
  <c r="T70" i="19"/>
  <c r="U70" i="19"/>
  <c r="V70" i="19"/>
  <c r="W70" i="19"/>
  <c r="X70" i="19"/>
  <c r="Y70" i="19"/>
  <c r="Z70" i="19"/>
  <c r="AB70" i="19"/>
  <c r="B71" i="19"/>
  <c r="C71" i="19"/>
  <c r="D71" i="19"/>
  <c r="E71" i="19"/>
  <c r="F71" i="19"/>
  <c r="G71" i="19"/>
  <c r="H71" i="19"/>
  <c r="I71" i="19"/>
  <c r="J71" i="19"/>
  <c r="K71" i="19"/>
  <c r="L71" i="19"/>
  <c r="M71" i="19"/>
  <c r="N71" i="19"/>
  <c r="O71" i="19"/>
  <c r="P71" i="19"/>
  <c r="Q71" i="19"/>
  <c r="R71" i="19"/>
  <c r="S71" i="19"/>
  <c r="T71" i="19"/>
  <c r="U71" i="19"/>
  <c r="V71" i="19"/>
  <c r="W71" i="19"/>
  <c r="X71" i="19"/>
  <c r="Y71" i="19"/>
  <c r="Z71" i="19"/>
  <c r="AB71" i="19"/>
  <c r="B72" i="19"/>
  <c r="C72" i="19"/>
  <c r="D72" i="19"/>
  <c r="E72" i="19"/>
  <c r="F72" i="19"/>
  <c r="G72" i="19"/>
  <c r="H72" i="19"/>
  <c r="I72" i="19"/>
  <c r="J72" i="19"/>
  <c r="K72" i="19"/>
  <c r="L72" i="19"/>
  <c r="M72" i="19"/>
  <c r="N72" i="19"/>
  <c r="O72" i="19"/>
  <c r="P72" i="19"/>
  <c r="Q72" i="19"/>
  <c r="R72" i="19"/>
  <c r="S72" i="19"/>
  <c r="T72" i="19"/>
  <c r="U72" i="19"/>
  <c r="V72" i="19"/>
  <c r="W72" i="19"/>
  <c r="X72" i="19"/>
  <c r="Y72" i="19"/>
  <c r="Z72" i="19"/>
  <c r="AB72" i="19"/>
  <c r="B73" i="19"/>
  <c r="C73" i="19"/>
  <c r="D73" i="19"/>
  <c r="E73" i="19"/>
  <c r="F73" i="19"/>
  <c r="G73" i="19"/>
  <c r="H73" i="19"/>
  <c r="I73" i="19"/>
  <c r="J73" i="19"/>
  <c r="K73" i="19"/>
  <c r="L73" i="19"/>
  <c r="M73" i="19"/>
  <c r="N73" i="19"/>
  <c r="O73" i="19"/>
  <c r="P73" i="19"/>
  <c r="Q73" i="19"/>
  <c r="R73" i="19"/>
  <c r="S73" i="19"/>
  <c r="T73" i="19"/>
  <c r="U73" i="19"/>
  <c r="V73" i="19"/>
  <c r="W73" i="19"/>
  <c r="X73" i="19"/>
  <c r="Y73" i="19"/>
  <c r="Z73" i="19"/>
  <c r="AB73" i="19"/>
  <c r="B74" i="19"/>
  <c r="C74" i="19"/>
  <c r="D74" i="19"/>
  <c r="E74" i="19"/>
  <c r="F74" i="19"/>
  <c r="G74" i="19"/>
  <c r="H74" i="19"/>
  <c r="I74" i="19"/>
  <c r="J74" i="19"/>
  <c r="K74" i="19"/>
  <c r="L74" i="19"/>
  <c r="M74" i="19"/>
  <c r="N74" i="19"/>
  <c r="O74" i="19"/>
  <c r="P74" i="19"/>
  <c r="Q74" i="19"/>
  <c r="R74" i="19"/>
  <c r="S74" i="19"/>
  <c r="T74" i="19"/>
  <c r="U74" i="19"/>
  <c r="V74" i="19"/>
  <c r="W74" i="19"/>
  <c r="X74" i="19"/>
  <c r="Y74" i="19"/>
  <c r="Z74" i="19"/>
  <c r="AB74" i="19"/>
  <c r="B75" i="19"/>
  <c r="C75" i="19"/>
  <c r="D75" i="19"/>
  <c r="E75" i="19"/>
  <c r="F75" i="19"/>
  <c r="G75" i="19"/>
  <c r="H75" i="19"/>
  <c r="I75" i="19"/>
  <c r="J75" i="19"/>
  <c r="K75" i="19"/>
  <c r="L75" i="19"/>
  <c r="M75" i="19"/>
  <c r="N75" i="19"/>
  <c r="O75" i="19"/>
  <c r="P75" i="19"/>
  <c r="Q75" i="19"/>
  <c r="R75" i="19"/>
  <c r="S75" i="19"/>
  <c r="T75" i="19"/>
  <c r="U75" i="19"/>
  <c r="V75" i="19"/>
  <c r="W75" i="19"/>
  <c r="X75" i="19"/>
  <c r="Y75" i="19"/>
  <c r="Z75" i="19"/>
  <c r="AB75" i="19"/>
  <c r="B76" i="19"/>
  <c r="C76" i="19"/>
  <c r="D76" i="19"/>
  <c r="E76" i="19"/>
  <c r="F76" i="19"/>
  <c r="G76" i="19"/>
  <c r="H76" i="19"/>
  <c r="I76" i="19"/>
  <c r="J76" i="19"/>
  <c r="K76" i="19"/>
  <c r="L76" i="19"/>
  <c r="M76" i="19"/>
  <c r="N76" i="19"/>
  <c r="O76" i="19"/>
  <c r="P76" i="19"/>
  <c r="Q76" i="19"/>
  <c r="R76" i="19"/>
  <c r="S76" i="19"/>
  <c r="T76" i="19"/>
  <c r="U76" i="19"/>
  <c r="V76" i="19"/>
  <c r="W76" i="19"/>
  <c r="X76" i="19"/>
  <c r="Y76" i="19"/>
  <c r="Z76" i="19"/>
  <c r="AB76" i="19"/>
  <c r="B77" i="19"/>
  <c r="C77" i="19"/>
  <c r="D77" i="19"/>
  <c r="E77" i="19"/>
  <c r="F77" i="19"/>
  <c r="G77" i="19"/>
  <c r="H77" i="19"/>
  <c r="I77" i="19"/>
  <c r="J77" i="19"/>
  <c r="K77" i="19"/>
  <c r="L77" i="19"/>
  <c r="M77" i="19"/>
  <c r="N77" i="19"/>
  <c r="O77" i="19"/>
  <c r="P77" i="19"/>
  <c r="Q77" i="19"/>
  <c r="R77" i="19"/>
  <c r="S77" i="19"/>
  <c r="T77" i="19"/>
  <c r="U77" i="19"/>
  <c r="V77" i="19"/>
  <c r="W77" i="19"/>
  <c r="X77" i="19"/>
  <c r="Y77" i="19"/>
  <c r="Z77" i="19"/>
  <c r="AB77" i="19"/>
  <c r="B78" i="19"/>
  <c r="C78" i="19"/>
  <c r="D78" i="19"/>
  <c r="E78" i="19"/>
  <c r="F78" i="19"/>
  <c r="G78" i="19"/>
  <c r="H78" i="19"/>
  <c r="I78" i="19"/>
  <c r="J78" i="19"/>
  <c r="K78" i="19"/>
  <c r="L78" i="19"/>
  <c r="M78" i="19"/>
  <c r="N78" i="19"/>
  <c r="O78" i="19"/>
  <c r="P78" i="19"/>
  <c r="Q78" i="19"/>
  <c r="R78" i="19"/>
  <c r="S78" i="19"/>
  <c r="T78" i="19"/>
  <c r="U78" i="19"/>
  <c r="V78" i="19"/>
  <c r="W78" i="19"/>
  <c r="X78" i="19"/>
  <c r="Y78" i="19"/>
  <c r="Z78" i="19"/>
  <c r="AB78" i="19"/>
  <c r="B79" i="19"/>
  <c r="C79" i="19"/>
  <c r="D79" i="19"/>
  <c r="E79" i="19"/>
  <c r="F79" i="19"/>
  <c r="G79" i="19"/>
  <c r="H79" i="19"/>
  <c r="I79" i="19"/>
  <c r="J79" i="19"/>
  <c r="K79" i="19"/>
  <c r="L79" i="19"/>
  <c r="M79" i="19"/>
  <c r="N79" i="19"/>
  <c r="O79" i="19"/>
  <c r="P79" i="19"/>
  <c r="Q79" i="19"/>
  <c r="R79" i="19"/>
  <c r="S79" i="19"/>
  <c r="T79" i="19"/>
  <c r="U79" i="19"/>
  <c r="V79" i="19"/>
  <c r="W79" i="19"/>
  <c r="X79" i="19"/>
  <c r="Y79" i="19"/>
  <c r="Z79" i="19"/>
  <c r="AB79" i="19"/>
  <c r="B80" i="19"/>
  <c r="C80" i="19"/>
  <c r="D80" i="19"/>
  <c r="E80" i="19"/>
  <c r="F80" i="19"/>
  <c r="G80" i="19"/>
  <c r="H80" i="19"/>
  <c r="I80" i="19"/>
  <c r="J80" i="19"/>
  <c r="K80" i="19"/>
  <c r="L80" i="19"/>
  <c r="M80" i="19"/>
  <c r="N80" i="19"/>
  <c r="O80" i="19"/>
  <c r="P80" i="19"/>
  <c r="Q80" i="19"/>
  <c r="R80" i="19"/>
  <c r="S80" i="19"/>
  <c r="T80" i="19"/>
  <c r="U80" i="19"/>
  <c r="V80" i="19"/>
  <c r="W80" i="19"/>
  <c r="X80" i="19"/>
  <c r="Y80" i="19"/>
  <c r="Z80" i="19"/>
  <c r="AB80" i="19"/>
  <c r="B81" i="19"/>
  <c r="C81" i="19"/>
  <c r="D81" i="19"/>
  <c r="E81" i="19"/>
  <c r="F81" i="19"/>
  <c r="G81" i="19"/>
  <c r="H81" i="19"/>
  <c r="I81" i="19"/>
  <c r="J81" i="19"/>
  <c r="K81" i="19"/>
  <c r="L81" i="19"/>
  <c r="M81" i="19"/>
  <c r="N81" i="19"/>
  <c r="O81" i="19"/>
  <c r="P81" i="19"/>
  <c r="Q81" i="19"/>
  <c r="R81" i="19"/>
  <c r="S81" i="19"/>
  <c r="T81" i="19"/>
  <c r="U81" i="19"/>
  <c r="V81" i="19"/>
  <c r="W81" i="19"/>
  <c r="X81" i="19"/>
  <c r="Y81" i="19"/>
  <c r="Z81" i="19"/>
  <c r="AB81" i="19"/>
  <c r="B82" i="19"/>
  <c r="C82" i="19"/>
  <c r="D82" i="19"/>
  <c r="E82" i="19"/>
  <c r="F82" i="19"/>
  <c r="G82" i="19"/>
  <c r="H82" i="19"/>
  <c r="I82" i="19"/>
  <c r="J82" i="19"/>
  <c r="K82" i="19"/>
  <c r="L82" i="19"/>
  <c r="M82" i="19"/>
  <c r="N82" i="19"/>
  <c r="O82" i="19"/>
  <c r="P82" i="19"/>
  <c r="Q82" i="19"/>
  <c r="R82" i="19"/>
  <c r="S82" i="19"/>
  <c r="T82" i="19"/>
  <c r="U82" i="19"/>
  <c r="V82" i="19"/>
  <c r="W82" i="19"/>
  <c r="X82" i="19"/>
  <c r="Y82" i="19"/>
  <c r="Z82" i="19"/>
  <c r="AB82" i="19"/>
  <c r="B83" i="19"/>
  <c r="C83" i="19"/>
  <c r="D83" i="19"/>
  <c r="E83" i="19"/>
  <c r="F83" i="19"/>
  <c r="G83" i="19"/>
  <c r="H83" i="19"/>
  <c r="I83" i="19"/>
  <c r="J83" i="19"/>
  <c r="K83" i="19"/>
  <c r="L83" i="19"/>
  <c r="M83" i="19"/>
  <c r="N83" i="19"/>
  <c r="O83" i="19"/>
  <c r="P83" i="19"/>
  <c r="Q83" i="19"/>
  <c r="R83" i="19"/>
  <c r="S83" i="19"/>
  <c r="T83" i="19"/>
  <c r="U83" i="19"/>
  <c r="V83" i="19"/>
  <c r="W83" i="19"/>
  <c r="X83" i="19"/>
  <c r="Y83" i="19"/>
  <c r="Z83" i="19"/>
  <c r="AB83" i="19"/>
  <c r="B84" i="19"/>
  <c r="C84" i="19"/>
  <c r="D84" i="19"/>
  <c r="E84" i="19"/>
  <c r="F84" i="19"/>
  <c r="G84" i="19"/>
  <c r="H84" i="19"/>
  <c r="I84" i="19"/>
  <c r="J84" i="19"/>
  <c r="K84" i="19"/>
  <c r="L84" i="19"/>
  <c r="M84" i="19"/>
  <c r="N84" i="19"/>
  <c r="O84" i="19"/>
  <c r="P84" i="19"/>
  <c r="Q84" i="19"/>
  <c r="R84" i="19"/>
  <c r="S84" i="19"/>
  <c r="T84" i="19"/>
  <c r="U84" i="19"/>
  <c r="V84" i="19"/>
  <c r="W84" i="19"/>
  <c r="X84" i="19"/>
  <c r="Y84" i="19"/>
  <c r="Z84" i="19"/>
  <c r="AB84" i="19"/>
  <c r="B85" i="19"/>
  <c r="C85" i="19"/>
  <c r="D85" i="19"/>
  <c r="E85" i="19"/>
  <c r="F85" i="19"/>
  <c r="G85" i="19"/>
  <c r="H85" i="19"/>
  <c r="I85" i="19"/>
  <c r="J85" i="19"/>
  <c r="K85" i="19"/>
  <c r="L85" i="19"/>
  <c r="M85" i="19"/>
  <c r="N85" i="19"/>
  <c r="O85" i="19"/>
  <c r="P85" i="19"/>
  <c r="Q85" i="19"/>
  <c r="R85" i="19"/>
  <c r="S85" i="19"/>
  <c r="T85" i="19"/>
  <c r="U85" i="19"/>
  <c r="V85" i="19"/>
  <c r="W85" i="19"/>
  <c r="X85" i="19"/>
  <c r="Y85" i="19"/>
  <c r="Z85" i="19"/>
  <c r="AB85" i="19"/>
  <c r="B86" i="19"/>
  <c r="C86" i="19"/>
  <c r="D86" i="19"/>
  <c r="E86" i="19"/>
  <c r="F86" i="19"/>
  <c r="G86" i="19"/>
  <c r="H86" i="19"/>
  <c r="I86" i="19"/>
  <c r="J86" i="19"/>
  <c r="K86" i="19"/>
  <c r="L86" i="19"/>
  <c r="M86" i="19"/>
  <c r="N86" i="19"/>
  <c r="O86" i="19"/>
  <c r="P86" i="19"/>
  <c r="Q86" i="19"/>
  <c r="R86" i="19"/>
  <c r="S86" i="19"/>
  <c r="T86" i="19"/>
  <c r="U86" i="19"/>
  <c r="V86" i="19"/>
  <c r="W86" i="19"/>
  <c r="X86" i="19"/>
  <c r="Y86" i="19"/>
  <c r="Z86" i="19"/>
  <c r="AB86" i="19"/>
  <c r="B87" i="19"/>
  <c r="C87" i="19"/>
  <c r="D87" i="19"/>
  <c r="E87" i="19"/>
  <c r="F87" i="19"/>
  <c r="G87" i="19"/>
  <c r="H87" i="19"/>
  <c r="I87" i="19"/>
  <c r="J87" i="19"/>
  <c r="K87" i="19"/>
  <c r="L87" i="19"/>
  <c r="M87" i="19"/>
  <c r="N87" i="19"/>
  <c r="O87" i="19"/>
  <c r="P87" i="19"/>
  <c r="Q87" i="19"/>
  <c r="R87" i="19"/>
  <c r="S87" i="19"/>
  <c r="T87" i="19"/>
  <c r="U87" i="19"/>
  <c r="V87" i="19"/>
  <c r="W87" i="19"/>
  <c r="X87" i="19"/>
  <c r="Y87" i="19"/>
  <c r="Z87" i="19"/>
  <c r="AB87" i="19"/>
  <c r="B88" i="19"/>
  <c r="C88" i="19"/>
  <c r="D88" i="19"/>
  <c r="E88" i="19"/>
  <c r="F88" i="19"/>
  <c r="G88" i="19"/>
  <c r="H88" i="19"/>
  <c r="I88" i="19"/>
  <c r="J88" i="19"/>
  <c r="K88" i="19"/>
  <c r="L88" i="19"/>
  <c r="M88" i="19"/>
  <c r="N88" i="19"/>
  <c r="O88" i="19"/>
  <c r="P88" i="19"/>
  <c r="Q88" i="19"/>
  <c r="R88" i="19"/>
  <c r="S88" i="19"/>
  <c r="T88" i="19"/>
  <c r="U88" i="19"/>
  <c r="V88" i="19"/>
  <c r="W88" i="19"/>
  <c r="X88" i="19"/>
  <c r="Y88" i="19"/>
  <c r="Z88" i="19"/>
  <c r="AB88" i="19"/>
  <c r="B89" i="19"/>
  <c r="C89" i="19"/>
  <c r="D89" i="19"/>
  <c r="E89" i="19"/>
  <c r="F89" i="19"/>
  <c r="G89" i="19"/>
  <c r="H89" i="19"/>
  <c r="I89" i="19"/>
  <c r="J89" i="19"/>
  <c r="K89" i="19"/>
  <c r="L89" i="19"/>
  <c r="M89" i="19"/>
  <c r="N89" i="19"/>
  <c r="O89" i="19"/>
  <c r="P89" i="19"/>
  <c r="Q89" i="19"/>
  <c r="R89" i="19"/>
  <c r="S89" i="19"/>
  <c r="T89" i="19"/>
  <c r="U89" i="19"/>
  <c r="V89" i="19"/>
  <c r="W89" i="19"/>
  <c r="X89" i="19"/>
  <c r="Y89" i="19"/>
  <c r="Z89" i="19"/>
  <c r="AB89" i="19"/>
  <c r="B90" i="19"/>
  <c r="C90" i="19"/>
  <c r="D90" i="19"/>
  <c r="E90" i="19"/>
  <c r="F90" i="19"/>
  <c r="G90" i="19"/>
  <c r="H90" i="19"/>
  <c r="I90" i="19"/>
  <c r="J90" i="19"/>
  <c r="K90" i="19"/>
  <c r="L90" i="19"/>
  <c r="M90" i="19"/>
  <c r="N90" i="19"/>
  <c r="O90" i="19"/>
  <c r="P90" i="19"/>
  <c r="Q90" i="19"/>
  <c r="R90" i="19"/>
  <c r="S90" i="19"/>
  <c r="T90" i="19"/>
  <c r="U90" i="19"/>
  <c r="V90" i="19"/>
  <c r="W90" i="19"/>
  <c r="X90" i="19"/>
  <c r="Y90" i="19"/>
  <c r="Z90" i="19"/>
  <c r="AB90" i="19"/>
  <c r="B91" i="19"/>
  <c r="C91" i="19"/>
  <c r="D91" i="19"/>
  <c r="E91" i="19"/>
  <c r="F91" i="19"/>
  <c r="G91" i="19"/>
  <c r="H91" i="19"/>
  <c r="I91" i="19"/>
  <c r="J91" i="19"/>
  <c r="K91" i="19"/>
  <c r="L91" i="19"/>
  <c r="M91" i="19"/>
  <c r="N91" i="19"/>
  <c r="O91" i="19"/>
  <c r="P91" i="19"/>
  <c r="Q91" i="19"/>
  <c r="R91" i="19"/>
  <c r="S91" i="19"/>
  <c r="T91" i="19"/>
  <c r="U91" i="19"/>
  <c r="V91" i="19"/>
  <c r="W91" i="19"/>
  <c r="X91" i="19"/>
  <c r="Y91" i="19"/>
  <c r="Z91" i="19"/>
  <c r="AB91" i="19"/>
  <c r="B92" i="19"/>
  <c r="C92" i="19"/>
  <c r="D92" i="19"/>
  <c r="E92" i="19"/>
  <c r="F92" i="19"/>
  <c r="G92" i="19"/>
  <c r="H92" i="19"/>
  <c r="I92" i="19"/>
  <c r="J92" i="19"/>
  <c r="K92" i="19"/>
  <c r="L92" i="19"/>
  <c r="M92" i="19"/>
  <c r="N92" i="19"/>
  <c r="O92" i="19"/>
  <c r="P92" i="19"/>
  <c r="Q92" i="19"/>
  <c r="R92" i="19"/>
  <c r="S92" i="19"/>
  <c r="T92" i="19"/>
  <c r="U92" i="19"/>
  <c r="V92" i="19"/>
  <c r="W92" i="19"/>
  <c r="X92" i="19"/>
  <c r="Y92" i="19"/>
  <c r="Z92" i="19"/>
  <c r="AB92" i="19"/>
  <c r="B93" i="19"/>
  <c r="C93" i="19"/>
  <c r="D93" i="19"/>
  <c r="E93" i="19"/>
  <c r="F93" i="19"/>
  <c r="G93" i="19"/>
  <c r="H93" i="19"/>
  <c r="I93" i="19"/>
  <c r="J93" i="19"/>
  <c r="K93" i="19"/>
  <c r="L93" i="19"/>
  <c r="M93" i="19"/>
  <c r="N93" i="19"/>
  <c r="O93" i="19"/>
  <c r="P93" i="19"/>
  <c r="Q93" i="19"/>
  <c r="R93" i="19"/>
  <c r="S93" i="19"/>
  <c r="T93" i="19"/>
  <c r="U93" i="19"/>
  <c r="V93" i="19"/>
  <c r="W93" i="19"/>
  <c r="X93" i="19"/>
  <c r="Y93" i="19"/>
  <c r="Z93" i="19"/>
  <c r="AB93" i="19"/>
  <c r="B94" i="19"/>
  <c r="C94" i="19"/>
  <c r="D94" i="19"/>
  <c r="E94" i="19"/>
  <c r="F94" i="19"/>
  <c r="G94" i="19"/>
  <c r="H94" i="19"/>
  <c r="I94" i="19"/>
  <c r="J94" i="19"/>
  <c r="K94" i="19"/>
  <c r="L94" i="19"/>
  <c r="M94" i="19"/>
  <c r="N94" i="19"/>
  <c r="O94" i="19"/>
  <c r="P94" i="19"/>
  <c r="Q94" i="19"/>
  <c r="R94" i="19"/>
  <c r="S94" i="19"/>
  <c r="T94" i="19"/>
  <c r="U94" i="19"/>
  <c r="V94" i="19"/>
  <c r="W94" i="19"/>
  <c r="X94" i="19"/>
  <c r="Y94" i="19"/>
  <c r="Z94" i="19"/>
  <c r="AB94" i="19"/>
  <c r="B95" i="19"/>
  <c r="C95" i="19"/>
  <c r="D95" i="19"/>
  <c r="E95" i="19"/>
  <c r="F95" i="19"/>
  <c r="G95" i="19"/>
  <c r="H95" i="19"/>
  <c r="I95" i="19"/>
  <c r="J95" i="19"/>
  <c r="K95" i="19"/>
  <c r="L95" i="19"/>
  <c r="M95" i="19"/>
  <c r="N95" i="19"/>
  <c r="O95" i="19"/>
  <c r="P95" i="19"/>
  <c r="Q95" i="19"/>
  <c r="R95" i="19"/>
  <c r="S95" i="19"/>
  <c r="T95" i="19"/>
  <c r="U95" i="19"/>
  <c r="V95" i="19"/>
  <c r="W95" i="19"/>
  <c r="X95" i="19"/>
  <c r="Y95" i="19"/>
  <c r="Z95" i="19"/>
  <c r="AB95" i="19"/>
  <c r="B96" i="19"/>
  <c r="C96" i="19"/>
  <c r="D96" i="19"/>
  <c r="E96" i="19"/>
  <c r="F96" i="19"/>
  <c r="G96" i="19"/>
  <c r="H96" i="19"/>
  <c r="I96" i="19"/>
  <c r="J96" i="19"/>
  <c r="K96" i="19"/>
  <c r="L96" i="19"/>
  <c r="M96" i="19"/>
  <c r="N96" i="19"/>
  <c r="O96" i="19"/>
  <c r="P96" i="19"/>
  <c r="Q96" i="19"/>
  <c r="R96" i="19"/>
  <c r="S96" i="19"/>
  <c r="T96" i="19"/>
  <c r="U96" i="19"/>
  <c r="V96" i="19"/>
  <c r="W96" i="19"/>
  <c r="X96" i="19"/>
  <c r="Y96" i="19"/>
  <c r="Z96" i="19"/>
  <c r="AB96" i="19"/>
  <c r="B97" i="19"/>
  <c r="C97" i="19"/>
  <c r="D97" i="19"/>
  <c r="E97" i="19"/>
  <c r="F97" i="19"/>
  <c r="G97" i="19"/>
  <c r="H97" i="19"/>
  <c r="I97" i="19"/>
  <c r="J97" i="19"/>
  <c r="K97" i="19"/>
  <c r="L97" i="19"/>
  <c r="M97" i="19"/>
  <c r="N97" i="19"/>
  <c r="O97" i="19"/>
  <c r="P97" i="19"/>
  <c r="Q97" i="19"/>
  <c r="R97" i="19"/>
  <c r="S97" i="19"/>
  <c r="T97" i="19"/>
  <c r="U97" i="19"/>
  <c r="V97" i="19"/>
  <c r="W97" i="19"/>
  <c r="X97" i="19"/>
  <c r="Y97" i="19"/>
  <c r="Z97" i="19"/>
  <c r="AB97" i="19"/>
  <c r="B98" i="19"/>
  <c r="C98" i="19"/>
  <c r="D98" i="19"/>
  <c r="E98" i="19"/>
  <c r="F98" i="19"/>
  <c r="G98" i="19"/>
  <c r="H98" i="19"/>
  <c r="I98" i="19"/>
  <c r="J98" i="19"/>
  <c r="K98" i="19"/>
  <c r="L98" i="19"/>
  <c r="M98" i="19"/>
  <c r="N98" i="19"/>
  <c r="O98" i="19"/>
  <c r="P98" i="19"/>
  <c r="Q98" i="19"/>
  <c r="R98" i="19"/>
  <c r="S98" i="19"/>
  <c r="T98" i="19"/>
  <c r="U98" i="19"/>
  <c r="V98" i="19"/>
  <c r="W98" i="19"/>
  <c r="X98" i="19"/>
  <c r="Y98" i="19"/>
  <c r="Z98" i="19"/>
  <c r="AB98" i="19"/>
  <c r="B99" i="19"/>
  <c r="C99" i="19"/>
  <c r="D99" i="19"/>
  <c r="E99" i="19"/>
  <c r="F99" i="19"/>
  <c r="G99" i="19"/>
  <c r="H99" i="19"/>
  <c r="I99" i="19"/>
  <c r="J99" i="19"/>
  <c r="K99" i="19"/>
  <c r="L99" i="19"/>
  <c r="M99" i="19"/>
  <c r="N99" i="19"/>
  <c r="O99" i="19"/>
  <c r="P99" i="19"/>
  <c r="Q99" i="19"/>
  <c r="R99" i="19"/>
  <c r="S99" i="19"/>
  <c r="T99" i="19"/>
  <c r="U99" i="19"/>
  <c r="V99" i="19"/>
  <c r="W99" i="19"/>
  <c r="X99" i="19"/>
  <c r="Y99" i="19"/>
  <c r="Z99" i="19"/>
  <c r="AB99" i="19"/>
  <c r="B100" i="19"/>
  <c r="C100" i="19"/>
  <c r="D100" i="19"/>
  <c r="E100" i="19"/>
  <c r="F100" i="19"/>
  <c r="G100" i="19"/>
  <c r="H100" i="19"/>
  <c r="I100" i="19"/>
  <c r="J100" i="19"/>
  <c r="K100" i="19"/>
  <c r="L100" i="19"/>
  <c r="M100" i="19"/>
  <c r="N100" i="19"/>
  <c r="O100" i="19"/>
  <c r="P100" i="19"/>
  <c r="Q100" i="19"/>
  <c r="R100" i="19"/>
  <c r="S100" i="19"/>
  <c r="T100" i="19"/>
  <c r="U100" i="19"/>
  <c r="V100" i="19"/>
  <c r="W100" i="19"/>
  <c r="X100" i="19"/>
  <c r="Y100" i="19"/>
  <c r="Z100" i="19"/>
  <c r="AB100" i="19"/>
  <c r="B101" i="19"/>
  <c r="C101" i="19"/>
  <c r="D101" i="19"/>
  <c r="E101" i="19"/>
  <c r="F101" i="19"/>
  <c r="G101" i="19"/>
  <c r="H101" i="19"/>
  <c r="I101" i="19"/>
  <c r="J101" i="19"/>
  <c r="K101" i="19"/>
  <c r="L101" i="19"/>
  <c r="M101" i="19"/>
  <c r="N101" i="19"/>
  <c r="O101" i="19"/>
  <c r="P101" i="19"/>
  <c r="Q101" i="19"/>
  <c r="R101" i="19"/>
  <c r="S101" i="19"/>
  <c r="T101" i="19"/>
  <c r="U101" i="19"/>
  <c r="V101" i="19"/>
  <c r="W101" i="19"/>
  <c r="X101" i="19"/>
  <c r="Y101" i="19"/>
  <c r="Z101" i="19"/>
  <c r="AB101" i="19"/>
  <c r="B102" i="19"/>
  <c r="C102" i="19"/>
  <c r="D102" i="19"/>
  <c r="E102" i="19"/>
  <c r="F102" i="19"/>
  <c r="G102" i="19"/>
  <c r="H102" i="19"/>
  <c r="I102" i="19"/>
  <c r="J102" i="19"/>
  <c r="K102" i="19"/>
  <c r="L102" i="19"/>
  <c r="M102" i="19"/>
  <c r="N102" i="19"/>
  <c r="O102" i="19"/>
  <c r="P102" i="19"/>
  <c r="Q102" i="19"/>
  <c r="R102" i="19"/>
  <c r="S102" i="19"/>
  <c r="T102" i="19"/>
  <c r="U102" i="19"/>
  <c r="V102" i="19"/>
  <c r="W102" i="19"/>
  <c r="X102" i="19"/>
  <c r="Y102" i="19"/>
  <c r="Z102" i="19"/>
  <c r="AB102" i="19"/>
  <c r="B103" i="19"/>
  <c r="C103" i="19"/>
  <c r="D103" i="19"/>
  <c r="E103" i="19"/>
  <c r="F103" i="19"/>
  <c r="G103" i="19"/>
  <c r="H103" i="19"/>
  <c r="I103" i="19"/>
  <c r="J103" i="19"/>
  <c r="K103" i="19"/>
  <c r="L103" i="19"/>
  <c r="M103" i="19"/>
  <c r="N103" i="19"/>
  <c r="O103" i="19"/>
  <c r="P103" i="19"/>
  <c r="Q103" i="19"/>
  <c r="R103" i="19"/>
  <c r="S103" i="19"/>
  <c r="T103" i="19"/>
  <c r="U103" i="19"/>
  <c r="V103" i="19"/>
  <c r="W103" i="19"/>
  <c r="X103" i="19"/>
  <c r="Y103" i="19"/>
  <c r="Z103" i="19"/>
  <c r="AB103" i="19"/>
  <c r="B104" i="19"/>
  <c r="C104" i="19"/>
  <c r="D104" i="19"/>
  <c r="E104" i="19"/>
  <c r="F104" i="19"/>
  <c r="G104" i="19"/>
  <c r="H104" i="19"/>
  <c r="I104" i="19"/>
  <c r="J104" i="19"/>
  <c r="K104" i="19"/>
  <c r="L104" i="19"/>
  <c r="M104" i="19"/>
  <c r="N104" i="19"/>
  <c r="O104" i="19"/>
  <c r="P104" i="19"/>
  <c r="Q104" i="19"/>
  <c r="R104" i="19"/>
  <c r="S104" i="19"/>
  <c r="T104" i="19"/>
  <c r="U104" i="19"/>
  <c r="V104" i="19"/>
  <c r="W104" i="19"/>
  <c r="X104" i="19"/>
  <c r="Y104" i="19"/>
  <c r="Z104" i="19"/>
  <c r="AB104" i="19"/>
  <c r="B105" i="19"/>
  <c r="C105" i="19"/>
  <c r="D105" i="19"/>
  <c r="E105" i="19"/>
  <c r="F105" i="19"/>
  <c r="G105" i="19"/>
  <c r="H105" i="19"/>
  <c r="I105" i="19"/>
  <c r="J105" i="19"/>
  <c r="K105" i="19"/>
  <c r="L105" i="19"/>
  <c r="M105" i="19"/>
  <c r="N105" i="19"/>
  <c r="O105" i="19"/>
  <c r="P105" i="19"/>
  <c r="Q105" i="19"/>
  <c r="R105" i="19"/>
  <c r="S105" i="19"/>
  <c r="T105" i="19"/>
  <c r="U105" i="19"/>
  <c r="V105" i="19"/>
  <c r="W105" i="19"/>
  <c r="X105" i="19"/>
  <c r="Y105" i="19"/>
  <c r="Z105" i="19"/>
  <c r="AB105" i="19"/>
  <c r="B106" i="19"/>
  <c r="C106" i="19"/>
  <c r="D106" i="19"/>
  <c r="E106" i="19"/>
  <c r="F106" i="19"/>
  <c r="G106" i="19"/>
  <c r="H106" i="19"/>
  <c r="I106" i="19"/>
  <c r="J106" i="19"/>
  <c r="K106" i="19"/>
  <c r="L106" i="19"/>
  <c r="M106" i="19"/>
  <c r="N106" i="19"/>
  <c r="O106" i="19"/>
  <c r="P106" i="19"/>
  <c r="Q106" i="19"/>
  <c r="R106" i="19"/>
  <c r="S106" i="19"/>
  <c r="T106" i="19"/>
  <c r="U106" i="19"/>
  <c r="V106" i="19"/>
  <c r="W106" i="19"/>
  <c r="X106" i="19"/>
  <c r="Y106" i="19"/>
  <c r="Z106" i="19"/>
  <c r="AB106" i="19"/>
  <c r="B107" i="19"/>
  <c r="C107" i="19"/>
  <c r="D107" i="19"/>
  <c r="E107" i="19"/>
  <c r="F107" i="19"/>
  <c r="G107" i="19"/>
  <c r="H107" i="19"/>
  <c r="I107" i="19"/>
  <c r="J107" i="19"/>
  <c r="K107" i="19"/>
  <c r="L107" i="19"/>
  <c r="M107" i="19"/>
  <c r="N107" i="19"/>
  <c r="O107" i="19"/>
  <c r="P107" i="19"/>
  <c r="Q107" i="19"/>
  <c r="R107" i="19"/>
  <c r="S107" i="19"/>
  <c r="T107" i="19"/>
  <c r="U107" i="19"/>
  <c r="V107" i="19"/>
  <c r="W107" i="19"/>
  <c r="X107" i="19"/>
  <c r="Y107" i="19"/>
  <c r="Z107" i="19"/>
  <c r="AB107" i="19"/>
  <c r="B108" i="19"/>
  <c r="C108" i="19"/>
  <c r="D108" i="19"/>
  <c r="E108" i="19"/>
  <c r="F108" i="19"/>
  <c r="G108" i="19"/>
  <c r="H108" i="19"/>
  <c r="I108" i="19"/>
  <c r="J108" i="19"/>
  <c r="K108" i="19"/>
  <c r="L108" i="19"/>
  <c r="M108" i="19"/>
  <c r="N108" i="19"/>
  <c r="O108" i="19"/>
  <c r="P108" i="19"/>
  <c r="Q108" i="19"/>
  <c r="R108" i="19"/>
  <c r="S108" i="19"/>
  <c r="T108" i="19"/>
  <c r="U108" i="19"/>
  <c r="V108" i="19"/>
  <c r="W108" i="19"/>
  <c r="X108" i="19"/>
  <c r="Y108" i="19"/>
  <c r="Z108" i="19"/>
  <c r="AB108" i="19"/>
  <c r="B109" i="19"/>
  <c r="C109" i="19"/>
  <c r="D109" i="19"/>
  <c r="E109" i="19"/>
  <c r="F109" i="19"/>
  <c r="G109" i="19"/>
  <c r="H109" i="19"/>
  <c r="I109" i="19"/>
  <c r="J109" i="19"/>
  <c r="K109" i="19"/>
  <c r="L109" i="19"/>
  <c r="M109" i="19"/>
  <c r="N109" i="19"/>
  <c r="O109" i="19"/>
  <c r="P109" i="19"/>
  <c r="Q109" i="19"/>
  <c r="R109" i="19"/>
  <c r="S109" i="19"/>
  <c r="T109" i="19"/>
  <c r="U109" i="19"/>
  <c r="V109" i="19"/>
  <c r="W109" i="19"/>
  <c r="X109" i="19"/>
  <c r="Y109" i="19"/>
  <c r="Z109" i="19"/>
  <c r="AB109" i="19"/>
  <c r="B110" i="19"/>
  <c r="C110" i="19"/>
  <c r="D110" i="19"/>
  <c r="E110" i="19"/>
  <c r="F110" i="19"/>
  <c r="G110" i="19"/>
  <c r="H110" i="19"/>
  <c r="I110" i="19"/>
  <c r="J110" i="19"/>
  <c r="K110" i="19"/>
  <c r="L110" i="19"/>
  <c r="M110" i="19"/>
  <c r="N110" i="19"/>
  <c r="O110" i="19"/>
  <c r="P110" i="19"/>
  <c r="Q110" i="19"/>
  <c r="R110" i="19"/>
  <c r="S110" i="19"/>
  <c r="T110" i="19"/>
  <c r="U110" i="19"/>
  <c r="V110" i="19"/>
  <c r="W110" i="19"/>
  <c r="X110" i="19"/>
  <c r="Y110" i="19"/>
  <c r="Z110" i="19"/>
  <c r="AB110" i="19"/>
  <c r="B111" i="19"/>
  <c r="C111" i="19"/>
  <c r="D111" i="19"/>
  <c r="E111" i="19"/>
  <c r="F111" i="19"/>
  <c r="G111" i="19"/>
  <c r="H111" i="19"/>
  <c r="I111" i="19"/>
  <c r="J111" i="19"/>
  <c r="K111" i="19"/>
  <c r="L111" i="19"/>
  <c r="M111" i="19"/>
  <c r="N111" i="19"/>
  <c r="O111" i="19"/>
  <c r="P111" i="19"/>
  <c r="Q111" i="19"/>
  <c r="R111" i="19"/>
  <c r="S111" i="19"/>
  <c r="T111" i="19"/>
  <c r="U111" i="19"/>
  <c r="V111" i="19"/>
  <c r="W111" i="19"/>
  <c r="X111" i="19"/>
  <c r="Y111" i="19"/>
  <c r="Z111" i="19"/>
  <c r="AB111" i="19"/>
  <c r="B112" i="19"/>
  <c r="C112" i="19"/>
  <c r="D112" i="19"/>
  <c r="E112" i="19"/>
  <c r="F112" i="19"/>
  <c r="G112" i="19"/>
  <c r="H112" i="19"/>
  <c r="I112" i="19"/>
  <c r="J112" i="19"/>
  <c r="K112" i="19"/>
  <c r="L112" i="19"/>
  <c r="M112" i="19"/>
  <c r="N112" i="19"/>
  <c r="O112" i="19"/>
  <c r="P112" i="19"/>
  <c r="Q112" i="19"/>
  <c r="R112" i="19"/>
  <c r="S112" i="19"/>
  <c r="T112" i="19"/>
  <c r="U112" i="19"/>
  <c r="V112" i="19"/>
  <c r="W112" i="19"/>
  <c r="X112" i="19"/>
  <c r="Y112" i="19"/>
  <c r="Z112" i="19"/>
  <c r="AB112" i="19"/>
  <c r="B113" i="19"/>
  <c r="C113" i="19"/>
  <c r="D113" i="19"/>
  <c r="E113" i="19"/>
  <c r="F113" i="19"/>
  <c r="G113" i="19"/>
  <c r="H113" i="19"/>
  <c r="I113" i="19"/>
  <c r="J113" i="19"/>
  <c r="K113" i="19"/>
  <c r="L113" i="19"/>
  <c r="M113" i="19"/>
  <c r="N113" i="19"/>
  <c r="O113" i="19"/>
  <c r="P113" i="19"/>
  <c r="Q113" i="19"/>
  <c r="R113" i="19"/>
  <c r="S113" i="19"/>
  <c r="T113" i="19"/>
  <c r="U113" i="19"/>
  <c r="V113" i="19"/>
  <c r="W113" i="19"/>
  <c r="X113" i="19"/>
  <c r="Y113" i="19"/>
  <c r="Z113" i="19"/>
  <c r="AB113" i="19"/>
  <c r="B114" i="19"/>
  <c r="C114" i="19"/>
  <c r="D114" i="19"/>
  <c r="E114" i="19"/>
  <c r="F114" i="19"/>
  <c r="G114" i="19"/>
  <c r="H114" i="19"/>
  <c r="I114" i="19"/>
  <c r="J114" i="19"/>
  <c r="K114" i="19"/>
  <c r="L114" i="19"/>
  <c r="M114" i="19"/>
  <c r="N114" i="19"/>
  <c r="O114" i="19"/>
  <c r="P114" i="19"/>
  <c r="Q114" i="19"/>
  <c r="R114" i="19"/>
  <c r="S114" i="19"/>
  <c r="T114" i="19"/>
  <c r="U114" i="19"/>
  <c r="V114" i="19"/>
  <c r="W114" i="19"/>
  <c r="X114" i="19"/>
  <c r="Y114" i="19"/>
  <c r="Z114" i="19"/>
  <c r="AB114" i="19"/>
  <c r="B115" i="19"/>
  <c r="C115" i="19"/>
  <c r="D115" i="19"/>
  <c r="E115" i="19"/>
  <c r="F115" i="19"/>
  <c r="G115" i="19"/>
  <c r="H115" i="19"/>
  <c r="I115" i="19"/>
  <c r="J115" i="19"/>
  <c r="K115" i="19"/>
  <c r="L115" i="19"/>
  <c r="M115" i="19"/>
  <c r="N115" i="19"/>
  <c r="O115" i="19"/>
  <c r="P115" i="19"/>
  <c r="Q115" i="19"/>
  <c r="R115" i="19"/>
  <c r="S115" i="19"/>
  <c r="T115" i="19"/>
  <c r="U115" i="19"/>
  <c r="V115" i="19"/>
  <c r="W115" i="19"/>
  <c r="X115" i="19"/>
  <c r="Y115" i="19"/>
  <c r="Z115" i="19"/>
  <c r="AB115" i="19"/>
  <c r="B116" i="19"/>
  <c r="C116" i="19"/>
  <c r="D116" i="19"/>
  <c r="E116" i="19"/>
  <c r="F116" i="19"/>
  <c r="G116" i="19"/>
  <c r="H116" i="19"/>
  <c r="I116" i="19"/>
  <c r="J116" i="19"/>
  <c r="K116" i="19"/>
  <c r="L116" i="19"/>
  <c r="M116" i="19"/>
  <c r="N116" i="19"/>
  <c r="O116" i="19"/>
  <c r="P116" i="19"/>
  <c r="Q116" i="19"/>
  <c r="R116" i="19"/>
  <c r="S116" i="19"/>
  <c r="T116" i="19"/>
  <c r="U116" i="19"/>
  <c r="V116" i="19"/>
  <c r="W116" i="19"/>
  <c r="X116" i="19"/>
  <c r="Y116" i="19"/>
  <c r="Z116" i="19"/>
  <c r="AB116" i="19"/>
  <c r="B117" i="19"/>
  <c r="C117" i="19"/>
  <c r="D117" i="19"/>
  <c r="E117" i="19"/>
  <c r="F117" i="19"/>
  <c r="G117" i="19"/>
  <c r="H117" i="19"/>
  <c r="I117" i="19"/>
  <c r="J117" i="19"/>
  <c r="K117" i="19"/>
  <c r="L117" i="19"/>
  <c r="M117" i="19"/>
  <c r="N117" i="19"/>
  <c r="O117" i="19"/>
  <c r="P117" i="19"/>
  <c r="Q117" i="19"/>
  <c r="R117" i="19"/>
  <c r="S117" i="19"/>
  <c r="T117" i="19"/>
  <c r="U117" i="19"/>
  <c r="V117" i="19"/>
  <c r="W117" i="19"/>
  <c r="X117" i="19"/>
  <c r="Y117" i="19"/>
  <c r="Z117" i="19"/>
  <c r="AB117" i="19"/>
  <c r="B118" i="19"/>
  <c r="C118" i="19"/>
  <c r="D118" i="19"/>
  <c r="E118" i="19"/>
  <c r="F118" i="19"/>
  <c r="G118" i="19"/>
  <c r="H118" i="19"/>
  <c r="I118" i="19"/>
  <c r="J118" i="19"/>
  <c r="K118" i="19"/>
  <c r="L118" i="19"/>
  <c r="M118" i="19"/>
  <c r="N118" i="19"/>
  <c r="O118" i="19"/>
  <c r="P118" i="19"/>
  <c r="Q118" i="19"/>
  <c r="R118" i="19"/>
  <c r="S118" i="19"/>
  <c r="T118" i="19"/>
  <c r="U118" i="19"/>
  <c r="V118" i="19"/>
  <c r="W118" i="19"/>
  <c r="X118" i="19"/>
  <c r="Y118" i="19"/>
  <c r="Z118" i="19"/>
  <c r="AB118" i="19"/>
  <c r="B119" i="19"/>
  <c r="C119" i="19"/>
  <c r="D119" i="19"/>
  <c r="E119" i="19"/>
  <c r="F119" i="19"/>
  <c r="G119" i="19"/>
  <c r="H119" i="19"/>
  <c r="I119" i="19"/>
  <c r="J119" i="19"/>
  <c r="K119" i="19"/>
  <c r="L119" i="19"/>
  <c r="M119" i="19"/>
  <c r="N119" i="19"/>
  <c r="O119" i="19"/>
  <c r="P119" i="19"/>
  <c r="Q119" i="19"/>
  <c r="R119" i="19"/>
  <c r="S119" i="19"/>
  <c r="T119" i="19"/>
  <c r="U119" i="19"/>
  <c r="V119" i="19"/>
  <c r="W119" i="19"/>
  <c r="X119" i="19"/>
  <c r="Y119" i="19"/>
  <c r="Z119" i="19"/>
  <c r="AB119" i="19"/>
  <c r="B120" i="19"/>
  <c r="C120" i="19"/>
  <c r="D120" i="19"/>
  <c r="E120" i="19"/>
  <c r="F120" i="19"/>
  <c r="G120" i="19"/>
  <c r="H120" i="19"/>
  <c r="I120" i="19"/>
  <c r="J120" i="19"/>
  <c r="K120" i="19"/>
  <c r="L120" i="19"/>
  <c r="M120" i="19"/>
  <c r="N120" i="19"/>
  <c r="O120" i="19"/>
  <c r="P120" i="19"/>
  <c r="Q120" i="19"/>
  <c r="R120" i="19"/>
  <c r="S120" i="19"/>
  <c r="T120" i="19"/>
  <c r="U120" i="19"/>
  <c r="V120" i="19"/>
  <c r="W120" i="19"/>
  <c r="X120" i="19"/>
  <c r="Y120" i="19"/>
  <c r="Z120" i="19"/>
  <c r="AB120" i="19"/>
  <c r="B121" i="19"/>
  <c r="C121" i="19"/>
  <c r="D121" i="19"/>
  <c r="E121" i="19"/>
  <c r="F121" i="19"/>
  <c r="G121" i="19"/>
  <c r="H121" i="19"/>
  <c r="I121" i="19"/>
  <c r="J121" i="19"/>
  <c r="K121" i="19"/>
  <c r="L121" i="19"/>
  <c r="M121" i="19"/>
  <c r="N121" i="19"/>
  <c r="O121" i="19"/>
  <c r="P121" i="19"/>
  <c r="Q121" i="19"/>
  <c r="R121" i="19"/>
  <c r="S121" i="19"/>
  <c r="T121" i="19"/>
  <c r="U121" i="19"/>
  <c r="V121" i="19"/>
  <c r="W121" i="19"/>
  <c r="X121" i="19"/>
  <c r="Y121" i="19"/>
  <c r="Z121" i="19"/>
  <c r="AB121" i="19"/>
  <c r="B122" i="19"/>
  <c r="C122" i="19"/>
  <c r="D122" i="19"/>
  <c r="E122" i="19"/>
  <c r="F122" i="19"/>
  <c r="G122" i="19"/>
  <c r="H122" i="19"/>
  <c r="I122" i="19"/>
  <c r="J122" i="19"/>
  <c r="K122" i="19"/>
  <c r="L122" i="19"/>
  <c r="M122" i="19"/>
  <c r="N122" i="19"/>
  <c r="O122" i="19"/>
  <c r="P122" i="19"/>
  <c r="Q122" i="19"/>
  <c r="R122" i="19"/>
  <c r="S122" i="19"/>
  <c r="T122" i="19"/>
  <c r="U122" i="19"/>
  <c r="V122" i="19"/>
  <c r="W122" i="19"/>
  <c r="X122" i="19"/>
  <c r="Y122" i="19"/>
  <c r="Z122" i="19"/>
  <c r="AB122" i="19"/>
  <c r="B123" i="19"/>
  <c r="C123" i="19"/>
  <c r="D123" i="19"/>
  <c r="E123" i="19"/>
  <c r="F123" i="19"/>
  <c r="G123" i="19"/>
  <c r="H123" i="19"/>
  <c r="I123" i="19"/>
  <c r="J123" i="19"/>
  <c r="K123" i="19"/>
  <c r="L123" i="19"/>
  <c r="M123" i="19"/>
  <c r="N123" i="19"/>
  <c r="O123" i="19"/>
  <c r="P123" i="19"/>
  <c r="Q123" i="19"/>
  <c r="R123" i="19"/>
  <c r="S123" i="19"/>
  <c r="T123" i="19"/>
  <c r="U123" i="19"/>
  <c r="V123" i="19"/>
  <c r="W123" i="19"/>
  <c r="X123" i="19"/>
  <c r="Y123" i="19"/>
  <c r="Z123" i="19"/>
  <c r="AB123" i="19"/>
  <c r="B124" i="19"/>
  <c r="C124" i="19"/>
  <c r="D124" i="19"/>
  <c r="E124" i="19"/>
  <c r="F124" i="19"/>
  <c r="G124" i="19"/>
  <c r="H124" i="19"/>
  <c r="I124" i="19"/>
  <c r="J124" i="19"/>
  <c r="K124" i="19"/>
  <c r="L124" i="19"/>
  <c r="M124" i="19"/>
  <c r="N124" i="19"/>
  <c r="O124" i="19"/>
  <c r="P124" i="19"/>
  <c r="Q124" i="19"/>
  <c r="R124" i="19"/>
  <c r="S124" i="19"/>
  <c r="T124" i="19"/>
  <c r="U124" i="19"/>
  <c r="V124" i="19"/>
  <c r="W124" i="19"/>
  <c r="X124" i="19"/>
  <c r="Y124" i="19"/>
  <c r="Z124" i="19"/>
  <c r="AB124" i="19"/>
  <c r="B125" i="19"/>
  <c r="C125" i="19"/>
  <c r="D125" i="19"/>
  <c r="E125" i="19"/>
  <c r="F125" i="19"/>
  <c r="G125" i="19"/>
  <c r="H125" i="19"/>
  <c r="I125" i="19"/>
  <c r="J125" i="19"/>
  <c r="K125" i="19"/>
  <c r="L125" i="19"/>
  <c r="M125" i="19"/>
  <c r="N125" i="19"/>
  <c r="O125" i="19"/>
  <c r="P125" i="19"/>
  <c r="Q125" i="19"/>
  <c r="R125" i="19"/>
  <c r="S125" i="19"/>
  <c r="T125" i="19"/>
  <c r="U125" i="19"/>
  <c r="V125" i="19"/>
  <c r="W125" i="19"/>
  <c r="X125" i="19"/>
  <c r="Y125" i="19"/>
  <c r="Z125" i="19"/>
  <c r="AB125" i="19"/>
  <c r="B126" i="19"/>
  <c r="C126" i="19"/>
  <c r="D126" i="19"/>
  <c r="E126" i="19"/>
  <c r="F126" i="19"/>
  <c r="G126" i="19"/>
  <c r="H126" i="19"/>
  <c r="I126" i="19"/>
  <c r="J126" i="19"/>
  <c r="K126" i="19"/>
  <c r="L126" i="19"/>
  <c r="M126" i="19"/>
  <c r="N126" i="19"/>
  <c r="O126" i="19"/>
  <c r="P126" i="19"/>
  <c r="Q126" i="19"/>
  <c r="R126" i="19"/>
  <c r="S126" i="19"/>
  <c r="T126" i="19"/>
  <c r="U126" i="19"/>
  <c r="V126" i="19"/>
  <c r="W126" i="19"/>
  <c r="X126" i="19"/>
  <c r="Y126" i="19"/>
  <c r="Z126" i="19"/>
  <c r="AB126" i="19"/>
  <c r="B127" i="19"/>
  <c r="C127" i="19"/>
  <c r="D127" i="19"/>
  <c r="E127" i="19"/>
  <c r="F127" i="19"/>
  <c r="G127" i="19"/>
  <c r="H127" i="19"/>
  <c r="I127" i="19"/>
  <c r="J127" i="19"/>
  <c r="K127" i="19"/>
  <c r="L127" i="19"/>
  <c r="M127" i="19"/>
  <c r="N127" i="19"/>
  <c r="O127" i="19"/>
  <c r="P127" i="19"/>
  <c r="Q127" i="19"/>
  <c r="R127" i="19"/>
  <c r="S127" i="19"/>
  <c r="T127" i="19"/>
  <c r="U127" i="19"/>
  <c r="V127" i="19"/>
  <c r="W127" i="19"/>
  <c r="X127" i="19"/>
  <c r="Y127" i="19"/>
  <c r="Z127" i="19"/>
  <c r="AB127" i="19"/>
  <c r="B128" i="19"/>
  <c r="C128" i="19"/>
  <c r="D128" i="19"/>
  <c r="E128" i="19"/>
  <c r="F128" i="19"/>
  <c r="G128" i="19"/>
  <c r="H128" i="19"/>
  <c r="I128" i="19"/>
  <c r="J128" i="19"/>
  <c r="K128" i="19"/>
  <c r="L128" i="19"/>
  <c r="M128" i="19"/>
  <c r="N128" i="19"/>
  <c r="O128" i="19"/>
  <c r="P128" i="19"/>
  <c r="Q128" i="19"/>
  <c r="R128" i="19"/>
  <c r="S128" i="19"/>
  <c r="T128" i="19"/>
  <c r="U128" i="19"/>
  <c r="V128" i="19"/>
  <c r="W128" i="19"/>
  <c r="X128" i="19"/>
  <c r="Y128" i="19"/>
  <c r="Z128" i="19"/>
  <c r="AB128" i="19"/>
  <c r="B129" i="19"/>
  <c r="C129" i="19"/>
  <c r="D129" i="19"/>
  <c r="E129" i="19"/>
  <c r="F129" i="19"/>
  <c r="G129" i="19"/>
  <c r="H129" i="19"/>
  <c r="I129" i="19"/>
  <c r="J129" i="19"/>
  <c r="K129" i="19"/>
  <c r="L129" i="19"/>
  <c r="M129" i="19"/>
  <c r="N129" i="19"/>
  <c r="O129" i="19"/>
  <c r="P129" i="19"/>
  <c r="Q129" i="19"/>
  <c r="R129" i="19"/>
  <c r="S129" i="19"/>
  <c r="T129" i="19"/>
  <c r="U129" i="19"/>
  <c r="V129" i="19"/>
  <c r="W129" i="19"/>
  <c r="X129" i="19"/>
  <c r="Y129" i="19"/>
  <c r="Z129" i="19"/>
  <c r="AB129" i="19"/>
  <c r="B130" i="19"/>
  <c r="C130" i="19"/>
  <c r="D130" i="19"/>
  <c r="E130" i="19"/>
  <c r="F130" i="19"/>
  <c r="G130" i="19"/>
  <c r="H130" i="19"/>
  <c r="I130" i="19"/>
  <c r="J130" i="19"/>
  <c r="K130" i="19"/>
  <c r="L130" i="19"/>
  <c r="M130" i="19"/>
  <c r="N130" i="19"/>
  <c r="O130" i="19"/>
  <c r="P130" i="19"/>
  <c r="Q130" i="19"/>
  <c r="R130" i="19"/>
  <c r="S130" i="19"/>
  <c r="T130" i="19"/>
  <c r="U130" i="19"/>
  <c r="V130" i="19"/>
  <c r="W130" i="19"/>
  <c r="X130" i="19"/>
  <c r="Y130" i="19"/>
  <c r="Z130" i="19"/>
  <c r="AB130" i="19"/>
  <c r="B131" i="19"/>
  <c r="C131" i="19"/>
  <c r="D131" i="19"/>
  <c r="E131" i="19"/>
  <c r="F131" i="19"/>
  <c r="G131" i="19"/>
  <c r="H131" i="19"/>
  <c r="I131" i="19"/>
  <c r="J131" i="19"/>
  <c r="K131" i="19"/>
  <c r="L131" i="19"/>
  <c r="M131" i="19"/>
  <c r="N131" i="19"/>
  <c r="O131" i="19"/>
  <c r="P131" i="19"/>
  <c r="Q131" i="19"/>
  <c r="R131" i="19"/>
  <c r="S131" i="19"/>
  <c r="T131" i="19"/>
  <c r="U131" i="19"/>
  <c r="V131" i="19"/>
  <c r="W131" i="19"/>
  <c r="X131" i="19"/>
  <c r="Y131" i="19"/>
  <c r="Z131" i="19"/>
  <c r="AB131" i="19"/>
  <c r="B132" i="19"/>
  <c r="C132" i="19"/>
  <c r="D132" i="19"/>
  <c r="E132" i="19"/>
  <c r="F132" i="19"/>
  <c r="G132" i="19"/>
  <c r="H132" i="19"/>
  <c r="I132" i="19"/>
  <c r="J132" i="19"/>
  <c r="K132" i="19"/>
  <c r="L132" i="19"/>
  <c r="M132" i="19"/>
  <c r="N132" i="19"/>
  <c r="O132" i="19"/>
  <c r="P132" i="19"/>
  <c r="Q132" i="19"/>
  <c r="R132" i="19"/>
  <c r="S132" i="19"/>
  <c r="T132" i="19"/>
  <c r="U132" i="19"/>
  <c r="V132" i="19"/>
  <c r="W132" i="19"/>
  <c r="X132" i="19"/>
  <c r="Y132" i="19"/>
  <c r="Z132" i="19"/>
  <c r="AB132" i="19"/>
  <c r="B133" i="19"/>
  <c r="C133" i="19"/>
  <c r="D133" i="19"/>
  <c r="E133" i="19"/>
  <c r="F133" i="19"/>
  <c r="G133" i="19"/>
  <c r="H133" i="19"/>
  <c r="I133" i="19"/>
  <c r="J133" i="19"/>
  <c r="K133" i="19"/>
  <c r="L133" i="19"/>
  <c r="M133" i="19"/>
  <c r="N133" i="19"/>
  <c r="O133" i="19"/>
  <c r="P133" i="19"/>
  <c r="Q133" i="19"/>
  <c r="R133" i="19"/>
  <c r="S133" i="19"/>
  <c r="T133" i="19"/>
  <c r="U133" i="19"/>
  <c r="V133" i="19"/>
  <c r="W133" i="19"/>
  <c r="X133" i="19"/>
  <c r="Y133" i="19"/>
  <c r="Z133" i="19"/>
  <c r="AB133" i="19"/>
  <c r="B134" i="19"/>
  <c r="C134" i="19"/>
  <c r="D134" i="19"/>
  <c r="E134" i="19"/>
  <c r="F134" i="19"/>
  <c r="G134" i="19"/>
  <c r="H134" i="19"/>
  <c r="I134" i="19"/>
  <c r="J134" i="19"/>
  <c r="K134" i="19"/>
  <c r="L134" i="19"/>
  <c r="M134" i="19"/>
  <c r="N134" i="19"/>
  <c r="O134" i="19"/>
  <c r="P134" i="19"/>
  <c r="Q134" i="19"/>
  <c r="R134" i="19"/>
  <c r="S134" i="19"/>
  <c r="T134" i="19"/>
  <c r="U134" i="19"/>
  <c r="V134" i="19"/>
  <c r="W134" i="19"/>
  <c r="X134" i="19"/>
  <c r="Y134" i="19"/>
  <c r="Z134" i="19"/>
  <c r="AB134" i="19"/>
  <c r="B135" i="19"/>
  <c r="C135" i="19"/>
  <c r="D135" i="19"/>
  <c r="E135" i="19"/>
  <c r="F135" i="19"/>
  <c r="G135" i="19"/>
  <c r="H135" i="19"/>
  <c r="I135" i="19"/>
  <c r="J135" i="19"/>
  <c r="K135" i="19"/>
  <c r="L135" i="19"/>
  <c r="M135" i="19"/>
  <c r="N135" i="19"/>
  <c r="O135" i="19"/>
  <c r="P135" i="19"/>
  <c r="Q135" i="19"/>
  <c r="R135" i="19"/>
  <c r="S135" i="19"/>
  <c r="T135" i="19"/>
  <c r="U135" i="19"/>
  <c r="V135" i="19"/>
  <c r="W135" i="19"/>
  <c r="X135" i="19"/>
  <c r="Y135" i="19"/>
  <c r="Z135" i="19"/>
  <c r="AB135" i="19"/>
  <c r="B136" i="19"/>
  <c r="C136" i="19"/>
  <c r="D136" i="19"/>
  <c r="E136" i="19"/>
  <c r="F136" i="19"/>
  <c r="G136" i="19"/>
  <c r="H136" i="19"/>
  <c r="I136" i="19"/>
  <c r="J136" i="19"/>
  <c r="K136" i="19"/>
  <c r="L136" i="19"/>
  <c r="M136" i="19"/>
  <c r="N136" i="19"/>
  <c r="O136" i="19"/>
  <c r="P136" i="19"/>
  <c r="Q136" i="19"/>
  <c r="R136" i="19"/>
  <c r="S136" i="19"/>
  <c r="T136" i="19"/>
  <c r="U136" i="19"/>
  <c r="V136" i="19"/>
  <c r="W136" i="19"/>
  <c r="X136" i="19"/>
  <c r="Y136" i="19"/>
  <c r="Z136" i="19"/>
  <c r="AB136" i="19"/>
  <c r="B137" i="19"/>
  <c r="C137" i="19"/>
  <c r="D137" i="19"/>
  <c r="E137" i="19"/>
  <c r="F137" i="19"/>
  <c r="G137" i="19"/>
  <c r="H137" i="19"/>
  <c r="I137" i="19"/>
  <c r="J137" i="19"/>
  <c r="K137" i="19"/>
  <c r="L137" i="19"/>
  <c r="M137" i="19"/>
  <c r="N137" i="19"/>
  <c r="O137" i="19"/>
  <c r="P137" i="19"/>
  <c r="Q137" i="19"/>
  <c r="R137" i="19"/>
  <c r="S137" i="19"/>
  <c r="T137" i="19"/>
  <c r="U137" i="19"/>
  <c r="V137" i="19"/>
  <c r="W137" i="19"/>
  <c r="X137" i="19"/>
  <c r="Y137" i="19"/>
  <c r="Z137" i="19"/>
  <c r="AB137" i="19"/>
  <c r="B138" i="19"/>
  <c r="C138" i="19"/>
  <c r="D138" i="19"/>
  <c r="E138" i="19"/>
  <c r="F138" i="19"/>
  <c r="G138" i="19"/>
  <c r="H138" i="19"/>
  <c r="I138" i="19"/>
  <c r="J138" i="19"/>
  <c r="K138" i="19"/>
  <c r="L138" i="19"/>
  <c r="M138" i="19"/>
  <c r="N138" i="19"/>
  <c r="O138" i="19"/>
  <c r="P138" i="19"/>
  <c r="Q138" i="19"/>
  <c r="R138" i="19"/>
  <c r="S138" i="19"/>
  <c r="T138" i="19"/>
  <c r="U138" i="19"/>
  <c r="V138" i="19"/>
  <c r="W138" i="19"/>
  <c r="X138" i="19"/>
  <c r="Y138" i="19"/>
  <c r="Z138" i="19"/>
  <c r="AB138" i="19"/>
  <c r="B139" i="19"/>
  <c r="C139" i="19"/>
  <c r="D139" i="19"/>
  <c r="E139" i="19"/>
  <c r="F139" i="19"/>
  <c r="G139" i="19"/>
  <c r="H139" i="19"/>
  <c r="I139" i="19"/>
  <c r="J139" i="19"/>
  <c r="K139" i="19"/>
  <c r="L139" i="19"/>
  <c r="M139" i="19"/>
  <c r="N139" i="19"/>
  <c r="O139" i="19"/>
  <c r="P139" i="19"/>
  <c r="Q139" i="19"/>
  <c r="R139" i="19"/>
  <c r="S139" i="19"/>
  <c r="T139" i="19"/>
  <c r="U139" i="19"/>
  <c r="V139" i="19"/>
  <c r="W139" i="19"/>
  <c r="X139" i="19"/>
  <c r="Y139" i="19"/>
  <c r="Z139" i="19"/>
  <c r="AB139" i="19"/>
  <c r="B140" i="19"/>
  <c r="C140" i="19"/>
  <c r="D140" i="19"/>
  <c r="E140" i="19"/>
  <c r="F140" i="19"/>
  <c r="G140" i="19"/>
  <c r="H140" i="19"/>
  <c r="I140" i="19"/>
  <c r="J140" i="19"/>
  <c r="K140" i="19"/>
  <c r="L140" i="19"/>
  <c r="M140" i="19"/>
  <c r="N140" i="19"/>
  <c r="O140" i="19"/>
  <c r="P140" i="19"/>
  <c r="Q140" i="19"/>
  <c r="R140" i="19"/>
  <c r="S140" i="19"/>
  <c r="T140" i="19"/>
  <c r="U140" i="19"/>
  <c r="V140" i="19"/>
  <c r="W140" i="19"/>
  <c r="X140" i="19"/>
  <c r="Y140" i="19"/>
  <c r="Z140" i="19"/>
  <c r="AB140" i="19"/>
  <c r="B141" i="19"/>
  <c r="C141" i="19"/>
  <c r="D141" i="19"/>
  <c r="E141" i="19"/>
  <c r="F141" i="19"/>
  <c r="G141" i="19"/>
  <c r="H141" i="19"/>
  <c r="I141" i="19"/>
  <c r="J141" i="19"/>
  <c r="K141" i="19"/>
  <c r="L141" i="19"/>
  <c r="M141" i="19"/>
  <c r="N141" i="19"/>
  <c r="O141" i="19"/>
  <c r="P141" i="19"/>
  <c r="Q141" i="19"/>
  <c r="R141" i="19"/>
  <c r="S141" i="19"/>
  <c r="T141" i="19"/>
  <c r="U141" i="19"/>
  <c r="V141" i="19"/>
  <c r="W141" i="19"/>
  <c r="X141" i="19"/>
  <c r="Y141" i="19"/>
  <c r="Z141" i="19"/>
  <c r="AB141" i="19"/>
  <c r="B142" i="19"/>
  <c r="C142" i="19"/>
  <c r="D142" i="19"/>
  <c r="E142" i="19"/>
  <c r="F142" i="19"/>
  <c r="G142" i="19"/>
  <c r="H142" i="19"/>
  <c r="I142" i="19"/>
  <c r="J142" i="19"/>
  <c r="K142" i="19"/>
  <c r="L142" i="19"/>
  <c r="M142" i="19"/>
  <c r="N142" i="19"/>
  <c r="O142" i="19"/>
  <c r="P142" i="19"/>
  <c r="Q142" i="19"/>
  <c r="R142" i="19"/>
  <c r="S142" i="19"/>
  <c r="T142" i="19"/>
  <c r="U142" i="19"/>
  <c r="V142" i="19"/>
  <c r="W142" i="19"/>
  <c r="X142" i="19"/>
  <c r="Y142" i="19"/>
  <c r="Z142" i="19"/>
  <c r="AB142" i="19"/>
  <c r="B143" i="19"/>
  <c r="C143" i="19"/>
  <c r="D143" i="19"/>
  <c r="E143" i="19"/>
  <c r="F143" i="19"/>
  <c r="G143" i="19"/>
  <c r="H143" i="19"/>
  <c r="I143" i="19"/>
  <c r="J143" i="19"/>
  <c r="K143" i="19"/>
  <c r="L143" i="19"/>
  <c r="M143" i="19"/>
  <c r="N143" i="19"/>
  <c r="O143" i="19"/>
  <c r="P143" i="19"/>
  <c r="Q143" i="19"/>
  <c r="R143" i="19"/>
  <c r="S143" i="19"/>
  <c r="T143" i="19"/>
  <c r="U143" i="19"/>
  <c r="V143" i="19"/>
  <c r="W143" i="19"/>
  <c r="X143" i="19"/>
  <c r="Y143" i="19"/>
  <c r="Z143" i="19"/>
  <c r="AB143" i="19"/>
  <c r="B144" i="19"/>
  <c r="C144" i="19"/>
  <c r="D144" i="19"/>
  <c r="E144" i="19"/>
  <c r="F144" i="19"/>
  <c r="G144" i="19"/>
  <c r="H144" i="19"/>
  <c r="I144" i="19"/>
  <c r="J144" i="19"/>
  <c r="K144" i="19"/>
  <c r="L144" i="19"/>
  <c r="M144" i="19"/>
  <c r="N144" i="19"/>
  <c r="O144" i="19"/>
  <c r="P144" i="19"/>
  <c r="Q144" i="19"/>
  <c r="R144" i="19"/>
  <c r="S144" i="19"/>
  <c r="T144" i="19"/>
  <c r="U144" i="19"/>
  <c r="V144" i="19"/>
  <c r="W144" i="19"/>
  <c r="X144" i="19"/>
  <c r="Y144" i="19"/>
  <c r="Z144" i="19"/>
  <c r="AB144" i="19"/>
  <c r="B145" i="19"/>
  <c r="C145" i="19"/>
  <c r="D145" i="19"/>
  <c r="E145" i="19"/>
  <c r="F145" i="19"/>
  <c r="G145" i="19"/>
  <c r="H145" i="19"/>
  <c r="I145" i="19"/>
  <c r="J145" i="19"/>
  <c r="K145" i="19"/>
  <c r="L145" i="19"/>
  <c r="M145" i="19"/>
  <c r="N145" i="19"/>
  <c r="O145" i="19"/>
  <c r="P145" i="19"/>
  <c r="Q145" i="19"/>
  <c r="R145" i="19"/>
  <c r="S145" i="19"/>
  <c r="T145" i="19"/>
  <c r="U145" i="19"/>
  <c r="V145" i="19"/>
  <c r="W145" i="19"/>
  <c r="X145" i="19"/>
  <c r="Y145" i="19"/>
  <c r="Z145" i="19"/>
  <c r="AB145" i="19"/>
  <c r="B146" i="19"/>
  <c r="C146" i="19"/>
  <c r="D146" i="19"/>
  <c r="E146" i="19"/>
  <c r="F146" i="19"/>
  <c r="G146" i="19"/>
  <c r="H146" i="19"/>
  <c r="I146" i="19"/>
  <c r="J146" i="19"/>
  <c r="K146" i="19"/>
  <c r="L146" i="19"/>
  <c r="M146" i="19"/>
  <c r="N146" i="19"/>
  <c r="O146" i="19"/>
  <c r="P146" i="19"/>
  <c r="Q146" i="19"/>
  <c r="R146" i="19"/>
  <c r="S146" i="19"/>
  <c r="T146" i="19"/>
  <c r="U146" i="19"/>
  <c r="V146" i="19"/>
  <c r="W146" i="19"/>
  <c r="X146" i="19"/>
  <c r="Y146" i="19"/>
  <c r="Z146" i="19"/>
  <c r="AB146" i="19"/>
  <c r="B147" i="19"/>
  <c r="C147" i="19"/>
  <c r="D147" i="19"/>
  <c r="E147" i="19"/>
  <c r="F147" i="19"/>
  <c r="G147" i="19"/>
  <c r="H147" i="19"/>
  <c r="I147" i="19"/>
  <c r="J147" i="19"/>
  <c r="K147" i="19"/>
  <c r="L147" i="19"/>
  <c r="M147" i="19"/>
  <c r="N147" i="19"/>
  <c r="O147" i="19"/>
  <c r="P147" i="19"/>
  <c r="Q147" i="19"/>
  <c r="R147" i="19"/>
  <c r="S147" i="19"/>
  <c r="T147" i="19"/>
  <c r="U147" i="19"/>
  <c r="V147" i="19"/>
  <c r="W147" i="19"/>
  <c r="X147" i="19"/>
  <c r="Y147" i="19"/>
  <c r="Z147" i="19"/>
  <c r="AB147" i="19"/>
  <c r="B148" i="19"/>
  <c r="C148" i="19"/>
  <c r="D148" i="19"/>
  <c r="E148" i="19"/>
  <c r="F148" i="19"/>
  <c r="G148" i="19"/>
  <c r="H148" i="19"/>
  <c r="I148" i="19"/>
  <c r="J148" i="19"/>
  <c r="K148" i="19"/>
  <c r="L148" i="19"/>
  <c r="M148" i="19"/>
  <c r="N148" i="19"/>
  <c r="O148" i="19"/>
  <c r="P148" i="19"/>
  <c r="Q148" i="19"/>
  <c r="R148" i="19"/>
  <c r="S148" i="19"/>
  <c r="T148" i="19"/>
  <c r="U148" i="19"/>
  <c r="V148" i="19"/>
  <c r="W148" i="19"/>
  <c r="X148" i="19"/>
  <c r="Y148" i="19"/>
  <c r="Z148" i="19"/>
  <c r="AB148" i="19"/>
  <c r="B149" i="19"/>
  <c r="C149" i="19"/>
  <c r="D149" i="19"/>
  <c r="E149" i="19"/>
  <c r="F149" i="19"/>
  <c r="G149" i="19"/>
  <c r="H149" i="19"/>
  <c r="I149" i="19"/>
  <c r="J149" i="19"/>
  <c r="K149" i="19"/>
  <c r="L149" i="19"/>
  <c r="M149" i="19"/>
  <c r="N149" i="19"/>
  <c r="O149" i="19"/>
  <c r="P149" i="19"/>
  <c r="Q149" i="19"/>
  <c r="R149" i="19"/>
  <c r="S149" i="19"/>
  <c r="T149" i="19"/>
  <c r="U149" i="19"/>
  <c r="V149" i="19"/>
  <c r="W149" i="19"/>
  <c r="X149" i="19"/>
  <c r="Y149" i="19"/>
  <c r="Z149" i="19"/>
  <c r="AB149" i="19"/>
  <c r="B150" i="19"/>
  <c r="C150" i="19"/>
  <c r="D150" i="19"/>
  <c r="E150" i="19"/>
  <c r="F150" i="19"/>
  <c r="G150" i="19"/>
  <c r="H150" i="19"/>
  <c r="I150" i="19"/>
  <c r="J150" i="19"/>
  <c r="K150" i="19"/>
  <c r="L150" i="19"/>
  <c r="M150" i="19"/>
  <c r="N150" i="19"/>
  <c r="O150" i="19"/>
  <c r="P150" i="19"/>
  <c r="Q150" i="19"/>
  <c r="R150" i="19"/>
  <c r="S150" i="19"/>
  <c r="T150" i="19"/>
  <c r="U150" i="19"/>
  <c r="V150" i="19"/>
  <c r="W150" i="19"/>
  <c r="X150" i="19"/>
  <c r="Y150" i="19"/>
  <c r="Z150" i="19"/>
  <c r="AB150" i="19"/>
  <c r="B151" i="19"/>
  <c r="C151" i="19"/>
  <c r="D151" i="19"/>
  <c r="E151" i="19"/>
  <c r="F151" i="19"/>
  <c r="G151" i="19"/>
  <c r="H151" i="19"/>
  <c r="I151" i="19"/>
  <c r="J151" i="19"/>
  <c r="K151" i="19"/>
  <c r="L151" i="19"/>
  <c r="M151" i="19"/>
  <c r="N151" i="19"/>
  <c r="O151" i="19"/>
  <c r="P151" i="19"/>
  <c r="Q151" i="19"/>
  <c r="R151" i="19"/>
  <c r="S151" i="19"/>
  <c r="T151" i="19"/>
  <c r="U151" i="19"/>
  <c r="V151" i="19"/>
  <c r="W151" i="19"/>
  <c r="X151" i="19"/>
  <c r="Y151" i="19"/>
  <c r="Z151" i="19"/>
  <c r="AB151" i="19"/>
  <c r="B152" i="19"/>
  <c r="C152" i="19"/>
  <c r="D152" i="19"/>
  <c r="E152" i="19"/>
  <c r="F152" i="19"/>
  <c r="G152" i="19"/>
  <c r="H152" i="19"/>
  <c r="I152" i="19"/>
  <c r="J152" i="19"/>
  <c r="K152" i="19"/>
  <c r="L152" i="19"/>
  <c r="M152" i="19"/>
  <c r="N152" i="19"/>
  <c r="O152" i="19"/>
  <c r="P152" i="19"/>
  <c r="Q152" i="19"/>
  <c r="R152" i="19"/>
  <c r="S152" i="19"/>
  <c r="T152" i="19"/>
  <c r="U152" i="19"/>
  <c r="V152" i="19"/>
  <c r="W152" i="19"/>
  <c r="X152" i="19"/>
  <c r="Y152" i="19"/>
  <c r="Z152" i="19"/>
  <c r="AB152" i="19"/>
  <c r="B153" i="19"/>
  <c r="C153" i="19"/>
  <c r="D153" i="19"/>
  <c r="E153" i="19"/>
  <c r="F153" i="19"/>
  <c r="G153" i="19"/>
  <c r="H153" i="19"/>
  <c r="I153" i="19"/>
  <c r="J153" i="19"/>
  <c r="K153" i="19"/>
  <c r="L153" i="19"/>
  <c r="M153" i="19"/>
  <c r="N153" i="19"/>
  <c r="O153" i="19"/>
  <c r="P153" i="19"/>
  <c r="Q153" i="19"/>
  <c r="R153" i="19"/>
  <c r="S153" i="19"/>
  <c r="T153" i="19"/>
  <c r="U153" i="19"/>
  <c r="V153" i="19"/>
  <c r="W153" i="19"/>
  <c r="X153" i="19"/>
  <c r="Y153" i="19"/>
  <c r="Z153" i="19"/>
  <c r="AB153" i="19"/>
  <c r="B154" i="19"/>
  <c r="C154" i="19"/>
  <c r="D154" i="19"/>
  <c r="E154" i="19"/>
  <c r="F154" i="19"/>
  <c r="G154" i="19"/>
  <c r="H154" i="19"/>
  <c r="I154" i="19"/>
  <c r="J154" i="19"/>
  <c r="K154" i="19"/>
  <c r="L154" i="19"/>
  <c r="M154" i="19"/>
  <c r="N154" i="19"/>
  <c r="O154" i="19"/>
  <c r="P154" i="19"/>
  <c r="Q154" i="19"/>
  <c r="R154" i="19"/>
  <c r="S154" i="19"/>
  <c r="T154" i="19"/>
  <c r="U154" i="19"/>
  <c r="V154" i="19"/>
  <c r="W154" i="19"/>
  <c r="X154" i="19"/>
  <c r="Y154" i="19"/>
  <c r="Z154" i="19"/>
  <c r="AB154" i="19"/>
  <c r="B155" i="19"/>
  <c r="C155" i="19"/>
  <c r="D155" i="19"/>
  <c r="E155" i="19"/>
  <c r="F155" i="19"/>
  <c r="G155" i="19"/>
  <c r="H155" i="19"/>
  <c r="I155" i="19"/>
  <c r="J155" i="19"/>
  <c r="K155" i="19"/>
  <c r="L155" i="19"/>
  <c r="M155" i="19"/>
  <c r="N155" i="19"/>
  <c r="O155" i="19"/>
  <c r="P155" i="19"/>
  <c r="Q155" i="19"/>
  <c r="R155" i="19"/>
  <c r="S155" i="19"/>
  <c r="T155" i="19"/>
  <c r="U155" i="19"/>
  <c r="V155" i="19"/>
  <c r="W155" i="19"/>
  <c r="X155" i="19"/>
  <c r="Y155" i="19"/>
  <c r="Z155" i="19"/>
  <c r="AB155" i="19"/>
  <c r="B156" i="19"/>
  <c r="C156" i="19"/>
  <c r="D156" i="19"/>
  <c r="E156" i="19"/>
  <c r="F156" i="19"/>
  <c r="G156" i="19"/>
  <c r="H156" i="19"/>
  <c r="I156" i="19"/>
  <c r="J156" i="19"/>
  <c r="K156" i="19"/>
  <c r="L156" i="19"/>
  <c r="M156" i="19"/>
  <c r="N156" i="19"/>
  <c r="O156" i="19"/>
  <c r="P156" i="19"/>
  <c r="Q156" i="19"/>
  <c r="R156" i="19"/>
  <c r="S156" i="19"/>
  <c r="T156" i="19"/>
  <c r="U156" i="19"/>
  <c r="V156" i="19"/>
  <c r="W156" i="19"/>
  <c r="X156" i="19"/>
  <c r="Y156" i="19"/>
  <c r="Z156" i="19"/>
  <c r="AB156" i="19"/>
  <c r="B157" i="19"/>
  <c r="C157" i="19"/>
  <c r="D157" i="19"/>
  <c r="E157" i="19"/>
  <c r="F157" i="19"/>
  <c r="G157" i="19"/>
  <c r="H157" i="19"/>
  <c r="I157" i="19"/>
  <c r="J157" i="19"/>
  <c r="K157" i="19"/>
  <c r="L157" i="19"/>
  <c r="M157" i="19"/>
  <c r="N157" i="19"/>
  <c r="O157" i="19"/>
  <c r="P157" i="19"/>
  <c r="Q157" i="19"/>
  <c r="R157" i="19"/>
  <c r="S157" i="19"/>
  <c r="T157" i="19"/>
  <c r="U157" i="19"/>
  <c r="V157" i="19"/>
  <c r="W157" i="19"/>
  <c r="X157" i="19"/>
  <c r="Y157" i="19"/>
  <c r="Z157" i="19"/>
  <c r="AB157" i="19"/>
  <c r="B158" i="19"/>
  <c r="C158" i="19"/>
  <c r="D158" i="19"/>
  <c r="E158" i="19"/>
  <c r="F158" i="19"/>
  <c r="G158" i="19"/>
  <c r="H158" i="19"/>
  <c r="I158" i="19"/>
  <c r="J158" i="19"/>
  <c r="K158" i="19"/>
  <c r="L158" i="19"/>
  <c r="M158" i="19"/>
  <c r="N158" i="19"/>
  <c r="O158" i="19"/>
  <c r="P158" i="19"/>
  <c r="Q158" i="19"/>
  <c r="R158" i="19"/>
  <c r="S158" i="19"/>
  <c r="T158" i="19"/>
  <c r="U158" i="19"/>
  <c r="V158" i="19"/>
  <c r="W158" i="19"/>
  <c r="X158" i="19"/>
  <c r="Y158" i="19"/>
  <c r="Z158" i="19"/>
  <c r="AB158" i="19"/>
  <c r="B159" i="19"/>
  <c r="C159" i="19"/>
  <c r="D159" i="19"/>
  <c r="E159" i="19"/>
  <c r="F159" i="19"/>
  <c r="G159" i="19"/>
  <c r="H159" i="19"/>
  <c r="I159" i="19"/>
  <c r="J159" i="19"/>
  <c r="K159" i="19"/>
  <c r="L159" i="19"/>
  <c r="M159" i="19"/>
  <c r="N159" i="19"/>
  <c r="O159" i="19"/>
  <c r="P159" i="19"/>
  <c r="Q159" i="19"/>
  <c r="R159" i="19"/>
  <c r="S159" i="19"/>
  <c r="T159" i="19"/>
  <c r="U159" i="19"/>
  <c r="V159" i="19"/>
  <c r="W159" i="19"/>
  <c r="X159" i="19"/>
  <c r="Y159" i="19"/>
  <c r="Z159" i="19"/>
  <c r="AB159" i="19"/>
  <c r="B160" i="19"/>
  <c r="C160" i="19"/>
  <c r="D160" i="19"/>
  <c r="E160" i="19"/>
  <c r="F160" i="19"/>
  <c r="G160" i="19"/>
  <c r="H160" i="19"/>
  <c r="I160" i="19"/>
  <c r="J160" i="19"/>
  <c r="K160" i="19"/>
  <c r="L160" i="19"/>
  <c r="M160" i="19"/>
  <c r="N160" i="19"/>
  <c r="O160" i="19"/>
  <c r="P160" i="19"/>
  <c r="Q160" i="19"/>
  <c r="R160" i="19"/>
  <c r="S160" i="19"/>
  <c r="T160" i="19"/>
  <c r="U160" i="19"/>
  <c r="V160" i="19"/>
  <c r="W160" i="19"/>
  <c r="X160" i="19"/>
  <c r="Y160" i="19"/>
  <c r="Z160" i="19"/>
  <c r="AB160" i="19"/>
  <c r="B161" i="19"/>
  <c r="C161" i="19"/>
  <c r="D161" i="19"/>
  <c r="E161" i="19"/>
  <c r="F161" i="19"/>
  <c r="G161" i="19"/>
  <c r="H161" i="19"/>
  <c r="I161" i="19"/>
  <c r="J161" i="19"/>
  <c r="K161" i="19"/>
  <c r="L161" i="19"/>
  <c r="M161" i="19"/>
  <c r="N161" i="19"/>
  <c r="O161" i="19"/>
  <c r="P161" i="19"/>
  <c r="Q161" i="19"/>
  <c r="R161" i="19"/>
  <c r="S161" i="19"/>
  <c r="T161" i="19"/>
  <c r="U161" i="19"/>
  <c r="V161" i="19"/>
  <c r="W161" i="19"/>
  <c r="X161" i="19"/>
  <c r="Y161" i="19"/>
  <c r="Z161" i="19"/>
  <c r="AB161" i="19"/>
  <c r="B162" i="19"/>
  <c r="C162" i="19"/>
  <c r="D162" i="19"/>
  <c r="E162" i="19"/>
  <c r="F162" i="19"/>
  <c r="G162" i="19"/>
  <c r="H162" i="19"/>
  <c r="I162" i="19"/>
  <c r="J162" i="19"/>
  <c r="K162" i="19"/>
  <c r="L162" i="19"/>
  <c r="M162" i="19"/>
  <c r="N162" i="19"/>
  <c r="O162" i="19"/>
  <c r="P162" i="19"/>
  <c r="Q162" i="19"/>
  <c r="R162" i="19"/>
  <c r="S162" i="19"/>
  <c r="T162" i="19"/>
  <c r="U162" i="19"/>
  <c r="V162" i="19"/>
  <c r="W162" i="19"/>
  <c r="X162" i="19"/>
  <c r="Y162" i="19"/>
  <c r="Z162" i="19"/>
  <c r="AB162" i="19"/>
  <c r="B163" i="19"/>
  <c r="C163" i="19"/>
  <c r="D163" i="19"/>
  <c r="E163" i="19"/>
  <c r="F163" i="19"/>
  <c r="G163" i="19"/>
  <c r="H163" i="19"/>
  <c r="I163" i="19"/>
  <c r="J163" i="19"/>
  <c r="K163" i="19"/>
  <c r="L163" i="19"/>
  <c r="M163" i="19"/>
  <c r="N163" i="19"/>
  <c r="O163" i="19"/>
  <c r="P163" i="19"/>
  <c r="Q163" i="19"/>
  <c r="R163" i="19"/>
  <c r="S163" i="19"/>
  <c r="T163" i="19"/>
  <c r="U163" i="19"/>
  <c r="V163" i="19"/>
  <c r="W163" i="19"/>
  <c r="X163" i="19"/>
  <c r="Y163" i="19"/>
  <c r="Z163" i="19"/>
  <c r="AB163" i="19"/>
  <c r="B164" i="19"/>
  <c r="C164" i="19"/>
  <c r="D164" i="19"/>
  <c r="E164" i="19"/>
  <c r="F164" i="19"/>
  <c r="G164" i="19"/>
  <c r="H164" i="19"/>
  <c r="I164" i="19"/>
  <c r="J164" i="19"/>
  <c r="K164" i="19"/>
  <c r="L164" i="19"/>
  <c r="M164" i="19"/>
  <c r="N164" i="19"/>
  <c r="O164" i="19"/>
  <c r="P164" i="19"/>
  <c r="Q164" i="19"/>
  <c r="R164" i="19"/>
  <c r="S164" i="19"/>
  <c r="T164" i="19"/>
  <c r="U164" i="19"/>
  <c r="V164" i="19"/>
  <c r="W164" i="19"/>
  <c r="X164" i="19"/>
  <c r="Y164" i="19"/>
  <c r="Z164" i="19"/>
  <c r="AB164" i="19"/>
  <c r="B165" i="19"/>
  <c r="C165" i="19"/>
  <c r="D165" i="19"/>
  <c r="E165" i="19"/>
  <c r="F165" i="19"/>
  <c r="G165" i="19"/>
  <c r="H165" i="19"/>
  <c r="I165" i="19"/>
  <c r="J165" i="19"/>
  <c r="K165" i="19"/>
  <c r="L165" i="19"/>
  <c r="M165" i="19"/>
  <c r="N165" i="19"/>
  <c r="O165" i="19"/>
  <c r="P165" i="19"/>
  <c r="Q165" i="19"/>
  <c r="R165" i="19"/>
  <c r="S165" i="19"/>
  <c r="T165" i="19"/>
  <c r="U165" i="19"/>
  <c r="V165" i="19"/>
  <c r="W165" i="19"/>
  <c r="X165" i="19"/>
  <c r="Y165" i="19"/>
  <c r="Z165" i="19"/>
  <c r="AB165" i="19"/>
  <c r="B166" i="19"/>
  <c r="C166" i="19"/>
  <c r="D166" i="19"/>
  <c r="E166" i="19"/>
  <c r="F166" i="19"/>
  <c r="G166" i="19"/>
  <c r="H166" i="19"/>
  <c r="I166" i="19"/>
  <c r="J166" i="19"/>
  <c r="K166" i="19"/>
  <c r="L166" i="19"/>
  <c r="M166" i="19"/>
  <c r="N166" i="19"/>
  <c r="O166" i="19"/>
  <c r="P166" i="19"/>
  <c r="Q166" i="19"/>
  <c r="R166" i="19"/>
  <c r="S166" i="19"/>
  <c r="T166" i="19"/>
  <c r="U166" i="19"/>
  <c r="V166" i="19"/>
  <c r="W166" i="19"/>
  <c r="X166" i="19"/>
  <c r="Y166" i="19"/>
  <c r="Z166" i="19"/>
  <c r="AB166" i="19"/>
  <c r="B167" i="19"/>
  <c r="C167" i="19"/>
  <c r="D167" i="19"/>
  <c r="E167" i="19"/>
  <c r="F167" i="19"/>
  <c r="G167" i="19"/>
  <c r="H167" i="19"/>
  <c r="I167" i="19"/>
  <c r="J167" i="19"/>
  <c r="K167" i="19"/>
  <c r="L167" i="19"/>
  <c r="M167" i="19"/>
  <c r="N167" i="19"/>
  <c r="O167" i="19"/>
  <c r="P167" i="19"/>
  <c r="Q167" i="19"/>
  <c r="R167" i="19"/>
  <c r="S167" i="19"/>
  <c r="T167" i="19"/>
  <c r="U167" i="19"/>
  <c r="V167" i="19"/>
  <c r="W167" i="19"/>
  <c r="X167" i="19"/>
  <c r="Y167" i="19"/>
  <c r="Z167" i="19"/>
  <c r="AB167" i="19"/>
  <c r="B168" i="19"/>
  <c r="C168" i="19"/>
  <c r="D168" i="19"/>
  <c r="E168" i="19"/>
  <c r="F168" i="19"/>
  <c r="G168" i="19"/>
  <c r="H168" i="19"/>
  <c r="I168" i="19"/>
  <c r="J168" i="19"/>
  <c r="K168" i="19"/>
  <c r="L168" i="19"/>
  <c r="M168" i="19"/>
  <c r="N168" i="19"/>
  <c r="O168" i="19"/>
  <c r="P168" i="19"/>
  <c r="Q168" i="19"/>
  <c r="R168" i="19"/>
  <c r="S168" i="19"/>
  <c r="T168" i="19"/>
  <c r="U168" i="19"/>
  <c r="V168" i="19"/>
  <c r="W168" i="19"/>
  <c r="X168" i="19"/>
  <c r="Y168" i="19"/>
  <c r="Z168" i="19"/>
  <c r="AB168" i="19"/>
  <c r="B169" i="19"/>
  <c r="C169" i="19"/>
  <c r="D169" i="19"/>
  <c r="E169" i="19"/>
  <c r="F169" i="19"/>
  <c r="G169" i="19"/>
  <c r="H169" i="19"/>
  <c r="I169" i="19"/>
  <c r="J169" i="19"/>
  <c r="K169" i="19"/>
  <c r="L169" i="19"/>
  <c r="M169" i="19"/>
  <c r="N169" i="19"/>
  <c r="O169" i="19"/>
  <c r="P169" i="19"/>
  <c r="Q169" i="19"/>
  <c r="R169" i="19"/>
  <c r="S169" i="19"/>
  <c r="T169" i="19"/>
  <c r="U169" i="19"/>
  <c r="V169" i="19"/>
  <c r="W169" i="19"/>
  <c r="X169" i="19"/>
  <c r="Y169" i="19"/>
  <c r="Z169" i="19"/>
  <c r="AB169" i="19"/>
  <c r="B170" i="19"/>
  <c r="C170" i="19"/>
  <c r="D170" i="19"/>
  <c r="E170" i="19"/>
  <c r="F170" i="19"/>
  <c r="G170" i="19"/>
  <c r="H170" i="19"/>
  <c r="I170" i="19"/>
  <c r="J170" i="19"/>
  <c r="K170" i="19"/>
  <c r="L170" i="19"/>
  <c r="M170" i="19"/>
  <c r="N170" i="19"/>
  <c r="O170" i="19"/>
  <c r="P170" i="19"/>
  <c r="Q170" i="19"/>
  <c r="R170" i="19"/>
  <c r="S170" i="19"/>
  <c r="T170" i="19"/>
  <c r="U170" i="19"/>
  <c r="V170" i="19"/>
  <c r="W170" i="19"/>
  <c r="X170" i="19"/>
  <c r="Y170" i="19"/>
  <c r="Z170" i="19"/>
  <c r="AB170" i="19"/>
  <c r="B171" i="19"/>
  <c r="C171" i="19"/>
  <c r="D171" i="19"/>
  <c r="E171" i="19"/>
  <c r="F171" i="19"/>
  <c r="G171" i="19"/>
  <c r="H171" i="19"/>
  <c r="I171" i="19"/>
  <c r="J171" i="19"/>
  <c r="K171" i="19"/>
  <c r="L171" i="19"/>
  <c r="M171" i="19"/>
  <c r="N171" i="19"/>
  <c r="O171" i="19"/>
  <c r="P171" i="19"/>
  <c r="Q171" i="19"/>
  <c r="R171" i="19"/>
  <c r="S171" i="19"/>
  <c r="T171" i="19"/>
  <c r="U171" i="19"/>
  <c r="V171" i="19"/>
  <c r="W171" i="19"/>
  <c r="X171" i="19"/>
  <c r="Y171" i="19"/>
  <c r="Z171" i="19"/>
  <c r="AB171" i="19"/>
  <c r="B172" i="19"/>
  <c r="C172" i="19"/>
  <c r="D172" i="19"/>
  <c r="E172" i="19"/>
  <c r="F172" i="19"/>
  <c r="G172" i="19"/>
  <c r="H172" i="19"/>
  <c r="I172" i="19"/>
  <c r="J172" i="19"/>
  <c r="K172" i="19"/>
  <c r="L172" i="19"/>
  <c r="M172" i="19"/>
  <c r="N172" i="19"/>
  <c r="O172" i="19"/>
  <c r="P172" i="19"/>
  <c r="Q172" i="19"/>
  <c r="R172" i="19"/>
  <c r="S172" i="19"/>
  <c r="T172" i="19"/>
  <c r="U172" i="19"/>
  <c r="V172" i="19"/>
  <c r="W172" i="19"/>
  <c r="X172" i="19"/>
  <c r="Y172" i="19"/>
  <c r="Z172" i="19"/>
  <c r="AB172" i="19"/>
  <c r="B173" i="19"/>
  <c r="C173" i="19"/>
  <c r="D173" i="19"/>
  <c r="E173" i="19"/>
  <c r="F173" i="19"/>
  <c r="G173" i="19"/>
  <c r="H173" i="19"/>
  <c r="I173" i="19"/>
  <c r="J173" i="19"/>
  <c r="K173" i="19"/>
  <c r="L173" i="19"/>
  <c r="M173" i="19"/>
  <c r="N173" i="19"/>
  <c r="O173" i="19"/>
  <c r="P173" i="19"/>
  <c r="Q173" i="19"/>
  <c r="R173" i="19"/>
  <c r="S173" i="19"/>
  <c r="T173" i="19"/>
  <c r="U173" i="19"/>
  <c r="V173" i="19"/>
  <c r="W173" i="19"/>
  <c r="X173" i="19"/>
  <c r="Y173" i="19"/>
  <c r="Z173" i="19"/>
  <c r="AB173" i="19"/>
  <c r="B174" i="19"/>
  <c r="C174" i="19"/>
  <c r="D174" i="19"/>
  <c r="E174" i="19"/>
  <c r="F174" i="19"/>
  <c r="G174" i="19"/>
  <c r="H174" i="19"/>
  <c r="I174" i="19"/>
  <c r="J174" i="19"/>
  <c r="K174" i="19"/>
  <c r="L174" i="19"/>
  <c r="M174" i="19"/>
  <c r="N174" i="19"/>
  <c r="O174" i="19"/>
  <c r="P174" i="19"/>
  <c r="Q174" i="19"/>
  <c r="R174" i="19"/>
  <c r="S174" i="19"/>
  <c r="T174" i="19"/>
  <c r="U174" i="19"/>
  <c r="V174" i="19"/>
  <c r="W174" i="19"/>
  <c r="X174" i="19"/>
  <c r="Y174" i="19"/>
  <c r="Z174" i="19"/>
  <c r="AB174" i="19"/>
  <c r="B175" i="19"/>
  <c r="C175" i="19"/>
  <c r="D175" i="19"/>
  <c r="E175" i="19"/>
  <c r="F175" i="19"/>
  <c r="G175" i="19"/>
  <c r="H175" i="19"/>
  <c r="I175" i="19"/>
  <c r="J175" i="19"/>
  <c r="K175" i="19"/>
  <c r="L175" i="19"/>
  <c r="M175" i="19"/>
  <c r="N175" i="19"/>
  <c r="O175" i="19"/>
  <c r="P175" i="19"/>
  <c r="Q175" i="19"/>
  <c r="R175" i="19"/>
  <c r="S175" i="19"/>
  <c r="T175" i="19"/>
  <c r="U175" i="19"/>
  <c r="V175" i="19"/>
  <c r="W175" i="19"/>
  <c r="X175" i="19"/>
  <c r="Y175" i="19"/>
  <c r="Z175" i="19"/>
  <c r="AB175" i="19"/>
  <c r="B176" i="19"/>
  <c r="C176" i="19"/>
  <c r="D176" i="19"/>
  <c r="E176" i="19"/>
  <c r="F176" i="19"/>
  <c r="G176" i="19"/>
  <c r="H176" i="19"/>
  <c r="I176" i="19"/>
  <c r="J176" i="19"/>
  <c r="K176" i="19"/>
  <c r="L176" i="19"/>
  <c r="M176" i="19"/>
  <c r="N176" i="19"/>
  <c r="O176" i="19"/>
  <c r="P176" i="19"/>
  <c r="Q176" i="19"/>
  <c r="R176" i="19"/>
  <c r="S176" i="19"/>
  <c r="T176" i="19"/>
  <c r="U176" i="19"/>
  <c r="V176" i="19"/>
  <c r="W176" i="19"/>
  <c r="X176" i="19"/>
  <c r="Y176" i="19"/>
  <c r="Z176" i="19"/>
  <c r="AB176" i="19"/>
  <c r="B177" i="19"/>
  <c r="C177" i="19"/>
  <c r="D177" i="19"/>
  <c r="E177" i="19"/>
  <c r="F177" i="19"/>
  <c r="G177" i="19"/>
  <c r="H177" i="19"/>
  <c r="I177" i="19"/>
  <c r="J177" i="19"/>
  <c r="K177" i="19"/>
  <c r="L177" i="19"/>
  <c r="M177" i="19"/>
  <c r="N177" i="19"/>
  <c r="O177" i="19"/>
  <c r="P177" i="19"/>
  <c r="Q177" i="19"/>
  <c r="R177" i="19"/>
  <c r="S177" i="19"/>
  <c r="T177" i="19"/>
  <c r="U177" i="19"/>
  <c r="V177" i="19"/>
  <c r="W177" i="19"/>
  <c r="X177" i="19"/>
  <c r="Y177" i="19"/>
  <c r="Z177" i="19"/>
  <c r="AB177" i="19"/>
  <c r="B178" i="19"/>
  <c r="C178" i="19"/>
  <c r="D178" i="19"/>
  <c r="E178" i="19"/>
  <c r="F178" i="19"/>
  <c r="G178" i="19"/>
  <c r="H178" i="19"/>
  <c r="I178" i="19"/>
  <c r="J178" i="19"/>
  <c r="K178" i="19"/>
  <c r="L178" i="19"/>
  <c r="M178" i="19"/>
  <c r="N178" i="19"/>
  <c r="O178" i="19"/>
  <c r="P178" i="19"/>
  <c r="Q178" i="19"/>
  <c r="R178" i="19"/>
  <c r="S178" i="19"/>
  <c r="T178" i="19"/>
  <c r="U178" i="19"/>
  <c r="V178" i="19"/>
  <c r="W178" i="19"/>
  <c r="X178" i="19"/>
  <c r="Y178" i="19"/>
  <c r="Z178" i="19"/>
  <c r="AB178" i="19"/>
  <c r="B179" i="19"/>
  <c r="C179" i="19"/>
  <c r="D179" i="19"/>
  <c r="E179" i="19"/>
  <c r="F179" i="19"/>
  <c r="G179" i="19"/>
  <c r="H179" i="19"/>
  <c r="I179" i="19"/>
  <c r="J179" i="19"/>
  <c r="K179" i="19"/>
  <c r="L179" i="19"/>
  <c r="M179" i="19"/>
  <c r="N179" i="19"/>
  <c r="O179" i="19"/>
  <c r="P179" i="19"/>
  <c r="Q179" i="19"/>
  <c r="R179" i="19"/>
  <c r="S179" i="19"/>
  <c r="T179" i="19"/>
  <c r="U179" i="19"/>
  <c r="V179" i="19"/>
  <c r="W179" i="19"/>
  <c r="X179" i="19"/>
  <c r="Y179" i="19"/>
  <c r="Z179" i="19"/>
  <c r="AB179" i="19"/>
  <c r="B180" i="19"/>
  <c r="C180" i="19"/>
  <c r="D180" i="19"/>
  <c r="E180" i="19"/>
  <c r="F180" i="19"/>
  <c r="G180" i="19"/>
  <c r="H180" i="19"/>
  <c r="I180" i="19"/>
  <c r="J180" i="19"/>
  <c r="K180" i="19"/>
  <c r="L180" i="19"/>
  <c r="M180" i="19"/>
  <c r="N180" i="19"/>
  <c r="O180" i="19"/>
  <c r="P180" i="19"/>
  <c r="Q180" i="19"/>
  <c r="R180" i="19"/>
  <c r="S180" i="19"/>
  <c r="T180" i="19"/>
  <c r="U180" i="19"/>
  <c r="V180" i="19"/>
  <c r="W180" i="19"/>
  <c r="X180" i="19"/>
  <c r="Y180" i="19"/>
  <c r="Z180" i="19"/>
  <c r="AA180" i="19"/>
  <c r="AB180" i="19"/>
  <c r="B181" i="19"/>
  <c r="C181" i="19"/>
  <c r="D181" i="19"/>
  <c r="E181" i="19"/>
  <c r="F181" i="19"/>
  <c r="G181" i="19"/>
  <c r="H181" i="19"/>
  <c r="I181" i="19"/>
  <c r="J181" i="19"/>
  <c r="K181" i="19"/>
  <c r="L181" i="19"/>
  <c r="M181" i="19"/>
  <c r="N181" i="19"/>
  <c r="O181" i="19"/>
  <c r="P181" i="19"/>
  <c r="Q181" i="19"/>
  <c r="R181" i="19"/>
  <c r="S181" i="19"/>
  <c r="T181" i="19"/>
  <c r="U181" i="19"/>
  <c r="V181" i="19"/>
  <c r="W181" i="19"/>
  <c r="X181" i="19"/>
  <c r="Y181" i="19"/>
  <c r="Z181" i="19"/>
  <c r="AA181" i="19"/>
  <c r="AB181" i="19"/>
  <c r="B182" i="19"/>
  <c r="C182" i="19"/>
  <c r="D182" i="19"/>
  <c r="E182" i="19"/>
  <c r="F182" i="19"/>
  <c r="G182" i="19"/>
  <c r="H182" i="19"/>
  <c r="I182" i="19"/>
  <c r="J182" i="19"/>
  <c r="K182" i="19"/>
  <c r="L182" i="19"/>
  <c r="M182" i="19"/>
  <c r="N182" i="19"/>
  <c r="O182" i="19"/>
  <c r="P182" i="19"/>
  <c r="Q182" i="19"/>
  <c r="R182" i="19"/>
  <c r="S182" i="19"/>
  <c r="T182" i="19"/>
  <c r="U182" i="19"/>
  <c r="V182" i="19"/>
  <c r="W182" i="19"/>
  <c r="X182" i="19"/>
  <c r="Y182" i="19"/>
  <c r="Z182" i="19"/>
  <c r="AA182" i="19"/>
  <c r="AB182" i="19"/>
  <c r="B183" i="19"/>
  <c r="C183" i="19"/>
  <c r="D183" i="19"/>
  <c r="E183" i="19"/>
  <c r="F183" i="19"/>
  <c r="G183" i="19"/>
  <c r="H183" i="19"/>
  <c r="I183" i="19"/>
  <c r="J183" i="19"/>
  <c r="K183" i="19"/>
  <c r="L183" i="19"/>
  <c r="M183" i="19"/>
  <c r="N183" i="19"/>
  <c r="O183" i="19"/>
  <c r="P183" i="19"/>
  <c r="Q183" i="19"/>
  <c r="R183" i="19"/>
  <c r="S183" i="19"/>
  <c r="T183" i="19"/>
  <c r="U183" i="19"/>
  <c r="V183" i="19"/>
  <c r="W183" i="19"/>
  <c r="X183" i="19"/>
  <c r="Y183" i="19"/>
  <c r="Z183" i="19"/>
  <c r="AA183" i="19"/>
  <c r="AB183" i="19"/>
  <c r="B184" i="19"/>
  <c r="C184" i="19"/>
  <c r="D184" i="19"/>
  <c r="E184" i="19"/>
  <c r="F184" i="19"/>
  <c r="G184" i="19"/>
  <c r="H184" i="19"/>
  <c r="I184" i="19"/>
  <c r="J184" i="19"/>
  <c r="K184" i="19"/>
  <c r="L184" i="19"/>
  <c r="M184" i="19"/>
  <c r="N184" i="19"/>
  <c r="O184" i="19"/>
  <c r="P184" i="19"/>
  <c r="Q184" i="19"/>
  <c r="R184" i="19"/>
  <c r="S184" i="19"/>
  <c r="T184" i="19"/>
  <c r="U184" i="19"/>
  <c r="V184" i="19"/>
  <c r="W184" i="19"/>
  <c r="X184" i="19"/>
  <c r="Y184" i="19"/>
  <c r="Z184" i="19"/>
  <c r="AA184" i="19"/>
  <c r="AB184" i="19"/>
  <c r="B185" i="19"/>
  <c r="C185" i="19"/>
  <c r="D185" i="19"/>
  <c r="E185" i="19"/>
  <c r="F185" i="19"/>
  <c r="G185" i="19"/>
  <c r="H185" i="19"/>
  <c r="I185" i="19"/>
  <c r="J185" i="19"/>
  <c r="K185" i="19"/>
  <c r="L185" i="19"/>
  <c r="M185" i="19"/>
  <c r="N185" i="19"/>
  <c r="O185" i="19"/>
  <c r="P185" i="19"/>
  <c r="Q185" i="19"/>
  <c r="R185" i="19"/>
  <c r="S185" i="19"/>
  <c r="T185" i="19"/>
  <c r="U185" i="19"/>
  <c r="V185" i="19"/>
  <c r="W185" i="19"/>
  <c r="X185" i="19"/>
  <c r="Y185" i="19"/>
  <c r="Z185" i="19"/>
  <c r="AA185" i="19"/>
  <c r="AB185" i="19"/>
  <c r="B186" i="19"/>
  <c r="C186" i="19"/>
  <c r="D186" i="19"/>
  <c r="E186" i="19"/>
  <c r="F186" i="19"/>
  <c r="G186" i="19"/>
  <c r="H186" i="19"/>
  <c r="I186" i="19"/>
  <c r="J186" i="19"/>
  <c r="K186" i="19"/>
  <c r="L186" i="19"/>
  <c r="M186" i="19"/>
  <c r="N186" i="19"/>
  <c r="O186" i="19"/>
  <c r="P186" i="19"/>
  <c r="Q186" i="19"/>
  <c r="R186" i="19"/>
  <c r="S186" i="19"/>
  <c r="T186" i="19"/>
  <c r="U186" i="19"/>
  <c r="V186" i="19"/>
  <c r="W186" i="19"/>
  <c r="X186" i="19"/>
  <c r="Y186" i="19"/>
  <c r="Z186" i="19"/>
  <c r="AA186" i="19"/>
  <c r="AB186" i="19"/>
  <c r="B187" i="19"/>
  <c r="C187" i="19"/>
  <c r="D187" i="19"/>
  <c r="E187" i="19"/>
  <c r="F187" i="19"/>
  <c r="G187" i="19"/>
  <c r="H187" i="19"/>
  <c r="I187" i="19"/>
  <c r="J187" i="19"/>
  <c r="K187" i="19"/>
  <c r="L187" i="19"/>
  <c r="M187" i="19"/>
  <c r="N187" i="19"/>
  <c r="O187" i="19"/>
  <c r="P187" i="19"/>
  <c r="Q187" i="19"/>
  <c r="R187" i="19"/>
  <c r="S187" i="19"/>
  <c r="T187" i="19"/>
  <c r="U187" i="19"/>
  <c r="V187" i="19"/>
  <c r="W187" i="19"/>
  <c r="X187" i="19"/>
  <c r="Y187" i="19"/>
  <c r="Z187" i="19"/>
  <c r="AA187" i="19"/>
  <c r="AB187" i="19"/>
  <c r="B188" i="19"/>
  <c r="C188" i="19"/>
  <c r="D188" i="19"/>
  <c r="E188" i="19"/>
  <c r="F188" i="19"/>
  <c r="G188" i="19"/>
  <c r="H188" i="19"/>
  <c r="I188" i="19"/>
  <c r="J188" i="19"/>
  <c r="K188" i="19"/>
  <c r="L188" i="19"/>
  <c r="M188" i="19"/>
  <c r="N188" i="19"/>
  <c r="O188" i="19"/>
  <c r="P188" i="19"/>
  <c r="Q188" i="19"/>
  <c r="R188" i="19"/>
  <c r="S188" i="19"/>
  <c r="T188" i="19"/>
  <c r="U188" i="19"/>
  <c r="V188" i="19"/>
  <c r="W188" i="19"/>
  <c r="X188" i="19"/>
  <c r="Y188" i="19"/>
  <c r="Z188" i="19"/>
  <c r="AA188" i="19"/>
  <c r="AB188" i="19"/>
  <c r="B189" i="19"/>
  <c r="C189" i="19"/>
  <c r="D189" i="19"/>
  <c r="E189" i="19"/>
  <c r="F189" i="19"/>
  <c r="G189" i="19"/>
  <c r="H189" i="19"/>
  <c r="I189" i="19"/>
  <c r="J189" i="19"/>
  <c r="K189" i="19"/>
  <c r="L189" i="19"/>
  <c r="M189" i="19"/>
  <c r="N189" i="19"/>
  <c r="O189" i="19"/>
  <c r="P189" i="19"/>
  <c r="Q189" i="19"/>
  <c r="R189" i="19"/>
  <c r="S189" i="19"/>
  <c r="T189" i="19"/>
  <c r="U189" i="19"/>
  <c r="V189" i="19"/>
  <c r="W189" i="19"/>
  <c r="X189" i="19"/>
  <c r="Y189" i="19"/>
  <c r="Z189" i="19"/>
  <c r="AA189" i="19"/>
  <c r="AB189" i="19"/>
  <c r="B190" i="19"/>
  <c r="C190" i="19"/>
  <c r="D190" i="19"/>
  <c r="E190" i="19"/>
  <c r="F190" i="19"/>
  <c r="G190" i="19"/>
  <c r="H190" i="19"/>
  <c r="I190" i="19"/>
  <c r="J190" i="19"/>
  <c r="K190" i="19"/>
  <c r="L190" i="19"/>
  <c r="M190" i="19"/>
  <c r="N190" i="19"/>
  <c r="O190" i="19"/>
  <c r="P190" i="19"/>
  <c r="Q190" i="19"/>
  <c r="R190" i="19"/>
  <c r="S190" i="19"/>
  <c r="T190" i="19"/>
  <c r="U190" i="19"/>
  <c r="V190" i="19"/>
  <c r="W190" i="19"/>
  <c r="X190" i="19"/>
  <c r="Y190" i="19"/>
  <c r="Z190" i="19"/>
  <c r="AA190" i="19"/>
  <c r="AB190" i="19"/>
  <c r="B191" i="19"/>
  <c r="C191" i="19"/>
  <c r="D191" i="19"/>
  <c r="E191" i="19"/>
  <c r="F191" i="19"/>
  <c r="G191" i="19"/>
  <c r="H191" i="19"/>
  <c r="I191" i="19"/>
  <c r="J191" i="19"/>
  <c r="K191" i="19"/>
  <c r="L191" i="19"/>
  <c r="M191" i="19"/>
  <c r="N191" i="19"/>
  <c r="O191" i="19"/>
  <c r="P191" i="19"/>
  <c r="Q191" i="19"/>
  <c r="R191" i="19"/>
  <c r="S191" i="19"/>
  <c r="T191" i="19"/>
  <c r="U191" i="19"/>
  <c r="V191" i="19"/>
  <c r="W191" i="19"/>
  <c r="X191" i="19"/>
  <c r="Y191" i="19"/>
  <c r="Z191" i="19"/>
  <c r="AA191" i="19"/>
  <c r="AB191" i="19"/>
  <c r="B192" i="19"/>
  <c r="C192" i="19"/>
  <c r="D192" i="19"/>
  <c r="E192" i="19"/>
  <c r="F192" i="19"/>
  <c r="G192" i="19"/>
  <c r="H192" i="19"/>
  <c r="I192" i="19"/>
  <c r="J192" i="19"/>
  <c r="K192" i="19"/>
  <c r="L192" i="19"/>
  <c r="M192" i="19"/>
  <c r="N192" i="19"/>
  <c r="O192" i="19"/>
  <c r="P192" i="19"/>
  <c r="Q192" i="19"/>
  <c r="R192" i="19"/>
  <c r="S192" i="19"/>
  <c r="T192" i="19"/>
  <c r="U192" i="19"/>
  <c r="V192" i="19"/>
  <c r="W192" i="19"/>
  <c r="X192" i="19"/>
  <c r="Y192" i="19"/>
  <c r="Z192" i="19"/>
  <c r="AA192" i="19"/>
  <c r="AB192" i="19"/>
  <c r="B193" i="19"/>
  <c r="C193" i="19"/>
  <c r="D193" i="19"/>
  <c r="E193" i="19"/>
  <c r="F193" i="19"/>
  <c r="G193" i="19"/>
  <c r="H193" i="19"/>
  <c r="I193" i="19"/>
  <c r="J193" i="19"/>
  <c r="K193" i="19"/>
  <c r="L193" i="19"/>
  <c r="M193" i="19"/>
  <c r="N193" i="19"/>
  <c r="O193" i="19"/>
  <c r="P193" i="19"/>
  <c r="Q193" i="19"/>
  <c r="R193" i="19"/>
  <c r="S193" i="19"/>
  <c r="T193" i="19"/>
  <c r="U193" i="19"/>
  <c r="V193" i="19"/>
  <c r="W193" i="19"/>
  <c r="X193" i="19"/>
  <c r="Y193" i="19"/>
  <c r="Z193" i="19"/>
  <c r="AA193" i="19"/>
  <c r="AB193" i="19"/>
  <c r="B194" i="19"/>
  <c r="C194" i="19"/>
  <c r="D194" i="19"/>
  <c r="E194" i="19"/>
  <c r="F194" i="19"/>
  <c r="G194" i="19"/>
  <c r="H194" i="19"/>
  <c r="I194" i="19"/>
  <c r="J194" i="19"/>
  <c r="K194" i="19"/>
  <c r="L194" i="19"/>
  <c r="M194" i="19"/>
  <c r="N194" i="19"/>
  <c r="O194" i="19"/>
  <c r="P194" i="19"/>
  <c r="Q194" i="19"/>
  <c r="R194" i="19"/>
  <c r="S194" i="19"/>
  <c r="T194" i="19"/>
  <c r="U194" i="19"/>
  <c r="V194" i="19"/>
  <c r="W194" i="19"/>
  <c r="X194" i="19"/>
  <c r="Y194" i="19"/>
  <c r="Z194" i="19"/>
  <c r="AA194" i="19"/>
  <c r="AB194" i="19"/>
  <c r="B195" i="19"/>
  <c r="C195" i="19"/>
  <c r="D195" i="19"/>
  <c r="E195" i="19"/>
  <c r="F195" i="19"/>
  <c r="G195" i="19"/>
  <c r="H195" i="19"/>
  <c r="I195" i="19"/>
  <c r="J195" i="19"/>
  <c r="K195" i="19"/>
  <c r="L195" i="19"/>
  <c r="M195" i="19"/>
  <c r="N195" i="19"/>
  <c r="O195" i="19"/>
  <c r="P195" i="19"/>
  <c r="Q195" i="19"/>
  <c r="R195" i="19"/>
  <c r="S195" i="19"/>
  <c r="T195" i="19"/>
  <c r="U195" i="19"/>
  <c r="V195" i="19"/>
  <c r="W195" i="19"/>
  <c r="X195" i="19"/>
  <c r="Y195" i="19"/>
  <c r="Z195" i="19"/>
  <c r="AA195" i="19"/>
  <c r="AB195" i="19"/>
  <c r="B196" i="19"/>
  <c r="C196" i="19"/>
  <c r="D196" i="19"/>
  <c r="E196" i="19"/>
  <c r="F196" i="19"/>
  <c r="G196" i="19"/>
  <c r="H196" i="19"/>
  <c r="I196" i="19"/>
  <c r="J196" i="19"/>
  <c r="K196" i="19"/>
  <c r="L196" i="19"/>
  <c r="M196" i="19"/>
  <c r="N196" i="19"/>
  <c r="O196" i="19"/>
  <c r="P196" i="19"/>
  <c r="Q196" i="19"/>
  <c r="R196" i="19"/>
  <c r="S196" i="19"/>
  <c r="T196" i="19"/>
  <c r="U196" i="19"/>
  <c r="V196" i="19"/>
  <c r="W196" i="19"/>
  <c r="X196" i="19"/>
  <c r="Y196" i="19"/>
  <c r="Z196" i="19"/>
  <c r="AA196" i="19"/>
  <c r="AB196" i="19"/>
  <c r="B197" i="19"/>
  <c r="C197" i="19"/>
  <c r="D197" i="19"/>
  <c r="E197" i="19"/>
  <c r="F197" i="19"/>
  <c r="G197" i="19"/>
  <c r="H197" i="19"/>
  <c r="I197" i="19"/>
  <c r="J197" i="19"/>
  <c r="K197" i="19"/>
  <c r="L197" i="19"/>
  <c r="M197" i="19"/>
  <c r="N197" i="19"/>
  <c r="O197" i="19"/>
  <c r="P197" i="19"/>
  <c r="Q197" i="19"/>
  <c r="R197" i="19"/>
  <c r="S197" i="19"/>
  <c r="T197" i="19"/>
  <c r="U197" i="19"/>
  <c r="V197" i="19"/>
  <c r="W197" i="19"/>
  <c r="X197" i="19"/>
  <c r="Y197" i="19"/>
  <c r="Z197" i="19"/>
  <c r="AA197" i="19"/>
  <c r="AB197" i="19"/>
  <c r="B198" i="19"/>
  <c r="C198" i="19"/>
  <c r="D198" i="19"/>
  <c r="E198" i="19"/>
  <c r="F198" i="19"/>
  <c r="G198" i="19"/>
  <c r="H198" i="19"/>
  <c r="I198" i="19"/>
  <c r="J198" i="19"/>
  <c r="K198" i="19"/>
  <c r="L198" i="19"/>
  <c r="M198" i="19"/>
  <c r="N198" i="19"/>
  <c r="O198" i="19"/>
  <c r="P198" i="19"/>
  <c r="Q198" i="19"/>
  <c r="R198" i="19"/>
  <c r="S198" i="19"/>
  <c r="T198" i="19"/>
  <c r="U198" i="19"/>
  <c r="V198" i="19"/>
  <c r="W198" i="19"/>
  <c r="X198" i="19"/>
  <c r="Y198" i="19"/>
  <c r="Z198" i="19"/>
  <c r="AA198" i="19"/>
  <c r="AB198" i="19"/>
  <c r="B199" i="19"/>
  <c r="C199" i="19"/>
  <c r="D199" i="19"/>
  <c r="E199" i="19"/>
  <c r="F199" i="19"/>
  <c r="G199" i="19"/>
  <c r="H199" i="19"/>
  <c r="I199" i="19"/>
  <c r="J199" i="19"/>
  <c r="K199" i="19"/>
  <c r="L199" i="19"/>
  <c r="M199" i="19"/>
  <c r="N199" i="19"/>
  <c r="O199" i="19"/>
  <c r="P199" i="19"/>
  <c r="Q199" i="19"/>
  <c r="R199" i="19"/>
  <c r="S199" i="19"/>
  <c r="T199" i="19"/>
  <c r="U199" i="19"/>
  <c r="V199" i="19"/>
  <c r="W199" i="19"/>
  <c r="X199" i="19"/>
  <c r="Y199" i="19"/>
  <c r="Z199" i="19"/>
  <c r="AA199" i="19"/>
  <c r="AB199" i="19"/>
  <c r="B200" i="19"/>
  <c r="C200" i="19"/>
  <c r="D200" i="19"/>
  <c r="E200" i="19"/>
  <c r="F200" i="19"/>
  <c r="G200" i="19"/>
  <c r="H200" i="19"/>
  <c r="I200" i="19"/>
  <c r="J200" i="19"/>
  <c r="K200" i="19"/>
  <c r="L200" i="19"/>
  <c r="M200" i="19"/>
  <c r="N200" i="19"/>
  <c r="O200" i="19"/>
  <c r="P200" i="19"/>
  <c r="Q200" i="19"/>
  <c r="R200" i="19"/>
  <c r="S200" i="19"/>
  <c r="T200" i="19"/>
  <c r="U200" i="19"/>
  <c r="V200" i="19"/>
  <c r="W200" i="19"/>
  <c r="X200" i="19"/>
  <c r="Y200" i="19"/>
  <c r="Z200" i="19"/>
  <c r="AA200" i="19"/>
  <c r="AB200" i="19"/>
  <c r="B201" i="19"/>
  <c r="C201" i="19"/>
  <c r="D201" i="19"/>
  <c r="E201" i="19"/>
  <c r="F201" i="19"/>
  <c r="G201" i="19"/>
  <c r="H201" i="19"/>
  <c r="I201" i="19"/>
  <c r="J201" i="19"/>
  <c r="K201" i="19"/>
  <c r="L201" i="19"/>
  <c r="M201" i="19"/>
  <c r="N201" i="19"/>
  <c r="O201" i="19"/>
  <c r="P201" i="19"/>
  <c r="Q201" i="19"/>
  <c r="R201" i="19"/>
  <c r="S201" i="19"/>
  <c r="T201" i="19"/>
  <c r="U201" i="19"/>
  <c r="V201" i="19"/>
  <c r="W201" i="19"/>
  <c r="X201" i="19"/>
  <c r="Y201" i="19"/>
  <c r="Z201" i="19"/>
  <c r="AA201" i="19"/>
  <c r="AB201" i="19"/>
  <c r="B202" i="19"/>
  <c r="C202" i="19"/>
  <c r="D202" i="19"/>
  <c r="E202" i="19"/>
  <c r="F202" i="19"/>
  <c r="G202" i="19"/>
  <c r="H202" i="19"/>
  <c r="I202" i="19"/>
  <c r="J202" i="19"/>
  <c r="K202" i="19"/>
  <c r="L202" i="19"/>
  <c r="M202" i="19"/>
  <c r="N202" i="19"/>
  <c r="O202" i="19"/>
  <c r="P202" i="19"/>
  <c r="Q202" i="19"/>
  <c r="R202" i="19"/>
  <c r="S202" i="19"/>
  <c r="T202" i="19"/>
  <c r="U202" i="19"/>
  <c r="V202" i="19"/>
  <c r="W202" i="19"/>
  <c r="X202" i="19"/>
  <c r="Y202" i="19"/>
  <c r="Z202" i="19"/>
  <c r="AA202" i="19"/>
  <c r="AB202" i="19"/>
  <c r="B203" i="19"/>
  <c r="C203" i="19"/>
  <c r="D203" i="19"/>
  <c r="E203" i="19"/>
  <c r="F203" i="19"/>
  <c r="G203" i="19"/>
  <c r="H203" i="19"/>
  <c r="I203" i="19"/>
  <c r="J203" i="19"/>
  <c r="K203" i="19"/>
  <c r="L203" i="19"/>
  <c r="M203" i="19"/>
  <c r="N203" i="19"/>
  <c r="O203" i="19"/>
  <c r="P203" i="19"/>
  <c r="Q203" i="19"/>
  <c r="R203" i="19"/>
  <c r="S203" i="19"/>
  <c r="T203" i="19"/>
  <c r="U203" i="19"/>
  <c r="V203" i="19"/>
  <c r="W203" i="19"/>
  <c r="X203" i="19"/>
  <c r="Y203" i="19"/>
  <c r="Z203" i="19"/>
  <c r="AA203" i="19"/>
  <c r="AB203" i="19"/>
  <c r="B204" i="19"/>
  <c r="C204" i="19"/>
  <c r="D204" i="19"/>
  <c r="E204" i="19"/>
  <c r="F204" i="19"/>
  <c r="G204" i="19"/>
  <c r="H204" i="19"/>
  <c r="I204" i="19"/>
  <c r="J204" i="19"/>
  <c r="K204" i="19"/>
  <c r="L204" i="19"/>
  <c r="M204" i="19"/>
  <c r="N204" i="19"/>
  <c r="O204" i="19"/>
  <c r="P204" i="19"/>
  <c r="Q204" i="19"/>
  <c r="R204" i="19"/>
  <c r="S204" i="19"/>
  <c r="T204" i="19"/>
  <c r="U204" i="19"/>
  <c r="V204" i="19"/>
  <c r="W204" i="19"/>
  <c r="X204" i="19"/>
  <c r="Y204" i="19"/>
  <c r="Z204" i="19"/>
  <c r="AA204" i="19"/>
  <c r="AB204" i="19"/>
  <c r="B205" i="19"/>
  <c r="C205" i="19"/>
  <c r="D205" i="19"/>
  <c r="E205" i="19"/>
  <c r="F205" i="19"/>
  <c r="G205" i="19"/>
  <c r="H205" i="19"/>
  <c r="I205" i="19"/>
  <c r="J205" i="19"/>
  <c r="K205" i="19"/>
  <c r="L205" i="19"/>
  <c r="M205" i="19"/>
  <c r="N205" i="19"/>
  <c r="O205" i="19"/>
  <c r="P205" i="19"/>
  <c r="Q205" i="19"/>
  <c r="R205" i="19"/>
  <c r="S205" i="19"/>
  <c r="T205" i="19"/>
  <c r="U205" i="19"/>
  <c r="V205" i="19"/>
  <c r="W205" i="19"/>
  <c r="X205" i="19"/>
  <c r="Y205" i="19"/>
  <c r="Z205" i="19"/>
  <c r="AA205" i="19"/>
  <c r="AB205" i="19"/>
  <c r="C6" i="19"/>
  <c r="D6" i="19"/>
  <c r="E6" i="19"/>
  <c r="F6" i="19"/>
  <c r="G6" i="19"/>
  <c r="H6" i="19"/>
  <c r="I6" i="19"/>
  <c r="J6" i="19"/>
  <c r="K6" i="19"/>
  <c r="L6" i="19"/>
  <c r="M6" i="19"/>
  <c r="N6" i="19"/>
  <c r="O6" i="19"/>
  <c r="P6" i="19"/>
  <c r="Q6" i="19"/>
  <c r="R6" i="19"/>
  <c r="S6" i="19"/>
  <c r="T6" i="19"/>
  <c r="U6" i="19"/>
  <c r="V6" i="19"/>
  <c r="W6" i="19"/>
  <c r="X6" i="19"/>
  <c r="Y6" i="19"/>
  <c r="Z6" i="19"/>
  <c r="AB6" i="19"/>
  <c r="B6" i="19"/>
  <c r="AR205" i="26"/>
  <c r="BG205" i="26" s="1"/>
  <c r="DO205" i="19" s="1"/>
  <c r="AD205" i="26"/>
  <c r="AS205" i="26" s="1"/>
  <c r="BH205" i="26" s="1"/>
  <c r="DP205" i="19" s="1"/>
  <c r="AR204" i="26"/>
  <c r="BG204" i="26" s="1"/>
  <c r="DO204" i="19" s="1"/>
  <c r="AD204" i="26"/>
  <c r="AD204" i="19" s="1"/>
  <c r="AR203" i="26"/>
  <c r="BG203" i="26" s="1"/>
  <c r="DO203" i="19" s="1"/>
  <c r="AD203" i="26"/>
  <c r="AD203" i="19" s="1"/>
  <c r="AR202" i="26"/>
  <c r="BG202" i="26" s="1"/>
  <c r="DO202" i="19" s="1"/>
  <c r="AD202" i="26"/>
  <c r="AS202" i="26" s="1"/>
  <c r="BH202" i="26" s="1"/>
  <c r="DP202" i="19" s="1"/>
  <c r="AR201" i="26"/>
  <c r="BG201" i="26" s="1"/>
  <c r="DO201" i="19" s="1"/>
  <c r="AD201" i="26"/>
  <c r="AS201" i="26" s="1"/>
  <c r="BH201" i="26" s="1"/>
  <c r="DP201" i="19" s="1"/>
  <c r="AR200" i="26"/>
  <c r="BG200" i="26" s="1"/>
  <c r="DO200" i="19" s="1"/>
  <c r="AD200" i="26"/>
  <c r="AD200" i="19" s="1"/>
  <c r="AR199" i="26"/>
  <c r="BG199" i="26" s="1"/>
  <c r="DO199" i="19" s="1"/>
  <c r="AD199" i="26"/>
  <c r="AS199" i="26" s="1"/>
  <c r="AR198" i="26"/>
  <c r="BG198" i="26" s="1"/>
  <c r="DO198" i="19" s="1"/>
  <c r="AD198" i="26"/>
  <c r="AS198" i="26" s="1"/>
  <c r="BH198" i="26" s="1"/>
  <c r="DP198" i="19" s="1"/>
  <c r="AR197" i="26"/>
  <c r="BG197" i="26" s="1"/>
  <c r="DO197" i="19" s="1"/>
  <c r="AD197" i="26"/>
  <c r="AS197" i="26" s="1"/>
  <c r="BH197" i="26" s="1"/>
  <c r="DP197" i="19" s="1"/>
  <c r="AR196" i="26"/>
  <c r="BG196" i="26" s="1"/>
  <c r="DO196" i="19" s="1"/>
  <c r="AD196" i="26"/>
  <c r="AD196" i="19" s="1"/>
  <c r="AR195" i="26"/>
  <c r="BG195" i="26" s="1"/>
  <c r="DO195" i="19" s="1"/>
  <c r="AD195" i="26"/>
  <c r="AD195" i="19" s="1"/>
  <c r="AR194" i="26"/>
  <c r="BG194" i="26" s="1"/>
  <c r="DO194" i="19" s="1"/>
  <c r="AD194" i="26"/>
  <c r="AS194" i="26" s="1"/>
  <c r="BH194" i="26" s="1"/>
  <c r="DP194" i="19" s="1"/>
  <c r="AR193" i="26"/>
  <c r="BG193" i="26" s="1"/>
  <c r="DO193" i="19" s="1"/>
  <c r="AD193" i="26"/>
  <c r="AS193" i="26" s="1"/>
  <c r="BH193" i="26" s="1"/>
  <c r="DP193" i="19" s="1"/>
  <c r="AR192" i="26"/>
  <c r="BG192" i="26" s="1"/>
  <c r="DO192" i="19" s="1"/>
  <c r="AD192" i="26"/>
  <c r="AD192" i="19" s="1"/>
  <c r="AR191" i="26"/>
  <c r="BG191" i="26" s="1"/>
  <c r="DO191" i="19" s="1"/>
  <c r="AD191" i="26"/>
  <c r="AD191" i="19" s="1"/>
  <c r="AR190" i="26"/>
  <c r="BG190" i="26" s="1"/>
  <c r="DO190" i="19" s="1"/>
  <c r="AD190" i="26"/>
  <c r="AS190" i="26" s="1"/>
  <c r="BH190" i="26" s="1"/>
  <c r="DP190" i="19" s="1"/>
  <c r="AR189" i="26"/>
  <c r="BG189" i="26" s="1"/>
  <c r="DO189" i="19" s="1"/>
  <c r="AD189" i="26"/>
  <c r="AS189" i="26" s="1"/>
  <c r="BH189" i="26" s="1"/>
  <c r="DP189" i="19" s="1"/>
  <c r="AR188" i="26"/>
  <c r="BG188" i="26" s="1"/>
  <c r="DO188" i="19" s="1"/>
  <c r="AD188" i="26"/>
  <c r="AD188" i="19" s="1"/>
  <c r="AR187" i="26"/>
  <c r="BG187" i="26" s="1"/>
  <c r="DO187" i="19" s="1"/>
  <c r="AD187" i="26"/>
  <c r="AD187" i="19" s="1"/>
  <c r="AR186" i="26"/>
  <c r="BG186" i="26" s="1"/>
  <c r="DO186" i="19" s="1"/>
  <c r="AD186" i="26"/>
  <c r="AS186" i="26" s="1"/>
  <c r="BH186" i="26" s="1"/>
  <c r="DP186" i="19" s="1"/>
  <c r="AR185" i="26"/>
  <c r="BG185" i="26" s="1"/>
  <c r="DO185" i="19" s="1"/>
  <c r="AD185" i="26"/>
  <c r="AS185" i="26" s="1"/>
  <c r="BH185" i="26" s="1"/>
  <c r="DP185" i="19" s="1"/>
  <c r="AR184" i="26"/>
  <c r="BG184" i="26" s="1"/>
  <c r="DO184" i="19" s="1"/>
  <c r="AD184" i="26"/>
  <c r="AD184" i="19" s="1"/>
  <c r="AR183" i="26"/>
  <c r="BG183" i="26" s="1"/>
  <c r="DO183" i="19" s="1"/>
  <c r="AD183" i="26"/>
  <c r="AD183" i="19" s="1"/>
  <c r="AR182" i="26"/>
  <c r="BG182" i="26" s="1"/>
  <c r="DO182" i="19" s="1"/>
  <c r="AD182" i="26"/>
  <c r="AS182" i="26" s="1"/>
  <c r="BH182" i="26" s="1"/>
  <c r="DP182" i="19" s="1"/>
  <c r="AR181" i="26"/>
  <c r="BG181" i="26" s="1"/>
  <c r="DO181" i="19" s="1"/>
  <c r="AD181" i="26"/>
  <c r="AS181" i="26" s="1"/>
  <c r="BH181" i="26" s="1"/>
  <c r="DP181" i="19" s="1"/>
  <c r="AR180" i="26"/>
  <c r="BG180" i="26" s="1"/>
  <c r="DO180" i="19" s="1"/>
  <c r="AD180" i="26"/>
  <c r="AD180" i="19" s="1"/>
  <c r="AR179" i="26"/>
  <c r="BG179" i="26" s="1"/>
  <c r="DO179" i="19" s="1"/>
  <c r="AD179" i="26"/>
  <c r="AD179" i="19" s="1"/>
  <c r="AA179" i="26"/>
  <c r="AA179" i="19" s="1"/>
  <c r="AR178" i="26"/>
  <c r="BG178" i="26" s="1"/>
  <c r="DO178" i="19" s="1"/>
  <c r="AD178" i="26"/>
  <c r="AD178" i="19" s="1"/>
  <c r="AA178" i="26"/>
  <c r="AA178" i="19" s="1"/>
  <c r="AR177" i="26"/>
  <c r="BG177" i="26" s="1"/>
  <c r="DO177" i="19" s="1"/>
  <c r="AD177" i="26"/>
  <c r="AS177" i="26" s="1"/>
  <c r="AA177" i="26"/>
  <c r="AA177" i="19" s="1"/>
  <c r="AR176" i="26"/>
  <c r="BG176" i="26" s="1"/>
  <c r="DO176" i="19" s="1"/>
  <c r="AD176" i="26"/>
  <c r="AD176" i="19" s="1"/>
  <c r="AA176" i="26"/>
  <c r="AA176" i="19" s="1"/>
  <c r="AR175" i="26"/>
  <c r="BG175" i="26" s="1"/>
  <c r="DO175" i="19" s="1"/>
  <c r="AD175" i="26"/>
  <c r="AD175" i="19" s="1"/>
  <c r="AA175" i="26"/>
  <c r="AA175" i="19" s="1"/>
  <c r="AR174" i="26"/>
  <c r="BG174" i="26" s="1"/>
  <c r="DO174" i="19" s="1"/>
  <c r="AD174" i="26"/>
  <c r="AD174" i="19" s="1"/>
  <c r="AA174" i="26"/>
  <c r="AA174" i="19" s="1"/>
  <c r="AR173" i="26"/>
  <c r="BG173" i="26" s="1"/>
  <c r="DO173" i="19" s="1"/>
  <c r="AD173" i="26"/>
  <c r="AS173" i="26" s="1"/>
  <c r="AA173" i="26"/>
  <c r="AA173" i="19" s="1"/>
  <c r="AR172" i="26"/>
  <c r="BG172" i="26" s="1"/>
  <c r="DO172" i="19" s="1"/>
  <c r="AD172" i="26"/>
  <c r="AD172" i="19" s="1"/>
  <c r="AA172" i="26"/>
  <c r="AA172" i="19" s="1"/>
  <c r="AR171" i="26"/>
  <c r="BG171" i="26" s="1"/>
  <c r="DO171" i="19" s="1"/>
  <c r="AD171" i="26"/>
  <c r="AD171" i="19" s="1"/>
  <c r="AA171" i="26"/>
  <c r="AA171" i="19" s="1"/>
  <c r="AR170" i="26"/>
  <c r="BG170" i="26" s="1"/>
  <c r="DO170" i="19" s="1"/>
  <c r="AD170" i="26"/>
  <c r="AD170" i="19" s="1"/>
  <c r="AA170" i="26"/>
  <c r="AA170" i="19" s="1"/>
  <c r="AR169" i="26"/>
  <c r="BG169" i="26" s="1"/>
  <c r="DO169" i="19" s="1"/>
  <c r="AD169" i="26"/>
  <c r="AS169" i="26" s="1"/>
  <c r="AA169" i="26"/>
  <c r="AA169" i="19" s="1"/>
  <c r="AR168" i="26"/>
  <c r="BG168" i="26" s="1"/>
  <c r="DO168" i="19" s="1"/>
  <c r="AD168" i="26"/>
  <c r="AD168" i="19" s="1"/>
  <c r="AA168" i="26"/>
  <c r="AA168" i="19" s="1"/>
  <c r="AR167" i="26"/>
  <c r="BG167" i="26" s="1"/>
  <c r="DO167" i="19" s="1"/>
  <c r="AD167" i="26"/>
  <c r="AD167" i="19" s="1"/>
  <c r="AA167" i="26"/>
  <c r="AA167" i="19" s="1"/>
  <c r="AR166" i="26"/>
  <c r="BG166" i="26" s="1"/>
  <c r="DO166" i="19" s="1"/>
  <c r="AD166" i="26"/>
  <c r="AD166" i="19" s="1"/>
  <c r="AA166" i="26"/>
  <c r="AA166" i="19" s="1"/>
  <c r="AR165" i="26"/>
  <c r="BG165" i="26" s="1"/>
  <c r="DO165" i="19" s="1"/>
  <c r="AD165" i="26"/>
  <c r="AS165" i="26" s="1"/>
  <c r="AA165" i="26"/>
  <c r="AA165" i="19" s="1"/>
  <c r="AR164" i="26"/>
  <c r="BG164" i="26" s="1"/>
  <c r="DO164" i="19" s="1"/>
  <c r="AD164" i="26"/>
  <c r="AD164" i="19" s="1"/>
  <c r="AA164" i="26"/>
  <c r="AA164" i="19" s="1"/>
  <c r="AR163" i="26"/>
  <c r="BG163" i="26" s="1"/>
  <c r="DO163" i="19" s="1"/>
  <c r="AD163" i="26"/>
  <c r="AD163" i="19" s="1"/>
  <c r="AA163" i="26"/>
  <c r="AA163" i="19" s="1"/>
  <c r="AR162" i="26"/>
  <c r="BG162" i="26" s="1"/>
  <c r="DO162" i="19" s="1"/>
  <c r="AD162" i="26"/>
  <c r="AS162" i="26" s="1"/>
  <c r="BH162" i="26" s="1"/>
  <c r="DP162" i="19" s="1"/>
  <c r="AA162" i="26"/>
  <c r="AA162" i="19" s="1"/>
  <c r="AR161" i="26"/>
  <c r="BG161" i="26" s="1"/>
  <c r="DO161" i="19" s="1"/>
  <c r="AD161" i="26"/>
  <c r="AS161" i="26" s="1"/>
  <c r="BH161" i="26" s="1"/>
  <c r="DP161" i="19" s="1"/>
  <c r="AA161" i="26"/>
  <c r="AA161" i="19" s="1"/>
  <c r="AR160" i="26"/>
  <c r="BG160" i="26" s="1"/>
  <c r="DO160" i="19" s="1"/>
  <c r="AD160" i="26"/>
  <c r="AS160" i="26" s="1"/>
  <c r="BH160" i="26" s="1"/>
  <c r="DP160" i="19" s="1"/>
  <c r="AA160" i="26"/>
  <c r="AA160" i="19" s="1"/>
  <c r="AR159" i="26"/>
  <c r="BG159" i="26" s="1"/>
  <c r="DO159" i="19" s="1"/>
  <c r="AD159" i="26"/>
  <c r="AS159" i="26" s="1"/>
  <c r="BH159" i="26" s="1"/>
  <c r="DP159" i="19" s="1"/>
  <c r="AA159" i="26"/>
  <c r="AA159" i="19" s="1"/>
  <c r="AR158" i="26"/>
  <c r="BG158" i="26" s="1"/>
  <c r="DO158" i="19" s="1"/>
  <c r="AD158" i="26"/>
  <c r="AS158" i="26" s="1"/>
  <c r="BH158" i="26" s="1"/>
  <c r="DP158" i="19" s="1"/>
  <c r="AA158" i="26"/>
  <c r="AA158" i="19" s="1"/>
  <c r="AR157" i="26"/>
  <c r="BG157" i="26" s="1"/>
  <c r="DO157" i="19" s="1"/>
  <c r="AD157" i="26"/>
  <c r="AS157" i="26" s="1"/>
  <c r="BH157" i="26" s="1"/>
  <c r="DP157" i="19" s="1"/>
  <c r="AA157" i="26"/>
  <c r="AA157" i="19" s="1"/>
  <c r="AR156" i="26"/>
  <c r="BG156" i="26" s="1"/>
  <c r="DO156" i="19" s="1"/>
  <c r="AD156" i="26"/>
  <c r="AS156" i="26" s="1"/>
  <c r="BH156" i="26" s="1"/>
  <c r="DP156" i="19" s="1"/>
  <c r="AA156" i="26"/>
  <c r="AA156" i="19" s="1"/>
  <c r="AR155" i="26"/>
  <c r="BG155" i="26" s="1"/>
  <c r="DO155" i="19" s="1"/>
  <c r="AD155" i="26"/>
  <c r="AS155" i="26" s="1"/>
  <c r="BH155" i="26" s="1"/>
  <c r="DP155" i="19" s="1"/>
  <c r="AA155" i="26"/>
  <c r="AA155" i="19" s="1"/>
  <c r="AR154" i="26"/>
  <c r="BG154" i="26" s="1"/>
  <c r="DO154" i="19" s="1"/>
  <c r="AD154" i="26"/>
  <c r="AS154" i="26" s="1"/>
  <c r="BH154" i="26" s="1"/>
  <c r="DP154" i="19" s="1"/>
  <c r="AA154" i="26"/>
  <c r="AA154" i="19" s="1"/>
  <c r="AR153" i="26"/>
  <c r="BG153" i="26" s="1"/>
  <c r="DO153" i="19" s="1"/>
  <c r="AD153" i="26"/>
  <c r="AS153" i="26" s="1"/>
  <c r="BH153" i="26" s="1"/>
  <c r="DP153" i="19" s="1"/>
  <c r="AA153" i="26"/>
  <c r="AA153" i="19" s="1"/>
  <c r="AR152" i="26"/>
  <c r="BG152" i="26" s="1"/>
  <c r="DO152" i="19" s="1"/>
  <c r="AD152" i="26"/>
  <c r="AS152" i="26" s="1"/>
  <c r="BH152" i="26" s="1"/>
  <c r="DP152" i="19" s="1"/>
  <c r="AA152" i="26"/>
  <c r="AA152" i="19" s="1"/>
  <c r="AR151" i="26"/>
  <c r="BG151" i="26" s="1"/>
  <c r="DO151" i="19" s="1"/>
  <c r="AD151" i="26"/>
  <c r="AS151" i="26" s="1"/>
  <c r="BH151" i="26" s="1"/>
  <c r="DP151" i="19" s="1"/>
  <c r="AA151" i="26"/>
  <c r="AA151" i="19" s="1"/>
  <c r="AR150" i="26"/>
  <c r="BG150" i="26" s="1"/>
  <c r="DO150" i="19" s="1"/>
  <c r="AD150" i="26"/>
  <c r="AS150" i="26" s="1"/>
  <c r="BH150" i="26" s="1"/>
  <c r="DP150" i="19" s="1"/>
  <c r="AA150" i="26"/>
  <c r="AA150" i="19" s="1"/>
  <c r="AR149" i="26"/>
  <c r="BG149" i="26" s="1"/>
  <c r="DO149" i="19" s="1"/>
  <c r="AD149" i="26"/>
  <c r="AS149" i="26" s="1"/>
  <c r="BH149" i="26" s="1"/>
  <c r="DP149" i="19" s="1"/>
  <c r="AA149" i="26"/>
  <c r="AA149" i="19" s="1"/>
  <c r="AR148" i="26"/>
  <c r="BG148" i="26" s="1"/>
  <c r="DO148" i="19" s="1"/>
  <c r="AD148" i="26"/>
  <c r="AS148" i="26" s="1"/>
  <c r="BH148" i="26" s="1"/>
  <c r="DP148" i="19" s="1"/>
  <c r="AA148" i="26"/>
  <c r="AA148" i="19" s="1"/>
  <c r="AR147" i="26"/>
  <c r="BG147" i="26" s="1"/>
  <c r="DO147" i="19" s="1"/>
  <c r="AD147" i="26"/>
  <c r="AS147" i="26" s="1"/>
  <c r="BH147" i="26" s="1"/>
  <c r="DP147" i="19" s="1"/>
  <c r="AA147" i="26"/>
  <c r="AA147" i="19" s="1"/>
  <c r="AR146" i="26"/>
  <c r="BG146" i="26" s="1"/>
  <c r="DO146" i="19" s="1"/>
  <c r="AD146" i="26"/>
  <c r="AS146" i="26" s="1"/>
  <c r="BH146" i="26" s="1"/>
  <c r="DP146" i="19" s="1"/>
  <c r="AA146" i="26"/>
  <c r="AA146" i="19" s="1"/>
  <c r="AR145" i="26"/>
  <c r="BG145" i="26" s="1"/>
  <c r="DO145" i="19" s="1"/>
  <c r="AD145" i="26"/>
  <c r="AS145" i="26" s="1"/>
  <c r="BH145" i="26" s="1"/>
  <c r="DP145" i="19" s="1"/>
  <c r="AA145" i="26"/>
  <c r="AA145" i="19" s="1"/>
  <c r="AR144" i="26"/>
  <c r="BG144" i="26" s="1"/>
  <c r="DO144" i="19" s="1"/>
  <c r="AD144" i="26"/>
  <c r="AS144" i="26" s="1"/>
  <c r="BH144" i="26" s="1"/>
  <c r="DP144" i="19" s="1"/>
  <c r="AA144" i="26"/>
  <c r="AA144" i="19" s="1"/>
  <c r="AR143" i="26"/>
  <c r="BG143" i="26" s="1"/>
  <c r="DO143" i="19" s="1"/>
  <c r="AD143" i="26"/>
  <c r="AS143" i="26" s="1"/>
  <c r="BH143" i="26" s="1"/>
  <c r="DP143" i="19" s="1"/>
  <c r="AA143" i="26"/>
  <c r="AA143" i="19" s="1"/>
  <c r="AR142" i="26"/>
  <c r="BG142" i="26" s="1"/>
  <c r="DO142" i="19" s="1"/>
  <c r="AD142" i="26"/>
  <c r="AS142" i="26" s="1"/>
  <c r="BH142" i="26" s="1"/>
  <c r="DP142" i="19" s="1"/>
  <c r="AA142" i="26"/>
  <c r="AA142" i="19" s="1"/>
  <c r="AR141" i="26"/>
  <c r="BG141" i="26" s="1"/>
  <c r="DO141" i="19" s="1"/>
  <c r="AD141" i="26"/>
  <c r="AS141" i="26" s="1"/>
  <c r="BH141" i="26" s="1"/>
  <c r="DP141" i="19" s="1"/>
  <c r="AA141" i="26"/>
  <c r="AA141" i="19" s="1"/>
  <c r="AR140" i="26"/>
  <c r="BG140" i="26" s="1"/>
  <c r="DO140" i="19" s="1"/>
  <c r="AD140" i="26"/>
  <c r="AS140" i="26" s="1"/>
  <c r="BH140" i="26" s="1"/>
  <c r="DP140" i="19" s="1"/>
  <c r="AA140" i="26"/>
  <c r="AA140" i="19" s="1"/>
  <c r="AR139" i="26"/>
  <c r="BG139" i="26" s="1"/>
  <c r="DO139" i="19" s="1"/>
  <c r="AD139" i="26"/>
  <c r="AS139" i="26" s="1"/>
  <c r="BH139" i="26" s="1"/>
  <c r="DP139" i="19" s="1"/>
  <c r="AA139" i="26"/>
  <c r="AA139" i="19" s="1"/>
  <c r="AR138" i="26"/>
  <c r="BG138" i="26" s="1"/>
  <c r="DO138" i="19" s="1"/>
  <c r="AD138" i="26"/>
  <c r="AS138" i="26" s="1"/>
  <c r="BH138" i="26" s="1"/>
  <c r="DP138" i="19" s="1"/>
  <c r="AA138" i="26"/>
  <c r="AA138" i="19" s="1"/>
  <c r="AR137" i="26"/>
  <c r="BG137" i="26" s="1"/>
  <c r="DO137" i="19" s="1"/>
  <c r="AD137" i="26"/>
  <c r="AS137" i="26" s="1"/>
  <c r="BH137" i="26" s="1"/>
  <c r="DP137" i="19" s="1"/>
  <c r="AA137" i="26"/>
  <c r="AA137" i="19" s="1"/>
  <c r="AR136" i="26"/>
  <c r="BG136" i="26" s="1"/>
  <c r="DO136" i="19" s="1"/>
  <c r="AD136" i="26"/>
  <c r="AS136" i="26" s="1"/>
  <c r="BH136" i="26" s="1"/>
  <c r="DP136" i="19" s="1"/>
  <c r="AA136" i="26"/>
  <c r="AA136" i="19" s="1"/>
  <c r="AR135" i="26"/>
  <c r="BG135" i="26" s="1"/>
  <c r="DO135" i="19" s="1"/>
  <c r="AD135" i="26"/>
  <c r="AS135" i="26" s="1"/>
  <c r="BH135" i="26" s="1"/>
  <c r="DP135" i="19" s="1"/>
  <c r="AA135" i="26"/>
  <c r="AA135" i="19" s="1"/>
  <c r="AR134" i="26"/>
  <c r="BG134" i="26" s="1"/>
  <c r="DO134" i="19" s="1"/>
  <c r="AD134" i="26"/>
  <c r="AS134" i="26" s="1"/>
  <c r="BH134" i="26" s="1"/>
  <c r="DP134" i="19" s="1"/>
  <c r="AA134" i="26"/>
  <c r="AA134" i="19" s="1"/>
  <c r="AR133" i="26"/>
  <c r="BG133" i="26" s="1"/>
  <c r="DO133" i="19" s="1"/>
  <c r="AD133" i="26"/>
  <c r="AS133" i="26" s="1"/>
  <c r="BH133" i="26" s="1"/>
  <c r="DP133" i="19" s="1"/>
  <c r="AA133" i="26"/>
  <c r="AA133" i="19" s="1"/>
  <c r="AR132" i="26"/>
  <c r="BG132" i="26" s="1"/>
  <c r="DO132" i="19" s="1"/>
  <c r="AD132" i="26"/>
  <c r="AS132" i="26" s="1"/>
  <c r="BH132" i="26" s="1"/>
  <c r="DP132" i="19" s="1"/>
  <c r="AA132" i="26"/>
  <c r="AA132" i="19" s="1"/>
  <c r="AR131" i="26"/>
  <c r="BG131" i="26" s="1"/>
  <c r="DO131" i="19" s="1"/>
  <c r="AD131" i="26"/>
  <c r="AS131" i="26" s="1"/>
  <c r="BH131" i="26" s="1"/>
  <c r="DP131" i="19" s="1"/>
  <c r="AA131" i="26"/>
  <c r="AA131" i="19" s="1"/>
  <c r="AR130" i="26"/>
  <c r="BG130" i="26" s="1"/>
  <c r="DO130" i="19" s="1"/>
  <c r="AD130" i="26"/>
  <c r="AS130" i="26" s="1"/>
  <c r="BH130" i="26" s="1"/>
  <c r="DP130" i="19" s="1"/>
  <c r="AA130" i="26"/>
  <c r="AA130" i="19" s="1"/>
  <c r="AR129" i="26"/>
  <c r="BG129" i="26" s="1"/>
  <c r="DO129" i="19" s="1"/>
  <c r="AD129" i="26"/>
  <c r="AS129" i="26" s="1"/>
  <c r="BH129" i="26" s="1"/>
  <c r="DP129" i="19" s="1"/>
  <c r="AA129" i="26"/>
  <c r="AA129" i="19" s="1"/>
  <c r="AR128" i="26"/>
  <c r="BG128" i="26" s="1"/>
  <c r="DO128" i="19" s="1"/>
  <c r="AD128" i="26"/>
  <c r="AS128" i="26" s="1"/>
  <c r="BH128" i="26" s="1"/>
  <c r="DP128" i="19" s="1"/>
  <c r="AA128" i="26"/>
  <c r="AA128" i="19" s="1"/>
  <c r="AR127" i="26"/>
  <c r="BG127" i="26" s="1"/>
  <c r="DO127" i="19" s="1"/>
  <c r="AD127" i="26"/>
  <c r="AS127" i="26" s="1"/>
  <c r="BH127" i="26" s="1"/>
  <c r="DP127" i="19" s="1"/>
  <c r="AA127" i="26"/>
  <c r="AA127" i="19" s="1"/>
  <c r="AR126" i="26"/>
  <c r="BG126" i="26" s="1"/>
  <c r="DO126" i="19" s="1"/>
  <c r="AD126" i="26"/>
  <c r="AS126" i="26" s="1"/>
  <c r="BH126" i="26" s="1"/>
  <c r="DP126" i="19" s="1"/>
  <c r="AA126" i="26"/>
  <c r="AA126" i="19" s="1"/>
  <c r="AR125" i="26"/>
  <c r="BG125" i="26" s="1"/>
  <c r="DO125" i="19" s="1"/>
  <c r="AD125" i="26"/>
  <c r="AS125" i="26" s="1"/>
  <c r="BH125" i="26" s="1"/>
  <c r="DP125" i="19" s="1"/>
  <c r="AA125" i="26"/>
  <c r="AA125" i="19" s="1"/>
  <c r="AR124" i="26"/>
  <c r="BG124" i="26" s="1"/>
  <c r="DO124" i="19" s="1"/>
  <c r="AD124" i="26"/>
  <c r="AS124" i="26" s="1"/>
  <c r="BH124" i="26" s="1"/>
  <c r="DP124" i="19" s="1"/>
  <c r="AA124" i="26"/>
  <c r="AA124" i="19" s="1"/>
  <c r="AR123" i="26"/>
  <c r="BG123" i="26" s="1"/>
  <c r="DO123" i="19" s="1"/>
  <c r="AD123" i="26"/>
  <c r="AS123" i="26" s="1"/>
  <c r="BH123" i="26" s="1"/>
  <c r="DP123" i="19" s="1"/>
  <c r="AA123" i="26"/>
  <c r="AA123" i="19" s="1"/>
  <c r="AR122" i="26"/>
  <c r="BG122" i="26" s="1"/>
  <c r="DO122" i="19" s="1"/>
  <c r="AD122" i="26"/>
  <c r="AS122" i="26" s="1"/>
  <c r="BH122" i="26" s="1"/>
  <c r="DP122" i="19" s="1"/>
  <c r="AA122" i="26"/>
  <c r="AA122" i="19" s="1"/>
  <c r="AR121" i="26"/>
  <c r="BG121" i="26" s="1"/>
  <c r="DO121" i="19" s="1"/>
  <c r="AD121" i="26"/>
  <c r="AS121" i="26" s="1"/>
  <c r="BH121" i="26" s="1"/>
  <c r="DP121" i="19" s="1"/>
  <c r="AA121" i="26"/>
  <c r="AA121" i="19" s="1"/>
  <c r="AR120" i="26"/>
  <c r="BG120" i="26" s="1"/>
  <c r="DO120" i="19" s="1"/>
  <c r="AD120" i="26"/>
  <c r="AS120" i="26" s="1"/>
  <c r="BH120" i="26" s="1"/>
  <c r="DP120" i="19" s="1"/>
  <c r="AA120" i="26"/>
  <c r="AA120" i="19" s="1"/>
  <c r="AR119" i="26"/>
  <c r="BG119" i="26" s="1"/>
  <c r="DO119" i="19" s="1"/>
  <c r="AD119" i="26"/>
  <c r="AS119" i="26" s="1"/>
  <c r="BH119" i="26" s="1"/>
  <c r="DP119" i="19" s="1"/>
  <c r="AA119" i="26"/>
  <c r="AA119" i="19" s="1"/>
  <c r="AR118" i="26"/>
  <c r="BG118" i="26" s="1"/>
  <c r="DO118" i="19" s="1"/>
  <c r="AD118" i="26"/>
  <c r="AS118" i="26" s="1"/>
  <c r="BH118" i="26" s="1"/>
  <c r="DP118" i="19" s="1"/>
  <c r="AA118" i="26"/>
  <c r="AA118" i="19" s="1"/>
  <c r="AR117" i="26"/>
  <c r="BG117" i="26" s="1"/>
  <c r="DO117" i="19" s="1"/>
  <c r="AD117" i="26"/>
  <c r="AS117" i="26" s="1"/>
  <c r="BH117" i="26" s="1"/>
  <c r="DP117" i="19" s="1"/>
  <c r="AA117" i="26"/>
  <c r="AA117" i="19" s="1"/>
  <c r="AR116" i="26"/>
  <c r="BG116" i="26" s="1"/>
  <c r="DO116" i="19" s="1"/>
  <c r="AD116" i="26"/>
  <c r="AS116" i="26" s="1"/>
  <c r="BH116" i="26" s="1"/>
  <c r="DP116" i="19" s="1"/>
  <c r="AA116" i="26"/>
  <c r="AA116" i="19" s="1"/>
  <c r="AR115" i="26"/>
  <c r="BG115" i="26" s="1"/>
  <c r="DO115" i="19" s="1"/>
  <c r="AD115" i="26"/>
  <c r="AS115" i="26" s="1"/>
  <c r="BH115" i="26" s="1"/>
  <c r="DP115" i="19" s="1"/>
  <c r="AA115" i="26"/>
  <c r="AA115" i="19" s="1"/>
  <c r="AR114" i="26"/>
  <c r="BG114" i="26" s="1"/>
  <c r="DO114" i="19" s="1"/>
  <c r="AD114" i="26"/>
  <c r="AS114" i="26" s="1"/>
  <c r="BH114" i="26" s="1"/>
  <c r="DP114" i="19" s="1"/>
  <c r="AA114" i="26"/>
  <c r="AA114" i="19" s="1"/>
  <c r="AR113" i="26"/>
  <c r="BG113" i="26" s="1"/>
  <c r="DO113" i="19" s="1"/>
  <c r="AD113" i="26"/>
  <c r="AS113" i="26" s="1"/>
  <c r="BH113" i="26" s="1"/>
  <c r="DP113" i="19" s="1"/>
  <c r="AA113" i="26"/>
  <c r="AA113" i="19" s="1"/>
  <c r="AR112" i="26"/>
  <c r="BG112" i="26" s="1"/>
  <c r="DO112" i="19" s="1"/>
  <c r="AD112" i="26"/>
  <c r="AS112" i="26" s="1"/>
  <c r="BH112" i="26" s="1"/>
  <c r="DP112" i="19" s="1"/>
  <c r="AA112" i="26"/>
  <c r="AA112" i="19" s="1"/>
  <c r="AR111" i="26"/>
  <c r="BG111" i="26" s="1"/>
  <c r="DO111" i="19" s="1"/>
  <c r="AD111" i="26"/>
  <c r="AS111" i="26" s="1"/>
  <c r="BH111" i="26" s="1"/>
  <c r="DP111" i="19" s="1"/>
  <c r="AA111" i="26"/>
  <c r="AA111" i="19" s="1"/>
  <c r="AR110" i="26"/>
  <c r="BG110" i="26" s="1"/>
  <c r="DO110" i="19" s="1"/>
  <c r="AD110" i="26"/>
  <c r="AS110" i="26" s="1"/>
  <c r="BH110" i="26" s="1"/>
  <c r="DP110" i="19" s="1"/>
  <c r="AA110" i="26"/>
  <c r="AA110" i="19" s="1"/>
  <c r="AR109" i="26"/>
  <c r="BG109" i="26" s="1"/>
  <c r="DO109" i="19" s="1"/>
  <c r="AD109" i="26"/>
  <c r="AS109" i="26" s="1"/>
  <c r="BH109" i="26" s="1"/>
  <c r="DP109" i="19" s="1"/>
  <c r="AA109" i="26"/>
  <c r="AA109" i="19" s="1"/>
  <c r="AR108" i="26"/>
  <c r="BG108" i="26" s="1"/>
  <c r="DO108" i="19" s="1"/>
  <c r="AD108" i="26"/>
  <c r="AS108" i="26" s="1"/>
  <c r="BH108" i="26" s="1"/>
  <c r="DP108" i="19" s="1"/>
  <c r="AA108" i="26"/>
  <c r="AA108" i="19" s="1"/>
  <c r="AR107" i="26"/>
  <c r="BG107" i="26" s="1"/>
  <c r="DO107" i="19" s="1"/>
  <c r="AD107" i="26"/>
  <c r="AS107" i="26" s="1"/>
  <c r="BH107" i="26" s="1"/>
  <c r="DP107" i="19" s="1"/>
  <c r="AA107" i="26"/>
  <c r="AA107" i="19" s="1"/>
  <c r="AR106" i="26"/>
  <c r="BG106" i="26" s="1"/>
  <c r="DO106" i="19" s="1"/>
  <c r="AD106" i="26"/>
  <c r="AA106" i="26"/>
  <c r="AA106" i="19" s="1"/>
  <c r="AR105" i="26"/>
  <c r="AD105" i="26"/>
  <c r="AA105" i="26"/>
  <c r="AA105" i="19" s="1"/>
  <c r="AR104" i="26"/>
  <c r="AD104" i="26"/>
  <c r="AA104" i="26"/>
  <c r="AA104" i="19" s="1"/>
  <c r="AR103" i="26"/>
  <c r="AD103" i="26"/>
  <c r="AA103" i="26"/>
  <c r="AA103" i="19" s="1"/>
  <c r="AR102" i="26"/>
  <c r="AD102" i="26"/>
  <c r="AA102" i="26"/>
  <c r="AA102" i="19" s="1"/>
  <c r="AR101" i="26"/>
  <c r="AD101" i="26"/>
  <c r="AA101" i="26"/>
  <c r="AA101" i="19" s="1"/>
  <c r="AR100" i="26"/>
  <c r="AD100" i="26"/>
  <c r="AA100" i="26"/>
  <c r="AA100" i="19" s="1"/>
  <c r="AR99" i="26"/>
  <c r="AD99" i="26"/>
  <c r="AA99" i="26"/>
  <c r="AA99" i="19" s="1"/>
  <c r="AR98" i="26"/>
  <c r="AD98" i="26"/>
  <c r="AA98" i="26"/>
  <c r="AA98" i="19" s="1"/>
  <c r="AR97" i="26"/>
  <c r="AD97" i="26"/>
  <c r="AA97" i="26"/>
  <c r="AA97" i="19" s="1"/>
  <c r="AR96" i="26"/>
  <c r="AD96" i="26"/>
  <c r="AA96" i="26"/>
  <c r="AA96" i="19" s="1"/>
  <c r="AR95" i="26"/>
  <c r="AD95" i="26"/>
  <c r="AA95" i="26"/>
  <c r="AA95" i="19" s="1"/>
  <c r="AR94" i="26"/>
  <c r="AD94" i="26"/>
  <c r="AA94" i="26"/>
  <c r="AA94" i="19" s="1"/>
  <c r="AR93" i="26"/>
  <c r="AD93" i="26"/>
  <c r="AA93" i="26"/>
  <c r="AA93" i="19" s="1"/>
  <c r="AR92" i="26"/>
  <c r="AD92" i="26"/>
  <c r="AA92" i="26"/>
  <c r="AA92" i="19" s="1"/>
  <c r="AR91" i="26"/>
  <c r="AD91" i="26"/>
  <c r="AA91" i="26"/>
  <c r="AA91" i="19" s="1"/>
  <c r="AR90" i="26"/>
  <c r="AD90" i="26"/>
  <c r="AA90" i="26"/>
  <c r="AA90" i="19" s="1"/>
  <c r="AR89" i="26"/>
  <c r="AD89" i="26"/>
  <c r="AA89" i="26"/>
  <c r="AA89" i="19" s="1"/>
  <c r="AR88" i="26"/>
  <c r="AD88" i="26"/>
  <c r="AA88" i="26"/>
  <c r="AA88" i="19" s="1"/>
  <c r="AR87" i="26"/>
  <c r="AD87" i="26"/>
  <c r="AA87" i="26"/>
  <c r="AA87" i="19" s="1"/>
  <c r="AR86" i="26"/>
  <c r="AD86" i="26"/>
  <c r="AA86" i="26"/>
  <c r="AA86" i="19" s="1"/>
  <c r="AR85" i="26"/>
  <c r="AD85" i="26"/>
  <c r="AA85" i="26"/>
  <c r="AA85" i="19" s="1"/>
  <c r="AR84" i="26"/>
  <c r="AD84" i="26"/>
  <c r="AA84" i="26"/>
  <c r="AA84" i="19" s="1"/>
  <c r="AR83" i="26"/>
  <c r="AD83" i="26"/>
  <c r="AA83" i="26"/>
  <c r="AA83" i="19" s="1"/>
  <c r="AR82" i="26"/>
  <c r="AD82" i="26"/>
  <c r="AA82" i="26"/>
  <c r="AA82" i="19" s="1"/>
  <c r="AR81" i="26"/>
  <c r="AD81" i="26"/>
  <c r="AA81" i="26"/>
  <c r="AA81" i="19" s="1"/>
  <c r="AR80" i="26"/>
  <c r="AD80" i="26"/>
  <c r="AA80" i="26"/>
  <c r="AA80" i="19" s="1"/>
  <c r="AR79" i="26"/>
  <c r="AD79" i="26"/>
  <c r="AA79" i="26"/>
  <c r="AA79" i="19" s="1"/>
  <c r="AR78" i="26"/>
  <c r="AD78" i="26"/>
  <c r="AA78" i="26"/>
  <c r="AA78" i="19" s="1"/>
  <c r="AR77" i="26"/>
  <c r="AD77" i="26"/>
  <c r="AA77" i="26"/>
  <c r="AA77" i="19" s="1"/>
  <c r="AR76" i="26"/>
  <c r="AD76" i="26"/>
  <c r="AA76" i="26"/>
  <c r="AA76" i="19" s="1"/>
  <c r="AR75" i="26"/>
  <c r="AD75" i="26"/>
  <c r="AA75" i="26"/>
  <c r="AA75" i="19" s="1"/>
  <c r="AR74" i="26"/>
  <c r="AD74" i="26"/>
  <c r="AA74" i="26"/>
  <c r="AA74" i="19" s="1"/>
  <c r="AR73" i="26"/>
  <c r="AD73" i="26"/>
  <c r="AA73" i="26"/>
  <c r="AA73" i="19" s="1"/>
  <c r="AR72" i="26"/>
  <c r="AD72" i="26"/>
  <c r="AA72" i="26"/>
  <c r="AA72" i="19" s="1"/>
  <c r="AR71" i="26"/>
  <c r="AD71" i="26"/>
  <c r="AA71" i="26"/>
  <c r="AA71" i="19" s="1"/>
  <c r="AR70" i="26"/>
  <c r="AD70" i="26"/>
  <c r="AA70" i="26"/>
  <c r="AA70" i="19" s="1"/>
  <c r="AR69" i="26"/>
  <c r="AD69" i="26"/>
  <c r="AA69" i="26"/>
  <c r="AA69" i="19" s="1"/>
  <c r="AR68" i="26"/>
  <c r="AD68" i="26"/>
  <c r="AA68" i="26"/>
  <c r="AA68" i="19" s="1"/>
  <c r="AR67" i="26"/>
  <c r="AD67" i="26"/>
  <c r="AA67" i="26"/>
  <c r="AA67" i="19" s="1"/>
  <c r="AR66" i="26"/>
  <c r="AD66" i="26"/>
  <c r="AA66" i="26"/>
  <c r="AA66" i="19" s="1"/>
  <c r="AR65" i="26"/>
  <c r="AD65" i="26"/>
  <c r="AA65" i="26"/>
  <c r="AA65" i="19" s="1"/>
  <c r="AR64" i="26"/>
  <c r="AD64" i="26"/>
  <c r="AA64" i="26"/>
  <c r="AA64" i="19" s="1"/>
  <c r="AR63" i="26"/>
  <c r="AD63" i="26"/>
  <c r="AA63" i="26"/>
  <c r="AA63" i="19" s="1"/>
  <c r="AR62" i="26"/>
  <c r="AD62" i="26"/>
  <c r="AA62" i="26"/>
  <c r="AA62" i="19" s="1"/>
  <c r="AR61" i="26"/>
  <c r="AD61" i="26"/>
  <c r="AA61" i="26"/>
  <c r="AA61" i="19" s="1"/>
  <c r="AR60" i="26"/>
  <c r="AD60" i="26"/>
  <c r="AA60" i="26"/>
  <c r="AA60" i="19" s="1"/>
  <c r="AR59" i="26"/>
  <c r="AD59" i="26"/>
  <c r="AA59" i="26"/>
  <c r="AA59" i="19" s="1"/>
  <c r="AR58" i="26"/>
  <c r="AD58" i="26"/>
  <c r="AA58" i="26"/>
  <c r="AA58" i="19" s="1"/>
  <c r="AR57" i="26"/>
  <c r="AD57" i="26"/>
  <c r="AA57" i="26"/>
  <c r="AA57" i="19" s="1"/>
  <c r="AR56" i="26"/>
  <c r="AD56" i="26"/>
  <c r="AA56" i="26"/>
  <c r="AA56" i="19" s="1"/>
  <c r="AR55" i="26"/>
  <c r="AD55" i="26"/>
  <c r="AA55" i="26"/>
  <c r="AA55" i="19" s="1"/>
  <c r="AR54" i="26"/>
  <c r="AD54" i="26"/>
  <c r="AA54" i="26"/>
  <c r="AA54" i="19" s="1"/>
  <c r="AR53" i="26"/>
  <c r="AD53" i="26"/>
  <c r="AA53" i="26"/>
  <c r="AA53" i="19" s="1"/>
  <c r="AR52" i="26"/>
  <c r="AD52" i="26"/>
  <c r="AA52" i="26"/>
  <c r="AA52" i="19" s="1"/>
  <c r="AR51" i="26"/>
  <c r="AD51" i="26"/>
  <c r="AA51" i="26"/>
  <c r="AA51" i="19" s="1"/>
  <c r="AR50" i="26"/>
  <c r="AD50" i="26"/>
  <c r="AA50" i="26"/>
  <c r="AA50" i="19" s="1"/>
  <c r="AR49" i="26"/>
  <c r="AD49" i="26"/>
  <c r="AA49" i="26"/>
  <c r="AA49" i="19" s="1"/>
  <c r="AR48" i="26"/>
  <c r="AD48" i="26"/>
  <c r="AA48" i="26"/>
  <c r="AA48" i="19" s="1"/>
  <c r="AR47" i="26"/>
  <c r="AD47" i="26"/>
  <c r="AA47" i="26"/>
  <c r="AA47" i="19" s="1"/>
  <c r="AR46" i="26"/>
  <c r="AD46" i="26"/>
  <c r="AA46" i="26"/>
  <c r="AA46" i="19" s="1"/>
  <c r="AR45" i="26"/>
  <c r="AD45" i="26"/>
  <c r="AA45" i="26"/>
  <c r="AA45" i="19" s="1"/>
  <c r="AR44" i="26"/>
  <c r="AD44" i="26"/>
  <c r="AA44" i="26"/>
  <c r="AA44" i="19" s="1"/>
  <c r="AR43" i="26"/>
  <c r="AD43" i="26"/>
  <c r="AA43" i="26"/>
  <c r="AA43" i="19" s="1"/>
  <c r="AR42" i="26"/>
  <c r="AD42" i="26"/>
  <c r="AA42" i="26"/>
  <c r="AA42" i="19" s="1"/>
  <c r="AR41" i="26"/>
  <c r="AD41" i="26"/>
  <c r="AA41" i="26"/>
  <c r="AA41" i="19" s="1"/>
  <c r="AR40" i="26"/>
  <c r="AD40" i="26"/>
  <c r="AA40" i="26"/>
  <c r="AA40" i="19" s="1"/>
  <c r="AR39" i="26"/>
  <c r="AD39" i="26"/>
  <c r="AA39" i="26"/>
  <c r="AA39" i="19" s="1"/>
  <c r="AR38" i="26"/>
  <c r="AD38" i="26"/>
  <c r="AA38" i="26"/>
  <c r="AA38" i="19" s="1"/>
  <c r="AR37" i="26"/>
  <c r="AD37" i="26"/>
  <c r="AA37" i="26"/>
  <c r="AA37" i="19" s="1"/>
  <c r="AR36" i="26"/>
  <c r="AD36" i="26"/>
  <c r="AA36" i="26"/>
  <c r="AA36" i="19" s="1"/>
  <c r="AR35" i="26"/>
  <c r="AD35" i="26"/>
  <c r="AA35" i="26"/>
  <c r="AA35" i="19" s="1"/>
  <c r="AR34" i="26"/>
  <c r="AD34" i="26"/>
  <c r="AA34" i="26"/>
  <c r="AA34" i="19" s="1"/>
  <c r="AR33" i="26"/>
  <c r="AD33" i="26"/>
  <c r="AA33" i="26"/>
  <c r="AA33" i="19" s="1"/>
  <c r="AR32" i="26"/>
  <c r="AD32" i="26"/>
  <c r="AA32" i="26"/>
  <c r="AA32" i="19" s="1"/>
  <c r="AR31" i="26"/>
  <c r="AD31" i="26"/>
  <c r="AA31" i="26"/>
  <c r="AA31" i="19" s="1"/>
  <c r="AR30" i="26"/>
  <c r="AD30" i="26"/>
  <c r="AA30" i="26"/>
  <c r="AA30" i="19" s="1"/>
  <c r="AR29" i="26"/>
  <c r="AD29" i="26"/>
  <c r="AA29" i="26"/>
  <c r="AA29" i="19" s="1"/>
  <c r="AR28" i="26"/>
  <c r="AD28" i="26"/>
  <c r="AA28" i="26"/>
  <c r="AA28" i="19" s="1"/>
  <c r="AR27" i="26"/>
  <c r="AD27" i="26"/>
  <c r="AA27" i="26"/>
  <c r="AA27" i="19" s="1"/>
  <c r="AR26" i="26"/>
  <c r="AD26" i="26"/>
  <c r="AA26" i="26"/>
  <c r="AA26" i="19" s="1"/>
  <c r="AR25" i="26"/>
  <c r="AD25" i="26"/>
  <c r="AA25" i="26"/>
  <c r="AA25" i="19" s="1"/>
  <c r="AR24" i="26"/>
  <c r="AD24" i="26"/>
  <c r="AA24" i="26"/>
  <c r="AA24" i="19" s="1"/>
  <c r="AR23" i="26"/>
  <c r="AD23" i="26"/>
  <c r="AA23" i="26"/>
  <c r="AA23" i="19" s="1"/>
  <c r="AR22" i="26"/>
  <c r="AD22" i="26"/>
  <c r="AA22" i="26"/>
  <c r="AA22" i="19" s="1"/>
  <c r="AR21" i="26"/>
  <c r="AD21" i="26"/>
  <c r="AA21" i="26"/>
  <c r="AA21" i="19" s="1"/>
  <c r="AR20" i="26"/>
  <c r="AD20" i="26"/>
  <c r="AA20" i="26"/>
  <c r="AA20" i="19" s="1"/>
  <c r="AR19" i="26"/>
  <c r="AD19" i="26"/>
  <c r="AA19" i="26"/>
  <c r="AA19" i="19" s="1"/>
  <c r="AR18" i="26"/>
  <c r="AD18" i="26"/>
  <c r="AA18" i="26"/>
  <c r="AA18" i="19" s="1"/>
  <c r="AR17" i="26"/>
  <c r="AD17" i="26"/>
  <c r="AA17" i="26"/>
  <c r="AA17" i="19" s="1"/>
  <c r="AR16" i="26"/>
  <c r="AD16" i="26"/>
  <c r="AA16" i="26"/>
  <c r="AA16" i="19" s="1"/>
  <c r="AR15" i="26"/>
  <c r="AD15" i="26"/>
  <c r="AA15" i="26"/>
  <c r="AA15" i="19" s="1"/>
  <c r="AR14" i="26"/>
  <c r="AD14" i="26"/>
  <c r="AA14" i="26"/>
  <c r="AA14" i="19" s="1"/>
  <c r="AR13" i="26"/>
  <c r="AD13" i="26"/>
  <c r="AA13" i="26"/>
  <c r="AA13" i="19" s="1"/>
  <c r="AR12" i="26"/>
  <c r="AD12" i="26"/>
  <c r="AA12" i="26"/>
  <c r="AA12" i="19" s="1"/>
  <c r="AR11" i="26"/>
  <c r="AD11" i="26"/>
  <c r="AA11" i="26"/>
  <c r="AA11" i="19" s="1"/>
  <c r="AR10" i="26"/>
  <c r="AD10" i="26"/>
  <c r="AA10" i="26"/>
  <c r="AA10" i="19" s="1"/>
  <c r="AR9" i="26"/>
  <c r="AD9" i="26"/>
  <c r="AA9" i="26"/>
  <c r="AA9" i="19" s="1"/>
  <c r="AR8" i="26"/>
  <c r="AD8" i="26"/>
  <c r="AA8" i="26"/>
  <c r="AA8" i="19" s="1"/>
  <c r="AR7" i="26"/>
  <c r="AD7" i="26"/>
  <c r="AA7" i="26"/>
  <c r="AA7" i="19" s="1"/>
  <c r="AR6" i="26"/>
  <c r="BG6" i="26" s="1"/>
  <c r="DO6" i="19" s="1"/>
  <c r="AD6" i="26"/>
  <c r="AS6" i="26" s="1"/>
  <c r="BH6" i="26" s="1"/>
  <c r="DP6" i="19" s="1"/>
  <c r="AA6" i="26"/>
  <c r="AA6" i="19" s="1"/>
  <c r="BI14" i="25"/>
  <c r="BI15" i="25"/>
  <c r="P96" i="24" l="1"/>
  <c r="S96" i="24" s="1"/>
  <c r="S95" i="24"/>
  <c r="R141" i="21"/>
  <c r="R142" i="21" s="1"/>
  <c r="R143" i="21" s="1"/>
  <c r="R144" i="21" s="1"/>
  <c r="R145" i="21" s="1"/>
  <c r="R146" i="21" s="1"/>
  <c r="R147" i="21" s="1"/>
  <c r="R148" i="21" s="1"/>
  <c r="R158" i="21"/>
  <c r="R159" i="21" s="1"/>
  <c r="R160" i="21" s="1"/>
  <c r="R161" i="21" s="1"/>
  <c r="R162" i="21" s="1"/>
  <c r="R163" i="21" s="1"/>
  <c r="R164" i="21" s="1"/>
  <c r="R165" i="21" s="1"/>
  <c r="R166" i="21" s="1"/>
  <c r="U142" i="24"/>
  <c r="U143" i="24" s="1"/>
  <c r="U144" i="24" s="1"/>
  <c r="U145" i="24" s="1"/>
  <c r="U146" i="24" s="1"/>
  <c r="U147" i="24" s="1"/>
  <c r="U148" i="24" s="1"/>
  <c r="Z159" i="24"/>
  <c r="U159" i="24"/>
  <c r="Z142" i="24"/>
  <c r="Z143" i="24" s="1"/>
  <c r="Z144" i="24" s="1"/>
  <c r="Z145" i="24" s="1"/>
  <c r="Z146" i="24" s="1"/>
  <c r="Z147" i="24" s="1"/>
  <c r="Z148" i="24" s="1"/>
  <c r="Z159" i="23"/>
  <c r="P140" i="23"/>
  <c r="P123" i="23"/>
  <c r="P124" i="23" s="1"/>
  <c r="P125" i="23" s="1"/>
  <c r="P126" i="23" s="1"/>
  <c r="P127" i="23" s="1"/>
  <c r="P128" i="23" s="1"/>
  <c r="P129" i="23" s="1"/>
  <c r="P130" i="23" s="1"/>
  <c r="R158" i="23"/>
  <c r="R159" i="23" s="1"/>
  <c r="R160" i="23" s="1"/>
  <c r="R161" i="23" s="1"/>
  <c r="R162" i="23" s="1"/>
  <c r="R163" i="23" s="1"/>
  <c r="R164" i="23" s="1"/>
  <c r="R165" i="23" s="1"/>
  <c r="R166" i="23" s="1"/>
  <c r="R141" i="23"/>
  <c r="R142" i="23" s="1"/>
  <c r="R143" i="23" s="1"/>
  <c r="R144" i="23" s="1"/>
  <c r="R145" i="23" s="1"/>
  <c r="R146" i="23" s="1"/>
  <c r="R147" i="23" s="1"/>
  <c r="R148" i="23" s="1"/>
  <c r="U124" i="23"/>
  <c r="U125" i="23" s="1"/>
  <c r="U126" i="23" s="1"/>
  <c r="U127" i="23" s="1"/>
  <c r="U128" i="23" s="1"/>
  <c r="U129" i="23" s="1"/>
  <c r="U130" i="23" s="1"/>
  <c r="Z124" i="23"/>
  <c r="Z125" i="23" s="1"/>
  <c r="Z126" i="23" s="1"/>
  <c r="Z127" i="23" s="1"/>
  <c r="Z128" i="23" s="1"/>
  <c r="Z129" i="23" s="1"/>
  <c r="Z130" i="23" s="1"/>
  <c r="Z142" i="23"/>
  <c r="Z143" i="23" s="1"/>
  <c r="Z144" i="23" s="1"/>
  <c r="Z145" i="23" s="1"/>
  <c r="Z146" i="23" s="1"/>
  <c r="Z147" i="23" s="1"/>
  <c r="Z148" i="23" s="1"/>
  <c r="U158" i="23"/>
  <c r="U141" i="23"/>
  <c r="U142" i="22"/>
  <c r="U143" i="22" s="1"/>
  <c r="U144" i="22" s="1"/>
  <c r="U145" i="22" s="1"/>
  <c r="U146" i="22" s="1"/>
  <c r="U147" i="22" s="1"/>
  <c r="U148" i="22" s="1"/>
  <c r="AS183" i="26"/>
  <c r="BH183" i="26" s="1"/>
  <c r="DP183" i="19" s="1"/>
  <c r="AS191" i="26"/>
  <c r="BH191" i="26" s="1"/>
  <c r="DP191" i="19" s="1"/>
  <c r="AS200" i="26"/>
  <c r="BH200" i="26" s="1"/>
  <c r="DP200" i="19" s="1"/>
  <c r="AS184" i="26"/>
  <c r="BH184" i="26" s="1"/>
  <c r="DP184" i="19" s="1"/>
  <c r="AS192" i="26"/>
  <c r="BH192" i="26" s="1"/>
  <c r="DP192" i="19" s="1"/>
  <c r="BH199" i="26"/>
  <c r="DP199" i="19" s="1"/>
  <c r="AS199" i="19"/>
  <c r="BH165" i="26"/>
  <c r="DP165" i="19" s="1"/>
  <c r="AS165" i="19"/>
  <c r="BH169" i="26"/>
  <c r="DP169" i="19" s="1"/>
  <c r="AS169" i="19"/>
  <c r="BH173" i="26"/>
  <c r="DP173" i="19" s="1"/>
  <c r="AS173" i="19"/>
  <c r="BH177" i="26"/>
  <c r="DP177" i="19" s="1"/>
  <c r="AS177" i="19"/>
  <c r="BG7" i="26"/>
  <c r="DO7" i="19" s="1"/>
  <c r="AR7" i="19"/>
  <c r="AS14" i="26"/>
  <c r="AD14" i="19"/>
  <c r="AS26" i="26"/>
  <c r="AD26" i="19"/>
  <c r="AS42" i="26"/>
  <c r="AD42" i="19"/>
  <c r="BG43" i="26"/>
  <c r="DO43" i="19" s="1"/>
  <c r="AR43" i="19"/>
  <c r="AS46" i="26"/>
  <c r="AD46" i="19"/>
  <c r="BG47" i="26"/>
  <c r="DO47" i="19" s="1"/>
  <c r="AR47" i="19"/>
  <c r="AS50" i="26"/>
  <c r="AD50" i="19"/>
  <c r="BG51" i="26"/>
  <c r="DO51" i="19" s="1"/>
  <c r="AR51" i="19"/>
  <c r="AS54" i="26"/>
  <c r="AD54" i="19"/>
  <c r="BG55" i="26"/>
  <c r="DO55" i="19" s="1"/>
  <c r="AR55" i="19"/>
  <c r="AS58" i="26"/>
  <c r="AD58" i="19"/>
  <c r="BG59" i="26"/>
  <c r="DO59" i="19" s="1"/>
  <c r="AR59" i="19"/>
  <c r="AS62" i="26"/>
  <c r="AD62" i="19"/>
  <c r="BG63" i="26"/>
  <c r="DO63" i="19" s="1"/>
  <c r="AR63" i="19"/>
  <c r="AS66" i="26"/>
  <c r="AD66" i="19"/>
  <c r="BG67" i="26"/>
  <c r="DO67" i="19" s="1"/>
  <c r="AR67" i="19"/>
  <c r="AS70" i="26"/>
  <c r="AD70" i="19"/>
  <c r="BG71" i="26"/>
  <c r="DO71" i="19" s="1"/>
  <c r="AR71" i="19"/>
  <c r="AS74" i="26"/>
  <c r="AD74" i="19"/>
  <c r="BG75" i="26"/>
  <c r="DO75" i="19" s="1"/>
  <c r="AR75" i="19"/>
  <c r="AS78" i="26"/>
  <c r="AD78" i="19"/>
  <c r="BG79" i="26"/>
  <c r="DO79" i="19" s="1"/>
  <c r="AR79" i="19"/>
  <c r="AS82" i="26"/>
  <c r="AD82" i="19"/>
  <c r="BG83" i="26"/>
  <c r="DO83" i="19" s="1"/>
  <c r="AR83" i="19"/>
  <c r="AS86" i="26"/>
  <c r="AD86" i="19"/>
  <c r="BG87" i="26"/>
  <c r="DO87" i="19" s="1"/>
  <c r="AR87" i="19"/>
  <c r="AS90" i="26"/>
  <c r="AD90" i="19"/>
  <c r="BG91" i="26"/>
  <c r="DO91" i="19" s="1"/>
  <c r="AR91" i="19"/>
  <c r="AS94" i="26"/>
  <c r="AD94" i="19"/>
  <c r="BG95" i="26"/>
  <c r="DO95" i="19" s="1"/>
  <c r="AR95" i="19"/>
  <c r="AS98" i="26"/>
  <c r="AD98" i="19"/>
  <c r="BG99" i="26"/>
  <c r="DO99" i="19" s="1"/>
  <c r="AR99" i="19"/>
  <c r="AS102" i="26"/>
  <c r="AD102" i="19"/>
  <c r="BG103" i="26"/>
  <c r="DO103" i="19" s="1"/>
  <c r="AR103" i="19"/>
  <c r="AS106" i="26"/>
  <c r="AD106" i="19"/>
  <c r="AS180" i="26"/>
  <c r="AS188" i="26"/>
  <c r="AS196" i="26"/>
  <c r="AS204" i="26"/>
  <c r="AR6" i="19"/>
  <c r="AD205" i="19"/>
  <c r="AR202" i="19"/>
  <c r="AD201" i="19"/>
  <c r="AR198" i="19"/>
  <c r="AD197" i="19"/>
  <c r="AR194" i="19"/>
  <c r="AD193" i="19"/>
  <c r="AS191" i="19"/>
  <c r="AR190" i="19"/>
  <c r="AD189" i="19"/>
  <c r="AR186" i="19"/>
  <c r="AD185" i="19"/>
  <c r="AS183" i="19"/>
  <c r="AR182" i="19"/>
  <c r="AD181" i="19"/>
  <c r="AR178" i="19"/>
  <c r="AD177" i="19"/>
  <c r="AR174" i="19"/>
  <c r="AD173" i="19"/>
  <c r="AR170" i="19"/>
  <c r="AD169" i="19"/>
  <c r="AR166" i="19"/>
  <c r="AD165" i="19"/>
  <c r="AR162" i="19"/>
  <c r="AD161" i="19"/>
  <c r="AS159" i="19"/>
  <c r="AR158" i="19"/>
  <c r="AD157" i="19"/>
  <c r="AS155" i="19"/>
  <c r="AR154" i="19"/>
  <c r="AD153" i="19"/>
  <c r="AS151" i="19"/>
  <c r="AR150" i="19"/>
  <c r="AD149" i="19"/>
  <c r="AS147" i="19"/>
  <c r="AR146" i="19"/>
  <c r="AD145" i="19"/>
  <c r="AS143" i="19"/>
  <c r="AR142" i="19"/>
  <c r="AD141" i="19"/>
  <c r="AS139" i="19"/>
  <c r="AR138" i="19"/>
  <c r="AD137" i="19"/>
  <c r="AS135" i="19"/>
  <c r="AR134" i="19"/>
  <c r="AD133" i="19"/>
  <c r="AS131" i="19"/>
  <c r="AR130" i="19"/>
  <c r="AD129" i="19"/>
  <c r="AS127" i="19"/>
  <c r="AR126" i="19"/>
  <c r="AD125" i="19"/>
  <c r="AS123" i="19"/>
  <c r="AR122" i="19"/>
  <c r="AD121" i="19"/>
  <c r="AS119" i="19"/>
  <c r="AR118" i="19"/>
  <c r="AD117" i="19"/>
  <c r="AS115" i="19"/>
  <c r="AR114" i="19"/>
  <c r="AD113" i="19"/>
  <c r="AS111" i="19"/>
  <c r="AR110" i="19"/>
  <c r="AD109" i="19"/>
  <c r="AS107" i="19"/>
  <c r="AR106" i="19"/>
  <c r="AS10" i="26"/>
  <c r="AD10" i="19"/>
  <c r="BG19" i="26"/>
  <c r="DO19" i="19" s="1"/>
  <c r="AR19" i="19"/>
  <c r="BG31" i="26"/>
  <c r="DO31" i="19" s="1"/>
  <c r="AR31" i="19"/>
  <c r="AS9" i="26"/>
  <c r="AD9" i="19"/>
  <c r="BG10" i="26"/>
  <c r="DO10" i="19" s="1"/>
  <c r="AR10" i="19"/>
  <c r="AS13" i="26"/>
  <c r="AD13" i="19"/>
  <c r="BG14" i="26"/>
  <c r="DO14" i="19" s="1"/>
  <c r="AR14" i="19"/>
  <c r="AS17" i="26"/>
  <c r="AD17" i="19"/>
  <c r="BG18" i="26"/>
  <c r="DO18" i="19" s="1"/>
  <c r="AR18" i="19"/>
  <c r="AS21" i="26"/>
  <c r="AD21" i="19"/>
  <c r="BG22" i="26"/>
  <c r="DO22" i="19" s="1"/>
  <c r="AR22" i="19"/>
  <c r="AS25" i="26"/>
  <c r="AD25" i="19"/>
  <c r="BG26" i="26"/>
  <c r="DO26" i="19" s="1"/>
  <c r="AR26" i="19"/>
  <c r="AS29" i="26"/>
  <c r="AD29" i="19"/>
  <c r="BG30" i="26"/>
  <c r="DO30" i="19" s="1"/>
  <c r="AR30" i="19"/>
  <c r="AS33" i="26"/>
  <c r="AD33" i="19"/>
  <c r="BG34" i="26"/>
  <c r="DO34" i="19" s="1"/>
  <c r="AR34" i="19"/>
  <c r="AS37" i="26"/>
  <c r="AD37" i="19"/>
  <c r="BG38" i="26"/>
  <c r="DO38" i="19" s="1"/>
  <c r="AR38" i="19"/>
  <c r="AS41" i="26"/>
  <c r="AD41" i="19"/>
  <c r="BG42" i="26"/>
  <c r="DO42" i="19" s="1"/>
  <c r="AR42" i="19"/>
  <c r="AS45" i="26"/>
  <c r="AD45" i="19"/>
  <c r="BG46" i="26"/>
  <c r="DO46" i="19" s="1"/>
  <c r="AR46" i="19"/>
  <c r="AS49" i="26"/>
  <c r="AD49" i="19"/>
  <c r="BG50" i="26"/>
  <c r="DO50" i="19" s="1"/>
  <c r="AR50" i="19"/>
  <c r="AS53" i="26"/>
  <c r="AD53" i="19"/>
  <c r="BG54" i="26"/>
  <c r="DO54" i="19" s="1"/>
  <c r="AR54" i="19"/>
  <c r="AS57" i="26"/>
  <c r="AD57" i="19"/>
  <c r="BG58" i="26"/>
  <c r="DO58" i="19" s="1"/>
  <c r="AR58" i="19"/>
  <c r="AS61" i="26"/>
  <c r="AD61" i="19"/>
  <c r="BG62" i="26"/>
  <c r="DO62" i="19" s="1"/>
  <c r="AR62" i="19"/>
  <c r="AS65" i="26"/>
  <c r="AD65" i="19"/>
  <c r="BG66" i="26"/>
  <c r="DO66" i="19" s="1"/>
  <c r="AR66" i="19"/>
  <c r="AS69" i="26"/>
  <c r="AD69" i="19"/>
  <c r="BG70" i="26"/>
  <c r="DO70" i="19" s="1"/>
  <c r="AR70" i="19"/>
  <c r="AS73" i="26"/>
  <c r="AD73" i="19"/>
  <c r="BG74" i="26"/>
  <c r="DO74" i="19" s="1"/>
  <c r="AR74" i="19"/>
  <c r="AS77" i="26"/>
  <c r="AD77" i="19"/>
  <c r="BG78" i="26"/>
  <c r="DO78" i="19" s="1"/>
  <c r="AR78" i="19"/>
  <c r="AS81" i="26"/>
  <c r="AD81" i="19"/>
  <c r="BG82" i="26"/>
  <c r="DO82" i="19" s="1"/>
  <c r="AR82" i="19"/>
  <c r="AS85" i="26"/>
  <c r="AD85" i="19"/>
  <c r="BG86" i="26"/>
  <c r="DO86" i="19" s="1"/>
  <c r="AR86" i="19"/>
  <c r="AS89" i="26"/>
  <c r="AD89" i="19"/>
  <c r="BG90" i="26"/>
  <c r="DO90" i="19" s="1"/>
  <c r="AR90" i="19"/>
  <c r="AS93" i="26"/>
  <c r="AD93" i="19"/>
  <c r="BG94" i="26"/>
  <c r="DO94" i="19" s="1"/>
  <c r="AR94" i="19"/>
  <c r="AS97" i="26"/>
  <c r="AD97" i="19"/>
  <c r="BG98" i="26"/>
  <c r="DO98" i="19" s="1"/>
  <c r="AR98" i="19"/>
  <c r="AS101" i="26"/>
  <c r="AD101" i="19"/>
  <c r="BG102" i="26"/>
  <c r="DO102" i="19" s="1"/>
  <c r="AR102" i="19"/>
  <c r="AS105" i="26"/>
  <c r="AD105" i="19"/>
  <c r="AS163" i="26"/>
  <c r="AS164" i="26"/>
  <c r="AS166" i="26"/>
  <c r="AS167" i="26"/>
  <c r="AS168" i="26"/>
  <c r="AS170" i="26"/>
  <c r="AS171" i="26"/>
  <c r="AS172" i="26"/>
  <c r="AS174" i="26"/>
  <c r="AS175" i="26"/>
  <c r="AS176" i="26"/>
  <c r="AS178" i="26"/>
  <c r="AS179" i="26"/>
  <c r="AS187" i="26"/>
  <c r="AS195" i="26"/>
  <c r="AS203" i="26"/>
  <c r="AS6" i="19"/>
  <c r="AR203" i="19"/>
  <c r="AD202" i="19"/>
  <c r="AR199" i="19"/>
  <c r="AD198" i="19"/>
  <c r="AR195" i="19"/>
  <c r="AD194" i="19"/>
  <c r="AR191" i="19"/>
  <c r="AD190" i="19"/>
  <c r="AR187" i="19"/>
  <c r="AD186" i="19"/>
  <c r="AS184" i="19"/>
  <c r="AR183" i="19"/>
  <c r="AD182" i="19"/>
  <c r="AR179" i="19"/>
  <c r="AR175" i="19"/>
  <c r="AR171" i="19"/>
  <c r="AR167" i="19"/>
  <c r="AR163" i="19"/>
  <c r="AD162" i="19"/>
  <c r="AS160" i="19"/>
  <c r="AR159" i="19"/>
  <c r="AD158" i="19"/>
  <c r="AS156" i="19"/>
  <c r="AR155" i="19"/>
  <c r="AD154" i="19"/>
  <c r="AS152" i="19"/>
  <c r="AR151" i="19"/>
  <c r="AD150" i="19"/>
  <c r="AS148" i="19"/>
  <c r="AR147" i="19"/>
  <c r="AD146" i="19"/>
  <c r="AS144" i="19"/>
  <c r="AR143" i="19"/>
  <c r="AD142" i="19"/>
  <c r="AS140" i="19"/>
  <c r="AR139" i="19"/>
  <c r="AD138" i="19"/>
  <c r="AS136" i="19"/>
  <c r="AR135" i="19"/>
  <c r="AD134" i="19"/>
  <c r="AS132" i="19"/>
  <c r="AR131" i="19"/>
  <c r="AD130" i="19"/>
  <c r="AS128" i="19"/>
  <c r="AR127" i="19"/>
  <c r="AD126" i="19"/>
  <c r="AS124" i="19"/>
  <c r="AR123" i="19"/>
  <c r="AD122" i="19"/>
  <c r="AS120" i="19"/>
  <c r="AR119" i="19"/>
  <c r="AD118" i="19"/>
  <c r="AS116" i="19"/>
  <c r="AR115" i="19"/>
  <c r="AD114" i="19"/>
  <c r="AS112" i="19"/>
  <c r="AR111" i="19"/>
  <c r="AD110" i="19"/>
  <c r="AS108" i="19"/>
  <c r="AR107" i="19"/>
  <c r="BG11" i="26"/>
  <c r="DO11" i="19" s="1"/>
  <c r="AR11" i="19"/>
  <c r="AS18" i="26"/>
  <c r="AD18" i="19"/>
  <c r="BG23" i="26"/>
  <c r="DO23" i="19" s="1"/>
  <c r="AR23" i="19"/>
  <c r="AS30" i="26"/>
  <c r="AD30" i="19"/>
  <c r="BG35" i="26"/>
  <c r="DO35" i="19" s="1"/>
  <c r="AR35" i="19"/>
  <c r="BG39" i="26"/>
  <c r="DO39" i="19" s="1"/>
  <c r="AR39" i="19"/>
  <c r="AS8" i="26"/>
  <c r="AD8" i="19"/>
  <c r="BG9" i="26"/>
  <c r="DO9" i="19" s="1"/>
  <c r="AR9" i="19"/>
  <c r="AS12" i="26"/>
  <c r="AD12" i="19"/>
  <c r="BG13" i="26"/>
  <c r="DO13" i="19" s="1"/>
  <c r="AR13" i="19"/>
  <c r="AS16" i="26"/>
  <c r="AD16" i="19"/>
  <c r="BG17" i="26"/>
  <c r="DO17" i="19" s="1"/>
  <c r="AR17" i="19"/>
  <c r="AS20" i="26"/>
  <c r="AD20" i="19"/>
  <c r="BG21" i="26"/>
  <c r="DO21" i="19" s="1"/>
  <c r="AR21" i="19"/>
  <c r="AS24" i="26"/>
  <c r="AD24" i="19"/>
  <c r="BG25" i="26"/>
  <c r="DO25" i="19" s="1"/>
  <c r="AR25" i="19"/>
  <c r="AS28" i="26"/>
  <c r="AD28" i="19"/>
  <c r="BG29" i="26"/>
  <c r="DO29" i="19" s="1"/>
  <c r="AR29" i="19"/>
  <c r="AS32" i="26"/>
  <c r="AD32" i="19"/>
  <c r="BG33" i="26"/>
  <c r="DO33" i="19" s="1"/>
  <c r="AR33" i="19"/>
  <c r="AS36" i="26"/>
  <c r="AD36" i="19"/>
  <c r="BG37" i="26"/>
  <c r="DO37" i="19" s="1"/>
  <c r="AR37" i="19"/>
  <c r="AS40" i="26"/>
  <c r="AD40" i="19"/>
  <c r="BG41" i="26"/>
  <c r="DO41" i="19" s="1"/>
  <c r="AR41" i="19"/>
  <c r="AS44" i="26"/>
  <c r="AD44" i="19"/>
  <c r="BG45" i="26"/>
  <c r="DO45" i="19" s="1"/>
  <c r="AR45" i="19"/>
  <c r="AS48" i="26"/>
  <c r="AD48" i="19"/>
  <c r="BG49" i="26"/>
  <c r="DO49" i="19" s="1"/>
  <c r="AR49" i="19"/>
  <c r="AS52" i="26"/>
  <c r="AD52" i="19"/>
  <c r="BG53" i="26"/>
  <c r="DO53" i="19" s="1"/>
  <c r="AR53" i="19"/>
  <c r="AS56" i="26"/>
  <c r="AD56" i="19"/>
  <c r="BG57" i="26"/>
  <c r="DO57" i="19" s="1"/>
  <c r="AR57" i="19"/>
  <c r="AS60" i="26"/>
  <c r="AD60" i="19"/>
  <c r="BG61" i="26"/>
  <c r="DO61" i="19" s="1"/>
  <c r="AR61" i="19"/>
  <c r="AS64" i="26"/>
  <c r="AD64" i="19"/>
  <c r="BG65" i="26"/>
  <c r="DO65" i="19" s="1"/>
  <c r="AR65" i="19"/>
  <c r="AS68" i="26"/>
  <c r="AD68" i="19"/>
  <c r="BG69" i="26"/>
  <c r="DO69" i="19" s="1"/>
  <c r="AR69" i="19"/>
  <c r="AS72" i="26"/>
  <c r="AD72" i="19"/>
  <c r="BG73" i="26"/>
  <c r="DO73" i="19" s="1"/>
  <c r="AR73" i="19"/>
  <c r="AS76" i="26"/>
  <c r="AD76" i="19"/>
  <c r="BG77" i="26"/>
  <c r="DO77" i="19" s="1"/>
  <c r="AR77" i="19"/>
  <c r="AS80" i="26"/>
  <c r="AD80" i="19"/>
  <c r="BG81" i="26"/>
  <c r="DO81" i="19" s="1"/>
  <c r="AR81" i="19"/>
  <c r="AS84" i="26"/>
  <c r="AD84" i="19"/>
  <c r="BG85" i="26"/>
  <c r="DO85" i="19" s="1"/>
  <c r="AR85" i="19"/>
  <c r="AS88" i="26"/>
  <c r="AD88" i="19"/>
  <c r="BG89" i="26"/>
  <c r="DO89" i="19" s="1"/>
  <c r="AR89" i="19"/>
  <c r="AS92" i="26"/>
  <c r="AD92" i="19"/>
  <c r="BG93" i="26"/>
  <c r="DO93" i="19" s="1"/>
  <c r="AR93" i="19"/>
  <c r="AS96" i="26"/>
  <c r="AD96" i="19"/>
  <c r="BG97" i="26"/>
  <c r="DO97" i="19" s="1"/>
  <c r="AR97" i="19"/>
  <c r="AS100" i="26"/>
  <c r="AD100" i="19"/>
  <c r="BG101" i="26"/>
  <c r="DO101" i="19" s="1"/>
  <c r="AR101" i="19"/>
  <c r="AS104" i="26"/>
  <c r="AD104" i="19"/>
  <c r="BG105" i="26"/>
  <c r="DO105" i="19" s="1"/>
  <c r="AR105" i="19"/>
  <c r="AS205" i="19"/>
  <c r="AR204" i="19"/>
  <c r="AS201" i="19"/>
  <c r="AR200" i="19"/>
  <c r="AD199" i="19"/>
  <c r="AS197" i="19"/>
  <c r="AR196" i="19"/>
  <c r="AS193" i="19"/>
  <c r="AR192" i="19"/>
  <c r="AS189" i="19"/>
  <c r="AR188" i="19"/>
  <c r="AS185" i="19"/>
  <c r="AR184" i="19"/>
  <c r="AS181" i="19"/>
  <c r="AR180" i="19"/>
  <c r="AR176" i="19"/>
  <c r="AR172" i="19"/>
  <c r="AR168" i="19"/>
  <c r="AR164" i="19"/>
  <c r="AS161" i="19"/>
  <c r="AR160" i="19"/>
  <c r="AD159" i="19"/>
  <c r="AS157" i="19"/>
  <c r="AR156" i="19"/>
  <c r="AD155" i="19"/>
  <c r="AS153" i="19"/>
  <c r="AR152" i="19"/>
  <c r="AD151" i="19"/>
  <c r="AS149" i="19"/>
  <c r="AR148" i="19"/>
  <c r="AD147" i="19"/>
  <c r="AS145" i="19"/>
  <c r="AR144" i="19"/>
  <c r="AD143" i="19"/>
  <c r="AS141" i="19"/>
  <c r="AR140" i="19"/>
  <c r="AD139" i="19"/>
  <c r="AS137" i="19"/>
  <c r="AR136" i="19"/>
  <c r="AD135" i="19"/>
  <c r="AS133" i="19"/>
  <c r="AR132" i="19"/>
  <c r="AD131" i="19"/>
  <c r="AS129" i="19"/>
  <c r="AR128" i="19"/>
  <c r="AD127" i="19"/>
  <c r="AS125" i="19"/>
  <c r="AR124" i="19"/>
  <c r="AD123" i="19"/>
  <c r="AS121" i="19"/>
  <c r="AR120" i="19"/>
  <c r="AD119" i="19"/>
  <c r="AS117" i="19"/>
  <c r="AR116" i="19"/>
  <c r="AD115" i="19"/>
  <c r="AS113" i="19"/>
  <c r="AR112" i="19"/>
  <c r="AD111" i="19"/>
  <c r="AS109" i="19"/>
  <c r="AR108" i="19"/>
  <c r="AD107" i="19"/>
  <c r="BG15" i="26"/>
  <c r="DO15" i="19" s="1"/>
  <c r="AR15" i="19"/>
  <c r="AS22" i="26"/>
  <c r="AD22" i="19"/>
  <c r="BG27" i="26"/>
  <c r="DO27" i="19" s="1"/>
  <c r="AR27" i="19"/>
  <c r="AS34" i="26"/>
  <c r="AD34" i="19"/>
  <c r="AS38" i="26"/>
  <c r="AD38" i="19"/>
  <c r="AS7" i="26"/>
  <c r="AD7" i="19"/>
  <c r="BG8" i="26"/>
  <c r="DO8" i="19" s="1"/>
  <c r="AR8" i="19"/>
  <c r="AS11" i="26"/>
  <c r="AD11" i="19"/>
  <c r="BG12" i="26"/>
  <c r="DO12" i="19" s="1"/>
  <c r="AR12" i="19"/>
  <c r="AS15" i="26"/>
  <c r="AD15" i="19"/>
  <c r="BG16" i="26"/>
  <c r="DO16" i="19" s="1"/>
  <c r="AR16" i="19"/>
  <c r="AS19" i="26"/>
  <c r="AD19" i="19"/>
  <c r="BG20" i="26"/>
  <c r="DO20" i="19" s="1"/>
  <c r="AR20" i="19"/>
  <c r="AS23" i="26"/>
  <c r="AD23" i="19"/>
  <c r="BG24" i="26"/>
  <c r="DO24" i="19" s="1"/>
  <c r="AR24" i="19"/>
  <c r="AS27" i="26"/>
  <c r="AD27" i="19"/>
  <c r="BG28" i="26"/>
  <c r="DO28" i="19" s="1"/>
  <c r="AR28" i="19"/>
  <c r="AS31" i="26"/>
  <c r="AD31" i="19"/>
  <c r="BG32" i="26"/>
  <c r="DO32" i="19" s="1"/>
  <c r="AR32" i="19"/>
  <c r="AS35" i="26"/>
  <c r="AD35" i="19"/>
  <c r="BG36" i="26"/>
  <c r="DO36" i="19" s="1"/>
  <c r="AR36" i="19"/>
  <c r="AS39" i="26"/>
  <c r="AD39" i="19"/>
  <c r="BG40" i="26"/>
  <c r="DO40" i="19" s="1"/>
  <c r="AR40" i="19"/>
  <c r="AS43" i="26"/>
  <c r="AD43" i="19"/>
  <c r="BG44" i="26"/>
  <c r="DO44" i="19" s="1"/>
  <c r="AR44" i="19"/>
  <c r="AS47" i="26"/>
  <c r="AD47" i="19"/>
  <c r="BG48" i="26"/>
  <c r="DO48" i="19" s="1"/>
  <c r="AR48" i="19"/>
  <c r="AS51" i="26"/>
  <c r="AD51" i="19"/>
  <c r="BG52" i="26"/>
  <c r="DO52" i="19" s="1"/>
  <c r="AR52" i="19"/>
  <c r="AS55" i="26"/>
  <c r="AD55" i="19"/>
  <c r="BG56" i="26"/>
  <c r="DO56" i="19" s="1"/>
  <c r="AR56" i="19"/>
  <c r="AS59" i="26"/>
  <c r="AD59" i="19"/>
  <c r="BG60" i="26"/>
  <c r="DO60" i="19" s="1"/>
  <c r="AR60" i="19"/>
  <c r="AS63" i="26"/>
  <c r="AD63" i="19"/>
  <c r="BG64" i="26"/>
  <c r="DO64" i="19" s="1"/>
  <c r="AR64" i="19"/>
  <c r="AS67" i="26"/>
  <c r="AD67" i="19"/>
  <c r="BG68" i="26"/>
  <c r="DO68" i="19" s="1"/>
  <c r="AR68" i="19"/>
  <c r="AS71" i="26"/>
  <c r="AD71" i="19"/>
  <c r="BG72" i="26"/>
  <c r="DO72" i="19" s="1"/>
  <c r="AR72" i="19"/>
  <c r="AS75" i="26"/>
  <c r="AD75" i="19"/>
  <c r="BG76" i="26"/>
  <c r="DO76" i="19" s="1"/>
  <c r="AR76" i="19"/>
  <c r="AS79" i="26"/>
  <c r="AD79" i="19"/>
  <c r="BG80" i="26"/>
  <c r="DO80" i="19" s="1"/>
  <c r="AR80" i="19"/>
  <c r="AS83" i="26"/>
  <c r="AD83" i="19"/>
  <c r="BG84" i="26"/>
  <c r="DO84" i="19" s="1"/>
  <c r="AR84" i="19"/>
  <c r="AS87" i="26"/>
  <c r="AD87" i="19"/>
  <c r="BG88" i="26"/>
  <c r="DO88" i="19" s="1"/>
  <c r="AR88" i="19"/>
  <c r="AS91" i="26"/>
  <c r="AD91" i="19"/>
  <c r="BG92" i="26"/>
  <c r="DO92" i="19" s="1"/>
  <c r="AR92" i="19"/>
  <c r="AS95" i="26"/>
  <c r="AD95" i="19"/>
  <c r="BG96" i="26"/>
  <c r="DO96" i="19" s="1"/>
  <c r="AR96" i="19"/>
  <c r="AS99" i="26"/>
  <c r="AD99" i="19"/>
  <c r="BG100" i="26"/>
  <c r="DO100" i="19" s="1"/>
  <c r="AR100" i="19"/>
  <c r="AS103" i="26"/>
  <c r="AD103" i="19"/>
  <c r="BG104" i="26"/>
  <c r="DO104" i="19" s="1"/>
  <c r="AR104" i="19"/>
  <c r="AD6" i="19"/>
  <c r="AR205" i="19"/>
  <c r="AS202" i="19"/>
  <c r="AR201" i="19"/>
  <c r="AS198" i="19"/>
  <c r="AR197" i="19"/>
  <c r="AS194" i="19"/>
  <c r="AR193" i="19"/>
  <c r="AS190" i="19"/>
  <c r="AR189" i="19"/>
  <c r="AS186" i="19"/>
  <c r="AR185" i="19"/>
  <c r="AS182" i="19"/>
  <c r="AR181" i="19"/>
  <c r="AR177" i="19"/>
  <c r="AR173" i="19"/>
  <c r="AR169" i="19"/>
  <c r="AR165" i="19"/>
  <c r="AS162" i="19"/>
  <c r="AR161" i="19"/>
  <c r="AD160" i="19"/>
  <c r="AS158" i="19"/>
  <c r="AR157" i="19"/>
  <c r="AD156" i="19"/>
  <c r="AS154" i="19"/>
  <c r="AR153" i="19"/>
  <c r="AD152" i="19"/>
  <c r="AS150" i="19"/>
  <c r="AR149" i="19"/>
  <c r="AD148" i="19"/>
  <c r="AS146" i="19"/>
  <c r="AR145" i="19"/>
  <c r="AD144" i="19"/>
  <c r="AS142" i="19"/>
  <c r="AR141" i="19"/>
  <c r="AD140" i="19"/>
  <c r="AS138" i="19"/>
  <c r="AR137" i="19"/>
  <c r="AD136" i="19"/>
  <c r="AS134" i="19"/>
  <c r="AR133" i="19"/>
  <c r="AD132" i="19"/>
  <c r="AS130" i="19"/>
  <c r="AR129" i="19"/>
  <c r="AD128" i="19"/>
  <c r="AS126" i="19"/>
  <c r="AR125" i="19"/>
  <c r="AD124" i="19"/>
  <c r="AS122" i="19"/>
  <c r="AR121" i="19"/>
  <c r="AD120" i="19"/>
  <c r="AS118" i="19"/>
  <c r="AR117" i="19"/>
  <c r="AD116" i="19"/>
  <c r="AS114" i="19"/>
  <c r="AR113" i="19"/>
  <c r="AD112" i="19"/>
  <c r="AS110" i="19"/>
  <c r="AR109" i="19"/>
  <c r="AD108" i="19"/>
  <c r="AD238" i="5"/>
  <c r="AA238" i="25"/>
  <c r="AA237" i="25"/>
  <c r="AA236" i="25"/>
  <c r="AA233" i="25"/>
  <c r="Y225" i="25"/>
  <c r="Y226" i="25"/>
  <c r="Y227" i="25"/>
  <c r="AA227" i="25" s="1"/>
  <c r="Y224" i="25"/>
  <c r="Y210" i="25"/>
  <c r="Y211" i="25"/>
  <c r="Y212" i="25"/>
  <c r="Y213" i="25"/>
  <c r="Y214" i="25"/>
  <c r="Y215" i="25"/>
  <c r="Y216" i="25"/>
  <c r="Y217" i="25"/>
  <c r="Y218" i="25"/>
  <c r="Y219" i="25"/>
  <c r="Y209" i="25"/>
  <c r="T191" i="25"/>
  <c r="T192" i="25" s="1"/>
  <c r="T193" i="25" s="1"/>
  <c r="T194" i="25" s="1"/>
  <c r="T195" i="25" s="1"/>
  <c r="T196" i="25" s="1"/>
  <c r="T197" i="25" s="1"/>
  <c r="T198" i="25" s="1"/>
  <c r="T199" i="25" s="1"/>
  <c r="T200" i="25" s="1"/>
  <c r="P191" i="25"/>
  <c r="AO202" i="25"/>
  <c r="AM202" i="25"/>
  <c r="Y14" i="13"/>
  <c r="Y13" i="13"/>
  <c r="R105" i="25"/>
  <c r="R106" i="25" s="1"/>
  <c r="R107" i="25" s="1"/>
  <c r="R108" i="25" s="1"/>
  <c r="R109" i="25" s="1"/>
  <c r="R110" i="25" s="1"/>
  <c r="R111" i="25" s="1"/>
  <c r="R112" i="25" s="1"/>
  <c r="R122" i="25" s="1"/>
  <c r="R123" i="25" s="1"/>
  <c r="R124" i="25" s="1"/>
  <c r="R125" i="25" s="1"/>
  <c r="R126" i="25" s="1"/>
  <c r="R127" i="25" s="1"/>
  <c r="R128" i="25" s="1"/>
  <c r="R129" i="25" s="1"/>
  <c r="R130" i="25" s="1"/>
  <c r="R140" i="25" s="1"/>
  <c r="R141" i="25" s="1"/>
  <c r="R142" i="25" s="1"/>
  <c r="R143" i="25" s="1"/>
  <c r="R144" i="25" s="1"/>
  <c r="R145" i="25" s="1"/>
  <c r="R146" i="25" s="1"/>
  <c r="R147" i="25" s="1"/>
  <c r="R148" i="25" s="1"/>
  <c r="R158" i="25" s="1"/>
  <c r="R159" i="25" s="1"/>
  <c r="R160" i="25" s="1"/>
  <c r="R161" i="25" s="1"/>
  <c r="R162" i="25" s="1"/>
  <c r="R163" i="25" s="1"/>
  <c r="R164" i="25" s="1"/>
  <c r="R165" i="25" s="1"/>
  <c r="R166" i="25" s="1"/>
  <c r="P105" i="25"/>
  <c r="P106" i="25" s="1"/>
  <c r="P107" i="25" s="1"/>
  <c r="P108" i="25" s="1"/>
  <c r="P109" i="25" s="1"/>
  <c r="P110" i="25" s="1"/>
  <c r="P111" i="25" s="1"/>
  <c r="P112" i="25" s="1"/>
  <c r="AE175" i="25"/>
  <c r="G170" i="25"/>
  <c r="F170" i="25"/>
  <c r="E170" i="25"/>
  <c r="AD156" i="25"/>
  <c r="G152" i="25"/>
  <c r="F152" i="25"/>
  <c r="E152" i="25"/>
  <c r="AD138" i="25"/>
  <c r="G134" i="25"/>
  <c r="F134" i="25"/>
  <c r="E134" i="25"/>
  <c r="AD120" i="25"/>
  <c r="G116" i="25"/>
  <c r="F116" i="25"/>
  <c r="E116" i="25"/>
  <c r="AD102" i="25"/>
  <c r="L96" i="25"/>
  <c r="K96" i="25"/>
  <c r="P95" i="25"/>
  <c r="S95" i="25" s="1"/>
  <c r="L95" i="25"/>
  <c r="K95" i="25"/>
  <c r="AB92" i="25"/>
  <c r="K90" i="25"/>
  <c r="J90" i="25"/>
  <c r="V90" i="25" s="1"/>
  <c r="K89" i="25"/>
  <c r="J89" i="25"/>
  <c r="V89" i="25" s="1"/>
  <c r="K88" i="25"/>
  <c r="W88" i="25" s="1"/>
  <c r="J88" i="25"/>
  <c r="X88" i="25" s="1"/>
  <c r="AA87" i="25"/>
  <c r="K87" i="25"/>
  <c r="J87" i="25"/>
  <c r="X87" i="25" s="1"/>
  <c r="AA86" i="25"/>
  <c r="K86" i="25"/>
  <c r="J86" i="25"/>
  <c r="X85" i="25"/>
  <c r="AA84" i="25"/>
  <c r="X84" i="25"/>
  <c r="X83" i="25"/>
  <c r="AA82" i="25"/>
  <c r="X82" i="25"/>
  <c r="X81" i="25"/>
  <c r="K80" i="25"/>
  <c r="W80" i="25" s="1"/>
  <c r="J80" i="25"/>
  <c r="X80" i="25" s="1"/>
  <c r="K79" i="25"/>
  <c r="W79" i="25" s="1"/>
  <c r="J79" i="25"/>
  <c r="V79" i="25" s="1"/>
  <c r="K78" i="25"/>
  <c r="W78" i="25" s="1"/>
  <c r="J78" i="25"/>
  <c r="V78" i="25" s="1"/>
  <c r="K77" i="25"/>
  <c r="J77" i="25"/>
  <c r="V77" i="25" s="1"/>
  <c r="K76" i="25"/>
  <c r="J76" i="25"/>
  <c r="X75" i="25"/>
  <c r="X74" i="25"/>
  <c r="X73" i="25"/>
  <c r="AW72" i="25"/>
  <c r="X72" i="25"/>
  <c r="X71" i="25"/>
  <c r="K70" i="25"/>
  <c r="W70" i="25" s="1"/>
  <c r="J70" i="25"/>
  <c r="V70" i="25" s="1"/>
  <c r="K69" i="25"/>
  <c r="W69" i="25" s="1"/>
  <c r="J69" i="25"/>
  <c r="V69" i="25" s="1"/>
  <c r="K68" i="25"/>
  <c r="W68" i="25" s="1"/>
  <c r="J68" i="25"/>
  <c r="V68" i="25" s="1"/>
  <c r="K67" i="25"/>
  <c r="W67" i="25" s="1"/>
  <c r="J67" i="25"/>
  <c r="X67" i="25" s="1"/>
  <c r="AB66" i="25"/>
  <c r="Z66" i="25"/>
  <c r="Y92" i="25" s="1"/>
  <c r="K66" i="25"/>
  <c r="J66" i="25"/>
  <c r="X66" i="25" s="1"/>
  <c r="X65" i="25"/>
  <c r="AW64" i="25"/>
  <c r="X64" i="25"/>
  <c r="X63" i="25"/>
  <c r="X62" i="25"/>
  <c r="X61" i="25"/>
  <c r="K60" i="25"/>
  <c r="J60" i="25"/>
  <c r="V60" i="25" s="1"/>
  <c r="K59" i="25"/>
  <c r="J59" i="25"/>
  <c r="P59" i="25" s="1"/>
  <c r="K58" i="25"/>
  <c r="W58" i="25" s="1"/>
  <c r="J58" i="25"/>
  <c r="X58" i="25" s="1"/>
  <c r="AB57" i="25"/>
  <c r="AB87" i="25" s="1"/>
  <c r="AA57" i="25"/>
  <c r="K57" i="25"/>
  <c r="J57" i="25"/>
  <c r="S57" i="25" s="1"/>
  <c r="AB56" i="25"/>
  <c r="AB86" i="25" s="1"/>
  <c r="AA56" i="25"/>
  <c r="K56" i="25"/>
  <c r="J56" i="25"/>
  <c r="X56" i="25" s="1"/>
  <c r="X55" i="25"/>
  <c r="AB54" i="25"/>
  <c r="AB84" i="25" s="1"/>
  <c r="AA54" i="25"/>
  <c r="X54" i="25"/>
  <c r="X53" i="25"/>
  <c r="AB52" i="25"/>
  <c r="AB82" i="25" s="1"/>
  <c r="AA52" i="25"/>
  <c r="X52" i="25"/>
  <c r="X51" i="25"/>
  <c r="X50" i="25"/>
  <c r="X49" i="25"/>
  <c r="AG48" i="25"/>
  <c r="K48" i="25"/>
  <c r="J48" i="25"/>
  <c r="P48" i="25" s="1"/>
  <c r="AG47" i="25"/>
  <c r="K47" i="25"/>
  <c r="J47" i="25"/>
  <c r="P47" i="25" s="1"/>
  <c r="AG46" i="25"/>
  <c r="K46" i="25"/>
  <c r="J46" i="25"/>
  <c r="X46" i="25" s="1"/>
  <c r="AG44" i="25"/>
  <c r="AW38" i="25"/>
  <c r="AV38" i="25"/>
  <c r="AS38" i="25"/>
  <c r="AR38" i="25"/>
  <c r="C38" i="25"/>
  <c r="Y76" i="25" s="1"/>
  <c r="AW37" i="25"/>
  <c r="AV37" i="25"/>
  <c r="AS37" i="25"/>
  <c r="AR37" i="25"/>
  <c r="C37" i="25"/>
  <c r="AT37" i="25" s="1"/>
  <c r="AW36" i="25"/>
  <c r="AV36" i="25"/>
  <c r="AS36" i="25"/>
  <c r="AR36" i="25"/>
  <c r="C36" i="25"/>
  <c r="K36" i="25" s="1"/>
  <c r="AW35" i="25"/>
  <c r="AV35" i="25"/>
  <c r="AS35" i="25"/>
  <c r="AR35" i="25"/>
  <c r="C35" i="25"/>
  <c r="AT35" i="25" s="1"/>
  <c r="O95" i="25" l="1"/>
  <c r="AA225" i="25"/>
  <c r="U160" i="24"/>
  <c r="U161" i="24" s="1"/>
  <c r="U162" i="24" s="1"/>
  <c r="U163" i="24" s="1"/>
  <c r="U164" i="24" s="1"/>
  <c r="U165" i="24" s="1"/>
  <c r="U166" i="24" s="1"/>
  <c r="Z160" i="24"/>
  <c r="Z161" i="24" s="1"/>
  <c r="Z162" i="24" s="1"/>
  <c r="Z163" i="24" s="1"/>
  <c r="Z164" i="24" s="1"/>
  <c r="Z165" i="24" s="1"/>
  <c r="Z166" i="24" s="1"/>
  <c r="U159" i="23"/>
  <c r="Z160" i="23"/>
  <c r="Z161" i="23" s="1"/>
  <c r="Z162" i="23" s="1"/>
  <c r="Z163" i="23" s="1"/>
  <c r="Z164" i="23" s="1"/>
  <c r="Z165" i="23" s="1"/>
  <c r="Z166" i="23" s="1"/>
  <c r="U142" i="23"/>
  <c r="U143" i="23" s="1"/>
  <c r="U144" i="23" s="1"/>
  <c r="U145" i="23" s="1"/>
  <c r="U146" i="23" s="1"/>
  <c r="U147" i="23" s="1"/>
  <c r="U148" i="23" s="1"/>
  <c r="P141" i="23"/>
  <c r="P158" i="23"/>
  <c r="AS192" i="19"/>
  <c r="AA224" i="25"/>
  <c r="AA226" i="25"/>
  <c r="AC233" i="25"/>
  <c r="P122" i="25"/>
  <c r="P123" i="25" s="1"/>
  <c r="P124" i="25" s="1"/>
  <c r="P125" i="25" s="1"/>
  <c r="P126" i="25" s="1"/>
  <c r="P127" i="25" s="1"/>
  <c r="P128" i="25" s="1"/>
  <c r="P129" i="25" s="1"/>
  <c r="P130" i="25" s="1"/>
  <c r="AS200" i="19"/>
  <c r="BH103" i="26"/>
  <c r="DP103" i="19" s="1"/>
  <c r="AS103" i="19"/>
  <c r="BH99" i="26"/>
  <c r="DP99" i="19" s="1"/>
  <c r="AS99" i="19"/>
  <c r="BH95" i="26"/>
  <c r="DP95" i="19" s="1"/>
  <c r="AS95" i="19"/>
  <c r="BH91" i="26"/>
  <c r="DP91" i="19" s="1"/>
  <c r="AS91" i="19"/>
  <c r="BH87" i="26"/>
  <c r="DP87" i="19" s="1"/>
  <c r="AS87" i="19"/>
  <c r="BH83" i="26"/>
  <c r="DP83" i="19" s="1"/>
  <c r="AS83" i="19"/>
  <c r="BH79" i="26"/>
  <c r="DP79" i="19" s="1"/>
  <c r="AS79" i="19"/>
  <c r="BH75" i="26"/>
  <c r="DP75" i="19" s="1"/>
  <c r="AS75" i="19"/>
  <c r="BH71" i="26"/>
  <c r="DP71" i="19" s="1"/>
  <c r="AS71" i="19"/>
  <c r="BH67" i="26"/>
  <c r="DP67" i="19" s="1"/>
  <c r="AS67" i="19"/>
  <c r="BH63" i="26"/>
  <c r="DP63" i="19" s="1"/>
  <c r="AS63" i="19"/>
  <c r="BH59" i="26"/>
  <c r="DP59" i="19" s="1"/>
  <c r="AS59" i="19"/>
  <c r="BH55" i="26"/>
  <c r="DP55" i="19" s="1"/>
  <c r="AS55" i="19"/>
  <c r="BH51" i="26"/>
  <c r="DP51" i="19" s="1"/>
  <c r="AS51" i="19"/>
  <c r="BH47" i="26"/>
  <c r="DP47" i="19" s="1"/>
  <c r="AS47" i="19"/>
  <c r="BH43" i="26"/>
  <c r="DP43" i="19" s="1"/>
  <c r="AS43" i="19"/>
  <c r="BH39" i="26"/>
  <c r="DP39" i="19" s="1"/>
  <c r="AS39" i="19"/>
  <c r="BH35" i="26"/>
  <c r="DP35" i="19" s="1"/>
  <c r="AS35" i="19"/>
  <c r="BH31" i="26"/>
  <c r="DP31" i="19" s="1"/>
  <c r="AS31" i="19"/>
  <c r="BH27" i="26"/>
  <c r="DP27" i="19" s="1"/>
  <c r="AS27" i="19"/>
  <c r="BH23" i="26"/>
  <c r="DP23" i="19" s="1"/>
  <c r="AS23" i="19"/>
  <c r="BH19" i="26"/>
  <c r="DP19" i="19" s="1"/>
  <c r="AS19" i="19"/>
  <c r="BH15" i="26"/>
  <c r="DP15" i="19" s="1"/>
  <c r="AS15" i="19"/>
  <c r="AS11" i="19"/>
  <c r="BH11" i="26"/>
  <c r="DP11" i="19" s="1"/>
  <c r="BH7" i="26"/>
  <c r="DP7" i="19" s="1"/>
  <c r="AS7" i="19"/>
  <c r="BH34" i="26"/>
  <c r="DP34" i="19" s="1"/>
  <c r="AS34" i="19"/>
  <c r="BH22" i="26"/>
  <c r="DP22" i="19" s="1"/>
  <c r="AS22" i="19"/>
  <c r="BH195" i="26"/>
  <c r="DP195" i="19" s="1"/>
  <c r="AS195" i="19"/>
  <c r="BH176" i="26"/>
  <c r="DP176" i="19" s="1"/>
  <c r="AS176" i="19"/>
  <c r="BH171" i="26"/>
  <c r="DP171" i="19" s="1"/>
  <c r="AS171" i="19"/>
  <c r="BH166" i="26"/>
  <c r="DP166" i="19" s="1"/>
  <c r="AS166" i="19"/>
  <c r="BH105" i="26"/>
  <c r="DP105" i="19" s="1"/>
  <c r="AS105" i="19"/>
  <c r="BH101" i="26"/>
  <c r="DP101" i="19" s="1"/>
  <c r="AS101" i="19"/>
  <c r="BH97" i="26"/>
  <c r="DP97" i="19" s="1"/>
  <c r="AS97" i="19"/>
  <c r="BH93" i="26"/>
  <c r="DP93" i="19" s="1"/>
  <c r="AS93" i="19"/>
  <c r="BH89" i="26"/>
  <c r="DP89" i="19" s="1"/>
  <c r="AS89" i="19"/>
  <c r="BH85" i="26"/>
  <c r="DP85" i="19" s="1"/>
  <c r="AS85" i="19"/>
  <c r="BH81" i="26"/>
  <c r="DP81" i="19" s="1"/>
  <c r="AS81" i="19"/>
  <c r="BH77" i="26"/>
  <c r="DP77" i="19" s="1"/>
  <c r="AS77" i="19"/>
  <c r="BH73" i="26"/>
  <c r="DP73" i="19" s="1"/>
  <c r="AS73" i="19"/>
  <c r="BH69" i="26"/>
  <c r="DP69" i="19" s="1"/>
  <c r="AS69" i="19"/>
  <c r="BH65" i="26"/>
  <c r="DP65" i="19" s="1"/>
  <c r="AS65" i="19"/>
  <c r="BH61" i="26"/>
  <c r="DP61" i="19" s="1"/>
  <c r="AS61" i="19"/>
  <c r="BH57" i="26"/>
  <c r="DP57" i="19" s="1"/>
  <c r="AS57" i="19"/>
  <c r="BH53" i="26"/>
  <c r="DP53" i="19" s="1"/>
  <c r="AS53" i="19"/>
  <c r="BH49" i="26"/>
  <c r="DP49" i="19" s="1"/>
  <c r="AS49" i="19"/>
  <c r="BH45" i="26"/>
  <c r="DP45" i="19" s="1"/>
  <c r="AS45" i="19"/>
  <c r="BH41" i="26"/>
  <c r="DP41" i="19" s="1"/>
  <c r="AS41" i="19"/>
  <c r="BH37" i="26"/>
  <c r="DP37" i="19" s="1"/>
  <c r="AS37" i="19"/>
  <c r="BH33" i="26"/>
  <c r="DP33" i="19" s="1"/>
  <c r="AS33" i="19"/>
  <c r="BH29" i="26"/>
  <c r="DP29" i="19" s="1"/>
  <c r="AS29" i="19"/>
  <c r="BH25" i="26"/>
  <c r="DP25" i="19" s="1"/>
  <c r="AS25" i="19"/>
  <c r="BH21" i="26"/>
  <c r="DP21" i="19" s="1"/>
  <c r="AS21" i="19"/>
  <c r="BH17" i="26"/>
  <c r="DP17" i="19" s="1"/>
  <c r="AS17" i="19"/>
  <c r="BH13" i="26"/>
  <c r="DP13" i="19" s="1"/>
  <c r="AS13" i="19"/>
  <c r="BH9" i="26"/>
  <c r="DP9" i="19" s="1"/>
  <c r="AS9" i="19"/>
  <c r="BH188" i="26"/>
  <c r="DP188" i="19" s="1"/>
  <c r="AS188" i="19"/>
  <c r="BH30" i="26"/>
  <c r="DP30" i="19" s="1"/>
  <c r="AS30" i="19"/>
  <c r="BH18" i="26"/>
  <c r="DP18" i="19" s="1"/>
  <c r="AS18" i="19"/>
  <c r="BH187" i="26"/>
  <c r="DP187" i="19" s="1"/>
  <c r="AS187" i="19"/>
  <c r="BH175" i="26"/>
  <c r="DP175" i="19" s="1"/>
  <c r="AS175" i="19"/>
  <c r="BH170" i="26"/>
  <c r="DP170" i="19" s="1"/>
  <c r="AS170" i="19"/>
  <c r="BH164" i="26"/>
  <c r="DP164" i="19" s="1"/>
  <c r="AS164" i="19"/>
  <c r="BH180" i="26"/>
  <c r="DP180" i="19" s="1"/>
  <c r="AS180" i="19"/>
  <c r="BH26" i="26"/>
  <c r="DP26" i="19" s="1"/>
  <c r="AS26" i="19"/>
  <c r="BH38" i="26"/>
  <c r="DP38" i="19" s="1"/>
  <c r="AS38" i="19"/>
  <c r="BH179" i="26"/>
  <c r="DP179" i="19" s="1"/>
  <c r="AS179" i="19"/>
  <c r="BH174" i="26"/>
  <c r="DP174" i="19" s="1"/>
  <c r="AS174" i="19"/>
  <c r="BH168" i="26"/>
  <c r="DP168" i="19" s="1"/>
  <c r="AS168" i="19"/>
  <c r="BH163" i="26"/>
  <c r="DP163" i="19" s="1"/>
  <c r="AS163" i="19"/>
  <c r="BH10" i="26"/>
  <c r="DP10" i="19" s="1"/>
  <c r="AS10" i="19"/>
  <c r="BH204" i="26"/>
  <c r="DP204" i="19" s="1"/>
  <c r="AS204" i="19"/>
  <c r="BH104" i="26"/>
  <c r="DP104" i="19" s="1"/>
  <c r="AS104" i="19"/>
  <c r="BH100" i="26"/>
  <c r="DP100" i="19" s="1"/>
  <c r="AS100" i="19"/>
  <c r="BH96" i="26"/>
  <c r="DP96" i="19" s="1"/>
  <c r="AS96" i="19"/>
  <c r="BH92" i="26"/>
  <c r="DP92" i="19" s="1"/>
  <c r="AS92" i="19"/>
  <c r="BH88" i="26"/>
  <c r="DP88" i="19" s="1"/>
  <c r="AS88" i="19"/>
  <c r="BH84" i="26"/>
  <c r="DP84" i="19" s="1"/>
  <c r="AS84" i="19"/>
  <c r="BH80" i="26"/>
  <c r="DP80" i="19" s="1"/>
  <c r="AS80" i="19"/>
  <c r="BH76" i="26"/>
  <c r="DP76" i="19" s="1"/>
  <c r="AS76" i="19"/>
  <c r="BH72" i="26"/>
  <c r="DP72" i="19" s="1"/>
  <c r="AS72" i="19"/>
  <c r="BH68" i="26"/>
  <c r="DP68" i="19" s="1"/>
  <c r="AS68" i="19"/>
  <c r="BH64" i="26"/>
  <c r="DP64" i="19" s="1"/>
  <c r="AS64" i="19"/>
  <c r="BH60" i="26"/>
  <c r="DP60" i="19" s="1"/>
  <c r="AS60" i="19"/>
  <c r="BH56" i="26"/>
  <c r="DP56" i="19" s="1"/>
  <c r="AS56" i="19"/>
  <c r="BH52" i="26"/>
  <c r="DP52" i="19" s="1"/>
  <c r="AS52" i="19"/>
  <c r="BH48" i="26"/>
  <c r="DP48" i="19" s="1"/>
  <c r="AS48" i="19"/>
  <c r="BH44" i="26"/>
  <c r="DP44" i="19" s="1"/>
  <c r="AS44" i="19"/>
  <c r="BH40" i="26"/>
  <c r="DP40" i="19" s="1"/>
  <c r="AS40" i="19"/>
  <c r="BH36" i="26"/>
  <c r="DP36" i="19" s="1"/>
  <c r="AS36" i="19"/>
  <c r="BH32" i="26"/>
  <c r="DP32" i="19" s="1"/>
  <c r="AS32" i="19"/>
  <c r="BH28" i="26"/>
  <c r="DP28" i="19" s="1"/>
  <c r="AS28" i="19"/>
  <c r="BH24" i="26"/>
  <c r="DP24" i="19" s="1"/>
  <c r="AS24" i="19"/>
  <c r="BH20" i="26"/>
  <c r="DP20" i="19" s="1"/>
  <c r="AS20" i="19"/>
  <c r="BH16" i="26"/>
  <c r="DP16" i="19" s="1"/>
  <c r="AS16" i="19"/>
  <c r="BH12" i="26"/>
  <c r="DP12" i="19" s="1"/>
  <c r="AS12" i="19"/>
  <c r="AS8" i="19"/>
  <c r="BH8" i="26"/>
  <c r="DP8" i="19" s="1"/>
  <c r="BH203" i="26"/>
  <c r="DP203" i="19" s="1"/>
  <c r="AS203" i="19"/>
  <c r="BH178" i="26"/>
  <c r="DP178" i="19" s="1"/>
  <c r="AS178" i="19"/>
  <c r="BH172" i="26"/>
  <c r="DP172" i="19" s="1"/>
  <c r="AS172" i="19"/>
  <c r="BH167" i="26"/>
  <c r="DP167" i="19" s="1"/>
  <c r="AS167" i="19"/>
  <c r="BH196" i="26"/>
  <c r="DP196" i="19" s="1"/>
  <c r="AS196" i="19"/>
  <c r="BH106" i="26"/>
  <c r="DP106" i="19" s="1"/>
  <c r="AS106" i="19"/>
  <c r="BH102" i="26"/>
  <c r="DP102" i="19" s="1"/>
  <c r="AS102" i="19"/>
  <c r="BH98" i="26"/>
  <c r="DP98" i="19" s="1"/>
  <c r="AS98" i="19"/>
  <c r="BH94" i="26"/>
  <c r="DP94" i="19" s="1"/>
  <c r="AS94" i="19"/>
  <c r="BH90" i="26"/>
  <c r="DP90" i="19" s="1"/>
  <c r="AS90" i="19"/>
  <c r="BH86" i="26"/>
  <c r="DP86" i="19" s="1"/>
  <c r="AS86" i="19"/>
  <c r="BH82" i="26"/>
  <c r="DP82" i="19" s="1"/>
  <c r="AS82" i="19"/>
  <c r="BH78" i="26"/>
  <c r="DP78" i="19" s="1"/>
  <c r="AS78" i="19"/>
  <c r="BH74" i="26"/>
  <c r="DP74" i="19" s="1"/>
  <c r="AS74" i="19"/>
  <c r="BH70" i="26"/>
  <c r="DP70" i="19" s="1"/>
  <c r="AS70" i="19"/>
  <c r="BH66" i="26"/>
  <c r="DP66" i="19" s="1"/>
  <c r="AS66" i="19"/>
  <c r="BH62" i="26"/>
  <c r="DP62" i="19" s="1"/>
  <c r="AS62" i="19"/>
  <c r="BH58" i="26"/>
  <c r="DP58" i="19" s="1"/>
  <c r="AS58" i="19"/>
  <c r="BH54" i="26"/>
  <c r="DP54" i="19" s="1"/>
  <c r="AS54" i="19"/>
  <c r="BH50" i="26"/>
  <c r="DP50" i="19" s="1"/>
  <c r="AS50" i="19"/>
  <c r="BH46" i="26"/>
  <c r="DP46" i="19" s="1"/>
  <c r="AS46" i="19"/>
  <c r="BH42" i="26"/>
  <c r="DP42" i="19" s="1"/>
  <c r="AS42" i="19"/>
  <c r="BH14" i="26"/>
  <c r="DP14" i="19" s="1"/>
  <c r="AS14" i="19"/>
  <c r="P77" i="25"/>
  <c r="P192" i="25"/>
  <c r="P193" i="25" s="1"/>
  <c r="P194" i="25" s="1"/>
  <c r="P195" i="25" s="1"/>
  <c r="P58" i="25"/>
  <c r="P78" i="25"/>
  <c r="P57" i="25"/>
  <c r="P87" i="25"/>
  <c r="AC52" i="25"/>
  <c r="P68" i="25"/>
  <c r="P90" i="25"/>
  <c r="P69" i="25"/>
  <c r="S69" i="25"/>
  <c r="P60" i="25"/>
  <c r="P70" i="25"/>
  <c r="P79" i="25"/>
  <c r="P88" i="25"/>
  <c r="P67" i="25"/>
  <c r="P80" i="25"/>
  <c r="P89" i="25"/>
  <c r="W57" i="25"/>
  <c r="AC54" i="25"/>
  <c r="AE66" i="25"/>
  <c r="AC82" i="25"/>
  <c r="AC84" i="25"/>
  <c r="S60" i="25"/>
  <c r="O79" i="25"/>
  <c r="X77" i="25"/>
  <c r="X89" i="25"/>
  <c r="O67" i="25"/>
  <c r="X69" i="25"/>
  <c r="X78" i="25"/>
  <c r="W86" i="25"/>
  <c r="O96" i="25"/>
  <c r="O46" i="25"/>
  <c r="K35" i="25"/>
  <c r="AC57" i="25"/>
  <c r="O58" i="25"/>
  <c r="W66" i="25"/>
  <c r="S67" i="25"/>
  <c r="O77" i="25"/>
  <c r="X79" i="25"/>
  <c r="X86" i="25"/>
  <c r="S87" i="25"/>
  <c r="O89" i="25"/>
  <c r="O60" i="25"/>
  <c r="O69" i="25"/>
  <c r="S77" i="25"/>
  <c r="O78" i="25"/>
  <c r="AC86" i="25"/>
  <c r="S89" i="25"/>
  <c r="AT36" i="25"/>
  <c r="W56" i="25"/>
  <c r="V87" i="25"/>
  <c r="AT38" i="25"/>
  <c r="W89" i="25"/>
  <c r="X57" i="25"/>
  <c r="S58" i="25"/>
  <c r="V67" i="25"/>
  <c r="Y72" i="25"/>
  <c r="S78" i="25"/>
  <c r="S79" i="25"/>
  <c r="W87" i="25"/>
  <c r="Q95" i="25"/>
  <c r="P96" i="25"/>
  <c r="Q96" i="25" s="1"/>
  <c r="K37" i="25"/>
  <c r="AC56" i="25"/>
  <c r="V58" i="25"/>
  <c r="Y70" i="25"/>
  <c r="W77" i="25"/>
  <c r="O87" i="25"/>
  <c r="B100" i="25"/>
  <c r="O100" i="25" s="1"/>
  <c r="V59" i="25"/>
  <c r="W90" i="25"/>
  <c r="B52" i="25"/>
  <c r="O52" i="25" s="1"/>
  <c r="O56" i="25"/>
  <c r="W59" i="25"/>
  <c r="W76" i="25"/>
  <c r="AG76" i="25"/>
  <c r="AC87" i="25"/>
  <c r="AE92" i="25"/>
  <c r="T95" i="25"/>
  <c r="K38" i="25"/>
  <c r="O47" i="25"/>
  <c r="S47" i="25"/>
  <c r="X47" i="25"/>
  <c r="O48" i="25"/>
  <c r="S48" i="25"/>
  <c r="X48" i="25"/>
  <c r="V57" i="25"/>
  <c r="O59" i="25"/>
  <c r="S59" i="25"/>
  <c r="X59" i="25"/>
  <c r="O66" i="25"/>
  <c r="S88" i="25"/>
  <c r="O88" i="25"/>
  <c r="V88" i="25"/>
  <c r="X76" i="25"/>
  <c r="O76" i="25"/>
  <c r="S80" i="25"/>
  <c r="O80" i="25"/>
  <c r="V80" i="25"/>
  <c r="B136" i="25"/>
  <c r="O136" i="25" s="1"/>
  <c r="AG78" i="25"/>
  <c r="V47" i="25"/>
  <c r="V48" i="25"/>
  <c r="B118" i="25"/>
  <c r="O118" i="25" s="1"/>
  <c r="AG77" i="25"/>
  <c r="B62" i="25"/>
  <c r="O62" i="25" s="1"/>
  <c r="B154" i="25"/>
  <c r="O154" i="25" s="1"/>
  <c r="B82" i="25"/>
  <c r="O82" i="25" s="1"/>
  <c r="AG79" i="25"/>
  <c r="O57" i="25"/>
  <c r="X60" i="25"/>
  <c r="W60" i="25"/>
  <c r="S68" i="25"/>
  <c r="O68" i="25"/>
  <c r="X68" i="25"/>
  <c r="S70" i="25"/>
  <c r="O70" i="25"/>
  <c r="X70" i="25"/>
  <c r="B72" i="25"/>
  <c r="O72" i="25" s="1"/>
  <c r="Y74" i="25"/>
  <c r="O86" i="25"/>
  <c r="X90" i="25"/>
  <c r="S90" i="25"/>
  <c r="O90" i="25"/>
  <c r="BA250" i="5"/>
  <c r="GP34" i="19" s="1"/>
  <c r="R95" i="25" l="1"/>
  <c r="U95" i="25"/>
  <c r="P159" i="23"/>
  <c r="U160" i="23"/>
  <c r="U161" i="23" s="1"/>
  <c r="U162" i="23" s="1"/>
  <c r="U163" i="23" s="1"/>
  <c r="U164" i="23" s="1"/>
  <c r="U165" i="23" s="1"/>
  <c r="U166" i="23" s="1"/>
  <c r="P142" i="23"/>
  <c r="AB224" i="25"/>
  <c r="AC224" i="25" s="1"/>
  <c r="P140" i="25"/>
  <c r="P141" i="25" s="1"/>
  <c r="P142" i="25" s="1"/>
  <c r="P143" i="25" s="1"/>
  <c r="P144" i="25" s="1"/>
  <c r="P145" i="25" s="1"/>
  <c r="P146" i="25" s="1"/>
  <c r="P147" i="25" s="1"/>
  <c r="P148" i="25" s="1"/>
  <c r="P196" i="25"/>
  <c r="R96" i="25"/>
  <c r="S96" i="25"/>
  <c r="T96" i="25" s="1"/>
  <c r="U96" i="25" s="1"/>
  <c r="AI52" i="25"/>
  <c r="I58" i="1"/>
  <c r="P143" i="23" l="1"/>
  <c r="P160" i="23"/>
  <c r="P158" i="25"/>
  <c r="P159" i="25" s="1"/>
  <c r="P160" i="25" s="1"/>
  <c r="P161" i="25" s="1"/>
  <c r="P162" i="25" s="1"/>
  <c r="P163" i="25" s="1"/>
  <c r="P164" i="25" s="1"/>
  <c r="P165" i="25" s="1"/>
  <c r="P166" i="25" s="1"/>
  <c r="P197" i="25"/>
  <c r="P198" i="25" s="1"/>
  <c r="AA220" i="5"/>
  <c r="Z215" i="25" s="1"/>
  <c r="P161" i="23" l="1"/>
  <c r="P144" i="23"/>
  <c r="P199" i="25"/>
  <c r="AL11" i="5"/>
  <c r="AL12" i="5"/>
  <c r="AL13" i="5"/>
  <c r="AL14" i="5"/>
  <c r="AL15" i="5"/>
  <c r="AL16" i="5"/>
  <c r="AL17" i="5"/>
  <c r="AL18" i="5"/>
  <c r="AL19" i="5"/>
  <c r="AL20" i="5"/>
  <c r="AL21" i="5"/>
  <c r="AL10" i="5"/>
  <c r="P162" i="23" l="1"/>
  <c r="P145" i="23"/>
  <c r="P200" i="25"/>
  <c r="AL202" i="5"/>
  <c r="AI220" i="5" s="1"/>
  <c r="AL215" i="5"/>
  <c r="AL216" i="5"/>
  <c r="AL217" i="5"/>
  <c r="AL218" i="5"/>
  <c r="AL219" i="5"/>
  <c r="AL220" i="5"/>
  <c r="AL221" i="5"/>
  <c r="AL222" i="5"/>
  <c r="AL223" i="5"/>
  <c r="AL214" i="5"/>
  <c r="AA223" i="5"/>
  <c r="Z218" i="25" s="1"/>
  <c r="AA222" i="5"/>
  <c r="Z217" i="25" s="1"/>
  <c r="AA221" i="5"/>
  <c r="Z216" i="25" s="1"/>
  <c r="AA219" i="5"/>
  <c r="Z214" i="25" s="1"/>
  <c r="AA218" i="5"/>
  <c r="Z213" i="25" s="1"/>
  <c r="AA217" i="5"/>
  <c r="Z212" i="25" s="1"/>
  <c r="AA216" i="5"/>
  <c r="Z211" i="25" s="1"/>
  <c r="AA215" i="5"/>
  <c r="Z210" i="25" s="1"/>
  <c r="AA214" i="5"/>
  <c r="Z209" i="25" s="1"/>
  <c r="AB197" i="25" l="1"/>
  <c r="AM197" i="25" s="1"/>
  <c r="AQ202" i="5"/>
  <c r="P146" i="23"/>
  <c r="P163" i="23"/>
  <c r="W29" i="16"/>
  <c r="W26" i="16"/>
  <c r="P164" i="23" l="1"/>
  <c r="P147" i="23"/>
  <c r="D48" i="1"/>
  <c r="AL22" i="5" l="1"/>
  <c r="BA224" i="5"/>
  <c r="P148" i="23"/>
  <c r="P165" i="23"/>
  <c r="I22" i="1"/>
  <c r="P166" i="23" l="1"/>
  <c r="AB92" i="24"/>
  <c r="AB66" i="24"/>
  <c r="AB66" i="23"/>
  <c r="AB92" i="23"/>
  <c r="AB66" i="22"/>
  <c r="AB92" i="22"/>
  <c r="AB66" i="21"/>
  <c r="AB92" i="21"/>
  <c r="AB66" i="20"/>
  <c r="AB92" i="20"/>
  <c r="AF165" i="5" l="1"/>
  <c r="AF166" i="5"/>
  <c r="AF167" i="5"/>
  <c r="AF168" i="5"/>
  <c r="AF169" i="5"/>
  <c r="AF170" i="5"/>
  <c r="AF171" i="5"/>
  <c r="AF172" i="5"/>
  <c r="AF173" i="5"/>
  <c r="AF164" i="5"/>
  <c r="AF147" i="5"/>
  <c r="AF148" i="5"/>
  <c r="AF149" i="5"/>
  <c r="AF150" i="5"/>
  <c r="AF151" i="5"/>
  <c r="AF152" i="5"/>
  <c r="AF153" i="5"/>
  <c r="AF154" i="5"/>
  <c r="AF155" i="5"/>
  <c r="AF146" i="5"/>
  <c r="AF129" i="5"/>
  <c r="AF130" i="5"/>
  <c r="AF131" i="5"/>
  <c r="AF132" i="5"/>
  <c r="AF133" i="5"/>
  <c r="AF134" i="5"/>
  <c r="AF135" i="5"/>
  <c r="AF136" i="5"/>
  <c r="AF137" i="5"/>
  <c r="AF128" i="5"/>
  <c r="AF111" i="5"/>
  <c r="AF112" i="5"/>
  <c r="AF113" i="5"/>
  <c r="AF114" i="5"/>
  <c r="AF115" i="5"/>
  <c r="AF116" i="5"/>
  <c r="AF117" i="5"/>
  <c r="AF118" i="5"/>
  <c r="AF119" i="5"/>
  <c r="AF110" i="5"/>
  <c r="K5" i="15" l="1"/>
  <c r="AF162" i="5" l="1"/>
  <c r="AF144" i="5"/>
  <c r="AF126" i="5"/>
  <c r="AF108" i="5"/>
  <c r="AA16" i="15" l="1"/>
  <c r="T16" i="15"/>
  <c r="AE11" i="5" l="1"/>
  <c r="S20" i="5" s="1"/>
  <c r="U20" i="5" l="1"/>
  <c r="R11" i="5" l="1"/>
  <c r="AM11" i="5" l="1"/>
  <c r="AM12" i="5"/>
  <c r="AM13" i="5"/>
  <c r="AM14" i="5"/>
  <c r="AM15" i="5"/>
  <c r="AM16" i="5"/>
  <c r="AM17" i="5"/>
  <c r="AM18" i="5"/>
  <c r="AM19" i="5"/>
  <c r="AM20" i="5"/>
  <c r="V39" i="5"/>
  <c r="V38" i="5"/>
  <c r="V37" i="5"/>
  <c r="V36" i="5"/>
  <c r="V26" i="5"/>
  <c r="V27" i="5"/>
  <c r="V28" i="5"/>
  <c r="V29" i="5"/>
  <c r="V30" i="5"/>
  <c r="V31" i="5"/>
  <c r="V32" i="5"/>
  <c r="V25" i="5"/>
  <c r="T39" i="5"/>
  <c r="T38" i="5"/>
  <c r="T37" i="5"/>
  <c r="T36" i="5"/>
  <c r="T26" i="5"/>
  <c r="T27" i="5"/>
  <c r="T28" i="5"/>
  <c r="T29" i="5"/>
  <c r="T30" i="5"/>
  <c r="T31" i="5"/>
  <c r="T32" i="5"/>
  <c r="T25" i="5"/>
  <c r="R39" i="5"/>
  <c r="R38" i="5"/>
  <c r="R37" i="5"/>
  <c r="R36" i="5"/>
  <c r="R26" i="5"/>
  <c r="R27" i="5"/>
  <c r="R28" i="5"/>
  <c r="R29" i="5"/>
  <c r="R30" i="5"/>
  <c r="R31" i="5"/>
  <c r="R32" i="5"/>
  <c r="R25" i="5"/>
  <c r="V22" i="5"/>
  <c r="V21" i="5"/>
  <c r="V20" i="5"/>
  <c r="V19" i="5"/>
  <c r="V11" i="5"/>
  <c r="V12" i="5"/>
  <c r="V13" i="5"/>
  <c r="V14" i="5"/>
  <c r="V15" i="5"/>
  <c r="V16" i="5"/>
  <c r="V17" i="5"/>
  <c r="V10" i="5"/>
  <c r="T22" i="5"/>
  <c r="T21" i="5"/>
  <c r="T20" i="5"/>
  <c r="T19" i="5"/>
  <c r="T11" i="5"/>
  <c r="T12" i="5"/>
  <c r="T13" i="5"/>
  <c r="T14" i="5"/>
  <c r="T15" i="5"/>
  <c r="T16" i="5"/>
  <c r="T17" i="5"/>
  <c r="T10" i="5"/>
  <c r="R22" i="5"/>
  <c r="R21" i="5"/>
  <c r="R20" i="5"/>
  <c r="R19" i="5"/>
  <c r="R17" i="5"/>
  <c r="R14" i="5"/>
  <c r="R15" i="5"/>
  <c r="R16" i="5"/>
  <c r="R13" i="5"/>
  <c r="R12" i="5"/>
  <c r="R10" i="5"/>
  <c r="HJ17" i="19" l="1"/>
  <c r="HK17" i="19"/>
  <c r="HL17" i="19"/>
  <c r="HM17" i="19"/>
  <c r="HN17" i="19"/>
  <c r="HI17" i="19"/>
  <c r="Y45" i="15" l="1"/>
  <c r="T64" i="15" l="1"/>
  <c r="X54" i="15"/>
  <c r="X58" i="15"/>
  <c r="X57" i="15"/>
  <c r="X56" i="15"/>
  <c r="X53" i="15"/>
  <c r="X52" i="15"/>
  <c r="X51" i="15"/>
  <c r="T69" i="15"/>
  <c r="T62" i="15"/>
  <c r="T63" i="15"/>
  <c r="T65" i="15"/>
  <c r="T66" i="15"/>
  <c r="T68" i="15"/>
  <c r="T70" i="15"/>
  <c r="T67" i="15"/>
  <c r="V15" i="13"/>
  <c r="BI16" i="25" s="1"/>
  <c r="V9" i="13"/>
  <c r="BI10" i="25" s="1"/>
  <c r="V11" i="13"/>
  <c r="BI12" i="25" s="1"/>
  <c r="V12" i="13"/>
  <c r="BI13" i="25" s="1"/>
  <c r="V10" i="13"/>
  <c r="BI11" i="25" s="1"/>
  <c r="BA232" i="5"/>
  <c r="BJ10" i="25" l="1"/>
  <c r="Y61" i="15"/>
  <c r="Y51" i="15"/>
  <c r="Y53" i="15" s="1"/>
  <c r="GP11" i="19" s="1"/>
  <c r="W9" i="13"/>
  <c r="GQ26" i="19" s="1"/>
  <c r="I32" i="1"/>
  <c r="AH196" i="5"/>
  <c r="Y191" i="25" s="1"/>
  <c r="AH197" i="5"/>
  <c r="Y192" i="25" s="1"/>
  <c r="AH198" i="5"/>
  <c r="Y193" i="25" s="1"/>
  <c r="AH199" i="5"/>
  <c r="Y194" i="25" s="1"/>
  <c r="AH200" i="5"/>
  <c r="Y195" i="25" s="1"/>
  <c r="AH201" i="5"/>
  <c r="Y196" i="25" s="1"/>
  <c r="AH202" i="5"/>
  <c r="Y197" i="25" s="1"/>
  <c r="AH203" i="5"/>
  <c r="Y198" i="25" s="1"/>
  <c r="AH204" i="5"/>
  <c r="Y199" i="25" s="1"/>
  <c r="AH205" i="5"/>
  <c r="Y200" i="25" s="1"/>
  <c r="AH195" i="5"/>
  <c r="Y190" i="25" s="1"/>
  <c r="AG196" i="5"/>
  <c r="X191" i="25" s="1"/>
  <c r="AG197" i="5"/>
  <c r="X192" i="25" s="1"/>
  <c r="AG198" i="5"/>
  <c r="X193" i="25" s="1"/>
  <c r="AG199" i="5"/>
  <c r="X194" i="25" s="1"/>
  <c r="AG200" i="5"/>
  <c r="X195" i="25" s="1"/>
  <c r="AG201" i="5"/>
  <c r="X196" i="25" s="1"/>
  <c r="AG202" i="5"/>
  <c r="X197" i="25" s="1"/>
  <c r="AG203" i="5"/>
  <c r="X198" i="25" s="1"/>
  <c r="AG204" i="5"/>
  <c r="X199" i="25" s="1"/>
  <c r="AG205" i="5"/>
  <c r="X200" i="25" s="1"/>
  <c r="X190" i="25"/>
  <c r="AU22" i="5"/>
  <c r="U182" i="5"/>
  <c r="U183" i="5"/>
  <c r="U184" i="5"/>
  <c r="U185" i="5"/>
  <c r="U186" i="5"/>
  <c r="U187" i="5"/>
  <c r="U188" i="5"/>
  <c r="U189" i="5"/>
  <c r="U190" i="5"/>
  <c r="U181" i="5"/>
  <c r="R53" i="1"/>
  <c r="R55" i="1"/>
  <c r="R56" i="1"/>
  <c r="R58" i="1"/>
  <c r="R59" i="1"/>
  <c r="R60" i="1"/>
  <c r="R52" i="1"/>
  <c r="R62" i="1" l="1"/>
  <c r="GP18" i="19" s="1"/>
  <c r="GX41" i="19" s="1"/>
  <c r="GU33" i="19" s="1"/>
  <c r="BA96" i="5" l="1"/>
  <c r="AT25" i="5" s="1"/>
  <c r="AT19" i="5"/>
  <c r="AT20" i="5"/>
  <c r="AT21" i="5"/>
  <c r="AT18" i="5"/>
  <c r="O28" i="15"/>
  <c r="J4" i="11"/>
  <c r="AU18" i="5" l="1"/>
  <c r="B52" i="11"/>
  <c r="B73" i="5"/>
  <c r="B83" i="5" s="1"/>
  <c r="B84" i="5" l="1"/>
  <c r="B93" i="5"/>
  <c r="B94" i="5" s="1"/>
  <c r="B102" i="5" s="1"/>
  <c r="B118" i="5" s="1"/>
  <c r="B74" i="5"/>
  <c r="AU9" i="13"/>
  <c r="AU14" i="13"/>
  <c r="AU13" i="13"/>
  <c r="AU12" i="13"/>
  <c r="AU11" i="13"/>
  <c r="AU10" i="13"/>
  <c r="B136" i="5" l="1"/>
  <c r="B119" i="5"/>
  <c r="AE30" i="5"/>
  <c r="O20" i="16"/>
  <c r="O16" i="16"/>
  <c r="O18" i="16"/>
  <c r="O8" i="16"/>
  <c r="O12" i="16"/>
  <c r="O10" i="16"/>
  <c r="S36" i="5" l="1"/>
  <c r="W36" i="5"/>
  <c r="U36" i="5"/>
  <c r="B154" i="5"/>
  <c r="B137" i="5"/>
  <c r="AU250" i="5"/>
  <c r="AU257" i="5"/>
  <c r="T35" i="13"/>
  <c r="S35" i="13"/>
  <c r="M35" i="13"/>
  <c r="B155" i="5" l="1"/>
  <c r="B172" i="5"/>
  <c r="B173" i="5" s="1"/>
  <c r="Y35" i="13"/>
  <c r="AJ35" i="13" s="1"/>
  <c r="S344" i="5"/>
  <c r="R291" i="5"/>
  <c r="R287" i="5"/>
  <c r="R283" i="5"/>
  <c r="S291" i="5"/>
  <c r="S287" i="5"/>
  <c r="S283" i="5"/>
  <c r="S279" i="5"/>
  <c r="P279" i="5"/>
  <c r="Q279" i="5" s="1"/>
  <c r="R279" i="5" s="1"/>
  <c r="AX131" i="5"/>
  <c r="AX127" i="5"/>
  <c r="AX128" i="5"/>
  <c r="AX129" i="5"/>
  <c r="AX126" i="5"/>
  <c r="AY263" i="5"/>
  <c r="GT75" i="19" s="1"/>
  <c r="BA176" i="11"/>
  <c r="AT176" i="11"/>
  <c r="BA156" i="11"/>
  <c r="AT156" i="11"/>
  <c r="C94" i="5"/>
  <c r="C93" i="5"/>
  <c r="C84" i="5"/>
  <c r="C83" i="5"/>
  <c r="C74" i="5"/>
  <c r="C73" i="5"/>
  <c r="Q100" i="5"/>
  <c r="R100" i="5" s="1"/>
  <c r="Q101" i="5"/>
  <c r="T101" i="5" s="1"/>
  <c r="U101" i="5" s="1"/>
  <c r="Q99" i="5"/>
  <c r="P100" i="5"/>
  <c r="P101" i="5"/>
  <c r="P99" i="5"/>
  <c r="P10" i="1"/>
  <c r="T279" i="5" l="1"/>
  <c r="AY131" i="5"/>
  <c r="T100" i="5"/>
  <c r="U100" i="5" s="1"/>
  <c r="V100" i="5" s="1"/>
  <c r="R101" i="5"/>
  <c r="S101" i="5" s="1"/>
  <c r="S100" i="5"/>
  <c r="V101" i="5"/>
  <c r="T237" i="5" l="1"/>
  <c r="AN207" i="5" l="1"/>
  <c r="AL207" i="5"/>
  <c r="AP207" i="5" l="1"/>
  <c r="EV8" i="19"/>
  <c r="EV10" i="19"/>
  <c r="EV16" i="19"/>
  <c r="EV18" i="19"/>
  <c r="U64" i="13"/>
  <c r="U62" i="13"/>
  <c r="U60" i="13"/>
  <c r="AE175" i="24" l="1"/>
  <c r="G170" i="24"/>
  <c r="F170" i="24"/>
  <c r="E170" i="24"/>
  <c r="G152" i="24"/>
  <c r="F152" i="24"/>
  <c r="E152" i="24"/>
  <c r="G134" i="24"/>
  <c r="F134" i="24"/>
  <c r="E134" i="24"/>
  <c r="G116" i="24"/>
  <c r="F116" i="24"/>
  <c r="E116" i="24"/>
  <c r="L96" i="24"/>
  <c r="K96" i="24"/>
  <c r="L95" i="24"/>
  <c r="K95" i="24"/>
  <c r="K90" i="24"/>
  <c r="W90" i="24" s="1"/>
  <c r="J90" i="24"/>
  <c r="K89" i="24"/>
  <c r="W89" i="24" s="1"/>
  <c r="J89" i="24"/>
  <c r="K88" i="24"/>
  <c r="W88" i="24" s="1"/>
  <c r="J88" i="24"/>
  <c r="AA87" i="24"/>
  <c r="K87" i="24"/>
  <c r="W87" i="24" s="1"/>
  <c r="J87" i="24"/>
  <c r="AA86" i="24"/>
  <c r="K86" i="24"/>
  <c r="W86" i="24" s="1"/>
  <c r="J86" i="24"/>
  <c r="X85" i="24"/>
  <c r="AA84" i="24"/>
  <c r="X84" i="24"/>
  <c r="X83" i="24"/>
  <c r="AA82" i="24"/>
  <c r="X82" i="24"/>
  <c r="X81" i="24"/>
  <c r="K80" i="24"/>
  <c r="W80" i="24" s="1"/>
  <c r="J80" i="24"/>
  <c r="K79" i="24"/>
  <c r="W79" i="24" s="1"/>
  <c r="J79" i="24"/>
  <c r="K78" i="24"/>
  <c r="W78" i="24" s="1"/>
  <c r="J78" i="24"/>
  <c r="K77" i="24"/>
  <c r="W77" i="24" s="1"/>
  <c r="J77" i="24"/>
  <c r="K76" i="24"/>
  <c r="J76" i="24"/>
  <c r="X75" i="24"/>
  <c r="X74" i="24"/>
  <c r="X73" i="24"/>
  <c r="AW72" i="24"/>
  <c r="X72" i="24"/>
  <c r="X71" i="24"/>
  <c r="K70" i="24"/>
  <c r="W70" i="24" s="1"/>
  <c r="J70" i="24"/>
  <c r="K69" i="24"/>
  <c r="W69" i="24" s="1"/>
  <c r="J69" i="24"/>
  <c r="K68" i="24"/>
  <c r="W68" i="24" s="1"/>
  <c r="J68" i="24"/>
  <c r="K67" i="24"/>
  <c r="W67" i="24" s="1"/>
  <c r="J67" i="24"/>
  <c r="Z66" i="24"/>
  <c r="Y92" i="24" s="1"/>
  <c r="K66" i="24"/>
  <c r="W66" i="24" s="1"/>
  <c r="J66" i="24"/>
  <c r="X65" i="24"/>
  <c r="AW64" i="24"/>
  <c r="X64" i="24"/>
  <c r="X63" i="24"/>
  <c r="X62" i="24"/>
  <c r="X61" i="24"/>
  <c r="K60" i="24"/>
  <c r="W60" i="24" s="1"/>
  <c r="J60" i="24"/>
  <c r="K59" i="24"/>
  <c r="W59" i="24" s="1"/>
  <c r="J59" i="24"/>
  <c r="K58" i="24"/>
  <c r="W58" i="24" s="1"/>
  <c r="J58" i="24"/>
  <c r="AB57" i="24"/>
  <c r="AB87" i="24" s="1"/>
  <c r="AA57" i="24"/>
  <c r="K57" i="24"/>
  <c r="W57" i="24" s="1"/>
  <c r="J57" i="24"/>
  <c r="AB56" i="24"/>
  <c r="AB86" i="24" s="1"/>
  <c r="AA56" i="24"/>
  <c r="K56" i="24"/>
  <c r="J56" i="24"/>
  <c r="X55" i="24"/>
  <c r="AB54" i="24"/>
  <c r="AB84" i="24" s="1"/>
  <c r="AA54" i="24"/>
  <c r="X54" i="24"/>
  <c r="X53" i="24"/>
  <c r="AB52" i="24"/>
  <c r="AA52" i="24"/>
  <c r="X52" i="24"/>
  <c r="X51" i="24"/>
  <c r="X50" i="24"/>
  <c r="X49" i="24"/>
  <c r="AG48" i="24"/>
  <c r="K48" i="24"/>
  <c r="J48" i="24"/>
  <c r="AG47" i="24"/>
  <c r="K47" i="24"/>
  <c r="J47" i="24"/>
  <c r="AG46" i="24"/>
  <c r="K46" i="24"/>
  <c r="J46" i="24"/>
  <c r="AG44" i="24"/>
  <c r="AW38" i="24"/>
  <c r="AV38" i="24"/>
  <c r="AS38" i="24"/>
  <c r="AR38" i="24"/>
  <c r="C38" i="24"/>
  <c r="B82" i="24" s="1"/>
  <c r="O82" i="24" s="1"/>
  <c r="AW37" i="24"/>
  <c r="AV37" i="24"/>
  <c r="AS37" i="24"/>
  <c r="AR37" i="24"/>
  <c r="C37" i="24"/>
  <c r="B136" i="24" s="1"/>
  <c r="O136" i="24" s="1"/>
  <c r="AW36" i="24"/>
  <c r="AV36" i="24"/>
  <c r="AS36" i="24"/>
  <c r="AR36" i="24"/>
  <c r="C36" i="24"/>
  <c r="B118" i="24" s="1"/>
  <c r="O118" i="24" s="1"/>
  <c r="AW35" i="24"/>
  <c r="AV35" i="24"/>
  <c r="AS35" i="24"/>
  <c r="AR35" i="24"/>
  <c r="C35" i="24"/>
  <c r="B100" i="24" s="1"/>
  <c r="O100" i="24" s="1"/>
  <c r="C29" i="24"/>
  <c r="C27" i="24"/>
  <c r="C24" i="24"/>
  <c r="C21" i="24"/>
  <c r="C18" i="24"/>
  <c r="C16" i="24"/>
  <c r="C14" i="24"/>
  <c r="C13" i="24"/>
  <c r="C12" i="24"/>
  <c r="C11" i="24"/>
  <c r="C10" i="24"/>
  <c r="C9" i="24"/>
  <c r="B9" i="24"/>
  <c r="EZ6" i="19"/>
  <c r="FC6" i="19" s="1"/>
  <c r="EZ7" i="19"/>
  <c r="FC7" i="19" s="1"/>
  <c r="EZ8" i="19"/>
  <c r="FC8" i="19" s="1"/>
  <c r="EZ9" i="19"/>
  <c r="FC9" i="19" s="1"/>
  <c r="EZ10" i="19"/>
  <c r="FC10" i="19" s="1"/>
  <c r="EZ11" i="19"/>
  <c r="FC11" i="19" s="1"/>
  <c r="EZ12" i="19"/>
  <c r="FC12" i="19" s="1"/>
  <c r="EZ13" i="19"/>
  <c r="FC13" i="19" s="1"/>
  <c r="EZ14" i="19"/>
  <c r="FC14" i="19" s="1"/>
  <c r="EZ15" i="19"/>
  <c r="FC15" i="19" s="1"/>
  <c r="EZ16" i="19"/>
  <c r="FC16" i="19" s="1"/>
  <c r="EZ17" i="19"/>
  <c r="FC17" i="19" s="1"/>
  <c r="EZ18" i="19"/>
  <c r="FC18" i="19" s="1"/>
  <c r="EZ19" i="19"/>
  <c r="FC19" i="19" s="1"/>
  <c r="EZ20" i="19"/>
  <c r="FC20" i="19" s="1"/>
  <c r="EZ5" i="19"/>
  <c r="FC5" i="19" s="1"/>
  <c r="R105" i="20"/>
  <c r="R106" i="20" s="1"/>
  <c r="R107" i="20" s="1"/>
  <c r="R108" i="20" s="1"/>
  <c r="R109" i="20" s="1"/>
  <c r="R110" i="20" s="1"/>
  <c r="R111" i="20" s="1"/>
  <c r="R112" i="20" s="1"/>
  <c r="R122" i="20" s="1"/>
  <c r="R123" i="20" s="1"/>
  <c r="R124" i="20" s="1"/>
  <c r="R125" i="20" s="1"/>
  <c r="R126" i="20" s="1"/>
  <c r="R127" i="20" s="1"/>
  <c r="R128" i="20" s="1"/>
  <c r="R129" i="20" s="1"/>
  <c r="R130" i="20" s="1"/>
  <c r="R140" i="20" s="1"/>
  <c r="R141" i="20" s="1"/>
  <c r="R142" i="20" s="1"/>
  <c r="R143" i="20" s="1"/>
  <c r="R144" i="20" s="1"/>
  <c r="R145" i="20" s="1"/>
  <c r="R146" i="20" s="1"/>
  <c r="R147" i="20" s="1"/>
  <c r="R148" i="20" s="1"/>
  <c r="R158" i="20" s="1"/>
  <c r="R159" i="20" s="1"/>
  <c r="R160" i="20" s="1"/>
  <c r="R161" i="20" s="1"/>
  <c r="R162" i="20" s="1"/>
  <c r="R163" i="20" s="1"/>
  <c r="R164" i="20" s="1"/>
  <c r="R165" i="20" s="1"/>
  <c r="R166" i="20" s="1"/>
  <c r="P105" i="20"/>
  <c r="P106" i="20" s="1"/>
  <c r="P107" i="20" s="1"/>
  <c r="P108" i="20" s="1"/>
  <c r="P109" i="20" s="1"/>
  <c r="P110" i="20" s="1"/>
  <c r="P111" i="20" s="1"/>
  <c r="P112" i="20" s="1"/>
  <c r="P122" i="20" s="1"/>
  <c r="P123" i="20" s="1"/>
  <c r="P124" i="20" s="1"/>
  <c r="P125" i="20" s="1"/>
  <c r="P126" i="20" s="1"/>
  <c r="P127" i="20" s="1"/>
  <c r="P128" i="20" s="1"/>
  <c r="P129" i="20" s="1"/>
  <c r="P130" i="20" s="1"/>
  <c r="P140" i="20" s="1"/>
  <c r="P141" i="20" s="1"/>
  <c r="P142" i="20" s="1"/>
  <c r="P143" i="20" s="1"/>
  <c r="P144" i="20" s="1"/>
  <c r="P145" i="20" s="1"/>
  <c r="P146" i="20" s="1"/>
  <c r="P147" i="20" s="1"/>
  <c r="P148" i="20" s="1"/>
  <c r="P158" i="20" s="1"/>
  <c r="P159" i="20" s="1"/>
  <c r="P160" i="20" s="1"/>
  <c r="P161" i="20" s="1"/>
  <c r="P162" i="20" s="1"/>
  <c r="P163" i="20" s="1"/>
  <c r="P164" i="20" s="1"/>
  <c r="P165" i="20" s="1"/>
  <c r="P166" i="20" s="1"/>
  <c r="C18" i="23"/>
  <c r="C18" i="22"/>
  <c r="C18" i="21"/>
  <c r="C18" i="20"/>
  <c r="C21" i="20"/>
  <c r="C16" i="20"/>
  <c r="AE175" i="23"/>
  <c r="G170" i="23"/>
  <c r="F170" i="23"/>
  <c r="E170" i="23"/>
  <c r="G152" i="23"/>
  <c r="F152" i="23"/>
  <c r="E152" i="23"/>
  <c r="G134" i="23"/>
  <c r="F134" i="23"/>
  <c r="E134" i="23"/>
  <c r="G116" i="23"/>
  <c r="F116" i="23"/>
  <c r="E116" i="23"/>
  <c r="L96" i="23"/>
  <c r="K96" i="23"/>
  <c r="P95" i="23"/>
  <c r="P96" i="23" s="1"/>
  <c r="S96" i="23" s="1"/>
  <c r="L95" i="23"/>
  <c r="K95" i="23"/>
  <c r="K90" i="23"/>
  <c r="W90" i="23" s="1"/>
  <c r="J90" i="23"/>
  <c r="K89" i="23"/>
  <c r="W89" i="23" s="1"/>
  <c r="J89" i="23"/>
  <c r="K88" i="23"/>
  <c r="W88" i="23" s="1"/>
  <c r="J88" i="23"/>
  <c r="AA87" i="23"/>
  <c r="K87" i="23"/>
  <c r="W87" i="23" s="1"/>
  <c r="J87" i="23"/>
  <c r="AA86" i="23"/>
  <c r="K86" i="23"/>
  <c r="J86" i="23"/>
  <c r="X85" i="23"/>
  <c r="AA84" i="23"/>
  <c r="X84" i="23"/>
  <c r="X83" i="23"/>
  <c r="AA82" i="23"/>
  <c r="X82" i="23"/>
  <c r="X81" i="23"/>
  <c r="K80" i="23"/>
  <c r="W80" i="23" s="1"/>
  <c r="J80" i="23"/>
  <c r="K79" i="23"/>
  <c r="W79" i="23" s="1"/>
  <c r="J79" i="23"/>
  <c r="K78" i="23"/>
  <c r="W78" i="23" s="1"/>
  <c r="J78" i="23"/>
  <c r="K77" i="23"/>
  <c r="W77" i="23" s="1"/>
  <c r="J77" i="23"/>
  <c r="K76" i="23"/>
  <c r="J76" i="23"/>
  <c r="X75" i="23"/>
  <c r="X74" i="23"/>
  <c r="X73" i="23"/>
  <c r="AW72" i="23"/>
  <c r="X72" i="23"/>
  <c r="X71" i="23"/>
  <c r="K70" i="23"/>
  <c r="W70" i="23" s="1"/>
  <c r="J70" i="23"/>
  <c r="K69" i="23"/>
  <c r="W69" i="23" s="1"/>
  <c r="J69" i="23"/>
  <c r="K68" i="23"/>
  <c r="W68" i="23" s="1"/>
  <c r="J68" i="23"/>
  <c r="K67" i="23"/>
  <c r="W67" i="23" s="1"/>
  <c r="J67" i="23"/>
  <c r="Z66" i="23"/>
  <c r="Y92" i="23" s="1"/>
  <c r="K66" i="23"/>
  <c r="W66" i="23" s="1"/>
  <c r="J66" i="23"/>
  <c r="X65" i="23"/>
  <c r="AW64" i="23"/>
  <c r="X64" i="23"/>
  <c r="X63" i="23"/>
  <c r="X62" i="23"/>
  <c r="X61" i="23"/>
  <c r="K60" i="23"/>
  <c r="W60" i="23" s="1"/>
  <c r="J60" i="23"/>
  <c r="K59" i="23"/>
  <c r="W59" i="23" s="1"/>
  <c r="J59" i="23"/>
  <c r="K58" i="23"/>
  <c r="W58" i="23" s="1"/>
  <c r="J58" i="23"/>
  <c r="AB57" i="23"/>
  <c r="AB87" i="23" s="1"/>
  <c r="AA57" i="23"/>
  <c r="K57" i="23"/>
  <c r="W57" i="23" s="1"/>
  <c r="J57" i="23"/>
  <c r="AB56" i="23"/>
  <c r="AB86" i="23" s="1"/>
  <c r="AA56" i="23"/>
  <c r="K56" i="23"/>
  <c r="W56" i="23" s="1"/>
  <c r="J56" i="23"/>
  <c r="X55" i="23"/>
  <c r="AB54" i="23"/>
  <c r="AB84" i="23" s="1"/>
  <c r="AA54" i="23"/>
  <c r="X54" i="23"/>
  <c r="X53" i="23"/>
  <c r="AB52" i="23"/>
  <c r="AB82" i="23" s="1"/>
  <c r="AA52" i="23"/>
  <c r="X52" i="23"/>
  <c r="X51" i="23"/>
  <c r="X50" i="23"/>
  <c r="X49" i="23"/>
  <c r="AG48" i="23"/>
  <c r="K48" i="23"/>
  <c r="J48" i="23"/>
  <c r="AG47" i="23"/>
  <c r="K47" i="23"/>
  <c r="J47" i="23"/>
  <c r="AG46" i="23"/>
  <c r="K46" i="23"/>
  <c r="J46" i="23"/>
  <c r="AG44" i="23"/>
  <c r="AW38" i="23"/>
  <c r="AV38" i="23"/>
  <c r="AS38" i="23"/>
  <c r="AR38" i="23"/>
  <c r="C38" i="23"/>
  <c r="B154" i="23" s="1"/>
  <c r="O154" i="23" s="1"/>
  <c r="AW37" i="23"/>
  <c r="AV37" i="23"/>
  <c r="AS37" i="23"/>
  <c r="AR37" i="23"/>
  <c r="C37" i="23"/>
  <c r="AW36" i="23"/>
  <c r="AV36" i="23"/>
  <c r="AS36" i="23"/>
  <c r="AR36" i="23"/>
  <c r="C36" i="23"/>
  <c r="B118" i="23" s="1"/>
  <c r="O118" i="23" s="1"/>
  <c r="AW35" i="23"/>
  <c r="AV35" i="23"/>
  <c r="AS35" i="23"/>
  <c r="AR35" i="23"/>
  <c r="C35" i="23"/>
  <c r="C29" i="23"/>
  <c r="C27" i="23"/>
  <c r="C24" i="23"/>
  <c r="C21" i="23"/>
  <c r="C16" i="23"/>
  <c r="C14" i="23"/>
  <c r="C13" i="23"/>
  <c r="C12" i="23"/>
  <c r="C11" i="23"/>
  <c r="C10" i="23"/>
  <c r="C9" i="23"/>
  <c r="B9" i="23"/>
  <c r="AE175" i="22"/>
  <c r="G170" i="22"/>
  <c r="F170" i="22"/>
  <c r="E170" i="22"/>
  <c r="AD156" i="22"/>
  <c r="G152" i="22"/>
  <c r="F152" i="22"/>
  <c r="E152" i="22"/>
  <c r="AD138" i="22"/>
  <c r="G134" i="22"/>
  <c r="F134" i="22"/>
  <c r="E134" i="22"/>
  <c r="AD120" i="22"/>
  <c r="G116" i="22"/>
  <c r="F116" i="22"/>
  <c r="E116" i="22"/>
  <c r="AD102" i="22"/>
  <c r="L96" i="22"/>
  <c r="K96" i="22"/>
  <c r="P95" i="22"/>
  <c r="L95" i="22"/>
  <c r="K95" i="22"/>
  <c r="K90" i="22"/>
  <c r="J90" i="22"/>
  <c r="S90" i="22" s="1"/>
  <c r="K89" i="22"/>
  <c r="J89" i="22"/>
  <c r="K88" i="22"/>
  <c r="J88" i="22"/>
  <c r="X88" i="22" s="1"/>
  <c r="AA87" i="22"/>
  <c r="K87" i="22"/>
  <c r="W87" i="22" s="1"/>
  <c r="J87" i="22"/>
  <c r="AA86" i="22"/>
  <c r="K86" i="22"/>
  <c r="J86" i="22"/>
  <c r="X85" i="22"/>
  <c r="AA84" i="22"/>
  <c r="X84" i="22"/>
  <c r="X83" i="22"/>
  <c r="AA82" i="22"/>
  <c r="X82" i="22"/>
  <c r="X81" i="22"/>
  <c r="K80" i="22"/>
  <c r="J80" i="22"/>
  <c r="X80" i="22" s="1"/>
  <c r="K79" i="22"/>
  <c r="J79" i="22"/>
  <c r="K78" i="22"/>
  <c r="J78" i="22"/>
  <c r="K77" i="22"/>
  <c r="J77" i="22"/>
  <c r="H77" i="22" s="1"/>
  <c r="K76" i="22"/>
  <c r="J76" i="22"/>
  <c r="X76" i="22" s="1"/>
  <c r="X75" i="22"/>
  <c r="X74" i="22"/>
  <c r="X73" i="22"/>
  <c r="AW72" i="22"/>
  <c r="X72" i="22"/>
  <c r="X71" i="22"/>
  <c r="K70" i="22"/>
  <c r="J70" i="22"/>
  <c r="X70" i="22" s="1"/>
  <c r="K69" i="22"/>
  <c r="W69" i="22" s="1"/>
  <c r="J69" i="22"/>
  <c r="K68" i="22"/>
  <c r="J68" i="22"/>
  <c r="V68" i="22" s="1"/>
  <c r="K67" i="22"/>
  <c r="W67" i="22" s="1"/>
  <c r="J67" i="22"/>
  <c r="X67" i="22" s="1"/>
  <c r="Z66" i="22"/>
  <c r="K66" i="22"/>
  <c r="J66" i="22"/>
  <c r="X65" i="22"/>
  <c r="AW64" i="22"/>
  <c r="X64" i="22"/>
  <c r="X63" i="22"/>
  <c r="X62" i="22"/>
  <c r="X61" i="22"/>
  <c r="K60" i="22"/>
  <c r="W60" i="22" s="1"/>
  <c r="J60" i="22"/>
  <c r="S60" i="22" s="1"/>
  <c r="K59" i="22"/>
  <c r="J59" i="22"/>
  <c r="S59" i="22" s="1"/>
  <c r="K58" i="22"/>
  <c r="J58" i="22"/>
  <c r="AB57" i="22"/>
  <c r="AB87" i="22" s="1"/>
  <c r="AA57" i="22"/>
  <c r="K57" i="22"/>
  <c r="W57" i="22" s="1"/>
  <c r="J57" i="22"/>
  <c r="S57" i="22" s="1"/>
  <c r="AB56" i="22"/>
  <c r="AB86" i="22" s="1"/>
  <c r="AA56" i="22"/>
  <c r="K56" i="22"/>
  <c r="J56" i="22"/>
  <c r="X55" i="22"/>
  <c r="AB54" i="22"/>
  <c r="AB84" i="22" s="1"/>
  <c r="AA54" i="22"/>
  <c r="X54" i="22"/>
  <c r="X53" i="22"/>
  <c r="AB52" i="22"/>
  <c r="AA52" i="22"/>
  <c r="X52" i="22"/>
  <c r="X51" i="22"/>
  <c r="X50" i="22"/>
  <c r="X49" i="22"/>
  <c r="AG48" i="22"/>
  <c r="K48" i="22"/>
  <c r="J48" i="22"/>
  <c r="AG47" i="22"/>
  <c r="K47" i="22"/>
  <c r="J47" i="22"/>
  <c r="S47" i="22" s="1"/>
  <c r="AG46" i="22"/>
  <c r="K46" i="22"/>
  <c r="J46" i="22"/>
  <c r="AG44" i="22"/>
  <c r="AW38" i="22"/>
  <c r="AV38" i="22"/>
  <c r="AS38" i="22"/>
  <c r="AR38" i="22"/>
  <c r="C38" i="22"/>
  <c r="K38" i="22" s="1"/>
  <c r="AW37" i="22"/>
  <c r="AV37" i="22"/>
  <c r="AS37" i="22"/>
  <c r="AR37" i="22"/>
  <c r="C37" i="22"/>
  <c r="B136" i="22" s="1"/>
  <c r="O136" i="22" s="1"/>
  <c r="AW36" i="22"/>
  <c r="AV36" i="22"/>
  <c r="AS36" i="22"/>
  <c r="AR36" i="22"/>
  <c r="C36" i="22"/>
  <c r="K36" i="22" s="1"/>
  <c r="AW35" i="22"/>
  <c r="AV35" i="22"/>
  <c r="AS35" i="22"/>
  <c r="AR35" i="22"/>
  <c r="C35" i="22"/>
  <c r="B100" i="22" s="1"/>
  <c r="O100" i="22" s="1"/>
  <c r="C29" i="22"/>
  <c r="C27" i="22"/>
  <c r="C24" i="22"/>
  <c r="C21" i="22"/>
  <c r="C16" i="22"/>
  <c r="C14" i="22"/>
  <c r="C13" i="22"/>
  <c r="C12" i="22"/>
  <c r="C11" i="22"/>
  <c r="C10" i="22"/>
  <c r="C9" i="22"/>
  <c r="B9" i="22"/>
  <c r="AE175" i="21"/>
  <c r="G170" i="21"/>
  <c r="F170" i="21"/>
  <c r="E170" i="21"/>
  <c r="AD156" i="21"/>
  <c r="G152" i="21"/>
  <c r="F152" i="21"/>
  <c r="E152" i="21"/>
  <c r="AD138" i="21"/>
  <c r="G134" i="21"/>
  <c r="F134" i="21"/>
  <c r="E134" i="21"/>
  <c r="AD120" i="21"/>
  <c r="G116" i="21"/>
  <c r="F116" i="21"/>
  <c r="E116" i="21"/>
  <c r="AD102" i="21"/>
  <c r="L96" i="21"/>
  <c r="K96" i="21"/>
  <c r="P95" i="21"/>
  <c r="S95" i="21" s="1"/>
  <c r="L95" i="21"/>
  <c r="K95" i="21"/>
  <c r="K90" i="21"/>
  <c r="J90" i="21"/>
  <c r="K89" i="21"/>
  <c r="J89" i="21"/>
  <c r="K88" i="21"/>
  <c r="W88" i="21" s="1"/>
  <c r="J88" i="21"/>
  <c r="V88" i="21" s="1"/>
  <c r="AA87" i="21"/>
  <c r="K87" i="21"/>
  <c r="W87" i="21" s="1"/>
  <c r="J87" i="21"/>
  <c r="V87" i="21" s="1"/>
  <c r="AA86" i="21"/>
  <c r="K86" i="21"/>
  <c r="J86" i="21"/>
  <c r="X85" i="21"/>
  <c r="AA84" i="21"/>
  <c r="X84" i="21"/>
  <c r="X83" i="21"/>
  <c r="AA82" i="21"/>
  <c r="X82" i="21"/>
  <c r="X81" i="21"/>
  <c r="K80" i="21"/>
  <c r="W80" i="21" s="1"/>
  <c r="J80" i="21"/>
  <c r="K79" i="21"/>
  <c r="J79" i="21"/>
  <c r="K78" i="21"/>
  <c r="W78" i="21" s="1"/>
  <c r="J78" i="21"/>
  <c r="V78" i="21" s="1"/>
  <c r="K77" i="21"/>
  <c r="J77" i="21"/>
  <c r="V77" i="21" s="1"/>
  <c r="K76" i="21"/>
  <c r="J76" i="21"/>
  <c r="X75" i="21"/>
  <c r="X74" i="21"/>
  <c r="X73" i="21"/>
  <c r="AW72" i="21"/>
  <c r="X72" i="21"/>
  <c r="X71" i="21"/>
  <c r="K70" i="21"/>
  <c r="W70" i="21" s="1"/>
  <c r="J70" i="21"/>
  <c r="K69" i="21"/>
  <c r="J69" i="21"/>
  <c r="K68" i="21"/>
  <c r="W68" i="21" s="1"/>
  <c r="J68" i="21"/>
  <c r="K67" i="21"/>
  <c r="J67" i="21"/>
  <c r="V67" i="21" s="1"/>
  <c r="Z66" i="21"/>
  <c r="Y92" i="21" s="1"/>
  <c r="K66" i="21"/>
  <c r="J66" i="21"/>
  <c r="X66" i="21" s="1"/>
  <c r="X65" i="21"/>
  <c r="AW64" i="21"/>
  <c r="X64" i="21"/>
  <c r="X63" i="21"/>
  <c r="X62" i="21"/>
  <c r="X61" i="21"/>
  <c r="K60" i="21"/>
  <c r="J60" i="21"/>
  <c r="K59" i="21"/>
  <c r="W59" i="21" s="1"/>
  <c r="J59" i="21"/>
  <c r="K58" i="21"/>
  <c r="J58" i="21"/>
  <c r="V58" i="21" s="1"/>
  <c r="AB57" i="21"/>
  <c r="AB87" i="21" s="1"/>
  <c r="AA57" i="21"/>
  <c r="K57" i="21"/>
  <c r="J57" i="21"/>
  <c r="V57" i="21" s="1"/>
  <c r="AB56" i="21"/>
  <c r="AB86" i="21" s="1"/>
  <c r="AA56" i="21"/>
  <c r="K56" i="21"/>
  <c r="J56" i="21"/>
  <c r="H56" i="21" s="1"/>
  <c r="X55" i="21"/>
  <c r="AB54" i="21"/>
  <c r="AB84" i="21" s="1"/>
  <c r="AA54" i="21"/>
  <c r="X54" i="21"/>
  <c r="X53" i="21"/>
  <c r="AB52" i="21"/>
  <c r="AB82" i="21" s="1"/>
  <c r="AA52" i="21"/>
  <c r="X52" i="21"/>
  <c r="X51" i="21"/>
  <c r="X50" i="21"/>
  <c r="X49" i="21"/>
  <c r="AG48" i="21"/>
  <c r="K48" i="21"/>
  <c r="J48" i="21"/>
  <c r="AG47" i="21"/>
  <c r="K47" i="21"/>
  <c r="J47" i="21"/>
  <c r="AG46" i="21"/>
  <c r="K46" i="21"/>
  <c r="J46" i="21"/>
  <c r="AG44" i="21"/>
  <c r="AW38" i="21"/>
  <c r="AV38" i="21"/>
  <c r="AS38" i="21"/>
  <c r="AR38" i="21"/>
  <c r="C38" i="21"/>
  <c r="AG79" i="21" s="1"/>
  <c r="AW37" i="21"/>
  <c r="AV37" i="21"/>
  <c r="AS37" i="21"/>
  <c r="AR37" i="21"/>
  <c r="C37" i="21"/>
  <c r="B72" i="21" s="1"/>
  <c r="O72" i="21" s="1"/>
  <c r="AW36" i="21"/>
  <c r="AV36" i="21"/>
  <c r="AS36" i="21"/>
  <c r="AR36" i="21"/>
  <c r="C36" i="21"/>
  <c r="AW35" i="21"/>
  <c r="AV35" i="21"/>
  <c r="AS35" i="21"/>
  <c r="AR35" i="21"/>
  <c r="C35" i="21"/>
  <c r="K35" i="21" s="1"/>
  <c r="C29" i="21"/>
  <c r="C27" i="21"/>
  <c r="C24" i="21"/>
  <c r="C21" i="21"/>
  <c r="C16" i="21"/>
  <c r="C14" i="21"/>
  <c r="C13" i="21"/>
  <c r="C12" i="21"/>
  <c r="C11" i="21"/>
  <c r="C10" i="21"/>
  <c r="C9" i="21"/>
  <c r="B9" i="21"/>
  <c r="W86" i="23" l="1"/>
  <c r="W56" i="24"/>
  <c r="W76" i="23"/>
  <c r="V48" i="22"/>
  <c r="S48" i="22"/>
  <c r="X68" i="23"/>
  <c r="S68" i="23"/>
  <c r="O68" i="23"/>
  <c r="V68" i="23"/>
  <c r="S70" i="23"/>
  <c r="O70" i="23"/>
  <c r="V70" i="23"/>
  <c r="X76" i="23"/>
  <c r="O76" i="23"/>
  <c r="X78" i="23"/>
  <c r="V78" i="23"/>
  <c r="O78" i="23"/>
  <c r="S78" i="23"/>
  <c r="V80" i="23"/>
  <c r="O80" i="23"/>
  <c r="S80" i="23"/>
  <c r="S87" i="23"/>
  <c r="O87" i="23"/>
  <c r="V87" i="23"/>
  <c r="V47" i="24"/>
  <c r="S47" i="24"/>
  <c r="O47" i="24"/>
  <c r="V67" i="24"/>
  <c r="O67" i="24"/>
  <c r="S67" i="24"/>
  <c r="V69" i="24"/>
  <c r="S69" i="24"/>
  <c r="O69" i="24"/>
  <c r="S77" i="24"/>
  <c r="V77" i="24"/>
  <c r="O77" i="24"/>
  <c r="X79" i="24"/>
  <c r="S79" i="24"/>
  <c r="O79" i="24"/>
  <c r="V79" i="24"/>
  <c r="O48" i="23"/>
  <c r="V48" i="23"/>
  <c r="S48" i="23"/>
  <c r="V59" i="23"/>
  <c r="S59" i="23"/>
  <c r="O59" i="23"/>
  <c r="X86" i="23"/>
  <c r="O86" i="23"/>
  <c r="H89" i="23"/>
  <c r="S89" i="23"/>
  <c r="O89" i="23"/>
  <c r="V89" i="23"/>
  <c r="X56" i="24"/>
  <c r="O56" i="24"/>
  <c r="O57" i="24"/>
  <c r="V57" i="24"/>
  <c r="S57" i="24"/>
  <c r="O58" i="24"/>
  <c r="V58" i="24"/>
  <c r="S58" i="24"/>
  <c r="X60" i="24"/>
  <c r="O60" i="24"/>
  <c r="S60" i="24"/>
  <c r="V60" i="24"/>
  <c r="O66" i="24"/>
  <c r="O88" i="24"/>
  <c r="V88" i="24"/>
  <c r="S88" i="24"/>
  <c r="O90" i="24"/>
  <c r="V90" i="24"/>
  <c r="S90" i="24"/>
  <c r="O96" i="24"/>
  <c r="Q96" i="24"/>
  <c r="T96" i="24"/>
  <c r="V58" i="22"/>
  <c r="S58" i="22"/>
  <c r="V47" i="23"/>
  <c r="S47" i="23"/>
  <c r="O47" i="23"/>
  <c r="S67" i="23"/>
  <c r="O67" i="23"/>
  <c r="V67" i="23"/>
  <c r="S69" i="23"/>
  <c r="O69" i="23"/>
  <c r="V69" i="23"/>
  <c r="V77" i="23"/>
  <c r="S77" i="23"/>
  <c r="O77" i="23"/>
  <c r="X79" i="23"/>
  <c r="V79" i="23"/>
  <c r="O79" i="23"/>
  <c r="S79" i="23"/>
  <c r="V68" i="24"/>
  <c r="S68" i="24"/>
  <c r="O68" i="24"/>
  <c r="X70" i="24"/>
  <c r="V70" i="24"/>
  <c r="S70" i="24"/>
  <c r="O70" i="24"/>
  <c r="H76" i="24"/>
  <c r="O76" i="24"/>
  <c r="S78" i="24"/>
  <c r="O78" i="24"/>
  <c r="V78" i="24"/>
  <c r="S80" i="24"/>
  <c r="V80" i="24"/>
  <c r="O80" i="24"/>
  <c r="O87" i="24"/>
  <c r="V87" i="24"/>
  <c r="S87" i="24"/>
  <c r="X56" i="23"/>
  <c r="O56" i="23"/>
  <c r="V57" i="23"/>
  <c r="O57" i="23"/>
  <c r="S57" i="23"/>
  <c r="X58" i="23"/>
  <c r="V58" i="23"/>
  <c r="S58" i="23"/>
  <c r="O58" i="23"/>
  <c r="V60" i="23"/>
  <c r="S60" i="23"/>
  <c r="O60" i="23"/>
  <c r="X66" i="23"/>
  <c r="O66" i="23"/>
  <c r="X88" i="23"/>
  <c r="S88" i="23"/>
  <c r="V88" i="23"/>
  <c r="O88" i="23"/>
  <c r="S90" i="23"/>
  <c r="V90" i="23"/>
  <c r="O90" i="23"/>
  <c r="O48" i="24"/>
  <c r="S48" i="24"/>
  <c r="V48" i="24"/>
  <c r="O59" i="24"/>
  <c r="S59" i="24"/>
  <c r="V59" i="24"/>
  <c r="W76" i="24"/>
  <c r="X86" i="24"/>
  <c r="O86" i="24"/>
  <c r="V89" i="24"/>
  <c r="S89" i="24"/>
  <c r="O89" i="24"/>
  <c r="Q95" i="24"/>
  <c r="O95" i="24"/>
  <c r="T95" i="24"/>
  <c r="O46" i="24"/>
  <c r="X46" i="22"/>
  <c r="O46" i="23"/>
  <c r="Q95" i="21"/>
  <c r="W79" i="21"/>
  <c r="W89" i="22"/>
  <c r="W89" i="21"/>
  <c r="O96" i="23"/>
  <c r="O96" i="22"/>
  <c r="O96" i="21"/>
  <c r="S95" i="23"/>
  <c r="T95" i="23" s="1"/>
  <c r="P96" i="21"/>
  <c r="S96" i="21" s="1"/>
  <c r="T96" i="21" s="1"/>
  <c r="W56" i="21"/>
  <c r="H69" i="21"/>
  <c r="X87" i="21"/>
  <c r="O47" i="21"/>
  <c r="S57" i="21"/>
  <c r="AC54" i="24"/>
  <c r="I46" i="22"/>
  <c r="AC52" i="23"/>
  <c r="O70" i="22"/>
  <c r="O46" i="22"/>
  <c r="H58" i="24"/>
  <c r="AC86" i="21"/>
  <c r="W76" i="22"/>
  <c r="O67" i="21"/>
  <c r="W68" i="22"/>
  <c r="W86" i="22"/>
  <c r="O95" i="23"/>
  <c r="AC57" i="22"/>
  <c r="H47" i="21"/>
  <c r="X47" i="21"/>
  <c r="H66" i="21"/>
  <c r="X67" i="21"/>
  <c r="H79" i="21"/>
  <c r="AE92" i="24"/>
  <c r="B62" i="24"/>
  <c r="O62" i="24" s="1"/>
  <c r="O77" i="21"/>
  <c r="AC87" i="22"/>
  <c r="AC82" i="21"/>
  <c r="AC54" i="21"/>
  <c r="O69" i="21"/>
  <c r="O87" i="21"/>
  <c r="O89" i="21"/>
  <c r="H76" i="22"/>
  <c r="O80" i="22"/>
  <c r="S88" i="22"/>
  <c r="H48" i="24"/>
  <c r="AC86" i="24"/>
  <c r="H60" i="24"/>
  <c r="H79" i="24"/>
  <c r="B72" i="24"/>
  <c r="O72" i="24" s="1"/>
  <c r="X57" i="23"/>
  <c r="Q36" i="23"/>
  <c r="AE121" i="23" s="1"/>
  <c r="X69" i="21"/>
  <c r="W76" i="21"/>
  <c r="W77" i="21"/>
  <c r="X78" i="21"/>
  <c r="O79" i="21"/>
  <c r="H89" i="21"/>
  <c r="K38" i="21"/>
  <c r="AC54" i="22"/>
  <c r="H57" i="22"/>
  <c r="S70" i="22"/>
  <c r="H89" i="22"/>
  <c r="H67" i="23"/>
  <c r="X67" i="23"/>
  <c r="AG78" i="24"/>
  <c r="H88" i="24"/>
  <c r="Q35" i="24"/>
  <c r="O58" i="21"/>
  <c r="O59" i="21"/>
  <c r="X77" i="21"/>
  <c r="X89" i="21"/>
  <c r="Q37" i="22"/>
  <c r="AE139" i="22" s="1"/>
  <c r="X57" i="24"/>
  <c r="X88" i="24"/>
  <c r="AC84" i="21"/>
  <c r="X58" i="21"/>
  <c r="X79" i="21"/>
  <c r="H46" i="22"/>
  <c r="I48" i="22"/>
  <c r="H67" i="22"/>
  <c r="O76" i="22"/>
  <c r="O88" i="22"/>
  <c r="AC54" i="23"/>
  <c r="H57" i="23"/>
  <c r="AC87" i="23"/>
  <c r="AE92" i="23"/>
  <c r="V48" i="21"/>
  <c r="W58" i="21"/>
  <c r="W59" i="22"/>
  <c r="B100" i="23"/>
  <c r="O100" i="23" s="1"/>
  <c r="Q35" i="23"/>
  <c r="AE103" i="23" s="1"/>
  <c r="X47" i="23"/>
  <c r="I47" i="23"/>
  <c r="X70" i="23"/>
  <c r="W67" i="21"/>
  <c r="H46" i="23"/>
  <c r="X48" i="23"/>
  <c r="I48" i="23"/>
  <c r="X80" i="23"/>
  <c r="W60" i="21"/>
  <c r="O57" i="22"/>
  <c r="V57" i="22"/>
  <c r="X57" i="22"/>
  <c r="O89" i="22"/>
  <c r="X89" i="22"/>
  <c r="B136" i="23"/>
  <c r="O136" i="23" s="1"/>
  <c r="Q37" i="23"/>
  <c r="K37" i="21"/>
  <c r="O46" i="21"/>
  <c r="I47" i="21"/>
  <c r="H48" i="21"/>
  <c r="O48" i="21"/>
  <c r="O56" i="21"/>
  <c r="H58" i="21"/>
  <c r="H59" i="21"/>
  <c r="X59" i="21"/>
  <c r="O66" i="21"/>
  <c r="H67" i="21"/>
  <c r="S67" i="21"/>
  <c r="H77" i="21"/>
  <c r="S77" i="21"/>
  <c r="H78" i="21"/>
  <c r="S78" i="21"/>
  <c r="H87" i="21"/>
  <c r="S87" i="21"/>
  <c r="AT35" i="22"/>
  <c r="B82" i="22"/>
  <c r="O82" i="22" s="1"/>
  <c r="AG79" i="22"/>
  <c r="H60" i="22"/>
  <c r="X66" i="22"/>
  <c r="H66" i="22"/>
  <c r="X68" i="22"/>
  <c r="S68" i="22"/>
  <c r="O68" i="22"/>
  <c r="W77" i="22"/>
  <c r="K35" i="22"/>
  <c r="H60" i="23"/>
  <c r="H76" i="23"/>
  <c r="AC56" i="24"/>
  <c r="K36" i="21"/>
  <c r="X59" i="23"/>
  <c r="H59" i="23"/>
  <c r="X48" i="21"/>
  <c r="I48" i="21"/>
  <c r="S48" i="21"/>
  <c r="S58" i="21"/>
  <c r="W69" i="21"/>
  <c r="X47" i="22"/>
  <c r="O60" i="22"/>
  <c r="V60" i="22"/>
  <c r="X60" i="22"/>
  <c r="X77" i="22"/>
  <c r="W80" i="22"/>
  <c r="X86" i="22"/>
  <c r="O86" i="22"/>
  <c r="I46" i="23"/>
  <c r="X46" i="23"/>
  <c r="AC56" i="23"/>
  <c r="X60" i="23"/>
  <c r="X69" i="23"/>
  <c r="H69" i="23"/>
  <c r="X46" i="24"/>
  <c r="I46" i="24"/>
  <c r="H46" i="24"/>
  <c r="AT37" i="22"/>
  <c r="AC56" i="22"/>
  <c r="V70" i="22"/>
  <c r="S80" i="22"/>
  <c r="V88" i="22"/>
  <c r="K37" i="22"/>
  <c r="H66" i="23"/>
  <c r="AC86" i="23"/>
  <c r="X89" i="23"/>
  <c r="X90" i="23"/>
  <c r="Q96" i="23"/>
  <c r="AT36" i="24"/>
  <c r="AT37" i="24"/>
  <c r="AT38" i="24"/>
  <c r="H47" i="24"/>
  <c r="X48" i="24"/>
  <c r="H56" i="24"/>
  <c r="X58" i="24"/>
  <c r="X76" i="24"/>
  <c r="AG77" i="24"/>
  <c r="X80" i="24"/>
  <c r="Q38" i="24"/>
  <c r="W90" i="21"/>
  <c r="T95" i="21"/>
  <c r="AG78" i="22"/>
  <c r="V80" i="22"/>
  <c r="W88" i="22"/>
  <c r="AC82" i="23"/>
  <c r="H87" i="23"/>
  <c r="H90" i="23"/>
  <c r="Q38" i="23"/>
  <c r="AE157" i="23" s="1"/>
  <c r="K35" i="23"/>
  <c r="K38" i="23"/>
  <c r="K37" i="23"/>
  <c r="K36" i="23"/>
  <c r="AT35" i="24"/>
  <c r="X47" i="24"/>
  <c r="H57" i="24"/>
  <c r="AC57" i="24"/>
  <c r="Y70" i="24"/>
  <c r="AG76" i="24"/>
  <c r="H78" i="24"/>
  <c r="H80" i="24"/>
  <c r="H86" i="24"/>
  <c r="K35" i="24"/>
  <c r="Q37" i="24"/>
  <c r="K38" i="24"/>
  <c r="K36" i="24"/>
  <c r="X87" i="23"/>
  <c r="X78" i="24"/>
  <c r="AC87" i="24"/>
  <c r="K37" i="24"/>
  <c r="Q36" i="24"/>
  <c r="AE92" i="21"/>
  <c r="AE66" i="21"/>
  <c r="AE66" i="23"/>
  <c r="AE66" i="24"/>
  <c r="X68" i="24"/>
  <c r="H68" i="24"/>
  <c r="AC52" i="24"/>
  <c r="AB82" i="24"/>
  <c r="AC82" i="24" s="1"/>
  <c r="AC84" i="24"/>
  <c r="B154" i="24"/>
  <c r="O154" i="24" s="1"/>
  <c r="AG79" i="24"/>
  <c r="I47" i="24"/>
  <c r="I48" i="24"/>
  <c r="H59" i="24"/>
  <c r="X59" i="24"/>
  <c r="H66" i="24"/>
  <c r="X66" i="24"/>
  <c r="H67" i="24"/>
  <c r="X67" i="24"/>
  <c r="H69" i="24"/>
  <c r="X69" i="24"/>
  <c r="H77" i="24"/>
  <c r="X77" i="24"/>
  <c r="X87" i="24"/>
  <c r="H87" i="24"/>
  <c r="X90" i="24"/>
  <c r="B52" i="24"/>
  <c r="O52" i="24" s="1"/>
  <c r="H70" i="24"/>
  <c r="Y72" i="24"/>
  <c r="Y74" i="24"/>
  <c r="Y76" i="24"/>
  <c r="X89" i="24"/>
  <c r="H89" i="24"/>
  <c r="H90" i="24"/>
  <c r="AC84" i="23"/>
  <c r="H77" i="23"/>
  <c r="X77" i="23"/>
  <c r="AG79" i="23"/>
  <c r="AT36" i="23"/>
  <c r="AT38" i="23"/>
  <c r="AC57" i="23"/>
  <c r="B62" i="23"/>
  <c r="O62" i="23" s="1"/>
  <c r="AG77" i="23"/>
  <c r="AG78" i="23"/>
  <c r="B82" i="23"/>
  <c r="O82" i="23" s="1"/>
  <c r="B52" i="23"/>
  <c r="O52" i="23" s="1"/>
  <c r="H68" i="23"/>
  <c r="H70" i="23"/>
  <c r="Y72" i="23"/>
  <c r="Y74" i="23"/>
  <c r="Y76" i="23"/>
  <c r="H80" i="23"/>
  <c r="H86" i="23"/>
  <c r="H88" i="23"/>
  <c r="T96" i="23"/>
  <c r="AT35" i="23"/>
  <c r="AT37" i="23"/>
  <c r="H47" i="23"/>
  <c r="H48" i="23"/>
  <c r="H56" i="23"/>
  <c r="H58" i="23"/>
  <c r="Y70" i="23"/>
  <c r="B72" i="23"/>
  <c r="O72" i="23" s="1"/>
  <c r="AG76" i="23"/>
  <c r="H78" i="23"/>
  <c r="H79" i="23"/>
  <c r="Q95" i="23"/>
  <c r="B118" i="22"/>
  <c r="O118" i="22" s="1"/>
  <c r="Y72" i="22"/>
  <c r="AG77" i="22"/>
  <c r="O59" i="22"/>
  <c r="X59" i="22"/>
  <c r="H59" i="22"/>
  <c r="B62" i="22"/>
  <c r="O62" i="22" s="1"/>
  <c r="AT36" i="22"/>
  <c r="I47" i="22"/>
  <c r="O47" i="22"/>
  <c r="H47" i="22"/>
  <c r="AB82" i="22"/>
  <c r="AC82" i="22" s="1"/>
  <c r="AC52" i="22"/>
  <c r="S78" i="22"/>
  <c r="O78" i="22"/>
  <c r="X78" i="22"/>
  <c r="H78" i="22"/>
  <c r="V78" i="22"/>
  <c r="W90" i="22"/>
  <c r="S95" i="22"/>
  <c r="T95" i="22" s="1"/>
  <c r="P96" i="22"/>
  <c r="Q95" i="22"/>
  <c r="O69" i="22"/>
  <c r="X69" i="22"/>
  <c r="H69" i="22"/>
  <c r="W70" i="22"/>
  <c r="W56" i="22"/>
  <c r="W58" i="22"/>
  <c r="Y92" i="22"/>
  <c r="AE92" i="22" s="1"/>
  <c r="AE66" i="22"/>
  <c r="O79" i="22"/>
  <c r="X79" i="22"/>
  <c r="H79" i="22"/>
  <c r="V87" i="22"/>
  <c r="S87" i="22"/>
  <c r="O87" i="22"/>
  <c r="H48" i="22"/>
  <c r="O48" i="22"/>
  <c r="W66" i="22"/>
  <c r="O66" i="22"/>
  <c r="V67" i="22"/>
  <c r="S67" i="22"/>
  <c r="O67" i="22"/>
  <c r="W79" i="22"/>
  <c r="AC84" i="22"/>
  <c r="X90" i="22"/>
  <c r="H90" i="22"/>
  <c r="O90" i="22"/>
  <c r="V90" i="22"/>
  <c r="B154" i="22"/>
  <c r="O154" i="22" s="1"/>
  <c r="Y76" i="22"/>
  <c r="AT38" i="22"/>
  <c r="X48" i="22"/>
  <c r="O56" i="22"/>
  <c r="X56" i="22"/>
  <c r="H56" i="22"/>
  <c r="O58" i="22"/>
  <c r="X58" i="22"/>
  <c r="H58" i="22"/>
  <c r="V77" i="22"/>
  <c r="S77" i="22"/>
  <c r="O77" i="22"/>
  <c r="W78" i="22"/>
  <c r="AC86" i="22"/>
  <c r="H87" i="22"/>
  <c r="X87" i="22"/>
  <c r="Y70" i="22"/>
  <c r="B72" i="22"/>
  <c r="O72" i="22" s="1"/>
  <c r="AG76" i="22"/>
  <c r="O95" i="22"/>
  <c r="B52" i="22"/>
  <c r="O52" i="22" s="1"/>
  <c r="H68" i="22"/>
  <c r="H70" i="22"/>
  <c r="Y74" i="22"/>
  <c r="H80" i="22"/>
  <c r="H86" i="22"/>
  <c r="H88" i="22"/>
  <c r="AC87" i="21"/>
  <c r="X60" i="21"/>
  <c r="H60" i="21"/>
  <c r="S68" i="21"/>
  <c r="O68" i="21"/>
  <c r="X76" i="21"/>
  <c r="H76" i="21"/>
  <c r="O86" i="21"/>
  <c r="B136" i="21"/>
  <c r="O136" i="21" s="1"/>
  <c r="AG78" i="21"/>
  <c r="AT37" i="21"/>
  <c r="H46" i="21"/>
  <c r="AC52" i="21"/>
  <c r="X57" i="21"/>
  <c r="H57" i="21"/>
  <c r="W57" i="21"/>
  <c r="S60" i="21"/>
  <c r="W66" i="21"/>
  <c r="Y70" i="21"/>
  <c r="Y76" i="21"/>
  <c r="AG76" i="21"/>
  <c r="W86" i="21"/>
  <c r="H88" i="21"/>
  <c r="X90" i="21"/>
  <c r="H90" i="21"/>
  <c r="S90" i="21"/>
  <c r="V90" i="21"/>
  <c r="B100" i="21"/>
  <c r="O100" i="21" s="1"/>
  <c r="X68" i="21"/>
  <c r="AT35" i="21"/>
  <c r="I46" i="21"/>
  <c r="X46" i="21"/>
  <c r="O60" i="21"/>
  <c r="Y74" i="21"/>
  <c r="O76" i="21"/>
  <c r="S88" i="21"/>
  <c r="O88" i="21"/>
  <c r="X88" i="21"/>
  <c r="S70" i="21"/>
  <c r="O70" i="21"/>
  <c r="X70" i="21"/>
  <c r="S80" i="21"/>
  <c r="O80" i="21"/>
  <c r="X80" i="21"/>
  <c r="X86" i="21"/>
  <c r="B154" i="21"/>
  <c r="O154" i="21" s="1"/>
  <c r="B82" i="21"/>
  <c r="O82" i="21" s="1"/>
  <c r="AT38" i="21"/>
  <c r="B118" i="21"/>
  <c r="O118" i="21" s="1"/>
  <c r="AG77" i="21"/>
  <c r="B62" i="21"/>
  <c r="O62" i="21" s="1"/>
  <c r="AT36" i="21"/>
  <c r="B52" i="21"/>
  <c r="O52" i="21" s="1"/>
  <c r="X56" i="21"/>
  <c r="AC56" i="21"/>
  <c r="O57" i="21"/>
  <c r="AC57" i="21"/>
  <c r="V60" i="21"/>
  <c r="H68" i="21"/>
  <c r="V68" i="21"/>
  <c r="H70" i="21"/>
  <c r="V70" i="21"/>
  <c r="Y72" i="21"/>
  <c r="O78" i="21"/>
  <c r="H80" i="21"/>
  <c r="V80" i="21"/>
  <c r="H86" i="21"/>
  <c r="O90" i="21"/>
  <c r="O95" i="21"/>
  <c r="R95" i="24" l="1"/>
  <c r="U95" i="24"/>
  <c r="AE121" i="24"/>
  <c r="AB72" i="24" s="1"/>
  <c r="AE139" i="23"/>
  <c r="AB74" i="23" s="1"/>
  <c r="AE103" i="24"/>
  <c r="AB70" i="24" s="1"/>
  <c r="U96" i="24"/>
  <c r="AE139" i="24"/>
  <c r="AB74" i="24" s="1"/>
  <c r="AE157" i="24"/>
  <c r="AB76" i="24" s="1"/>
  <c r="R96" i="24"/>
  <c r="R95" i="21"/>
  <c r="Q96" i="21"/>
  <c r="R96" i="21" s="1"/>
  <c r="U96" i="21"/>
  <c r="R96" i="23"/>
  <c r="U96" i="23"/>
  <c r="U95" i="23"/>
  <c r="R95" i="23"/>
  <c r="AI52" i="24"/>
  <c r="AI52" i="23"/>
  <c r="U95" i="22"/>
  <c r="AI52" i="22"/>
  <c r="R95" i="22"/>
  <c r="Q96" i="22"/>
  <c r="R96" i="22" s="1"/>
  <c r="S96" i="22"/>
  <c r="T96" i="22" s="1"/>
  <c r="U96" i="22" s="1"/>
  <c r="U95" i="21"/>
  <c r="AI52" i="21"/>
  <c r="AD156" i="20"/>
  <c r="AD138" i="20"/>
  <c r="AD120" i="20"/>
  <c r="P95" i="20"/>
  <c r="S95" i="20" s="1"/>
  <c r="B9" i="20"/>
  <c r="C35" i="20"/>
  <c r="K56" i="20"/>
  <c r="G134" i="20"/>
  <c r="F134" i="20"/>
  <c r="E134" i="20"/>
  <c r="G170" i="20"/>
  <c r="F170" i="20"/>
  <c r="E170" i="20"/>
  <c r="G152" i="20"/>
  <c r="F152" i="20"/>
  <c r="E152" i="20"/>
  <c r="F116" i="20"/>
  <c r="G116" i="20"/>
  <c r="E116" i="20"/>
  <c r="AA87" i="20"/>
  <c r="AA86" i="20"/>
  <c r="AA84" i="20"/>
  <c r="AA82" i="20"/>
  <c r="AA57" i="20"/>
  <c r="AB57" i="20"/>
  <c r="AB87" i="20" s="1"/>
  <c r="AA56" i="20"/>
  <c r="AB56" i="20"/>
  <c r="AB86" i="20" s="1"/>
  <c r="AA54" i="20"/>
  <c r="AB54" i="20"/>
  <c r="AB84" i="20" s="1"/>
  <c r="AA52" i="20"/>
  <c r="AB52" i="20"/>
  <c r="AB82" i="20" s="1"/>
  <c r="L95" i="20"/>
  <c r="L96" i="20"/>
  <c r="K96" i="20"/>
  <c r="K95" i="20"/>
  <c r="K90" i="20"/>
  <c r="W90" i="20" s="1"/>
  <c r="J90" i="20"/>
  <c r="H90" i="20" s="1"/>
  <c r="K89" i="20"/>
  <c r="J89" i="20"/>
  <c r="K88" i="20"/>
  <c r="W88" i="20" s="1"/>
  <c r="J88" i="20"/>
  <c r="H88" i="20" s="1"/>
  <c r="K87" i="20"/>
  <c r="J87" i="20"/>
  <c r="V87" i="20" s="1"/>
  <c r="K86" i="20"/>
  <c r="J86" i="20"/>
  <c r="H86" i="20" s="1"/>
  <c r="K80" i="20"/>
  <c r="W80" i="20" s="1"/>
  <c r="J80" i="20"/>
  <c r="O80" i="20" s="1"/>
  <c r="K79" i="20"/>
  <c r="J79" i="20"/>
  <c r="K78" i="20"/>
  <c r="W78" i="20" s="1"/>
  <c r="J78" i="20"/>
  <c r="O78" i="20" s="1"/>
  <c r="K77" i="20"/>
  <c r="J77" i="20"/>
  <c r="O77" i="20" s="1"/>
  <c r="K76" i="20"/>
  <c r="J76" i="20"/>
  <c r="H76" i="20" s="1"/>
  <c r="K70" i="20"/>
  <c r="J70" i="20"/>
  <c r="H70" i="20" s="1"/>
  <c r="K69" i="20"/>
  <c r="J69" i="20"/>
  <c r="K68" i="20"/>
  <c r="J68" i="20"/>
  <c r="H68" i="20" s="1"/>
  <c r="K67" i="20"/>
  <c r="W67" i="20" s="1"/>
  <c r="J67" i="20"/>
  <c r="V67" i="20" s="1"/>
  <c r="K66" i="20"/>
  <c r="J66" i="20"/>
  <c r="H66" i="20" s="1"/>
  <c r="AR35" i="20"/>
  <c r="AS35" i="20"/>
  <c r="AV35" i="20"/>
  <c r="AW35" i="20"/>
  <c r="AR36" i="20"/>
  <c r="AS36" i="20"/>
  <c r="AV36" i="20"/>
  <c r="AW36" i="20"/>
  <c r="AR37" i="20"/>
  <c r="AS37" i="20"/>
  <c r="AV37" i="20"/>
  <c r="AW37" i="20"/>
  <c r="AR38" i="20"/>
  <c r="AS38" i="20"/>
  <c r="AV38" i="20"/>
  <c r="AW38" i="20"/>
  <c r="K57" i="20"/>
  <c r="K58" i="20"/>
  <c r="K59" i="20"/>
  <c r="K60" i="20"/>
  <c r="W60" i="20" s="1"/>
  <c r="J57" i="20"/>
  <c r="H57" i="20" s="1"/>
  <c r="J58" i="20"/>
  <c r="O58" i="20" s="1"/>
  <c r="J59" i="20"/>
  <c r="J60" i="20"/>
  <c r="J56" i="20"/>
  <c r="H56" i="20" s="1"/>
  <c r="K48" i="20"/>
  <c r="K47" i="20"/>
  <c r="K46" i="20"/>
  <c r="J47" i="20"/>
  <c r="J48" i="20"/>
  <c r="S48" i="20" s="1"/>
  <c r="J46" i="20"/>
  <c r="I46" i="20" s="1"/>
  <c r="C36" i="20"/>
  <c r="C37" i="20"/>
  <c r="C38" i="20"/>
  <c r="C9" i="20"/>
  <c r="AE175" i="20"/>
  <c r="AD102" i="20"/>
  <c r="X85" i="20"/>
  <c r="X84" i="20"/>
  <c r="X83" i="20"/>
  <c r="X82" i="20"/>
  <c r="X81" i="20"/>
  <c r="X75" i="20"/>
  <c r="X74" i="20"/>
  <c r="X73" i="20"/>
  <c r="AW72" i="20"/>
  <c r="X72" i="20"/>
  <c r="X71" i="20"/>
  <c r="Z66" i="20"/>
  <c r="X65" i="20"/>
  <c r="AW64" i="20"/>
  <c r="X64" i="20"/>
  <c r="X63" i="20"/>
  <c r="X62" i="20"/>
  <c r="X61" i="20"/>
  <c r="X55" i="20"/>
  <c r="X54" i="20"/>
  <c r="X53" i="20"/>
  <c r="X52" i="20"/>
  <c r="X51" i="20"/>
  <c r="X50" i="20"/>
  <c r="X49" i="20"/>
  <c r="AG48" i="20"/>
  <c r="AG47" i="20"/>
  <c r="AG46" i="20"/>
  <c r="AG44" i="20"/>
  <c r="Y51" i="5"/>
  <c r="Y52" i="5"/>
  <c r="Y53" i="5"/>
  <c r="Y54" i="5"/>
  <c r="Y55" i="5"/>
  <c r="Y56" i="5"/>
  <c r="Y57" i="5"/>
  <c r="Y58" i="5"/>
  <c r="Y59" i="5"/>
  <c r="Y60" i="5"/>
  <c r="Y61" i="5"/>
  <c r="Y62" i="5"/>
  <c r="Y63" i="5"/>
  <c r="Y64" i="5"/>
  <c r="Y65" i="5"/>
  <c r="Y66" i="5"/>
  <c r="Y67" i="5"/>
  <c r="Y68" i="5"/>
  <c r="Y69" i="5"/>
  <c r="Y70" i="5"/>
  <c r="Y71" i="5"/>
  <c r="Y72" i="5"/>
  <c r="Y73" i="5"/>
  <c r="Y74" i="5"/>
  <c r="Y75" i="5"/>
  <c r="Y76" i="5"/>
  <c r="Y77" i="5"/>
  <c r="Y78" i="5"/>
  <c r="Y79" i="5"/>
  <c r="Y80" i="5"/>
  <c r="Y81" i="5"/>
  <c r="Y82" i="5"/>
  <c r="Y83" i="5"/>
  <c r="Y84" i="5"/>
  <c r="Y85" i="5"/>
  <c r="Y86" i="5"/>
  <c r="Y87" i="5"/>
  <c r="Y88" i="5"/>
  <c r="Y89" i="5"/>
  <c r="Y90" i="5"/>
  <c r="Y91" i="5"/>
  <c r="Y92" i="5"/>
  <c r="Y93" i="5"/>
  <c r="Y94" i="5"/>
  <c r="P50" i="5"/>
  <c r="AC84" i="20" l="1"/>
  <c r="W69" i="20"/>
  <c r="W59" i="20"/>
  <c r="O96" i="20"/>
  <c r="O79" i="20"/>
  <c r="Q95" i="20"/>
  <c r="AH54" i="22"/>
  <c r="AH96" i="22" s="1"/>
  <c r="AI96" i="22" s="1"/>
  <c r="AJ96" i="22" s="1"/>
  <c r="AK96" i="22" s="1"/>
  <c r="AL96" i="22" s="1"/>
  <c r="AM96" i="22" s="1"/>
  <c r="AN96" i="22" s="1"/>
  <c r="AO96" i="22" s="1"/>
  <c r="AP96" i="22" s="1"/>
  <c r="AQ96" i="22" s="1"/>
  <c r="AR96" i="22" s="1"/>
  <c r="AS96" i="22" s="1"/>
  <c r="AH54" i="24"/>
  <c r="AH96" i="24" s="1"/>
  <c r="AI96" i="24" s="1"/>
  <c r="AJ96" i="24" s="1"/>
  <c r="AK96" i="24" s="1"/>
  <c r="AL96" i="24" s="1"/>
  <c r="AM96" i="24" s="1"/>
  <c r="AN96" i="24" s="1"/>
  <c r="AO96" i="24" s="1"/>
  <c r="AP96" i="24" s="1"/>
  <c r="AQ96" i="24" s="1"/>
  <c r="AR96" i="24" s="1"/>
  <c r="AS96" i="24" s="1"/>
  <c r="AH54" i="23"/>
  <c r="AH96" i="23" s="1"/>
  <c r="AI96" i="23" s="1"/>
  <c r="AJ96" i="23" s="1"/>
  <c r="AK96" i="23" s="1"/>
  <c r="AL96" i="23" s="1"/>
  <c r="AM96" i="23" s="1"/>
  <c r="AN96" i="23" s="1"/>
  <c r="AO96" i="23" s="1"/>
  <c r="AP96" i="23" s="1"/>
  <c r="AQ96" i="23" s="1"/>
  <c r="AR96" i="23" s="1"/>
  <c r="AS96" i="23" s="1"/>
  <c r="X76" i="20"/>
  <c r="O57" i="20"/>
  <c r="AC82" i="20"/>
  <c r="W58" i="20"/>
  <c r="AH54" i="21"/>
  <c r="AH96" i="21" s="1"/>
  <c r="AI96" i="21" s="1"/>
  <c r="AJ96" i="21" s="1"/>
  <c r="AK96" i="21" s="1"/>
  <c r="AL96" i="21" s="1"/>
  <c r="AM96" i="21" s="1"/>
  <c r="AN96" i="21" s="1"/>
  <c r="AO96" i="21" s="1"/>
  <c r="AP96" i="21" s="1"/>
  <c r="AQ96" i="21" s="1"/>
  <c r="AR96" i="21" s="1"/>
  <c r="AS96" i="21" s="1"/>
  <c r="X68" i="20"/>
  <c r="B154" i="20"/>
  <c r="O154" i="20" s="1"/>
  <c r="K38" i="20"/>
  <c r="AT36" i="20"/>
  <c r="K36" i="20"/>
  <c r="Y74" i="20"/>
  <c r="K37" i="20"/>
  <c r="K35" i="20"/>
  <c r="W57" i="20"/>
  <c r="X78" i="20"/>
  <c r="V80" i="20"/>
  <c r="X47" i="20"/>
  <c r="O69" i="20"/>
  <c r="X57" i="20"/>
  <c r="O89" i="20"/>
  <c r="AG77" i="20"/>
  <c r="V57" i="20"/>
  <c r="B62" i="20"/>
  <c r="O62" i="20" s="1"/>
  <c r="Y72" i="20"/>
  <c r="H87" i="20"/>
  <c r="Y70" i="20"/>
  <c r="O88" i="20"/>
  <c r="B118" i="20"/>
  <c r="O118" i="20" s="1"/>
  <c r="S57" i="20"/>
  <c r="H89" i="20"/>
  <c r="O86" i="20"/>
  <c r="X88" i="20"/>
  <c r="H46" i="20"/>
  <c r="AG76" i="20"/>
  <c r="H69" i="20"/>
  <c r="X46" i="20"/>
  <c r="W70" i="20"/>
  <c r="X79" i="20"/>
  <c r="X86" i="20"/>
  <c r="O46" i="20"/>
  <c r="AT35" i="20"/>
  <c r="B52" i="20"/>
  <c r="O52" i="20" s="1"/>
  <c r="W68" i="20"/>
  <c r="X70" i="20"/>
  <c r="X77" i="20"/>
  <c r="X80" i="20"/>
  <c r="X87" i="20"/>
  <c r="X90" i="20"/>
  <c r="O76" i="20"/>
  <c r="S80" i="20"/>
  <c r="AG79" i="20"/>
  <c r="H47" i="20"/>
  <c r="S88" i="20"/>
  <c r="X59" i="20"/>
  <c r="W66" i="20"/>
  <c r="O68" i="20"/>
  <c r="W87" i="20"/>
  <c r="I48" i="20"/>
  <c r="W86" i="20"/>
  <c r="S70" i="20"/>
  <c r="S90" i="20"/>
  <c r="V70" i="20"/>
  <c r="V90" i="20"/>
  <c r="O95" i="20"/>
  <c r="H78" i="20"/>
  <c r="AC86" i="20"/>
  <c r="P96" i="20"/>
  <c r="S68" i="20"/>
  <c r="V68" i="20"/>
  <c r="V88" i="20"/>
  <c r="H59" i="20"/>
  <c r="V48" i="20"/>
  <c r="X66" i="20"/>
  <c r="O90" i="20"/>
  <c r="B100" i="20"/>
  <c r="O100" i="20" s="1"/>
  <c r="S78" i="20"/>
  <c r="V78" i="20"/>
  <c r="H67" i="20"/>
  <c r="H80" i="20"/>
  <c r="B72" i="20"/>
  <c r="O72" i="20" s="1"/>
  <c r="B136" i="20"/>
  <c r="O136" i="20" s="1"/>
  <c r="AG78" i="20"/>
  <c r="I47" i="20"/>
  <c r="H58" i="20"/>
  <c r="V58" i="20"/>
  <c r="S58" i="20"/>
  <c r="O47" i="20"/>
  <c r="X58" i="20"/>
  <c r="W77" i="20"/>
  <c r="W79" i="20"/>
  <c r="H60" i="20"/>
  <c r="V60" i="20"/>
  <c r="S60" i="20"/>
  <c r="W56" i="20"/>
  <c r="W89" i="20"/>
  <c r="P57" i="20"/>
  <c r="P58" i="20" s="1"/>
  <c r="P59" i="20" s="1"/>
  <c r="P60" i="20" s="1"/>
  <c r="P66" i="20" s="1"/>
  <c r="P67" i="20" s="1"/>
  <c r="P68" i="20" s="1"/>
  <c r="P69" i="20" s="1"/>
  <c r="P70" i="20" s="1"/>
  <c r="P76" i="20" s="1"/>
  <c r="P77" i="20" s="1"/>
  <c r="P78" i="20" s="1"/>
  <c r="P79" i="20" s="1"/>
  <c r="P80" i="20" s="1"/>
  <c r="P86" i="20" s="1"/>
  <c r="P87" i="20" s="1"/>
  <c r="P88" i="20" s="1"/>
  <c r="P89" i="20" s="1"/>
  <c r="P90" i="20" s="1"/>
  <c r="W76" i="20"/>
  <c r="S67" i="20"/>
  <c r="S77" i="20"/>
  <c r="S87" i="20"/>
  <c r="V77" i="20"/>
  <c r="H79" i="20"/>
  <c r="AC52" i="20"/>
  <c r="AC56" i="20"/>
  <c r="H48" i="20"/>
  <c r="O66" i="20"/>
  <c r="H77" i="20"/>
  <c r="AC54" i="20"/>
  <c r="AC57" i="20"/>
  <c r="O56" i="20"/>
  <c r="X56" i="20"/>
  <c r="AC87" i="20"/>
  <c r="O87" i="20"/>
  <c r="X89" i="20"/>
  <c r="O67" i="20"/>
  <c r="X69" i="20"/>
  <c r="X67" i="20"/>
  <c r="O70" i="20"/>
  <c r="AT37" i="20"/>
  <c r="X48" i="20"/>
  <c r="B82" i="20"/>
  <c r="O82" i="20" s="1"/>
  <c r="O48" i="20"/>
  <c r="O59" i="20"/>
  <c r="Y76" i="20"/>
  <c r="AT38" i="20"/>
  <c r="O60" i="20"/>
  <c r="X60" i="20"/>
  <c r="T95" i="20"/>
  <c r="Y92" i="20"/>
  <c r="AE92" i="20" s="1"/>
  <c r="AE66" i="20"/>
  <c r="R95" i="20" l="1"/>
  <c r="U95" i="20"/>
  <c r="AI52" i="20"/>
  <c r="Q96" i="20"/>
  <c r="R96" i="20" s="1"/>
  <c r="S96" i="20"/>
  <c r="T96" i="20" s="1"/>
  <c r="U96" i="20" s="1"/>
  <c r="C29" i="20"/>
  <c r="C14" i="20"/>
  <c r="C12" i="20"/>
  <c r="C24" i="20"/>
  <c r="C11" i="20"/>
  <c r="C10" i="20"/>
  <c r="C27" i="20"/>
  <c r="C13" i="20"/>
  <c r="T110" i="5"/>
  <c r="T173" i="5"/>
  <c r="T172" i="5"/>
  <c r="T171" i="5"/>
  <c r="T170" i="5"/>
  <c r="T169" i="5"/>
  <c r="T168" i="5"/>
  <c r="T167" i="5"/>
  <c r="T166" i="5"/>
  <c r="T165" i="5"/>
  <c r="T164" i="5"/>
  <c r="T155" i="5"/>
  <c r="T154" i="5"/>
  <c r="T153" i="5"/>
  <c r="T152" i="5"/>
  <c r="T151" i="5"/>
  <c r="T150" i="5"/>
  <c r="T149" i="5"/>
  <c r="T148" i="5"/>
  <c r="T147" i="5"/>
  <c r="T146" i="5"/>
  <c r="T137" i="5"/>
  <c r="T136" i="5"/>
  <c r="T135" i="5"/>
  <c r="T134" i="5"/>
  <c r="T133" i="5"/>
  <c r="T132" i="5"/>
  <c r="T131" i="5"/>
  <c r="T130" i="5"/>
  <c r="T129" i="5"/>
  <c r="T128" i="5"/>
  <c r="T111" i="5"/>
  <c r="T112" i="5"/>
  <c r="T113" i="5"/>
  <c r="T114" i="5"/>
  <c r="T115" i="5"/>
  <c r="T116" i="5"/>
  <c r="T117" i="5"/>
  <c r="T118" i="5"/>
  <c r="T119" i="5"/>
  <c r="P110" i="5"/>
  <c r="R173" i="5"/>
  <c r="R172" i="5"/>
  <c r="R171" i="5"/>
  <c r="R170" i="5"/>
  <c r="R169" i="5"/>
  <c r="R168" i="5"/>
  <c r="R167" i="5"/>
  <c r="R166" i="5"/>
  <c r="R165" i="5"/>
  <c r="R164" i="5"/>
  <c r="R155" i="5"/>
  <c r="R154" i="5"/>
  <c r="R153" i="5"/>
  <c r="R152" i="5"/>
  <c r="R151" i="5"/>
  <c r="R150" i="5"/>
  <c r="R149" i="5"/>
  <c r="R148" i="5"/>
  <c r="R147" i="5"/>
  <c r="R146" i="5"/>
  <c r="R137" i="5"/>
  <c r="R136" i="5"/>
  <c r="R135" i="5"/>
  <c r="R134" i="5"/>
  <c r="R133" i="5"/>
  <c r="R132" i="5"/>
  <c r="R131" i="5"/>
  <c r="R130" i="5"/>
  <c r="R129" i="5"/>
  <c r="R128" i="5"/>
  <c r="R111" i="5"/>
  <c r="R112" i="5"/>
  <c r="R113" i="5"/>
  <c r="R114" i="5"/>
  <c r="R115" i="5"/>
  <c r="R116" i="5"/>
  <c r="R117" i="5"/>
  <c r="R118" i="5"/>
  <c r="R119" i="5"/>
  <c r="R110" i="5"/>
  <c r="AW9" i="5" l="1"/>
  <c r="AW10" i="5"/>
  <c r="AX10" i="5" s="1"/>
  <c r="AW11" i="5"/>
  <c r="AX11" i="5" s="1"/>
  <c r="AW12" i="5"/>
  <c r="AX12" i="5" s="1"/>
  <c r="AW13" i="5"/>
  <c r="AX13" i="5" s="1"/>
  <c r="AW14" i="5"/>
  <c r="AX14" i="5" s="1"/>
  <c r="AU9" i="5"/>
  <c r="AU10" i="5"/>
  <c r="AV10" i="5" s="1"/>
  <c r="AU11" i="5"/>
  <c r="AV11" i="5" s="1"/>
  <c r="AU12" i="5"/>
  <c r="AV12" i="5" s="1"/>
  <c r="AU13" i="5"/>
  <c r="AV13" i="5" s="1"/>
  <c r="AU14" i="5"/>
  <c r="AV14" i="5" s="1"/>
  <c r="AS10" i="5"/>
  <c r="AT10" i="5" s="1"/>
  <c r="AS11" i="5"/>
  <c r="AT11" i="5" s="1"/>
  <c r="AS12" i="5"/>
  <c r="AT12" i="5" s="1"/>
  <c r="AS13" i="5"/>
  <c r="AT13" i="5" s="1"/>
  <c r="AS14" i="5"/>
  <c r="AT14" i="5" s="1"/>
  <c r="AS9" i="5"/>
  <c r="V110" i="5"/>
  <c r="X110" i="5"/>
  <c r="AP180" i="11" s="1"/>
  <c r="X200" i="5"/>
  <c r="X202" i="5"/>
  <c r="X204" i="5"/>
  <c r="E39" i="1"/>
  <c r="E38" i="1"/>
  <c r="E37" i="1"/>
  <c r="E36" i="1"/>
  <c r="AO181" i="11"/>
  <c r="AO182" i="11"/>
  <c r="AO183" i="11"/>
  <c r="AO184" i="11"/>
  <c r="AO185" i="11"/>
  <c r="AO186" i="11"/>
  <c r="AO187" i="11"/>
  <c r="AO188" i="11"/>
  <c r="AO189" i="11"/>
  <c r="AO198" i="11"/>
  <c r="AO199" i="11"/>
  <c r="AO200" i="11"/>
  <c r="AO201" i="11"/>
  <c r="AO202" i="11"/>
  <c r="AO203" i="11"/>
  <c r="AO204" i="11"/>
  <c r="AO205" i="11"/>
  <c r="AO206" i="11"/>
  <c r="AO207" i="11"/>
  <c r="AO216" i="11"/>
  <c r="AO217" i="11"/>
  <c r="AO218" i="11"/>
  <c r="AO219" i="11"/>
  <c r="AO220" i="11"/>
  <c r="AO221" i="11"/>
  <c r="AO222" i="11"/>
  <c r="AO223" i="11"/>
  <c r="AO224" i="11"/>
  <c r="AO225" i="11"/>
  <c r="AO234" i="11"/>
  <c r="AO235" i="11"/>
  <c r="AO236" i="11"/>
  <c r="AO237" i="11"/>
  <c r="AO238" i="11"/>
  <c r="AO239" i="11"/>
  <c r="AO240" i="11"/>
  <c r="AO241" i="11"/>
  <c r="AO242" i="11"/>
  <c r="AO243" i="11"/>
  <c r="AO180" i="11"/>
  <c r="AB204" i="5" l="1"/>
  <c r="S223" i="5"/>
  <c r="R218" i="25" s="1"/>
  <c r="AB202" i="5"/>
  <c r="S221" i="5"/>
  <c r="R216" i="25" s="1"/>
  <c r="AB200" i="5"/>
  <c r="S219" i="5"/>
  <c r="R214" i="25" s="1"/>
  <c r="AW200" i="5"/>
  <c r="W195" i="25"/>
  <c r="AW204" i="5"/>
  <c r="W199" i="25"/>
  <c r="AW202" i="5"/>
  <c r="W197" i="25"/>
  <c r="AY10" i="5"/>
  <c r="P185" i="5"/>
  <c r="AN15" i="5"/>
  <c r="P184" i="5"/>
  <c r="AN14" i="5"/>
  <c r="X197" i="5"/>
  <c r="AN13" i="5"/>
  <c r="X203" i="5"/>
  <c r="AN16" i="5"/>
  <c r="P188" i="5"/>
  <c r="AN18" i="5"/>
  <c r="AN17" i="5"/>
  <c r="X196" i="5"/>
  <c r="AN12" i="5"/>
  <c r="X195" i="5"/>
  <c r="AN11" i="5"/>
  <c r="W110" i="5"/>
  <c r="AQ180" i="11"/>
  <c r="X199" i="5"/>
  <c r="AY12" i="5"/>
  <c r="X201" i="5"/>
  <c r="AY14" i="5"/>
  <c r="AY11" i="5"/>
  <c r="X198" i="5"/>
  <c r="AY13" i="5"/>
  <c r="P183" i="5"/>
  <c r="P187" i="5"/>
  <c r="O181" i="25" s="1"/>
  <c r="P181" i="5"/>
  <c r="P182" i="5"/>
  <c r="P189" i="5"/>
  <c r="P186" i="5"/>
  <c r="P190" i="5"/>
  <c r="AU243" i="11"/>
  <c r="AU242" i="11"/>
  <c r="AU241" i="11"/>
  <c r="AU240" i="11"/>
  <c r="AU239" i="11"/>
  <c r="AU238" i="11"/>
  <c r="AU237" i="11"/>
  <c r="AU236" i="11"/>
  <c r="AU225" i="11"/>
  <c r="AU224" i="11"/>
  <c r="AU223" i="11"/>
  <c r="AU222" i="11"/>
  <c r="AU221" i="11"/>
  <c r="AU220" i="11"/>
  <c r="AU219" i="11"/>
  <c r="AU207" i="11"/>
  <c r="AU206" i="11"/>
  <c r="AU205" i="11"/>
  <c r="AU204" i="11"/>
  <c r="AU203" i="11"/>
  <c r="AU202" i="11"/>
  <c r="AU201" i="11"/>
  <c r="AU200" i="11"/>
  <c r="AU184" i="11"/>
  <c r="AU185" i="11"/>
  <c r="AU186" i="11"/>
  <c r="AU187" i="11"/>
  <c r="AB14" i="5"/>
  <c r="AD14" i="5" s="1"/>
  <c r="AB15" i="5"/>
  <c r="AD15" i="5" s="1"/>
  <c r="AB16" i="5"/>
  <c r="AD16" i="5" s="1"/>
  <c r="BB2" i="5"/>
  <c r="AB198" i="5" l="1"/>
  <c r="S217" i="5"/>
  <c r="R212" i="25" s="1"/>
  <c r="AB203" i="5"/>
  <c r="S222" i="5"/>
  <c r="R217" i="25" s="1"/>
  <c r="AB199" i="5"/>
  <c r="S218" i="5"/>
  <c r="R213" i="25" s="1"/>
  <c r="AB195" i="5"/>
  <c r="S214" i="5"/>
  <c r="R209" i="25" s="1"/>
  <c r="AB197" i="5"/>
  <c r="S216" i="5"/>
  <c r="R211" i="25" s="1"/>
  <c r="AB201" i="5"/>
  <c r="S220" i="5"/>
  <c r="R215" i="25" s="1"/>
  <c r="AB196" i="5"/>
  <c r="S215" i="5"/>
  <c r="R210" i="25" s="1"/>
  <c r="R199" i="25"/>
  <c r="Z199" i="25" s="1"/>
  <c r="AA218" i="25"/>
  <c r="R197" i="25"/>
  <c r="U197" i="25" s="1"/>
  <c r="AH197" i="25" s="1"/>
  <c r="AA216" i="25"/>
  <c r="R195" i="25"/>
  <c r="U195" i="25" s="1"/>
  <c r="AH195" i="25" s="1"/>
  <c r="AA214" i="25"/>
  <c r="W192" i="25"/>
  <c r="AW197" i="5"/>
  <c r="AL204" i="5"/>
  <c r="AI222" i="5" s="1"/>
  <c r="O184" i="25"/>
  <c r="O175" i="25"/>
  <c r="AL195" i="5"/>
  <c r="S199" i="5"/>
  <c r="BC126" i="11" s="1"/>
  <c r="BD126" i="11" s="1"/>
  <c r="AW199" i="5"/>
  <c r="W194" i="25"/>
  <c r="AW196" i="5"/>
  <c r="W191" i="25"/>
  <c r="AL196" i="5"/>
  <c r="AI214" i="5" s="1"/>
  <c r="O176" i="25"/>
  <c r="S198" i="5"/>
  <c r="BC125" i="11" s="1"/>
  <c r="BD125" i="11" s="1"/>
  <c r="AW198" i="5"/>
  <c r="W193" i="25"/>
  <c r="Q188" i="5"/>
  <c r="O182" i="25"/>
  <c r="P182" i="25" s="1"/>
  <c r="AL199" i="5"/>
  <c r="AI217" i="5" s="1"/>
  <c r="O179" i="25"/>
  <c r="P179" i="25" s="1"/>
  <c r="AL200" i="5"/>
  <c r="AI218" i="5" s="1"/>
  <c r="O180" i="25"/>
  <c r="AW203" i="5"/>
  <c r="W198" i="25"/>
  <c r="AL198" i="5"/>
  <c r="AI216" i="5" s="1"/>
  <c r="O178" i="25"/>
  <c r="P178" i="25" s="1"/>
  <c r="S195" i="25"/>
  <c r="AA195" i="25" s="1"/>
  <c r="AL203" i="5"/>
  <c r="AI221" i="5" s="1"/>
  <c r="O183" i="25"/>
  <c r="AL197" i="5"/>
  <c r="AI215" i="5" s="1"/>
  <c r="O177" i="25"/>
  <c r="W196" i="25"/>
  <c r="AW201" i="5"/>
  <c r="AW195" i="5"/>
  <c r="W190" i="25"/>
  <c r="V181" i="5"/>
  <c r="AU27" i="5" s="1"/>
  <c r="S16" i="5" s="1"/>
  <c r="O179" i="22"/>
  <c r="P179" i="22" s="1"/>
  <c r="S197" i="5"/>
  <c r="BC124" i="11" s="1"/>
  <c r="BD124" i="11" s="1"/>
  <c r="O178" i="24"/>
  <c r="P178" i="24" s="1"/>
  <c r="O178" i="21"/>
  <c r="P178" i="21" s="1"/>
  <c r="Q184" i="5"/>
  <c r="Q185" i="5"/>
  <c r="O179" i="23"/>
  <c r="P179" i="23" s="1"/>
  <c r="O182" i="24"/>
  <c r="P182" i="24" s="1"/>
  <c r="O182" i="21"/>
  <c r="P182" i="21" s="1"/>
  <c r="O178" i="20"/>
  <c r="P178" i="20" s="1"/>
  <c r="O178" i="23"/>
  <c r="P178" i="23" s="1"/>
  <c r="O178" i="22"/>
  <c r="P178" i="22" s="1"/>
  <c r="O179" i="20"/>
  <c r="P179" i="20" s="1"/>
  <c r="O179" i="21"/>
  <c r="P179" i="21" s="1"/>
  <c r="O179" i="24"/>
  <c r="P179" i="24" s="1"/>
  <c r="O182" i="20"/>
  <c r="P182" i="20" s="1"/>
  <c r="O182" i="23"/>
  <c r="P182" i="23" s="1"/>
  <c r="O182" i="22"/>
  <c r="P182" i="22" s="1"/>
  <c r="AL201" i="5"/>
  <c r="AI219" i="5" s="1"/>
  <c r="Q190" i="5"/>
  <c r="O184" i="24"/>
  <c r="P184" i="24" s="1"/>
  <c r="O184" i="23"/>
  <c r="P184" i="23" s="1"/>
  <c r="O184" i="21"/>
  <c r="P184" i="21" s="1"/>
  <c r="O184" i="22"/>
  <c r="P184" i="22" s="1"/>
  <c r="O184" i="20"/>
  <c r="P184" i="20" s="1"/>
  <c r="Q181" i="5"/>
  <c r="O175" i="22"/>
  <c r="P175" i="22" s="1"/>
  <c r="O175" i="21"/>
  <c r="P175" i="21" s="1"/>
  <c r="O175" i="24"/>
  <c r="P175" i="24" s="1"/>
  <c r="O175" i="23"/>
  <c r="P175" i="23" s="1"/>
  <c r="O175" i="20"/>
  <c r="P175" i="20" s="1"/>
  <c r="Q186" i="5"/>
  <c r="O180" i="24"/>
  <c r="P180" i="24" s="1"/>
  <c r="O180" i="23"/>
  <c r="P180" i="23" s="1"/>
  <c r="O180" i="22"/>
  <c r="P180" i="22" s="1"/>
  <c r="O180" i="21"/>
  <c r="P180" i="21" s="1"/>
  <c r="O180" i="20"/>
  <c r="P180" i="20" s="1"/>
  <c r="Q187" i="5"/>
  <c r="O181" i="24"/>
  <c r="P181" i="24" s="1"/>
  <c r="O181" i="21"/>
  <c r="P181" i="21" s="1"/>
  <c r="O181" i="23"/>
  <c r="P181" i="23" s="1"/>
  <c r="O181" i="22"/>
  <c r="P181" i="22" s="1"/>
  <c r="O181" i="20"/>
  <c r="P181" i="20" s="1"/>
  <c r="Q189" i="5"/>
  <c r="O183" i="22"/>
  <c r="P183" i="22" s="1"/>
  <c r="O183" i="24"/>
  <c r="P183" i="24" s="1"/>
  <c r="O183" i="23"/>
  <c r="P183" i="23" s="1"/>
  <c r="O183" i="21"/>
  <c r="P183" i="21" s="1"/>
  <c r="O183" i="20"/>
  <c r="P183" i="20" s="1"/>
  <c r="Q182" i="5"/>
  <c r="O176" i="24"/>
  <c r="P176" i="24" s="1"/>
  <c r="O176" i="23"/>
  <c r="P176" i="23" s="1"/>
  <c r="O176" i="22"/>
  <c r="P176" i="22" s="1"/>
  <c r="O176" i="21"/>
  <c r="P176" i="21" s="1"/>
  <c r="O176" i="20"/>
  <c r="P176" i="20" s="1"/>
  <c r="Q183" i="5"/>
  <c r="O177" i="22"/>
  <c r="P177" i="22" s="1"/>
  <c r="O177" i="21"/>
  <c r="P177" i="21" s="1"/>
  <c r="O177" i="24"/>
  <c r="P177" i="24" s="1"/>
  <c r="O177" i="23"/>
  <c r="P177" i="23" s="1"/>
  <c r="O177" i="20"/>
  <c r="P177" i="20" s="1"/>
  <c r="AR180" i="11"/>
  <c r="AY15" i="5"/>
  <c r="AE27" i="5" s="1"/>
  <c r="W91" i="5"/>
  <c r="W92" i="5"/>
  <c r="W94" i="5"/>
  <c r="W81" i="5"/>
  <c r="W82" i="5"/>
  <c r="W84" i="5"/>
  <c r="W71" i="5"/>
  <c r="W72" i="5"/>
  <c r="W74" i="5"/>
  <c r="W61" i="5"/>
  <c r="W62" i="5"/>
  <c r="W64" i="5"/>
  <c r="T91" i="5"/>
  <c r="T92" i="5"/>
  <c r="T94" i="5"/>
  <c r="T81" i="5"/>
  <c r="T82" i="5"/>
  <c r="T84" i="5"/>
  <c r="T71" i="5"/>
  <c r="T72" i="5"/>
  <c r="T74" i="5"/>
  <c r="T61" i="5"/>
  <c r="T62" i="5"/>
  <c r="T64" i="5"/>
  <c r="Q365" i="5"/>
  <c r="Q351" i="5"/>
  <c r="S365" i="5"/>
  <c r="R365" i="5"/>
  <c r="S358" i="5"/>
  <c r="R358" i="5"/>
  <c r="S351" i="5"/>
  <c r="R351" i="5"/>
  <c r="R344" i="5"/>
  <c r="P360" i="5"/>
  <c r="B360" i="5"/>
  <c r="Q291" i="5"/>
  <c r="Q287" i="5"/>
  <c r="Q283" i="5"/>
  <c r="BM30" i="11"/>
  <c r="P283" i="5"/>
  <c r="T283" i="5" s="1"/>
  <c r="P287" i="5"/>
  <c r="T287" i="5" s="1"/>
  <c r="P291" i="5"/>
  <c r="T291" i="5" s="1"/>
  <c r="L289" i="5"/>
  <c r="P289" i="5" s="1"/>
  <c r="L285" i="5"/>
  <c r="P285" i="5" s="1"/>
  <c r="L281" i="5"/>
  <c r="P281" i="5" s="1"/>
  <c r="L277" i="5"/>
  <c r="P277" i="5" s="1"/>
  <c r="CE19" i="11"/>
  <c r="CF19" i="11" s="1"/>
  <c r="CG19" i="11" s="1"/>
  <c r="CE18" i="11"/>
  <c r="CF18" i="11" s="1"/>
  <c r="CG18" i="11" s="1"/>
  <c r="CE17" i="11"/>
  <c r="CF17" i="11" s="1"/>
  <c r="CG17" i="11" s="1"/>
  <c r="CE16" i="11"/>
  <c r="CF16" i="11" s="1"/>
  <c r="CG16" i="11" s="1"/>
  <c r="CE15" i="11"/>
  <c r="CF15" i="11" s="1"/>
  <c r="CG15" i="11" s="1"/>
  <c r="CE14" i="11"/>
  <c r="CF14" i="11" s="1"/>
  <c r="CG14" i="11" s="1"/>
  <c r="CE13" i="11"/>
  <c r="CF13" i="11" s="1"/>
  <c r="CG13" i="11" s="1"/>
  <c r="CE12" i="11"/>
  <c r="CF12" i="11" s="1"/>
  <c r="CG12" i="11" s="1"/>
  <c r="CE11" i="11"/>
  <c r="CF11" i="11" s="1"/>
  <c r="CG11" i="11" s="1"/>
  <c r="CE10" i="11"/>
  <c r="CF10" i="11" s="1"/>
  <c r="CG10" i="11" s="1"/>
  <c r="CE9" i="11"/>
  <c r="CF9" i="11" s="1"/>
  <c r="CG9" i="11" s="1"/>
  <c r="CE8" i="11"/>
  <c r="CF8" i="11" s="1"/>
  <c r="CG8" i="11" s="1"/>
  <c r="BV19" i="11"/>
  <c r="BW19" i="11" s="1"/>
  <c r="BV18" i="11"/>
  <c r="BW18" i="11" s="1"/>
  <c r="BV17" i="11"/>
  <c r="BW17" i="11" s="1"/>
  <c r="BV16" i="11"/>
  <c r="BW16" i="11" s="1"/>
  <c r="BV15" i="11"/>
  <c r="BW15" i="11" s="1"/>
  <c r="BV14" i="11"/>
  <c r="BW14" i="11" s="1"/>
  <c r="BV13" i="11"/>
  <c r="BW13" i="11" s="1"/>
  <c r="BV12" i="11"/>
  <c r="BW12" i="11" s="1"/>
  <c r="BV11" i="11"/>
  <c r="BW11" i="11" s="1"/>
  <c r="BV10" i="11"/>
  <c r="BW10" i="11" s="1"/>
  <c r="BV9" i="11"/>
  <c r="BW9" i="11" s="1"/>
  <c r="BV8" i="11"/>
  <c r="BW8" i="11" s="1"/>
  <c r="BM9" i="11"/>
  <c r="BN9" i="11" s="1"/>
  <c r="BO9" i="11" s="1"/>
  <c r="BM10" i="11"/>
  <c r="BN10" i="11" s="1"/>
  <c r="BO10" i="11" s="1"/>
  <c r="BM11" i="11"/>
  <c r="BN11" i="11" s="1"/>
  <c r="BO11" i="11" s="1"/>
  <c r="BM12" i="11"/>
  <c r="BN12" i="11" s="1"/>
  <c r="BO12" i="11" s="1"/>
  <c r="BM13" i="11"/>
  <c r="BN13" i="11" s="1"/>
  <c r="BO13" i="11" s="1"/>
  <c r="BM14" i="11"/>
  <c r="BN14" i="11" s="1"/>
  <c r="BO14" i="11" s="1"/>
  <c r="BM15" i="11"/>
  <c r="BN15" i="11" s="1"/>
  <c r="BO15" i="11" s="1"/>
  <c r="BM16" i="11"/>
  <c r="BN16" i="11" s="1"/>
  <c r="BO16" i="11" s="1"/>
  <c r="BM17" i="11"/>
  <c r="BN17" i="11" s="1"/>
  <c r="BO17" i="11" s="1"/>
  <c r="BM18" i="11"/>
  <c r="BN18" i="11" s="1"/>
  <c r="BO18" i="11" s="1"/>
  <c r="BM19" i="11"/>
  <c r="BN19" i="11" s="1"/>
  <c r="BO19" i="11" s="1"/>
  <c r="BM8" i="11"/>
  <c r="BN8" i="11" s="1"/>
  <c r="BO8" i="11" s="1"/>
  <c r="BM93" i="11"/>
  <c r="BO93" i="11" s="1"/>
  <c r="BL93" i="11"/>
  <c r="BN93" i="11" s="1"/>
  <c r="BM92" i="11"/>
  <c r="BO92" i="11" s="1"/>
  <c r="BL92" i="11"/>
  <c r="BN92" i="11" s="1"/>
  <c r="BM91" i="11"/>
  <c r="BO91" i="11" s="1"/>
  <c r="BL91" i="11"/>
  <c r="BP91" i="11" s="1"/>
  <c r="AG171" i="5" s="1"/>
  <c r="BM90" i="11"/>
  <c r="BO90" i="11" s="1"/>
  <c r="BL90" i="11"/>
  <c r="BN90" i="11" s="1"/>
  <c r="BM89" i="11"/>
  <c r="BO89" i="11" s="1"/>
  <c r="BL89" i="11"/>
  <c r="BP89" i="11" s="1"/>
  <c r="AG169" i="5" s="1"/>
  <c r="BM88" i="11"/>
  <c r="BO88" i="11" s="1"/>
  <c r="BL88" i="11"/>
  <c r="BN88" i="11" s="1"/>
  <c r="BM87" i="11"/>
  <c r="BO87" i="11" s="1"/>
  <c r="BL87" i="11"/>
  <c r="BP87" i="11" s="1"/>
  <c r="AG167" i="5" s="1"/>
  <c r="BM86" i="11"/>
  <c r="BO86" i="11" s="1"/>
  <c r="BL86" i="11"/>
  <c r="BN86" i="11" s="1"/>
  <c r="BM85" i="11"/>
  <c r="BO85" i="11" s="1"/>
  <c r="BL85" i="11"/>
  <c r="BN85" i="11" s="1"/>
  <c r="BM84" i="11"/>
  <c r="BL84" i="11"/>
  <c r="BN84" i="11" s="1"/>
  <c r="BM75" i="11"/>
  <c r="BO75" i="11" s="1"/>
  <c r="BL75" i="11"/>
  <c r="BN75" i="11" s="1"/>
  <c r="BM74" i="11"/>
  <c r="BO74" i="11" s="1"/>
  <c r="BL74" i="11"/>
  <c r="BN74" i="11" s="1"/>
  <c r="BM73" i="11"/>
  <c r="BO73" i="11" s="1"/>
  <c r="BL73" i="11"/>
  <c r="BP73" i="11" s="1"/>
  <c r="AG153" i="5" s="1"/>
  <c r="BM72" i="11"/>
  <c r="BO72" i="11" s="1"/>
  <c r="BL72" i="11"/>
  <c r="BP72" i="11" s="1"/>
  <c r="AG152" i="5" s="1"/>
  <c r="BM71" i="11"/>
  <c r="BO71" i="11" s="1"/>
  <c r="BL71" i="11"/>
  <c r="BP71" i="11" s="1"/>
  <c r="AG151" i="5" s="1"/>
  <c r="BM70" i="11"/>
  <c r="BO70" i="11" s="1"/>
  <c r="BL70" i="11"/>
  <c r="BN70" i="11" s="1"/>
  <c r="BM69" i="11"/>
  <c r="BO69" i="11" s="1"/>
  <c r="BL69" i="11"/>
  <c r="BN69" i="11" s="1"/>
  <c r="BM68" i="11"/>
  <c r="BL68" i="11"/>
  <c r="BM67" i="11"/>
  <c r="BL67" i="11"/>
  <c r="BL66" i="11"/>
  <c r="BM57" i="11"/>
  <c r="BO57" i="11" s="1"/>
  <c r="BL57" i="11"/>
  <c r="BP57" i="11" s="1"/>
  <c r="AG137" i="5" s="1"/>
  <c r="BM56" i="11"/>
  <c r="BO56" i="11" s="1"/>
  <c r="BL56" i="11"/>
  <c r="BM55" i="11"/>
  <c r="BO55" i="11" s="1"/>
  <c r="BL55" i="11"/>
  <c r="BN55" i="11" s="1"/>
  <c r="BM54" i="11"/>
  <c r="BO54" i="11" s="1"/>
  <c r="BL54" i="11"/>
  <c r="BN54" i="11" s="1"/>
  <c r="BM53" i="11"/>
  <c r="BO53" i="11" s="1"/>
  <c r="BL53" i="11"/>
  <c r="BN53" i="11" s="1"/>
  <c r="BM52" i="11"/>
  <c r="BO52" i="11" s="1"/>
  <c r="BL52" i="11"/>
  <c r="BM51" i="11"/>
  <c r="BO51" i="11" s="1"/>
  <c r="BL51" i="11"/>
  <c r="BN51" i="11" s="1"/>
  <c r="BM50" i="11"/>
  <c r="BO50" i="11" s="1"/>
  <c r="BL50" i="11"/>
  <c r="BN50" i="11" s="1"/>
  <c r="BM49" i="11"/>
  <c r="BL49" i="11"/>
  <c r="BN49" i="11" s="1"/>
  <c r="BM48" i="11"/>
  <c r="BL48" i="11"/>
  <c r="BM31" i="11"/>
  <c r="BM32" i="11"/>
  <c r="BM33" i="11"/>
  <c r="BM34" i="11"/>
  <c r="BO34" i="11" s="1"/>
  <c r="BM35" i="11"/>
  <c r="BO35" i="11" s="1"/>
  <c r="BM36" i="11"/>
  <c r="BO36" i="11" s="1"/>
  <c r="BM37" i="11"/>
  <c r="BO37" i="11" s="1"/>
  <c r="BM38" i="11"/>
  <c r="BM39" i="11"/>
  <c r="BL31" i="11"/>
  <c r="BL32" i="11"/>
  <c r="BL33" i="11"/>
  <c r="BL34" i="11"/>
  <c r="BP34" i="11" s="1"/>
  <c r="AG114" i="5" s="1"/>
  <c r="BL35" i="11"/>
  <c r="BL36" i="11"/>
  <c r="BL37" i="11"/>
  <c r="BN37" i="11" s="1"/>
  <c r="BL38" i="11"/>
  <c r="BL39" i="11"/>
  <c r="BL30" i="11"/>
  <c r="BK93" i="11"/>
  <c r="BJ93" i="11"/>
  <c r="BK92" i="11"/>
  <c r="BJ92" i="11"/>
  <c r="BK91" i="11"/>
  <c r="BJ91" i="11"/>
  <c r="BI91" i="11"/>
  <c r="BK90" i="11"/>
  <c r="BJ90" i="11"/>
  <c r="BI90" i="11"/>
  <c r="BK89" i="11"/>
  <c r="BJ89" i="11"/>
  <c r="BI89" i="11"/>
  <c r="BK88" i="11"/>
  <c r="BJ88" i="11"/>
  <c r="BI88" i="11"/>
  <c r="BK87" i="11"/>
  <c r="BJ87" i="11"/>
  <c r="BI87" i="11"/>
  <c r="BK86" i="11"/>
  <c r="BJ86" i="11"/>
  <c r="BI86" i="11"/>
  <c r="BK85" i="11"/>
  <c r="BJ85" i="11"/>
  <c r="BI85" i="11"/>
  <c r="BK84" i="11"/>
  <c r="BJ84" i="11"/>
  <c r="BI84" i="11"/>
  <c r="BK75" i="11"/>
  <c r="BJ75" i="11"/>
  <c r="BK74" i="11"/>
  <c r="BJ74" i="11"/>
  <c r="BK73" i="11"/>
  <c r="BJ73" i="11"/>
  <c r="BI73" i="11"/>
  <c r="BK72" i="11"/>
  <c r="BJ72" i="11"/>
  <c r="BI72" i="11"/>
  <c r="BK71" i="11"/>
  <c r="BJ71" i="11"/>
  <c r="BI71" i="11"/>
  <c r="BK70" i="11"/>
  <c r="BJ70" i="11"/>
  <c r="BI70" i="11"/>
  <c r="BK69" i="11"/>
  <c r="BJ69" i="11"/>
  <c r="BI69" i="11"/>
  <c r="BK68" i="11"/>
  <c r="BJ68" i="11"/>
  <c r="BI68" i="11"/>
  <c r="BK67" i="11"/>
  <c r="BJ67" i="11"/>
  <c r="BI67" i="11"/>
  <c r="BK66" i="11"/>
  <c r="BJ66" i="11"/>
  <c r="BI66" i="11"/>
  <c r="BK57" i="11"/>
  <c r="BJ57" i="11"/>
  <c r="BK56" i="11"/>
  <c r="BJ56" i="11"/>
  <c r="BK55" i="11"/>
  <c r="BJ55" i="11"/>
  <c r="BI55" i="11"/>
  <c r="BK54" i="11"/>
  <c r="BJ54" i="11"/>
  <c r="BI54" i="11"/>
  <c r="BK53" i="11"/>
  <c r="BJ53" i="11"/>
  <c r="BI53" i="11"/>
  <c r="BK52" i="11"/>
  <c r="BJ52" i="11"/>
  <c r="BI52" i="11"/>
  <c r="BK51" i="11"/>
  <c r="BJ51" i="11"/>
  <c r="BI51" i="11"/>
  <c r="BK50" i="11"/>
  <c r="BJ50" i="11"/>
  <c r="BI50" i="11"/>
  <c r="BK49" i="11"/>
  <c r="BJ49" i="11"/>
  <c r="BI49" i="11"/>
  <c r="BK48" i="11"/>
  <c r="BJ48" i="11"/>
  <c r="BI48" i="11"/>
  <c r="BJ30" i="11"/>
  <c r="BK30" i="11"/>
  <c r="BJ31" i="11"/>
  <c r="BK31" i="11"/>
  <c r="BJ32" i="11"/>
  <c r="BK32" i="11"/>
  <c r="BJ33" i="11"/>
  <c r="BK33" i="11"/>
  <c r="BJ34" i="11"/>
  <c r="BK34" i="11"/>
  <c r="BJ35" i="11"/>
  <c r="BK35" i="11"/>
  <c r="BJ36" i="11"/>
  <c r="BK36" i="11"/>
  <c r="BJ37" i="11"/>
  <c r="BK37" i="11"/>
  <c r="BJ38" i="11"/>
  <c r="BK38" i="11"/>
  <c r="BJ39" i="11"/>
  <c r="BK39" i="11"/>
  <c r="BI31" i="11"/>
  <c r="BI32" i="11"/>
  <c r="BI33" i="11"/>
  <c r="BI34" i="11"/>
  <c r="BI35" i="11"/>
  <c r="BI36" i="11"/>
  <c r="BI37" i="11"/>
  <c r="BI30" i="11"/>
  <c r="Z333" i="5"/>
  <c r="Z332" i="5"/>
  <c r="Z331" i="5"/>
  <c r="Z330" i="5"/>
  <c r="Z329" i="5"/>
  <c r="Z324" i="5"/>
  <c r="Z323" i="5"/>
  <c r="Z322" i="5"/>
  <c r="Z321" i="5"/>
  <c r="Z320" i="5"/>
  <c r="Z315" i="5"/>
  <c r="Z314" i="5"/>
  <c r="Z313" i="5"/>
  <c r="Z312" i="5"/>
  <c r="Z311" i="5"/>
  <c r="Z303" i="5"/>
  <c r="Z304" i="5"/>
  <c r="Z305" i="5"/>
  <c r="Z306" i="5"/>
  <c r="Z302" i="5"/>
  <c r="S333" i="5"/>
  <c r="R333" i="5"/>
  <c r="Q333" i="5"/>
  <c r="P333" i="5"/>
  <c r="S332" i="5"/>
  <c r="R332" i="5"/>
  <c r="Q332" i="5"/>
  <c r="P332" i="5"/>
  <c r="S331" i="5"/>
  <c r="R331" i="5"/>
  <c r="Q331" i="5"/>
  <c r="P331" i="5"/>
  <c r="S330" i="5"/>
  <c r="R330" i="5"/>
  <c r="Q330" i="5"/>
  <c r="P330" i="5"/>
  <c r="S329" i="5"/>
  <c r="R329" i="5"/>
  <c r="Q329" i="5"/>
  <c r="P329" i="5"/>
  <c r="S324" i="5"/>
  <c r="R324" i="5"/>
  <c r="Q324" i="5"/>
  <c r="P324" i="5"/>
  <c r="S323" i="5"/>
  <c r="R323" i="5"/>
  <c r="Q323" i="5"/>
  <c r="P323" i="5"/>
  <c r="S322" i="5"/>
  <c r="R322" i="5"/>
  <c r="Q322" i="5"/>
  <c r="P322" i="5"/>
  <c r="S321" i="5"/>
  <c r="R321" i="5"/>
  <c r="Q321" i="5"/>
  <c r="P321" i="5"/>
  <c r="S320" i="5"/>
  <c r="R320" i="5"/>
  <c r="Q320" i="5"/>
  <c r="P320" i="5"/>
  <c r="S315" i="5"/>
  <c r="R315" i="5"/>
  <c r="Q315" i="5"/>
  <c r="P315" i="5"/>
  <c r="S314" i="5"/>
  <c r="R314" i="5"/>
  <c r="P314" i="5"/>
  <c r="S313" i="5"/>
  <c r="R313" i="5"/>
  <c r="Q313" i="5"/>
  <c r="P313" i="5"/>
  <c r="S312" i="5"/>
  <c r="R312" i="5"/>
  <c r="Q312" i="5"/>
  <c r="P312" i="5"/>
  <c r="S311" i="5"/>
  <c r="R311" i="5"/>
  <c r="Q311" i="5"/>
  <c r="P311" i="5"/>
  <c r="S303" i="5"/>
  <c r="S304" i="5"/>
  <c r="S305" i="5"/>
  <c r="S306" i="5"/>
  <c r="R303" i="5"/>
  <c r="R304" i="5"/>
  <c r="R305" i="5"/>
  <c r="R306" i="5"/>
  <c r="Q306" i="5"/>
  <c r="Q305" i="5"/>
  <c r="Q304" i="5"/>
  <c r="Q303" i="5"/>
  <c r="P306" i="5"/>
  <c r="P305" i="5"/>
  <c r="P304" i="5"/>
  <c r="P303" i="5"/>
  <c r="P302" i="5"/>
  <c r="R302" i="5"/>
  <c r="Q94" i="5"/>
  <c r="Q93" i="5"/>
  <c r="Q92" i="5"/>
  <c r="Q91" i="5"/>
  <c r="Q90" i="5"/>
  <c r="Q84" i="5"/>
  <c r="Q83" i="5"/>
  <c r="Q82" i="5"/>
  <c r="Q81" i="5"/>
  <c r="Q80" i="5"/>
  <c r="Q74" i="5"/>
  <c r="Q73" i="5"/>
  <c r="Q72" i="5"/>
  <c r="Q71" i="5"/>
  <c r="Q70" i="5"/>
  <c r="Q61" i="5"/>
  <c r="Q62" i="5"/>
  <c r="Q63" i="5"/>
  <c r="Q64" i="5"/>
  <c r="Q60" i="5"/>
  <c r="Q51" i="5"/>
  <c r="Q52" i="5"/>
  <c r="V199" i="25" l="1"/>
  <c r="AI199" i="25" s="1"/>
  <c r="U199" i="25"/>
  <c r="AH199" i="25" s="1"/>
  <c r="S199" i="25"/>
  <c r="AA199" i="25" s="1"/>
  <c r="Z197" i="25"/>
  <c r="AB214" i="5"/>
  <c r="AA209" i="25"/>
  <c r="V195" i="25"/>
  <c r="AI195" i="25" s="1"/>
  <c r="S197" i="25"/>
  <c r="AA197" i="25" s="1"/>
  <c r="Z195" i="25"/>
  <c r="V197" i="25"/>
  <c r="AI197" i="25" s="1"/>
  <c r="R194" i="25"/>
  <c r="V194" i="25" s="1"/>
  <c r="AI194" i="25" s="1"/>
  <c r="AA213" i="25"/>
  <c r="R192" i="25"/>
  <c r="V192" i="25" s="1"/>
  <c r="AI192" i="25" s="1"/>
  <c r="AA211" i="25"/>
  <c r="R191" i="25"/>
  <c r="U191" i="25" s="1"/>
  <c r="AH191" i="25" s="1"/>
  <c r="AA210" i="25"/>
  <c r="R196" i="25"/>
  <c r="V196" i="25" s="1"/>
  <c r="AI196" i="25" s="1"/>
  <c r="AA215" i="25"/>
  <c r="R198" i="25"/>
  <c r="V198" i="25" s="1"/>
  <c r="AI198" i="25" s="1"/>
  <c r="AA217" i="25"/>
  <c r="AI213" i="5"/>
  <c r="AQ195" i="5"/>
  <c r="AB190" i="25"/>
  <c r="AM190" i="25" s="1"/>
  <c r="AB192" i="25"/>
  <c r="AM192" i="25" s="1"/>
  <c r="AQ197" i="5"/>
  <c r="AB193" i="25"/>
  <c r="AM193" i="25" s="1"/>
  <c r="AQ198" i="5"/>
  <c r="AB199" i="25"/>
  <c r="AM199" i="25" s="1"/>
  <c r="AQ204" i="5"/>
  <c r="AB196" i="25"/>
  <c r="AM196" i="25" s="1"/>
  <c r="AQ201" i="5"/>
  <c r="AB195" i="25"/>
  <c r="AM195" i="25" s="1"/>
  <c r="AQ200" i="5"/>
  <c r="AB198" i="25"/>
  <c r="AM198" i="25" s="1"/>
  <c r="AQ203" i="5"/>
  <c r="AB191" i="25"/>
  <c r="AM191" i="25" s="1"/>
  <c r="AQ196" i="5"/>
  <c r="AB194" i="25"/>
  <c r="AM194" i="25" s="1"/>
  <c r="AQ199" i="5"/>
  <c r="R190" i="25"/>
  <c r="AA212" i="25"/>
  <c r="R193" i="25"/>
  <c r="S192" i="25"/>
  <c r="AA192" i="25" s="1"/>
  <c r="U192" i="25"/>
  <c r="AH192" i="25" s="1"/>
  <c r="BO49" i="11"/>
  <c r="BN33" i="11"/>
  <c r="BO33" i="11"/>
  <c r="T330" i="5"/>
  <c r="T304" i="5"/>
  <c r="T365" i="5"/>
  <c r="U365" i="5" s="1"/>
  <c r="V365" i="5" s="1"/>
  <c r="W365" i="5" s="1"/>
  <c r="T331" i="5"/>
  <c r="T322" i="5"/>
  <c r="T320" i="5"/>
  <c r="T321" i="5"/>
  <c r="T313" i="5"/>
  <c r="T315" i="5"/>
  <c r="T311" i="5"/>
  <c r="U311" i="5" s="1"/>
  <c r="V311" i="5" s="1"/>
  <c r="W311" i="5" s="1"/>
  <c r="T312" i="5"/>
  <c r="T303" i="5"/>
  <c r="T306" i="5"/>
  <c r="T305" i="5"/>
  <c r="Q175" i="20"/>
  <c r="X175" i="20" s="1"/>
  <c r="AA175" i="20" s="1"/>
  <c r="Q175" i="22"/>
  <c r="X175" i="22" s="1"/>
  <c r="AA175" i="22" s="1"/>
  <c r="Q175" i="23"/>
  <c r="Q175" i="24"/>
  <c r="X175" i="24" s="1"/>
  <c r="AA175" i="24" s="1"/>
  <c r="Q175" i="21"/>
  <c r="X175" i="21" s="1"/>
  <c r="AA175" i="21" s="1"/>
  <c r="T324" i="5"/>
  <c r="T329" i="5"/>
  <c r="T323" i="5"/>
  <c r="T333" i="5"/>
  <c r="T332" i="5"/>
  <c r="BO39" i="11"/>
  <c r="BN67" i="11"/>
  <c r="BO67" i="11" s="1"/>
  <c r="R181" i="5"/>
  <c r="BO84" i="11"/>
  <c r="BP84" i="11" s="1"/>
  <c r="AG164" i="5" s="1"/>
  <c r="T351" i="5"/>
  <c r="U351" i="5" s="1"/>
  <c r="V351" i="5" s="1"/>
  <c r="W351" i="5" s="1"/>
  <c r="T358" i="5"/>
  <c r="U358" i="5" s="1"/>
  <c r="V358" i="5" s="1"/>
  <c r="W358" i="5" s="1"/>
  <c r="BP93" i="11"/>
  <c r="AG173" i="5" s="1"/>
  <c r="BP69" i="11"/>
  <c r="AG149" i="5" s="1"/>
  <c r="BP85" i="11"/>
  <c r="AG165" i="5" s="1"/>
  <c r="BN73" i="11"/>
  <c r="BN89" i="11"/>
  <c r="BP49" i="11"/>
  <c r="AG129" i="5" s="1"/>
  <c r="BP70" i="11"/>
  <c r="AG150" i="5" s="1"/>
  <c r="BP86" i="11"/>
  <c r="AG166" i="5" s="1"/>
  <c r="BN66" i="11"/>
  <c r="BO66" i="11" s="1"/>
  <c r="BP53" i="11"/>
  <c r="AG133" i="5" s="1"/>
  <c r="BN57" i="11"/>
  <c r="BN71" i="11"/>
  <c r="BN87" i="11"/>
  <c r="BN91" i="11"/>
  <c r="BP74" i="11"/>
  <c r="AG154" i="5" s="1"/>
  <c r="BP90" i="11"/>
  <c r="AG170" i="5" s="1"/>
  <c r="BP37" i="11"/>
  <c r="AG117" i="5" s="1"/>
  <c r="BP33" i="11"/>
  <c r="AG113" i="5" s="1"/>
  <c r="BP56" i="11"/>
  <c r="AG136" i="5" s="1"/>
  <c r="BN68" i="11"/>
  <c r="BO68" i="11" s="1"/>
  <c r="BN72" i="11"/>
  <c r="BP36" i="11"/>
  <c r="AG116" i="5" s="1"/>
  <c r="BP50" i="11"/>
  <c r="AG130" i="5" s="1"/>
  <c r="BP54" i="11"/>
  <c r="AG134" i="5" s="1"/>
  <c r="BP75" i="11"/>
  <c r="AG155" i="5" s="1"/>
  <c r="BP52" i="11"/>
  <c r="AG132" i="5" s="1"/>
  <c r="BN30" i="11"/>
  <c r="BO30" i="11" s="1"/>
  <c r="BN48" i="11"/>
  <c r="BO48" i="11" s="1"/>
  <c r="BP48" i="11" s="1"/>
  <c r="AG128" i="5" s="1"/>
  <c r="BN52" i="11"/>
  <c r="BN56" i="11"/>
  <c r="BP35" i="11"/>
  <c r="AG115" i="5" s="1"/>
  <c r="BP51" i="11"/>
  <c r="AG131" i="5" s="1"/>
  <c r="BP55" i="11"/>
  <c r="AG135" i="5" s="1"/>
  <c r="BP88" i="11"/>
  <c r="AG168" i="5" s="1"/>
  <c r="BP92" i="11"/>
  <c r="AG172" i="5" s="1"/>
  <c r="BN36" i="11"/>
  <c r="BN32" i="11"/>
  <c r="BO32" i="11" s="1"/>
  <c r="BN39" i="11"/>
  <c r="BN35" i="11"/>
  <c r="BN31" i="11"/>
  <c r="BO31" i="11" s="1"/>
  <c r="BN38" i="11"/>
  <c r="BO38" i="11" s="1"/>
  <c r="BN34" i="11"/>
  <c r="Z192" i="25" l="1"/>
  <c r="Z198" i="25"/>
  <c r="Z196" i="25"/>
  <c r="Z191" i="25"/>
  <c r="S194" i="25"/>
  <c r="AA194" i="25" s="1"/>
  <c r="S196" i="25"/>
  <c r="AA196" i="25" s="1"/>
  <c r="S191" i="25"/>
  <c r="AA191" i="25" s="1"/>
  <c r="U194" i="25"/>
  <c r="AH194" i="25" s="1"/>
  <c r="V191" i="25"/>
  <c r="AI191" i="25" s="1"/>
  <c r="Z194" i="25"/>
  <c r="U198" i="25"/>
  <c r="AH198" i="25" s="1"/>
  <c r="S198" i="25"/>
  <c r="AA198" i="25" s="1"/>
  <c r="U196" i="25"/>
  <c r="AH196" i="25" s="1"/>
  <c r="X175" i="23"/>
  <c r="AA175" i="23" s="1"/>
  <c r="S193" i="25"/>
  <c r="AA193" i="25" s="1"/>
  <c r="Z193" i="25"/>
  <c r="U193" i="25"/>
  <c r="AH193" i="25" s="1"/>
  <c r="V193" i="25"/>
  <c r="AI193" i="25" s="1"/>
  <c r="Z190" i="25"/>
  <c r="V190" i="25"/>
  <c r="AI190" i="25" s="1"/>
  <c r="S190" i="25"/>
  <c r="AA190" i="25" s="1"/>
  <c r="U190" i="25"/>
  <c r="AH190" i="25" s="1"/>
  <c r="AM229" i="5"/>
  <c r="AB242" i="5"/>
  <c r="AB241" i="5"/>
  <c r="R63" i="5"/>
  <c r="R61" i="5"/>
  <c r="S61" i="5" s="1"/>
  <c r="T41" i="15" l="1"/>
  <c r="X205" i="5" l="1"/>
  <c r="AL205" i="5"/>
  <c r="AI223" i="5" s="1"/>
  <c r="AI211" i="5" s="1"/>
  <c r="AB243" i="5"/>
  <c r="R94" i="5"/>
  <c r="R92" i="5"/>
  <c r="R91" i="5"/>
  <c r="R90" i="5"/>
  <c r="R84" i="5"/>
  <c r="R82" i="5"/>
  <c r="R81" i="5"/>
  <c r="R80" i="5"/>
  <c r="R74" i="5"/>
  <c r="R72" i="5"/>
  <c r="R71" i="5"/>
  <c r="R70" i="5"/>
  <c r="R62" i="5"/>
  <c r="R64" i="5"/>
  <c r="R60" i="5"/>
  <c r="P56" i="15"/>
  <c r="R54" i="15"/>
  <c r="R55" i="15"/>
  <c r="R56" i="15"/>
  <c r="R57" i="15"/>
  <c r="R58" i="15"/>
  <c r="R60" i="15"/>
  <c r="R53" i="15"/>
  <c r="P54" i="15"/>
  <c r="P55" i="15"/>
  <c r="P59" i="15"/>
  <c r="P53" i="15"/>
  <c r="N54" i="15"/>
  <c r="N55" i="15"/>
  <c r="N56" i="15"/>
  <c r="N57" i="15"/>
  <c r="N58" i="15"/>
  <c r="N59" i="15"/>
  <c r="N60" i="15"/>
  <c r="N53" i="15"/>
  <c r="AB205" i="5" l="1"/>
  <c r="S224" i="5"/>
  <c r="R219" i="25" s="1"/>
  <c r="AB200" i="25"/>
  <c r="AM200" i="25" s="1"/>
  <c r="AQ205" i="5"/>
  <c r="AQ194" i="5" s="1"/>
  <c r="AI194" i="5" s="1"/>
  <c r="GQ25" i="19" s="1"/>
  <c r="AH207" i="5"/>
  <c r="AU28" i="5" s="1"/>
  <c r="W200" i="25"/>
  <c r="AW205" i="5"/>
  <c r="AG207" i="5"/>
  <c r="AU29" i="5" s="1"/>
  <c r="Q344" i="5"/>
  <c r="T344" i="5" s="1"/>
  <c r="U344" i="5" s="1"/>
  <c r="S60" i="15"/>
  <c r="S56" i="15"/>
  <c r="S59" i="15"/>
  <c r="S55" i="15"/>
  <c r="S58" i="15"/>
  <c r="S57" i="15"/>
  <c r="S53" i="15"/>
  <c r="S54" i="15"/>
  <c r="AA219" i="25" l="1"/>
  <c r="AB209" i="25" s="1"/>
  <c r="AC209" i="25" s="1"/>
  <c r="AF215" i="25" s="1"/>
  <c r="GR58" i="19" s="1"/>
  <c r="AV28" i="5"/>
  <c r="R200" i="25"/>
  <c r="Y202" i="25"/>
  <c r="X202" i="25"/>
  <c r="V344" i="5"/>
  <c r="W344" i="5" s="1"/>
  <c r="AY68" i="5"/>
  <c r="Z200" i="25" l="1"/>
  <c r="AD193" i="25" s="1"/>
  <c r="S200" i="25"/>
  <c r="AA200" i="25" s="1"/>
  <c r="AD197" i="25" s="1"/>
  <c r="U200" i="25"/>
  <c r="AH200" i="25" s="1"/>
  <c r="AK193" i="25" s="1"/>
  <c r="V200" i="25"/>
  <c r="AI200" i="25" s="1"/>
  <c r="AK197" i="25" s="1"/>
  <c r="Y50" i="5"/>
  <c r="P102" i="5"/>
  <c r="J304" i="5"/>
  <c r="U304" i="5" s="1"/>
  <c r="V304" i="5" s="1"/>
  <c r="W304" i="5" s="1"/>
  <c r="J305" i="5"/>
  <c r="U305" i="5" s="1"/>
  <c r="V305" i="5" s="1"/>
  <c r="W305" i="5" s="1"/>
  <c r="J306" i="5"/>
  <c r="U306" i="5" s="1"/>
  <c r="V306" i="5" s="1"/>
  <c r="W306" i="5" s="1"/>
  <c r="S60" i="5"/>
  <c r="AI52" i="5"/>
  <c r="AI51" i="5"/>
  <c r="AI50" i="5"/>
  <c r="AI48" i="5"/>
  <c r="B333" i="5" l="1"/>
  <c r="B332" i="5"/>
  <c r="B331" i="5"/>
  <c r="B330" i="5"/>
  <c r="B329" i="5"/>
  <c r="B324" i="5"/>
  <c r="B323" i="5"/>
  <c r="B322" i="5"/>
  <c r="B321" i="5"/>
  <c r="B320" i="5"/>
  <c r="B315" i="5"/>
  <c r="B314" i="5"/>
  <c r="B313" i="5"/>
  <c r="B312" i="5"/>
  <c r="B311" i="5"/>
  <c r="B303" i="5"/>
  <c r="B304" i="5"/>
  <c r="B305" i="5"/>
  <c r="B306" i="5"/>
  <c r="B302" i="5"/>
  <c r="C331" i="5"/>
  <c r="C330" i="5"/>
  <c r="C329" i="5"/>
  <c r="C322" i="5"/>
  <c r="C321" i="5"/>
  <c r="C320" i="5"/>
  <c r="C313" i="5"/>
  <c r="C312" i="5"/>
  <c r="C311" i="5"/>
  <c r="C303" i="5"/>
  <c r="C304" i="5"/>
  <c r="X94" i="5"/>
  <c r="S94" i="5"/>
  <c r="P94" i="5"/>
  <c r="J94" i="5"/>
  <c r="K94" i="5" s="1"/>
  <c r="C333" i="5"/>
  <c r="X93" i="5"/>
  <c r="P93" i="5"/>
  <c r="C332" i="5"/>
  <c r="X92" i="5"/>
  <c r="U92" i="5"/>
  <c r="V92" i="5" s="1"/>
  <c r="P92" i="5"/>
  <c r="J92" i="5"/>
  <c r="K92" i="5" s="1"/>
  <c r="X91" i="5"/>
  <c r="S91" i="5"/>
  <c r="P91" i="5"/>
  <c r="J91" i="5"/>
  <c r="K91" i="5" s="1"/>
  <c r="X90" i="5"/>
  <c r="U90" i="5"/>
  <c r="V90" i="5" s="1"/>
  <c r="P90" i="5"/>
  <c r="X84" i="5"/>
  <c r="S84" i="5"/>
  <c r="P84" i="5"/>
  <c r="J84" i="5"/>
  <c r="K84" i="5" s="1"/>
  <c r="C324" i="5"/>
  <c r="X83" i="5"/>
  <c r="P83" i="5"/>
  <c r="C323" i="5"/>
  <c r="X82" i="5"/>
  <c r="U82" i="5"/>
  <c r="V82" i="5" s="1"/>
  <c r="P82" i="5"/>
  <c r="J82" i="5"/>
  <c r="K82" i="5" s="1"/>
  <c r="X81" i="5"/>
  <c r="S81" i="5"/>
  <c r="P81" i="5"/>
  <c r="J81" i="5"/>
  <c r="K81" i="5" s="1"/>
  <c r="X80" i="5"/>
  <c r="U80" i="5"/>
  <c r="V80" i="5" s="1"/>
  <c r="P80" i="5"/>
  <c r="X74" i="5"/>
  <c r="S74" i="5"/>
  <c r="P74" i="5"/>
  <c r="J74" i="5"/>
  <c r="K74" i="5" s="1"/>
  <c r="C315" i="5"/>
  <c r="X73" i="5"/>
  <c r="P73" i="5"/>
  <c r="C314" i="5"/>
  <c r="X72" i="5"/>
  <c r="S72" i="5"/>
  <c r="P72" i="5"/>
  <c r="J72" i="5"/>
  <c r="K72" i="5" s="1"/>
  <c r="X71" i="5"/>
  <c r="S71" i="5"/>
  <c r="P71" i="5"/>
  <c r="J71" i="5"/>
  <c r="K71" i="5" s="1"/>
  <c r="X70" i="5"/>
  <c r="U70" i="5"/>
  <c r="V70" i="5" s="1"/>
  <c r="P70" i="5"/>
  <c r="X62" i="5"/>
  <c r="S62" i="5"/>
  <c r="P62" i="5"/>
  <c r="J62" i="5"/>
  <c r="K62" i="5" s="1"/>
  <c r="N44" i="15"/>
  <c r="N45" i="15"/>
  <c r="N43" i="15"/>
  <c r="O38" i="15"/>
  <c r="W90" i="5" l="1"/>
  <c r="W80" i="5"/>
  <c r="W70" i="5"/>
  <c r="U94" i="5"/>
  <c r="V94" i="5" s="1"/>
  <c r="S80" i="5"/>
  <c r="T80" i="5" s="1"/>
  <c r="U71" i="5"/>
  <c r="V71" i="5" s="1"/>
  <c r="S70" i="5"/>
  <c r="T70" i="5" s="1"/>
  <c r="U72" i="5"/>
  <c r="V72" i="5" s="1"/>
  <c r="S82" i="5"/>
  <c r="S92" i="5"/>
  <c r="U62" i="5"/>
  <c r="V62" i="5" s="1"/>
  <c r="U81" i="5"/>
  <c r="V81" i="5" s="1"/>
  <c r="S90" i="5"/>
  <c r="T90" i="5" s="1"/>
  <c r="U91" i="5"/>
  <c r="V91" i="5" s="1"/>
  <c r="U74" i="5"/>
  <c r="V74" i="5" s="1"/>
  <c r="U84" i="5"/>
  <c r="V84" i="5" s="1"/>
  <c r="N41" i="15"/>
  <c r="O41" i="15" s="1"/>
  <c r="X41" i="15"/>
  <c r="O36" i="15"/>
  <c r="O25" i="15"/>
  <c r="O26" i="15"/>
  <c r="O29" i="15"/>
  <c r="O31" i="15"/>
  <c r="O32" i="15"/>
  <c r="F4" i="15"/>
  <c r="C4" i="15"/>
  <c r="N4" i="15" l="1"/>
  <c r="X14" i="15" s="1"/>
  <c r="N1" i="15"/>
  <c r="V5" i="15"/>
  <c r="P28" i="15"/>
  <c r="P36" i="15"/>
  <c r="P32" i="15"/>
  <c r="S32" i="15" s="1"/>
  <c r="U41" i="15"/>
  <c r="Y41" i="15" s="1"/>
  <c r="Y43" i="15" s="1"/>
  <c r="O5" i="15"/>
  <c r="P22" i="15" s="1"/>
  <c r="P23" i="15" s="1"/>
  <c r="R5" i="15"/>
  <c r="M2" i="15"/>
  <c r="J4" i="15" l="1"/>
  <c r="V36" i="15"/>
  <c r="W36" i="15" s="1"/>
  <c r="T36" i="15" s="1"/>
  <c r="V38" i="15"/>
  <c r="W38" i="15" s="1"/>
  <c r="T38" i="15" s="1"/>
  <c r="Y44" i="15"/>
  <c r="P29" i="15"/>
  <c r="S29" i="15" s="1"/>
  <c r="P31" i="15"/>
  <c r="S31" i="15" s="1"/>
  <c r="S28" i="15"/>
  <c r="P38" i="15"/>
  <c r="S38" i="15" s="1"/>
  <c r="S36" i="15"/>
  <c r="Q22" i="15"/>
  <c r="Q26" i="15"/>
  <c r="R26" i="15"/>
  <c r="R25" i="15"/>
  <c r="S25" i="15" s="1"/>
  <c r="R22" i="15"/>
  <c r="R23" i="15" s="1"/>
  <c r="V28" i="15"/>
  <c r="W28" i="15" s="1"/>
  <c r="T28" i="15" s="1"/>
  <c r="V22" i="15"/>
  <c r="W22" i="15" s="1"/>
  <c r="T22" i="15" s="1"/>
  <c r="V23" i="15"/>
  <c r="W23" i="15" s="1"/>
  <c r="V29" i="15"/>
  <c r="W29" i="15" s="1"/>
  <c r="V25" i="15"/>
  <c r="W25" i="15" s="1"/>
  <c r="V31" i="15"/>
  <c r="W31" i="15" s="1"/>
  <c r="V26" i="15"/>
  <c r="W26" i="15" s="1"/>
  <c r="V32" i="15"/>
  <c r="W32" i="15" s="1"/>
  <c r="U28" i="15" l="1"/>
  <c r="U38" i="15"/>
  <c r="X23" i="15"/>
  <c r="T23" i="15"/>
  <c r="X22" i="15"/>
  <c r="X38" i="15"/>
  <c r="X25" i="15"/>
  <c r="T25" i="15"/>
  <c r="U25" i="15" s="1"/>
  <c r="X28" i="15"/>
  <c r="X36" i="15"/>
  <c r="U36" i="15"/>
  <c r="X26" i="15"/>
  <c r="T26" i="15"/>
  <c r="X31" i="15"/>
  <c r="T31" i="15"/>
  <c r="U31" i="15" s="1"/>
  <c r="X32" i="15"/>
  <c r="T32" i="15"/>
  <c r="U32" i="15" s="1"/>
  <c r="X29" i="15"/>
  <c r="T29" i="15"/>
  <c r="U29" i="15" s="1"/>
  <c r="S22" i="15"/>
  <c r="Q23" i="15"/>
  <c r="S23" i="15" s="1"/>
  <c r="S26" i="15"/>
  <c r="Y36" i="15" l="1"/>
  <c r="U23" i="15"/>
  <c r="Y23" i="15" s="1"/>
  <c r="Y38" i="15"/>
  <c r="Y25" i="15"/>
  <c r="U22" i="15"/>
  <c r="Y22" i="15" s="1"/>
  <c r="Y29" i="15"/>
  <c r="Y31" i="15"/>
  <c r="U26" i="15"/>
  <c r="Y26" i="15" s="1"/>
  <c r="Y32" i="15"/>
  <c r="Y28" i="15"/>
  <c r="G43" i="11"/>
  <c r="G96" i="11"/>
  <c r="G95" i="11"/>
  <c r="G94" i="11"/>
  <c r="G93" i="11"/>
  <c r="G92" i="11"/>
  <c r="G70" i="11"/>
  <c r="G69" i="11"/>
  <c r="G68" i="11"/>
  <c r="G67" i="11"/>
  <c r="G66" i="11"/>
  <c r="G47" i="11"/>
  <c r="G46" i="11"/>
  <c r="G45" i="11"/>
  <c r="G44" i="11"/>
  <c r="G24" i="11"/>
  <c r="G23" i="11"/>
  <c r="BA48" i="5"/>
  <c r="AT23" i="5" s="1"/>
  <c r="Y49" i="15" l="1"/>
  <c r="GT70" i="19" s="1"/>
  <c r="HI6" i="26" s="1"/>
  <c r="Y47" i="15"/>
  <c r="GS70" i="19" s="1"/>
  <c r="HH6" i="26" s="1"/>
  <c r="Y62" i="15" l="1"/>
  <c r="GQ28" i="19" s="1"/>
  <c r="Y48" i="15"/>
  <c r="GR70" i="19" s="1"/>
  <c r="HG6" i="26" s="1"/>
  <c r="AC2" i="15"/>
  <c r="X57" i="16"/>
  <c r="D137" i="5"/>
  <c r="BI57" i="11" s="1"/>
  <c r="D136" i="5"/>
  <c r="BI56" i="11" s="1"/>
  <c r="D173" i="5"/>
  <c r="BI93" i="11" s="1"/>
  <c r="D172" i="5"/>
  <c r="BI92" i="11" s="1"/>
  <c r="D155" i="5"/>
  <c r="BI75" i="11" s="1"/>
  <c r="D154" i="5"/>
  <c r="BI74" i="11" s="1"/>
  <c r="GT28" i="19" l="1"/>
  <c r="C64" i="5"/>
  <c r="C306" i="5" s="1"/>
  <c r="C63" i="5"/>
  <c r="C305" i="5" s="1"/>
  <c r="C52" i="5" l="1"/>
  <c r="D119" i="5"/>
  <c r="BI39" i="11" s="1"/>
  <c r="D118" i="5"/>
  <c r="BI38" i="11" s="1"/>
  <c r="P64" i="5"/>
  <c r="P63" i="5"/>
  <c r="P61" i="5"/>
  <c r="P60" i="5"/>
  <c r="T60" i="5" s="1"/>
  <c r="P51" i="5"/>
  <c r="P52" i="5"/>
  <c r="BA234" i="5" l="1"/>
  <c r="GP37" i="19" s="1"/>
  <c r="F39" i="11"/>
  <c r="F40" i="11"/>
  <c r="F41" i="11"/>
  <c r="F42" i="11"/>
  <c r="F38" i="11"/>
  <c r="F17" i="11"/>
  <c r="F18" i="11"/>
  <c r="F19" i="11"/>
  <c r="J331" i="11"/>
  <c r="J291" i="11"/>
  <c r="J292" i="11"/>
  <c r="J311" i="11"/>
  <c r="J170" i="11"/>
  <c r="J187" i="11"/>
  <c r="J206" i="11"/>
  <c r="J216" i="11"/>
  <c r="J230" i="11"/>
  <c r="J241" i="11"/>
  <c r="J246" i="11"/>
  <c r="J271" i="11"/>
  <c r="J283" i="11"/>
  <c r="J15" i="11"/>
  <c r="J34" i="11"/>
  <c r="J44" i="11"/>
  <c r="J51" i="11"/>
  <c r="J78" i="11"/>
  <c r="J98" i="11"/>
  <c r="J115" i="11"/>
  <c r="J120" i="11"/>
  <c r="J130" i="11"/>
  <c r="J150" i="11"/>
  <c r="AJ58" i="5" l="1"/>
  <c r="AJ102" i="5" s="1"/>
  <c r="AK102" i="5" s="1"/>
  <c r="AL102" i="5" s="1"/>
  <c r="AM102" i="5" s="1"/>
  <c r="AN102" i="5" s="1"/>
  <c r="AO102" i="5" s="1"/>
  <c r="AP102" i="5" s="1"/>
  <c r="AQ102" i="5" s="1"/>
  <c r="AR102" i="5" s="1"/>
  <c r="AS102" i="5" s="1"/>
  <c r="AT102" i="5" s="1"/>
  <c r="AU102" i="5" s="1"/>
  <c r="AJ46" i="13" l="1"/>
  <c r="AV57" i="13"/>
  <c r="J333" i="5"/>
  <c r="U333" i="5" s="1"/>
  <c r="V333" i="5" s="1"/>
  <c r="W333" i="5" s="1"/>
  <c r="J332" i="5"/>
  <c r="U332" i="5" s="1"/>
  <c r="V332" i="5" s="1"/>
  <c r="W332" i="5" s="1"/>
  <c r="J331" i="5"/>
  <c r="U331" i="5" s="1"/>
  <c r="V331" i="5" s="1"/>
  <c r="W331" i="5" s="1"/>
  <c r="J330" i="5"/>
  <c r="U330" i="5" s="1"/>
  <c r="V330" i="5" s="1"/>
  <c r="W330" i="5" s="1"/>
  <c r="J329" i="5"/>
  <c r="U329" i="5" s="1"/>
  <c r="V329" i="5" s="1"/>
  <c r="W329" i="5" s="1"/>
  <c r="J324" i="5"/>
  <c r="U324" i="5" s="1"/>
  <c r="V324" i="5" s="1"/>
  <c r="W324" i="5" s="1"/>
  <c r="J323" i="5"/>
  <c r="U323" i="5" s="1"/>
  <c r="V323" i="5" s="1"/>
  <c r="W323" i="5" s="1"/>
  <c r="J322" i="5"/>
  <c r="U322" i="5" s="1"/>
  <c r="V322" i="5" s="1"/>
  <c r="W322" i="5" s="1"/>
  <c r="J321" i="5"/>
  <c r="U321" i="5" s="1"/>
  <c r="V321" i="5" s="1"/>
  <c r="W321" i="5" s="1"/>
  <c r="J320" i="5"/>
  <c r="U320" i="5" s="1"/>
  <c r="V320" i="5" s="1"/>
  <c r="W320" i="5" s="1"/>
  <c r="J315" i="5"/>
  <c r="U315" i="5" s="1"/>
  <c r="V315" i="5" s="1"/>
  <c r="W315" i="5" s="1"/>
  <c r="J314" i="5"/>
  <c r="J313" i="5"/>
  <c r="U313" i="5" s="1"/>
  <c r="V313" i="5" s="1"/>
  <c r="W313" i="5" s="1"/>
  <c r="J312" i="5"/>
  <c r="U312" i="5" s="1"/>
  <c r="V312" i="5" s="1"/>
  <c r="W312" i="5" s="1"/>
  <c r="S302" i="5"/>
  <c r="J303" i="5"/>
  <c r="U303" i="5" s="1"/>
  <c r="V303" i="5" s="1"/>
  <c r="W303" i="5" s="1"/>
  <c r="J302" i="5"/>
  <c r="C302" i="5"/>
  <c r="Q302" i="5" s="1"/>
  <c r="AN66" i="13"/>
  <c r="R52" i="5"/>
  <c r="R51" i="5"/>
  <c r="R50" i="5"/>
  <c r="T302" i="5" l="1"/>
  <c r="U302" i="5" s="1"/>
  <c r="V302" i="5" s="1"/>
  <c r="W302" i="5" s="1"/>
  <c r="M63" i="13" l="1"/>
  <c r="M62" i="13"/>
  <c r="AO71" i="13" l="1"/>
  <c r="AN71" i="13" s="1"/>
  <c r="AO70" i="13"/>
  <c r="AN70" i="13" s="1"/>
  <c r="AO69" i="13"/>
  <c r="AN69" i="13" s="1"/>
  <c r="V64" i="13"/>
  <c r="X64" i="13" s="1"/>
  <c r="Y64" i="13" s="1"/>
  <c r="Z64" i="13" s="1"/>
  <c r="AA64" i="13" s="1"/>
  <c r="AB64" i="13" s="1"/>
  <c r="AC64" i="13" s="1"/>
  <c r="AD64" i="13" s="1"/>
  <c r="AE64" i="13" s="1"/>
  <c r="AF64" i="13" s="1"/>
  <c r="AG64" i="13" s="1"/>
  <c r="V62" i="13"/>
  <c r="V60" i="13"/>
  <c r="X60" i="13" s="1"/>
  <c r="Y60" i="13" s="1"/>
  <c r="Z60" i="13" s="1"/>
  <c r="AA60" i="13" s="1"/>
  <c r="AB60" i="13" s="1"/>
  <c r="AC60" i="13" s="1"/>
  <c r="AD60" i="13" s="1"/>
  <c r="AE60" i="13" s="1"/>
  <c r="AF60" i="13" s="1"/>
  <c r="AG60" i="13" s="1"/>
  <c r="AN65" i="13"/>
  <c r="AN64" i="13"/>
  <c r="O42" i="13"/>
  <c r="AG44" i="13"/>
  <c r="AG46" i="13"/>
  <c r="X62" i="13" l="1"/>
  <c r="AG42" i="13"/>
  <c r="AG48" i="13" s="1"/>
  <c r="AM42" i="13"/>
  <c r="Y62" i="13" l="1"/>
  <c r="V173" i="5"/>
  <c r="V172" i="5"/>
  <c r="V171" i="5"/>
  <c r="V155" i="5"/>
  <c r="V154" i="5"/>
  <c r="V153" i="5"/>
  <c r="V137" i="5"/>
  <c r="V136" i="5"/>
  <c r="V135" i="5"/>
  <c r="V118" i="5"/>
  <c r="V119" i="5"/>
  <c r="X118" i="5"/>
  <c r="AP188" i="11" s="1"/>
  <c r="AQ188" i="11" s="1"/>
  <c r="BE5" i="11"/>
  <c r="AP39" i="13" s="1"/>
  <c r="BD7" i="11"/>
  <c r="AO42" i="13" s="1"/>
  <c r="BD8" i="11"/>
  <c r="AO44" i="13" s="1"/>
  <c r="BD9" i="11"/>
  <c r="AO46" i="13" s="1"/>
  <c r="BD10" i="11"/>
  <c r="AO47" i="13" s="1"/>
  <c r="BD11" i="11"/>
  <c r="AO48" i="13" s="1"/>
  <c r="BD12" i="11"/>
  <c r="AO49" i="13" s="1"/>
  <c r="BD13" i="11"/>
  <c r="AO50" i="13" s="1"/>
  <c r="BD14" i="11"/>
  <c r="AO51" i="13" s="1"/>
  <c r="BD15" i="11"/>
  <c r="AO53" i="13" s="1"/>
  <c r="BD16" i="11"/>
  <c r="AO55" i="13" s="1"/>
  <c r="BD17" i="11"/>
  <c r="AO57" i="13" s="1"/>
  <c r="BD6" i="11"/>
  <c r="AO40" i="13" s="1"/>
  <c r="X37" i="13"/>
  <c r="X173" i="5"/>
  <c r="X172" i="5"/>
  <c r="X155" i="5"/>
  <c r="X154" i="5"/>
  <c r="X137" i="5"/>
  <c r="X136" i="5"/>
  <c r="U176" i="5"/>
  <c r="AA173" i="5"/>
  <c r="S173" i="5"/>
  <c r="Q173" i="5"/>
  <c r="P173" i="5"/>
  <c r="AD173" i="5" s="1"/>
  <c r="AE173" i="5" s="1"/>
  <c r="AA172" i="5"/>
  <c r="S172" i="5"/>
  <c r="Q172" i="5"/>
  <c r="P172" i="5"/>
  <c r="AD172" i="5" s="1"/>
  <c r="AE172" i="5" s="1"/>
  <c r="AA171" i="5"/>
  <c r="X171" i="5"/>
  <c r="S171" i="5"/>
  <c r="Q171" i="5"/>
  <c r="P171" i="5"/>
  <c r="AD171" i="5" s="1"/>
  <c r="AE171" i="5" s="1"/>
  <c r="AA170" i="5"/>
  <c r="X170" i="5"/>
  <c r="V170" i="5"/>
  <c r="S170" i="5"/>
  <c r="Q170" i="5"/>
  <c r="P170" i="5"/>
  <c r="AD170" i="5" s="1"/>
  <c r="AE170" i="5" s="1"/>
  <c r="AA169" i="5"/>
  <c r="X169" i="5"/>
  <c r="V169" i="5"/>
  <c r="S169" i="5"/>
  <c r="Q169" i="5"/>
  <c r="P169" i="5"/>
  <c r="AD169" i="5" s="1"/>
  <c r="AE169" i="5" s="1"/>
  <c r="AA168" i="5"/>
  <c r="X168" i="5"/>
  <c r="V168" i="5"/>
  <c r="S168" i="5"/>
  <c r="Q168" i="5"/>
  <c r="P168" i="5"/>
  <c r="AD168" i="5" s="1"/>
  <c r="AE168" i="5" s="1"/>
  <c r="AA167" i="5"/>
  <c r="X167" i="5"/>
  <c r="AP237" i="11" s="1"/>
  <c r="V167" i="5"/>
  <c r="S167" i="5"/>
  <c r="Q167" i="5"/>
  <c r="P167" i="5"/>
  <c r="AD167" i="5" s="1"/>
  <c r="AE167" i="5" s="1"/>
  <c r="AA166" i="5"/>
  <c r="X166" i="5"/>
  <c r="AP236" i="11" s="1"/>
  <c r="V166" i="5"/>
  <c r="S166" i="5"/>
  <c r="Q166" i="5"/>
  <c r="P166" i="5"/>
  <c r="AD166" i="5" s="1"/>
  <c r="AE166" i="5" s="1"/>
  <c r="AA165" i="5"/>
  <c r="X165" i="5"/>
  <c r="AP235" i="11" s="1"/>
  <c r="AQ235" i="11" s="1"/>
  <c r="V165" i="5"/>
  <c r="S165" i="5"/>
  <c r="Q165" i="5"/>
  <c r="P165" i="5"/>
  <c r="AA164" i="5"/>
  <c r="X164" i="5"/>
  <c r="AP234" i="11" s="1"/>
  <c r="AQ234" i="11" s="1"/>
  <c r="V164" i="5"/>
  <c r="S164" i="5"/>
  <c r="Q164" i="5"/>
  <c r="P164" i="5"/>
  <c r="AE162" i="5"/>
  <c r="U158" i="5"/>
  <c r="AA155" i="5"/>
  <c r="S155" i="5"/>
  <c r="Q155" i="5"/>
  <c r="P155" i="5"/>
  <c r="AD155" i="5" s="1"/>
  <c r="AE155" i="5" s="1"/>
  <c r="AA154" i="5"/>
  <c r="S154" i="5"/>
  <c r="Q154" i="5"/>
  <c r="P154" i="5"/>
  <c r="AD154" i="5" s="1"/>
  <c r="AE154" i="5" s="1"/>
  <c r="AA153" i="5"/>
  <c r="X153" i="5"/>
  <c r="AP223" i="11" s="1"/>
  <c r="AQ223" i="11" s="1"/>
  <c r="S153" i="5"/>
  <c r="Q153" i="5"/>
  <c r="P153" i="5"/>
  <c r="AD153" i="5" s="1"/>
  <c r="AE153" i="5" s="1"/>
  <c r="AA152" i="5"/>
  <c r="X152" i="5"/>
  <c r="AP222" i="11" s="1"/>
  <c r="AQ222" i="11" s="1"/>
  <c r="V152" i="5"/>
  <c r="S152" i="5"/>
  <c r="Q152" i="5"/>
  <c r="P152" i="5"/>
  <c r="AD152" i="5" s="1"/>
  <c r="AE152" i="5" s="1"/>
  <c r="AA151" i="5"/>
  <c r="X151" i="5"/>
  <c r="AP221" i="11" s="1"/>
  <c r="AQ221" i="11" s="1"/>
  <c r="V151" i="5"/>
  <c r="S151" i="5"/>
  <c r="Q151" i="5"/>
  <c r="P151" i="5"/>
  <c r="AD151" i="5" s="1"/>
  <c r="AE151" i="5" s="1"/>
  <c r="AA150" i="5"/>
  <c r="X150" i="5"/>
  <c r="AP220" i="11" s="1"/>
  <c r="V150" i="5"/>
  <c r="S150" i="5"/>
  <c r="Q150" i="5"/>
  <c r="P150" i="5"/>
  <c r="AD150" i="5" s="1"/>
  <c r="AE150" i="5" s="1"/>
  <c r="AA149" i="5"/>
  <c r="X149" i="5"/>
  <c r="V149" i="5"/>
  <c r="S149" i="5"/>
  <c r="Q149" i="5"/>
  <c r="P149" i="5"/>
  <c r="AD149" i="5" s="1"/>
  <c r="AE149" i="5" s="1"/>
  <c r="AA148" i="5"/>
  <c r="X148" i="5"/>
  <c r="AP218" i="11" s="1"/>
  <c r="V148" i="5"/>
  <c r="S148" i="5"/>
  <c r="Q148" i="5"/>
  <c r="P148" i="5"/>
  <c r="AA147" i="5"/>
  <c r="X147" i="5"/>
  <c r="AP217" i="11" s="1"/>
  <c r="AQ217" i="11" s="1"/>
  <c r="V147" i="5"/>
  <c r="S147" i="5"/>
  <c r="Q147" i="5"/>
  <c r="P147" i="5"/>
  <c r="AA146" i="5"/>
  <c r="X146" i="5"/>
  <c r="AP216" i="11" s="1"/>
  <c r="AQ216" i="11" s="1"/>
  <c r="V146" i="5"/>
  <c r="S146" i="5"/>
  <c r="Q146" i="5"/>
  <c r="P146" i="5"/>
  <c r="AE144" i="5"/>
  <c r="U140" i="5"/>
  <c r="AA137" i="5"/>
  <c r="S137" i="5"/>
  <c r="Q137" i="5"/>
  <c r="P137" i="5"/>
  <c r="AD137" i="5" s="1"/>
  <c r="AE137" i="5" s="1"/>
  <c r="AA136" i="5"/>
  <c r="S136" i="5"/>
  <c r="Q136" i="5"/>
  <c r="P136" i="5"/>
  <c r="AD136" i="5" s="1"/>
  <c r="AE136" i="5" s="1"/>
  <c r="AA135" i="5"/>
  <c r="X135" i="5"/>
  <c r="S135" i="5"/>
  <c r="Q135" i="5"/>
  <c r="P135" i="5"/>
  <c r="AD135" i="5" s="1"/>
  <c r="AE135" i="5" s="1"/>
  <c r="AA134" i="5"/>
  <c r="X134" i="5"/>
  <c r="V134" i="5"/>
  <c r="S134" i="5"/>
  <c r="Q134" i="5"/>
  <c r="P134" i="5"/>
  <c r="AD134" i="5" s="1"/>
  <c r="AE134" i="5" s="1"/>
  <c r="AA133" i="5"/>
  <c r="X133" i="5"/>
  <c r="AP203" i="11" s="1"/>
  <c r="AQ203" i="11" s="1"/>
  <c r="V133" i="5"/>
  <c r="S133" i="5"/>
  <c r="Q133" i="5"/>
  <c r="P133" i="5"/>
  <c r="AD133" i="5" s="1"/>
  <c r="AE133" i="5" s="1"/>
  <c r="AA132" i="5"/>
  <c r="X132" i="5"/>
  <c r="AP202" i="11" s="1"/>
  <c r="AQ202" i="11" s="1"/>
  <c r="V132" i="5"/>
  <c r="S132" i="5"/>
  <c r="Q132" i="5"/>
  <c r="P132" i="5"/>
  <c r="AD132" i="5" s="1"/>
  <c r="AE132" i="5" s="1"/>
  <c r="AA131" i="5"/>
  <c r="X131" i="5"/>
  <c r="AP201" i="11" s="1"/>
  <c r="V131" i="5"/>
  <c r="S131" i="5"/>
  <c r="Q131" i="5"/>
  <c r="P131" i="5"/>
  <c r="AD131" i="5" s="1"/>
  <c r="AE131" i="5" s="1"/>
  <c r="AA130" i="5"/>
  <c r="X130" i="5"/>
  <c r="AP200" i="11" s="1"/>
  <c r="V130" i="5"/>
  <c r="S130" i="5"/>
  <c r="Q130" i="5"/>
  <c r="P130" i="5"/>
  <c r="AD130" i="5" s="1"/>
  <c r="AE130" i="5" s="1"/>
  <c r="AA129" i="5"/>
  <c r="X129" i="5"/>
  <c r="AP199" i="11" s="1"/>
  <c r="AQ199" i="11" s="1"/>
  <c r="V129" i="5"/>
  <c r="S129" i="5"/>
  <c r="Q129" i="5"/>
  <c r="P129" i="5"/>
  <c r="AA128" i="5"/>
  <c r="X128" i="5"/>
  <c r="AP198" i="11" s="1"/>
  <c r="AQ198" i="11" s="1"/>
  <c r="V128" i="5"/>
  <c r="S128" i="5"/>
  <c r="Q128" i="5"/>
  <c r="P128" i="5"/>
  <c r="AE126" i="5"/>
  <c r="V111" i="5"/>
  <c r="V112" i="5"/>
  <c r="V113" i="5"/>
  <c r="V114" i="5"/>
  <c r="V115" i="5"/>
  <c r="V116" i="5"/>
  <c r="V117" i="5"/>
  <c r="T134" i="24" l="1"/>
  <c r="AC134" i="24" s="1"/>
  <c r="AD134" i="24" s="1"/>
  <c r="T134" i="23"/>
  <c r="AC134" i="23" s="1"/>
  <c r="AD134" i="23" s="1"/>
  <c r="T152" i="24"/>
  <c r="AC152" i="24" s="1"/>
  <c r="AD152" i="24" s="1"/>
  <c r="T152" i="23"/>
  <c r="AC152" i="23" s="1"/>
  <c r="AD152" i="23" s="1"/>
  <c r="T134" i="25"/>
  <c r="AC134" i="25" s="1"/>
  <c r="AD134" i="25" s="1"/>
  <c r="T152" i="25"/>
  <c r="AC152" i="25" s="1"/>
  <c r="AD152" i="25" s="1"/>
  <c r="T170" i="24"/>
  <c r="AC170" i="24" s="1"/>
  <c r="AD170" i="24" s="1"/>
  <c r="T170" i="25"/>
  <c r="AC170" i="25" s="1"/>
  <c r="AD170" i="25" s="1"/>
  <c r="U129" i="5"/>
  <c r="AD129" i="5" s="1"/>
  <c r="AE129" i="5" s="1"/>
  <c r="U131" i="5"/>
  <c r="U133" i="5"/>
  <c r="U135" i="5"/>
  <c r="U164" i="5"/>
  <c r="AD164" i="5" s="1"/>
  <c r="AE164" i="5" s="1"/>
  <c r="U166" i="5"/>
  <c r="U168" i="5"/>
  <c r="T134" i="22"/>
  <c r="AC134" i="22" s="1"/>
  <c r="AD134" i="22" s="1"/>
  <c r="T152" i="22"/>
  <c r="AC152" i="22" s="1"/>
  <c r="AD152" i="22" s="1"/>
  <c r="T170" i="22"/>
  <c r="AC170" i="22" s="1"/>
  <c r="AD170" i="22" s="1"/>
  <c r="T170" i="23"/>
  <c r="AC170" i="23" s="1"/>
  <c r="AD170" i="23" s="1"/>
  <c r="U128" i="5"/>
  <c r="AD128" i="5" s="1"/>
  <c r="AE128" i="5" s="1"/>
  <c r="U130" i="5"/>
  <c r="U132" i="5"/>
  <c r="U165" i="5"/>
  <c r="AD165" i="5" s="1"/>
  <c r="AE165" i="5" s="1"/>
  <c r="U167" i="5"/>
  <c r="U169" i="5"/>
  <c r="U171" i="5"/>
  <c r="T170" i="21"/>
  <c r="AC170" i="21" s="1"/>
  <c r="AD170" i="21" s="1"/>
  <c r="T170" i="20"/>
  <c r="AC170" i="20" s="1"/>
  <c r="AD170" i="20" s="1"/>
  <c r="T134" i="21"/>
  <c r="AC134" i="21" s="1"/>
  <c r="AD134" i="21" s="1"/>
  <c r="T134" i="20"/>
  <c r="AC134" i="20" s="1"/>
  <c r="AD134" i="20" s="1"/>
  <c r="U170" i="5"/>
  <c r="T152" i="21"/>
  <c r="AC152" i="21" s="1"/>
  <c r="AD152" i="21" s="1"/>
  <c r="T152" i="20"/>
  <c r="AC152" i="20" s="1"/>
  <c r="AD152" i="20" s="1"/>
  <c r="U149" i="5"/>
  <c r="U151" i="5"/>
  <c r="U153" i="5"/>
  <c r="U134" i="5"/>
  <c r="U150" i="5"/>
  <c r="U152" i="5"/>
  <c r="U136" i="5"/>
  <c r="U137" i="5"/>
  <c r="U154" i="5"/>
  <c r="U155" i="5"/>
  <c r="U172" i="5"/>
  <c r="U173" i="5"/>
  <c r="AQ200" i="11"/>
  <c r="AR200" i="11" s="1"/>
  <c r="AQ237" i="11"/>
  <c r="AR237" i="11" s="1"/>
  <c r="AQ220" i="11"/>
  <c r="AR220" i="11" s="1"/>
  <c r="AQ201" i="11"/>
  <c r="AR201" i="11" s="1"/>
  <c r="AQ236" i="11"/>
  <c r="AR236" i="11" s="1"/>
  <c r="U146" i="5"/>
  <c r="AD146" i="5" s="1"/>
  <c r="AE146" i="5" s="1"/>
  <c r="AQ218" i="11"/>
  <c r="AR218" i="11" s="1"/>
  <c r="U148" i="5"/>
  <c r="AD148" i="5" s="1"/>
  <c r="AE148" i="5" s="1"/>
  <c r="U147" i="5"/>
  <c r="AD147" i="5" s="1"/>
  <c r="AE147" i="5" s="1"/>
  <c r="AR217" i="11"/>
  <c r="AB149" i="5"/>
  <c r="AP219" i="11"/>
  <c r="AQ219" i="11" s="1"/>
  <c r="AR221" i="11"/>
  <c r="AR222" i="11"/>
  <c r="AC171" i="5"/>
  <c r="AP241" i="11"/>
  <c r="AQ241" i="11" s="1"/>
  <c r="W173" i="5"/>
  <c r="AP243" i="11"/>
  <c r="AQ243" i="11" s="1"/>
  <c r="AR234" i="11"/>
  <c r="AR235" i="11"/>
  <c r="AB168" i="5"/>
  <c r="AP238" i="11"/>
  <c r="W169" i="5"/>
  <c r="AP239" i="11"/>
  <c r="AQ239" i="11" s="1"/>
  <c r="AC170" i="5"/>
  <c r="AP240" i="11"/>
  <c r="W154" i="5"/>
  <c r="AP224" i="11"/>
  <c r="AC135" i="5"/>
  <c r="AP205" i="11"/>
  <c r="W155" i="5"/>
  <c r="AP225" i="11"/>
  <c r="AR198" i="11"/>
  <c r="AR199" i="11"/>
  <c r="AR202" i="11"/>
  <c r="AR203" i="11"/>
  <c r="AB134" i="5"/>
  <c r="AP204" i="11"/>
  <c r="AR223" i="11"/>
  <c r="W172" i="5"/>
  <c r="AP242" i="11"/>
  <c r="W137" i="5"/>
  <c r="AP207" i="11"/>
  <c r="AQ207" i="11" s="1"/>
  <c r="W136" i="5"/>
  <c r="AP206" i="11"/>
  <c r="AQ206" i="11" s="1"/>
  <c r="AR188" i="11"/>
  <c r="AR216" i="11"/>
  <c r="AD140" i="5"/>
  <c r="AE140" i="5" s="1"/>
  <c r="AD158" i="5"/>
  <c r="AE158" i="5" s="1"/>
  <c r="AD176" i="5"/>
  <c r="AE176" i="5" s="1"/>
  <c r="AB154" i="5"/>
  <c r="W168" i="5"/>
  <c r="W118" i="5"/>
  <c r="AB172" i="5"/>
  <c r="AC134" i="5"/>
  <c r="W134" i="5"/>
  <c r="AC154" i="5"/>
  <c r="AC172" i="5"/>
  <c r="W128" i="5"/>
  <c r="W164" i="5"/>
  <c r="W166" i="5"/>
  <c r="AC168" i="5"/>
  <c r="AB173" i="5"/>
  <c r="AC149" i="5"/>
  <c r="W153" i="5"/>
  <c r="W149" i="5"/>
  <c r="W171" i="5"/>
  <c r="W130" i="5"/>
  <c r="W132" i="5"/>
  <c r="W148" i="5"/>
  <c r="W152" i="5"/>
  <c r="W170" i="5"/>
  <c r="W135" i="5"/>
  <c r="W147" i="5"/>
  <c r="W151" i="5"/>
  <c r="Z62" i="13"/>
  <c r="AJ51" i="13"/>
  <c r="AJ58" i="13"/>
  <c r="W133" i="5"/>
  <c r="W129" i="5"/>
  <c r="W165" i="5"/>
  <c r="W167" i="5"/>
  <c r="AC169" i="5"/>
  <c r="AB170" i="5"/>
  <c r="AC173" i="5"/>
  <c r="AB171" i="5"/>
  <c r="AB169" i="5"/>
  <c r="AC155" i="5"/>
  <c r="AB155" i="5"/>
  <c r="W146" i="5"/>
  <c r="W150" i="5"/>
  <c r="AB137" i="5"/>
  <c r="W131" i="5"/>
  <c r="AB135" i="5"/>
  <c r="AQ204" i="11" l="1"/>
  <c r="AR204" i="11" s="1"/>
  <c r="AQ205" i="11"/>
  <c r="AR205" i="11" s="1"/>
  <c r="AQ238" i="11"/>
  <c r="AR238" i="11" s="1"/>
  <c r="AQ242" i="11"/>
  <c r="AR242" i="11" s="1"/>
  <c r="AQ240" i="11"/>
  <c r="AR240" i="11" s="1"/>
  <c r="AQ225" i="11"/>
  <c r="AR225" i="11" s="1"/>
  <c r="AQ224" i="11"/>
  <c r="AR224" i="11" s="1"/>
  <c r="AR239" i="11"/>
  <c r="AR243" i="11"/>
  <c r="AR219" i="11"/>
  <c r="AR241" i="11"/>
  <c r="AC137" i="5"/>
  <c r="AA62" i="13"/>
  <c r="AR207" i="11" l="1"/>
  <c r="AR206" i="11"/>
  <c r="AB62" i="13"/>
  <c r="BQ13" i="18"/>
  <c r="BQ14" i="18"/>
  <c r="AG181" i="5"/>
  <c r="C4" i="5"/>
  <c r="O6" i="18"/>
  <c r="D16" i="18" s="1"/>
  <c r="BL89" i="18" s="1"/>
  <c r="AY71" i="5"/>
  <c r="AP22" i="11"/>
  <c r="AW50" i="11"/>
  <c r="AR51" i="11"/>
  <c r="AU47" i="11" s="1"/>
  <c r="AP51" i="11"/>
  <c r="AQ51" i="11"/>
  <c r="AT20" i="11"/>
  <c r="AT22" i="11"/>
  <c r="BB49" i="11"/>
  <c r="BB47" i="11"/>
  <c r="S50" i="5"/>
  <c r="T50" i="5" s="1"/>
  <c r="S51" i="5"/>
  <c r="T51" i="5" s="1"/>
  <c r="U61" i="5"/>
  <c r="V61" i="5" s="1"/>
  <c r="R99" i="5"/>
  <c r="S99" i="5" s="1"/>
  <c r="Q118" i="5"/>
  <c r="S118" i="5"/>
  <c r="Q119" i="5"/>
  <c r="S119" i="5"/>
  <c r="U122" i="5"/>
  <c r="X60" i="5"/>
  <c r="X61" i="5"/>
  <c r="X63" i="5"/>
  <c r="X64" i="5"/>
  <c r="AO35" i="13"/>
  <c r="AD35" i="13"/>
  <c r="AD23" i="13"/>
  <c r="AD24" i="13" s="1"/>
  <c r="AD25" i="13" s="1"/>
  <c r="AD26" i="13" s="1"/>
  <c r="AD27" i="13" s="1"/>
  <c r="AP35" i="13"/>
  <c r="AE35" i="13"/>
  <c r="AE24" i="13"/>
  <c r="AE25" i="13"/>
  <c r="AE26" i="13"/>
  <c r="AE27" i="13"/>
  <c r="AE23" i="13"/>
  <c r="U23" i="13"/>
  <c r="U24" i="13"/>
  <c r="U25" i="13"/>
  <c r="U26" i="13"/>
  <c r="U27" i="13"/>
  <c r="T23" i="13"/>
  <c r="T24" i="13"/>
  <c r="T25" i="13"/>
  <c r="T26" i="13"/>
  <c r="T27" i="13"/>
  <c r="S24" i="13"/>
  <c r="S25" i="13"/>
  <c r="S26" i="13"/>
  <c r="S27" i="13"/>
  <c r="S23" i="13"/>
  <c r="M24" i="13"/>
  <c r="M25" i="13"/>
  <c r="M26" i="13"/>
  <c r="M27" i="13"/>
  <c r="M23" i="13"/>
  <c r="AK25" i="13"/>
  <c r="AK23" i="13"/>
  <c r="AJ23" i="13"/>
  <c r="AP24" i="13"/>
  <c r="AP25" i="13"/>
  <c r="AP26" i="13"/>
  <c r="AP27" i="13"/>
  <c r="AP23" i="13"/>
  <c r="AO23" i="13"/>
  <c r="AO24" i="13" s="1"/>
  <c r="AO25" i="13" s="1"/>
  <c r="AO26" i="13" s="1"/>
  <c r="AO27" i="13" s="1"/>
  <c r="AK24" i="13"/>
  <c r="AJ24" i="13"/>
  <c r="AJ25" i="13"/>
  <c r="AK26" i="13"/>
  <c r="AJ26" i="13"/>
  <c r="AK27" i="13"/>
  <c r="AJ27" i="13"/>
  <c r="D31" i="13"/>
  <c r="Q35" i="13" s="1"/>
  <c r="X35" i="13" s="1"/>
  <c r="D19" i="13"/>
  <c r="G36" i="1"/>
  <c r="F28" i="13"/>
  <c r="U50" i="5"/>
  <c r="V50" i="5" s="1"/>
  <c r="W50" i="5" s="1"/>
  <c r="AL243" i="5"/>
  <c r="AM243" i="5" s="1"/>
  <c r="AL242" i="5"/>
  <c r="AM242" i="5" s="1"/>
  <c r="AL241" i="5"/>
  <c r="AA61" i="5"/>
  <c r="Z57" i="25" s="1"/>
  <c r="AA60" i="5"/>
  <c r="Z56" i="25" s="1"/>
  <c r="AA58" i="5"/>
  <c r="Z54" i="25" s="1"/>
  <c r="C102" i="5"/>
  <c r="J64" i="5"/>
  <c r="K64" i="5" s="1"/>
  <c r="J61" i="5"/>
  <c r="K61" i="5" s="1"/>
  <c r="AA117" i="5"/>
  <c r="X117" i="5"/>
  <c r="AP187" i="11" s="1"/>
  <c r="AQ187" i="11" s="1"/>
  <c r="S117" i="5"/>
  <c r="Q117" i="5"/>
  <c r="P117" i="5"/>
  <c r="AD117" i="5" s="1"/>
  <c r="AA116" i="5"/>
  <c r="X116" i="5"/>
  <c r="S116" i="5"/>
  <c r="Q116" i="5"/>
  <c r="P116" i="5"/>
  <c r="AD116" i="5" s="1"/>
  <c r="AA115" i="5"/>
  <c r="X115" i="5"/>
  <c r="S115" i="5"/>
  <c r="Q115" i="5"/>
  <c r="P115" i="5"/>
  <c r="AD115" i="5" s="1"/>
  <c r="AA114" i="5"/>
  <c r="X114" i="5"/>
  <c r="AP184" i="11" s="1"/>
  <c r="S114" i="5"/>
  <c r="Q114" i="5"/>
  <c r="P114" i="5"/>
  <c r="AD114" i="5" s="1"/>
  <c r="AA113" i="5"/>
  <c r="X113" i="5"/>
  <c r="S113" i="5"/>
  <c r="Q113" i="5"/>
  <c r="P113" i="5"/>
  <c r="AA119" i="5"/>
  <c r="X119" i="5"/>
  <c r="P119" i="5"/>
  <c r="AD119" i="5" s="1"/>
  <c r="AA118" i="5"/>
  <c r="AA111" i="5"/>
  <c r="AA112" i="5"/>
  <c r="AA110" i="5"/>
  <c r="Q110" i="5"/>
  <c r="X111" i="5"/>
  <c r="X112" i="5"/>
  <c r="S111" i="5"/>
  <c r="S112" i="5"/>
  <c r="S110" i="5"/>
  <c r="P111" i="5"/>
  <c r="P112" i="5"/>
  <c r="P118" i="5"/>
  <c r="AD118" i="5" s="1"/>
  <c r="S195" i="5"/>
  <c r="AQ20" i="5"/>
  <c r="AQ19" i="5"/>
  <c r="AE9" i="5"/>
  <c r="AG26" i="5"/>
  <c r="AG27" i="5"/>
  <c r="AG28" i="5"/>
  <c r="AG29" i="5"/>
  <c r="AG21" i="5"/>
  <c r="AG22" i="5"/>
  <c r="AG23" i="5"/>
  <c r="AG24" i="5"/>
  <c r="AG25" i="5"/>
  <c r="AG20" i="5"/>
  <c r="AG16" i="5"/>
  <c r="AG17" i="5"/>
  <c r="AG18" i="5"/>
  <c r="AG19" i="5"/>
  <c r="AG11" i="5"/>
  <c r="AG14" i="5"/>
  <c r="AG15" i="5"/>
  <c r="AG10" i="5"/>
  <c r="H40" i="5"/>
  <c r="H39" i="5"/>
  <c r="H38" i="5"/>
  <c r="H37" i="5"/>
  <c r="B86" i="5"/>
  <c r="B326" i="5" s="1"/>
  <c r="P326" i="5" s="1"/>
  <c r="Y328" i="5" s="1"/>
  <c r="B76" i="5"/>
  <c r="B317" i="5" s="1"/>
  <c r="P317" i="5" s="1"/>
  <c r="Y319" i="5" s="1"/>
  <c r="B66" i="5"/>
  <c r="B308" i="5" s="1"/>
  <c r="P308" i="5" s="1"/>
  <c r="Y310" i="5" s="1"/>
  <c r="B56" i="5"/>
  <c r="AP20" i="5"/>
  <c r="AP19" i="5"/>
  <c r="AO18" i="5"/>
  <c r="AB21" i="5"/>
  <c r="AB22" i="5"/>
  <c r="AB23" i="5"/>
  <c r="AB20" i="5"/>
  <c r="AB238" i="5"/>
  <c r="AE108" i="5"/>
  <c r="AN215" i="5"/>
  <c r="AN216" i="5"/>
  <c r="AN217" i="5"/>
  <c r="AN218" i="5"/>
  <c r="AN219" i="5"/>
  <c r="AN220" i="5"/>
  <c r="AN221" i="5"/>
  <c r="AN222" i="5"/>
  <c r="AN223" i="5"/>
  <c r="AN224" i="5"/>
  <c r="AN214" i="5"/>
  <c r="BK48" i="18"/>
  <c r="BK47" i="18"/>
  <c r="BK46" i="18"/>
  <c r="BK45" i="18"/>
  <c r="BK44" i="18"/>
  <c r="BK43" i="18"/>
  <c r="BK42" i="18"/>
  <c r="BK41" i="18"/>
  <c r="BK40" i="18"/>
  <c r="BK39" i="18"/>
  <c r="BK38" i="18"/>
  <c r="BK37" i="18"/>
  <c r="BK36" i="18"/>
  <c r="BK35" i="18"/>
  <c r="BK34" i="18"/>
  <c r="BK33" i="18"/>
  <c r="BK32" i="18"/>
  <c r="BK31" i="18"/>
  <c r="BK30" i="18"/>
  <c r="BK29" i="18"/>
  <c r="BK28" i="18"/>
  <c r="BK27" i="18"/>
  <c r="BK26" i="18"/>
  <c r="BK25" i="18"/>
  <c r="AS214" i="5"/>
  <c r="AI80" i="5"/>
  <c r="AI81" i="5"/>
  <c r="AI82" i="5"/>
  <c r="AI83" i="5"/>
  <c r="S6" i="18"/>
  <c r="S7" i="18" s="1"/>
  <c r="S8" i="18" s="1"/>
  <c r="S9" i="18" s="1"/>
  <c r="S10" i="18" s="1"/>
  <c r="S11" i="18" s="1"/>
  <c r="BR10" i="18"/>
  <c r="BX8" i="18"/>
  <c r="BX9" i="18"/>
  <c r="M16" i="18"/>
  <c r="BU89" i="18" s="1"/>
  <c r="BU85" i="18" s="1"/>
  <c r="BU86" i="18" s="1"/>
  <c r="BF9" i="18" s="1"/>
  <c r="AS24" i="18"/>
  <c r="C25" i="18"/>
  <c r="R25" i="18" s="1"/>
  <c r="AG25" i="18"/>
  <c r="AV25" i="18"/>
  <c r="C26" i="18"/>
  <c r="R26" i="18" s="1"/>
  <c r="AG26" i="18"/>
  <c r="AV26" i="18"/>
  <c r="C27" i="18"/>
  <c r="R27" i="18" s="1"/>
  <c r="AG27" i="18"/>
  <c r="AV27" i="18"/>
  <c r="C28" i="18"/>
  <c r="AG28" i="18"/>
  <c r="AV28" i="18"/>
  <c r="C29" i="18"/>
  <c r="AG29" i="18"/>
  <c r="AV29" i="18"/>
  <c r="C30" i="18"/>
  <c r="R30" i="18" s="1"/>
  <c r="AG30" i="18"/>
  <c r="AV30" i="18"/>
  <c r="C31" i="18"/>
  <c r="R31" i="18" s="1"/>
  <c r="AG31" i="18"/>
  <c r="AV31" i="18"/>
  <c r="C32" i="18"/>
  <c r="R32" i="18" s="1"/>
  <c r="AG32" i="18"/>
  <c r="AV32" i="18"/>
  <c r="C33" i="18"/>
  <c r="R33" i="18" s="1"/>
  <c r="AG33" i="18"/>
  <c r="AV33" i="18"/>
  <c r="C34" i="18"/>
  <c r="R34" i="18" s="1"/>
  <c r="AG34" i="18"/>
  <c r="AV34" i="18"/>
  <c r="C35" i="18"/>
  <c r="AG35" i="18"/>
  <c r="AV35" i="18"/>
  <c r="C36" i="18"/>
  <c r="R36" i="18" s="1"/>
  <c r="AG36" i="18"/>
  <c r="AV36" i="18"/>
  <c r="C37" i="18"/>
  <c r="R37" i="18" s="1"/>
  <c r="AG37" i="18"/>
  <c r="AV37" i="18"/>
  <c r="C38" i="18"/>
  <c r="R38" i="18" s="1"/>
  <c r="AG38" i="18"/>
  <c r="AV38" i="18"/>
  <c r="C39" i="18"/>
  <c r="AG39" i="18"/>
  <c r="AV39" i="18"/>
  <c r="C40" i="18"/>
  <c r="R40" i="18" s="1"/>
  <c r="AG40" i="18"/>
  <c r="AV40" i="18"/>
  <c r="C41" i="18"/>
  <c r="R41" i="18" s="1"/>
  <c r="AG41" i="18"/>
  <c r="AV41" i="18"/>
  <c r="C42" i="18"/>
  <c r="R42" i="18" s="1"/>
  <c r="AG42" i="18"/>
  <c r="AV42" i="18"/>
  <c r="C43" i="18"/>
  <c r="AG43" i="18"/>
  <c r="AV43" i="18"/>
  <c r="C44" i="18"/>
  <c r="R44" i="18" s="1"/>
  <c r="AG44" i="18"/>
  <c r="AV44" i="18"/>
  <c r="C45" i="18"/>
  <c r="R45" i="18" s="1"/>
  <c r="AG45" i="18"/>
  <c r="AV45" i="18"/>
  <c r="C46" i="18"/>
  <c r="R46" i="18" s="1"/>
  <c r="AG46" i="18"/>
  <c r="AV46" i="18"/>
  <c r="C47" i="18"/>
  <c r="R47" i="18" s="1"/>
  <c r="AG47" i="18"/>
  <c r="AV47" i="18"/>
  <c r="C48" i="18"/>
  <c r="R48" i="18" s="1"/>
  <c r="AG48" i="18"/>
  <c r="AV48" i="18"/>
  <c r="AS51" i="18"/>
  <c r="C52" i="18"/>
  <c r="R52" i="18" s="1"/>
  <c r="AG52" i="18"/>
  <c r="AV52" i="18"/>
  <c r="C53" i="18"/>
  <c r="R53" i="18" s="1"/>
  <c r="AG53" i="18"/>
  <c r="AV53" i="18"/>
  <c r="C54" i="18"/>
  <c r="R54" i="18" s="1"/>
  <c r="AG54" i="18"/>
  <c r="AV54" i="18"/>
  <c r="C55" i="18"/>
  <c r="R55" i="18" s="1"/>
  <c r="AG55" i="18"/>
  <c r="AV55" i="18"/>
  <c r="C56" i="18"/>
  <c r="R56" i="18" s="1"/>
  <c r="AG56" i="18"/>
  <c r="AV56" i="18"/>
  <c r="C57" i="18"/>
  <c r="R57" i="18" s="1"/>
  <c r="AG57" i="18"/>
  <c r="AV57" i="18"/>
  <c r="C58" i="18"/>
  <c r="R58" i="18" s="1"/>
  <c r="AG58" i="18"/>
  <c r="AV58" i="18"/>
  <c r="C59" i="18"/>
  <c r="AG59" i="18"/>
  <c r="AV59" i="18"/>
  <c r="C60" i="18"/>
  <c r="R60" i="18" s="1"/>
  <c r="AG60" i="18"/>
  <c r="AV60" i="18"/>
  <c r="C61" i="18"/>
  <c r="R61" i="18" s="1"/>
  <c r="AG61" i="18"/>
  <c r="AV61" i="18"/>
  <c r="C62" i="18"/>
  <c r="R62" i="18" s="1"/>
  <c r="AG62" i="18"/>
  <c r="AV62" i="18"/>
  <c r="C63" i="18"/>
  <c r="AG63" i="18"/>
  <c r="AV63" i="18"/>
  <c r="C64" i="18"/>
  <c r="AG64" i="18"/>
  <c r="AV64" i="18"/>
  <c r="C65" i="18"/>
  <c r="R65" i="18" s="1"/>
  <c r="AG65" i="18"/>
  <c r="AV65" i="18"/>
  <c r="C66" i="18"/>
  <c r="R66" i="18" s="1"/>
  <c r="AG66" i="18"/>
  <c r="AV66" i="18"/>
  <c r="C67" i="18"/>
  <c r="R67" i="18" s="1"/>
  <c r="AG67" i="18"/>
  <c r="AV67" i="18"/>
  <c r="C68" i="18"/>
  <c r="R68" i="18" s="1"/>
  <c r="AG68" i="18"/>
  <c r="AV68" i="18"/>
  <c r="C69" i="18"/>
  <c r="R69" i="18" s="1"/>
  <c r="AG69" i="18"/>
  <c r="AV69" i="18"/>
  <c r="C70" i="18"/>
  <c r="R70" i="18" s="1"/>
  <c r="AG70" i="18"/>
  <c r="AV70" i="18"/>
  <c r="C71" i="18"/>
  <c r="AG71" i="18"/>
  <c r="AV71" i="18"/>
  <c r="C72" i="18"/>
  <c r="R72" i="18" s="1"/>
  <c r="AG72" i="18"/>
  <c r="AV72" i="18"/>
  <c r="C73" i="18"/>
  <c r="R73" i="18" s="1"/>
  <c r="AG73" i="18"/>
  <c r="AV73" i="18"/>
  <c r="C74" i="18"/>
  <c r="R74" i="18" s="1"/>
  <c r="AG74" i="18"/>
  <c r="AV74" i="18"/>
  <c r="C75" i="18"/>
  <c r="R75" i="18" s="1"/>
  <c r="AG75" i="18"/>
  <c r="AV75" i="18"/>
  <c r="BK52" i="18"/>
  <c r="R81" i="18" s="1"/>
  <c r="BK53" i="18"/>
  <c r="BK54" i="18"/>
  <c r="AV83" i="18" s="1"/>
  <c r="BL81" i="18"/>
  <c r="BM81" i="18"/>
  <c r="BN81" i="18"/>
  <c r="BO81" i="18"/>
  <c r="BP81" i="18"/>
  <c r="BQ81" i="18"/>
  <c r="BR81" i="18"/>
  <c r="BS81" i="18"/>
  <c r="BT81" i="18"/>
  <c r="BU81" i="18"/>
  <c r="BV81" i="18"/>
  <c r="BW81" i="18"/>
  <c r="BK55" i="18"/>
  <c r="AG84" i="18" s="1"/>
  <c r="BK56" i="18"/>
  <c r="R85" i="18" s="1"/>
  <c r="BK57" i="18"/>
  <c r="BK58" i="18"/>
  <c r="AG87" i="18" s="1"/>
  <c r="BK59" i="18"/>
  <c r="AV88" i="18" s="1"/>
  <c r="BK60" i="18"/>
  <c r="BK61" i="18"/>
  <c r="C90" i="18" s="1"/>
  <c r="BK62" i="18"/>
  <c r="AG91" i="18" s="1"/>
  <c r="BK63" i="18"/>
  <c r="BK64" i="18"/>
  <c r="AV93" i="18" s="1"/>
  <c r="BK65" i="18"/>
  <c r="AV94" i="18" s="1"/>
  <c r="BK66" i="18"/>
  <c r="AH14" i="18"/>
  <c r="AI14" i="18"/>
  <c r="AJ14" i="18"/>
  <c r="AK14" i="18"/>
  <c r="AL14" i="18"/>
  <c r="AM14" i="18"/>
  <c r="AN14" i="18"/>
  <c r="AO14" i="18"/>
  <c r="AP14" i="18"/>
  <c r="AP5" i="18" s="1"/>
  <c r="AQ14" i="18"/>
  <c r="AR14" i="18"/>
  <c r="AS14" i="18"/>
  <c r="BL93" i="18"/>
  <c r="BL94" i="18" s="1"/>
  <c r="BM93" i="18"/>
  <c r="BM94" i="18" s="1"/>
  <c r="BN93" i="18"/>
  <c r="BN94" i="18" s="1"/>
  <c r="BO93" i="18"/>
  <c r="BO94" i="18" s="1"/>
  <c r="BP93" i="18"/>
  <c r="BP94" i="18" s="1"/>
  <c r="BQ93" i="18"/>
  <c r="BQ94" i="18" s="1"/>
  <c r="BR93" i="18"/>
  <c r="BR94" i="18" s="1"/>
  <c r="BS93" i="18"/>
  <c r="BS94" i="18" s="1"/>
  <c r="BT93" i="18"/>
  <c r="BT94" i="18" s="1"/>
  <c r="BU93" i="18"/>
  <c r="BU94" i="18" s="1"/>
  <c r="BV93" i="18"/>
  <c r="BV94" i="18" s="1"/>
  <c r="BW93" i="18"/>
  <c r="BW94" i="18" s="1"/>
  <c r="BK67" i="18"/>
  <c r="C96" i="18" s="1"/>
  <c r="BK68" i="18"/>
  <c r="AW15" i="18"/>
  <c r="AX15" i="18"/>
  <c r="AY15" i="18"/>
  <c r="AZ15" i="18"/>
  <c r="BA15" i="18"/>
  <c r="BB15" i="18"/>
  <c r="BC15" i="18"/>
  <c r="BD15" i="18"/>
  <c r="BE15" i="18"/>
  <c r="BF15" i="18"/>
  <c r="BG15" i="18"/>
  <c r="BH15" i="18"/>
  <c r="BK69" i="18"/>
  <c r="C98" i="18" s="1"/>
  <c r="BK70" i="18"/>
  <c r="C99" i="18" s="1"/>
  <c r="BK97" i="18"/>
  <c r="BK71" i="18"/>
  <c r="AV100" i="18" s="1"/>
  <c r="BK72" i="18"/>
  <c r="C101" i="18" s="1"/>
  <c r="BK73" i="18"/>
  <c r="BK74" i="18"/>
  <c r="AG103" i="18" s="1"/>
  <c r="BK75" i="18"/>
  <c r="AG104" i="18" s="1"/>
  <c r="O107" i="18"/>
  <c r="AD107" i="18" s="1"/>
  <c r="AS107" i="18" s="1"/>
  <c r="BH107" i="18" s="1"/>
  <c r="C108" i="18"/>
  <c r="R108" i="18"/>
  <c r="AG108" i="18"/>
  <c r="AV108" i="18"/>
  <c r="C109" i="18"/>
  <c r="R109" i="18"/>
  <c r="AG109" i="18"/>
  <c r="AV109" i="18"/>
  <c r="C110" i="18"/>
  <c r="R110" i="18"/>
  <c r="AG110" i="18"/>
  <c r="AV110" i="18"/>
  <c r="C111" i="18"/>
  <c r="R111" i="18"/>
  <c r="AG111" i="18"/>
  <c r="AV111" i="18"/>
  <c r="C112" i="18"/>
  <c r="R112" i="18"/>
  <c r="AG112" i="18"/>
  <c r="AV112" i="18"/>
  <c r="C113" i="18"/>
  <c r="R113" i="18"/>
  <c r="AG113" i="18"/>
  <c r="AV113" i="18"/>
  <c r="C114" i="18"/>
  <c r="R114" i="18"/>
  <c r="AG114" i="18"/>
  <c r="AV114" i="18"/>
  <c r="C115" i="18"/>
  <c r="R115" i="18"/>
  <c r="AG115" i="18"/>
  <c r="AV115" i="18"/>
  <c r="C116" i="18"/>
  <c r="R116" i="18"/>
  <c r="AG116" i="18"/>
  <c r="AV116" i="18"/>
  <c r="C117" i="18"/>
  <c r="R117" i="18"/>
  <c r="AG117" i="18"/>
  <c r="AV117" i="18"/>
  <c r="C118" i="18"/>
  <c r="R118" i="18"/>
  <c r="AG118" i="18"/>
  <c r="AV118" i="18"/>
  <c r="C119" i="18"/>
  <c r="R119" i="18"/>
  <c r="AG119" i="18"/>
  <c r="AV119" i="18"/>
  <c r="C120" i="18"/>
  <c r="R120" i="18"/>
  <c r="AG120" i="18"/>
  <c r="AV120" i="18"/>
  <c r="C121" i="18"/>
  <c r="R121" i="18"/>
  <c r="AG121" i="18"/>
  <c r="AV121" i="18"/>
  <c r="C122" i="18"/>
  <c r="R122" i="18"/>
  <c r="AG122" i="18"/>
  <c r="AV122" i="18"/>
  <c r="C123" i="18"/>
  <c r="R123" i="18"/>
  <c r="AG123" i="18"/>
  <c r="AV123" i="18"/>
  <c r="C124" i="18"/>
  <c r="R124" i="18"/>
  <c r="AG124" i="18"/>
  <c r="AV124" i="18"/>
  <c r="C125" i="18"/>
  <c r="R125" i="18"/>
  <c r="AG125" i="18"/>
  <c r="AV125" i="18"/>
  <c r="C126" i="18"/>
  <c r="R126" i="18"/>
  <c r="AG126" i="18"/>
  <c r="AV126" i="18"/>
  <c r="C127" i="18"/>
  <c r="R127" i="18"/>
  <c r="AG127" i="18"/>
  <c r="AV127" i="18"/>
  <c r="C128" i="18"/>
  <c r="R128" i="18"/>
  <c r="AG128" i="18"/>
  <c r="AV128" i="18"/>
  <c r="C129" i="18"/>
  <c r="R129" i="18"/>
  <c r="AG129" i="18"/>
  <c r="AV129" i="18"/>
  <c r="C130" i="18"/>
  <c r="R130" i="18"/>
  <c r="AG130" i="18"/>
  <c r="AV130" i="18"/>
  <c r="C131" i="18"/>
  <c r="R131" i="18"/>
  <c r="AG131" i="18"/>
  <c r="AV131" i="18"/>
  <c r="N134" i="18"/>
  <c r="AC134" i="18" s="1"/>
  <c r="AR134" i="18" s="1"/>
  <c r="BG134" i="18" s="1"/>
  <c r="C135" i="18"/>
  <c r="R135" i="18"/>
  <c r="AG135" i="18"/>
  <c r="AV135" i="18"/>
  <c r="C136" i="18"/>
  <c r="R136" i="18"/>
  <c r="AG136" i="18"/>
  <c r="AV136" i="18"/>
  <c r="C137" i="18"/>
  <c r="R137" i="18"/>
  <c r="AG137" i="18"/>
  <c r="AV137" i="18"/>
  <c r="C138" i="18"/>
  <c r="R138" i="18"/>
  <c r="AG138" i="18"/>
  <c r="AV138" i="18"/>
  <c r="C139" i="18"/>
  <c r="R139" i="18"/>
  <c r="AG139" i="18"/>
  <c r="AV139" i="18"/>
  <c r="C140" i="18"/>
  <c r="R140" i="18"/>
  <c r="AG140" i="18"/>
  <c r="AV140" i="18"/>
  <c r="C141" i="18"/>
  <c r="R141" i="18"/>
  <c r="AG141" i="18"/>
  <c r="AV141" i="18"/>
  <c r="C142" i="18"/>
  <c r="R142" i="18"/>
  <c r="AG142" i="18"/>
  <c r="AV142" i="18"/>
  <c r="C143" i="18"/>
  <c r="R143" i="18"/>
  <c r="AG143" i="18"/>
  <c r="AV143" i="18"/>
  <c r="C144" i="18"/>
  <c r="R144" i="18"/>
  <c r="AG144" i="18"/>
  <c r="AV144" i="18"/>
  <c r="C145" i="18"/>
  <c r="R145" i="18"/>
  <c r="AG145" i="18"/>
  <c r="AV145" i="18"/>
  <c r="C146" i="18"/>
  <c r="R146" i="18"/>
  <c r="AG146" i="18"/>
  <c r="AV146" i="18"/>
  <c r="C147" i="18"/>
  <c r="R147" i="18"/>
  <c r="AG147" i="18"/>
  <c r="AV147" i="18"/>
  <c r="C148" i="18"/>
  <c r="R148" i="18"/>
  <c r="AG148" i="18"/>
  <c r="AV148" i="18"/>
  <c r="C149" i="18"/>
  <c r="R149" i="18"/>
  <c r="AG149" i="18"/>
  <c r="AV149" i="18"/>
  <c r="C150" i="18"/>
  <c r="R150" i="18"/>
  <c r="AG150" i="18"/>
  <c r="AV150" i="18"/>
  <c r="C151" i="18"/>
  <c r="R151" i="18"/>
  <c r="AG151" i="18"/>
  <c r="AV151" i="18"/>
  <c r="C152" i="18"/>
  <c r="R152" i="18"/>
  <c r="AG152" i="18"/>
  <c r="AV152" i="18"/>
  <c r="C153" i="18"/>
  <c r="R153" i="18"/>
  <c r="AG153" i="18"/>
  <c r="AV153" i="18"/>
  <c r="C154" i="18"/>
  <c r="R154" i="18"/>
  <c r="AG154" i="18"/>
  <c r="AV154" i="18"/>
  <c r="C155" i="18"/>
  <c r="R155" i="18"/>
  <c r="AG155" i="18"/>
  <c r="AV155" i="18"/>
  <c r="C156" i="18"/>
  <c r="R156" i="18"/>
  <c r="AG156" i="18"/>
  <c r="AV156" i="18"/>
  <c r="C157" i="18"/>
  <c r="R157" i="18"/>
  <c r="AG157" i="18"/>
  <c r="AV157" i="18"/>
  <c r="C158" i="18"/>
  <c r="R158" i="18"/>
  <c r="AG158" i="18"/>
  <c r="AV158" i="18"/>
  <c r="C104" i="18"/>
  <c r="AV98" i="18"/>
  <c r="C86" i="18"/>
  <c r="R97" i="18"/>
  <c r="R94" i="18"/>
  <c r="C93" i="18"/>
  <c r="AV86" i="18"/>
  <c r="AV104" i="18"/>
  <c r="AV101" i="18"/>
  <c r="C97" i="18"/>
  <c r="C94" i="18"/>
  <c r="R90" i="18"/>
  <c r="R59" i="18"/>
  <c r="R43" i="18"/>
  <c r="R39" i="18"/>
  <c r="R35" i="18"/>
  <c r="AV97" i="18"/>
  <c r="AV90" i="18"/>
  <c r="R29" i="18"/>
  <c r="AG101" i="18"/>
  <c r="AG98" i="18"/>
  <c r="AG97" i="18"/>
  <c r="AG94" i="18"/>
  <c r="AG90" i="18"/>
  <c r="R71" i="18"/>
  <c r="R63" i="18"/>
  <c r="R104" i="18"/>
  <c r="R103" i="18"/>
  <c r="R100" i="18"/>
  <c r="R98" i="18"/>
  <c r="R64" i="18"/>
  <c r="AQ5" i="18"/>
  <c r="AM5" i="18"/>
  <c r="AM15" i="18" s="1"/>
  <c r="AI5" i="18"/>
  <c r="C87" i="18"/>
  <c r="AR5" i="18"/>
  <c r="AN5" i="18"/>
  <c r="AJ5" i="18"/>
  <c r="BR9" i="18"/>
  <c r="AC91" i="5"/>
  <c r="AD91" i="5" s="1"/>
  <c r="AC90" i="5"/>
  <c r="AD90" i="5" s="1"/>
  <c r="AC88" i="5"/>
  <c r="AD88" i="5" s="1"/>
  <c r="AC86" i="5"/>
  <c r="AD86" i="5" s="1"/>
  <c r="AD58" i="5"/>
  <c r="AD60" i="5"/>
  <c r="AD61" i="5"/>
  <c r="AD56" i="5"/>
  <c r="F225" i="5"/>
  <c r="AA70" i="5"/>
  <c r="AK8" i="11"/>
  <c r="AK9" i="11"/>
  <c r="AK10" i="11"/>
  <c r="AK11" i="11"/>
  <c r="AK12" i="11"/>
  <c r="AK13" i="11"/>
  <c r="AK14" i="11"/>
  <c r="AK15" i="11"/>
  <c r="AK16" i="11"/>
  <c r="AK17" i="11"/>
  <c r="AK18" i="11"/>
  <c r="AK19" i="11"/>
  <c r="AK20" i="11"/>
  <c r="AK21" i="11"/>
  <c r="AK22" i="11"/>
  <c r="AK7" i="11"/>
  <c r="Z76" i="5"/>
  <c r="Z78" i="5"/>
  <c r="Z80" i="5"/>
  <c r="Z74" i="5"/>
  <c r="AY76" i="5"/>
  <c r="AQ7" i="11"/>
  <c r="AQ8" i="11"/>
  <c r="AQ9" i="11"/>
  <c r="AQ10" i="11"/>
  <c r="AQ11" i="11"/>
  <c r="AQ12" i="11"/>
  <c r="AQ13" i="11"/>
  <c r="AQ14" i="11"/>
  <c r="AQ15" i="11"/>
  <c r="AQ16" i="11"/>
  <c r="AQ17" i="11"/>
  <c r="AQ6" i="11"/>
  <c r="V252" i="5"/>
  <c r="Q111" i="5"/>
  <c r="Q112" i="5"/>
  <c r="AM230" i="5"/>
  <c r="AM231" i="5"/>
  <c r="AM232" i="5"/>
  <c r="AS215" i="5"/>
  <c r="AB231" i="5"/>
  <c r="AB232" i="5"/>
  <c r="AS216" i="5"/>
  <c r="AS217" i="5"/>
  <c r="AS218" i="5"/>
  <c r="AS219" i="5"/>
  <c r="AS220" i="5"/>
  <c r="AS221" i="5"/>
  <c r="AS222" i="5"/>
  <c r="AS223" i="5"/>
  <c r="AS224" i="5"/>
  <c r="AQ10" i="13"/>
  <c r="AQ11" i="13"/>
  <c r="AP11" i="13"/>
  <c r="AP10" i="13"/>
  <c r="AK11" i="13"/>
  <c r="AK12" i="13"/>
  <c r="AK13" i="13"/>
  <c r="AK14" i="13"/>
  <c r="AK15" i="13"/>
  <c r="AK10" i="13"/>
  <c r="AJ11" i="13"/>
  <c r="AJ12" i="13"/>
  <c r="AJ13" i="13"/>
  <c r="AJ14" i="13"/>
  <c r="AJ15" i="13"/>
  <c r="AJ10" i="13"/>
  <c r="G22" i="11"/>
  <c r="M246" i="11"/>
  <c r="M247" i="11"/>
  <c r="M248" i="11"/>
  <c r="M249" i="11"/>
  <c r="M250" i="11"/>
  <c r="M251" i="11"/>
  <c r="M252" i="11"/>
  <c r="M253" i="11"/>
  <c r="M254" i="11"/>
  <c r="M255" i="11"/>
  <c r="M256" i="11"/>
  <c r="M257" i="11"/>
  <c r="F15" i="11" s="1"/>
  <c r="G15" i="11" s="1"/>
  <c r="M258" i="11"/>
  <c r="M259" i="11"/>
  <c r="M260" i="11"/>
  <c r="M261" i="11"/>
  <c r="M262" i="11"/>
  <c r="M263" i="11"/>
  <c r="M264" i="11"/>
  <c r="M265" i="11"/>
  <c r="M266" i="11"/>
  <c r="M267" i="11"/>
  <c r="M268" i="11"/>
  <c r="M269" i="11"/>
  <c r="M270" i="11"/>
  <c r="M271" i="11"/>
  <c r="M275" i="11"/>
  <c r="M276" i="11"/>
  <c r="M277" i="11"/>
  <c r="M278" i="11"/>
  <c r="M279" i="11"/>
  <c r="M280" i="11"/>
  <c r="M281" i="11"/>
  <c r="M282" i="11"/>
  <c r="M272" i="11"/>
  <c r="M273" i="11"/>
  <c r="M274" i="11"/>
  <c r="N283" i="11"/>
  <c r="M283" i="11" s="1"/>
  <c r="N284" i="11"/>
  <c r="M284" i="11" s="1"/>
  <c r="N285" i="11"/>
  <c r="M285" i="11" s="1"/>
  <c r="N286" i="11"/>
  <c r="M286" i="11" s="1"/>
  <c r="N287" i="11"/>
  <c r="M287" i="11" s="1"/>
  <c r="N288" i="11"/>
  <c r="M288" i="11" s="1"/>
  <c r="N289" i="11"/>
  <c r="M289" i="11" s="1"/>
  <c r="N290" i="11"/>
  <c r="M290" i="11" s="1"/>
  <c r="M291" i="11"/>
  <c r="M319" i="11"/>
  <c r="M313" i="11"/>
  <c r="M315" i="11"/>
  <c r="F16" i="11" s="1"/>
  <c r="M317" i="11"/>
  <c r="M311" i="11"/>
  <c r="M320" i="11"/>
  <c r="M314" i="11"/>
  <c r="M316" i="11"/>
  <c r="M318" i="11"/>
  <c r="M312" i="11"/>
  <c r="M329" i="11"/>
  <c r="M323" i="11"/>
  <c r="M325" i="11"/>
  <c r="M327" i="11"/>
  <c r="M321" i="11"/>
  <c r="M330" i="11"/>
  <c r="M324" i="11"/>
  <c r="M326" i="11"/>
  <c r="M328" i="11"/>
  <c r="M322" i="11"/>
  <c r="G18" i="11"/>
  <c r="G19" i="11"/>
  <c r="G20" i="11"/>
  <c r="G21" i="11"/>
  <c r="G38" i="11"/>
  <c r="G39" i="11"/>
  <c r="G40" i="11"/>
  <c r="G41" i="11"/>
  <c r="G42" i="11"/>
  <c r="F61" i="11"/>
  <c r="G61" i="11" s="1"/>
  <c r="F62" i="11"/>
  <c r="G62" i="11" s="1"/>
  <c r="F63" i="11"/>
  <c r="G63" i="11" s="1"/>
  <c r="F64" i="11"/>
  <c r="G64" i="11" s="1"/>
  <c r="F65" i="11"/>
  <c r="G65" i="11" s="1"/>
  <c r="F84" i="11"/>
  <c r="G84" i="11" s="1"/>
  <c r="F85" i="11"/>
  <c r="G85" i="11" s="1"/>
  <c r="F87" i="11"/>
  <c r="G87" i="11" s="1"/>
  <c r="F88" i="11"/>
  <c r="G88" i="11" s="1"/>
  <c r="F89" i="11"/>
  <c r="G89" i="11" s="1"/>
  <c r="F90" i="11"/>
  <c r="G90" i="11" s="1"/>
  <c r="F91" i="11"/>
  <c r="G91" i="11" s="1"/>
  <c r="AB230" i="5"/>
  <c r="AB229" i="5"/>
  <c r="AN229" i="5" s="1"/>
  <c r="AB220" i="5"/>
  <c r="AB215" i="5"/>
  <c r="AB216" i="5"/>
  <c r="AB217" i="5"/>
  <c r="AB218" i="5"/>
  <c r="AB219" i="5"/>
  <c r="AB221" i="5"/>
  <c r="AB222" i="5"/>
  <c r="AB223" i="5"/>
  <c r="H4" i="13"/>
  <c r="H5" i="13" s="1"/>
  <c r="S5" i="13" s="1"/>
  <c r="BF5" i="25" s="1"/>
  <c r="C4" i="13"/>
  <c r="G17" i="11"/>
  <c r="F86" i="11"/>
  <c r="G86" i="11" s="1"/>
  <c r="U51" i="5"/>
  <c r="V51" i="5" s="1"/>
  <c r="W51" i="5" s="1"/>
  <c r="B160" i="5"/>
  <c r="B142" i="5"/>
  <c r="B353" i="5" s="1"/>
  <c r="B124" i="5"/>
  <c r="B346" i="5" s="1"/>
  <c r="B106" i="5"/>
  <c r="B339" i="5" s="1"/>
  <c r="AO238" i="5"/>
  <c r="AV87" i="18" l="1"/>
  <c r="AM241" i="5"/>
  <c r="AO241" i="5"/>
  <c r="T116" i="24"/>
  <c r="AC116" i="24" s="1"/>
  <c r="AD116" i="24" s="1"/>
  <c r="T116" i="23"/>
  <c r="AC116" i="23" s="1"/>
  <c r="AD116" i="23" s="1"/>
  <c r="Z87" i="25"/>
  <c r="AD87" i="25" s="1"/>
  <c r="AJ48" i="25"/>
  <c r="AD57" i="25"/>
  <c r="R91" i="18"/>
  <c r="AV91" i="18"/>
  <c r="C91" i="18"/>
  <c r="Z84" i="25"/>
  <c r="AD84" i="25" s="1"/>
  <c r="AJ46" i="25"/>
  <c r="AD54" i="25"/>
  <c r="AG99" i="18"/>
  <c r="BG16" i="18"/>
  <c r="BC16" i="18"/>
  <c r="AY16" i="18"/>
  <c r="BA16" i="18"/>
  <c r="AW16" i="18"/>
  <c r="Z86" i="25"/>
  <c r="AD86" i="25" s="1"/>
  <c r="AJ47" i="25"/>
  <c r="AD56" i="25"/>
  <c r="T116" i="25"/>
  <c r="AC116" i="25" s="1"/>
  <c r="AD116" i="25" s="1"/>
  <c r="AW67" i="24"/>
  <c r="AW67" i="25"/>
  <c r="S12" i="18"/>
  <c r="S13" i="18" s="1"/>
  <c r="S14" i="18" s="1"/>
  <c r="S15" i="18" s="1"/>
  <c r="S16" i="18" s="1"/>
  <c r="S17" i="18" s="1"/>
  <c r="S18" i="18" s="1"/>
  <c r="S19" i="18" s="1"/>
  <c r="S20" i="18" s="1"/>
  <c r="L6" i="18"/>
  <c r="BU7" i="18" s="1"/>
  <c r="BH134" i="18" s="1"/>
  <c r="AG88" i="18"/>
  <c r="R96" i="18"/>
  <c r="R101" i="18"/>
  <c r="R84" i="18"/>
  <c r="C103" i="18"/>
  <c r="AV103" i="18"/>
  <c r="C88" i="18"/>
  <c r="AV85" i="18"/>
  <c r="R88" i="18"/>
  <c r="AG96" i="18"/>
  <c r="AV96" i="18"/>
  <c r="R28" i="18"/>
  <c r="AL5" i="18"/>
  <c r="AL15" i="18" s="1"/>
  <c r="AG81" i="18"/>
  <c r="AG85" i="18"/>
  <c r="C81" i="18"/>
  <c r="C85" i="18"/>
  <c r="AV99" i="18"/>
  <c r="AV81" i="18"/>
  <c r="BF16" i="18"/>
  <c r="BB16" i="18"/>
  <c r="AP21" i="5"/>
  <c r="R87" i="18"/>
  <c r="R93" i="18"/>
  <c r="AV84" i="18"/>
  <c r="AG93" i="18"/>
  <c r="AG100" i="18"/>
  <c r="C84" i="18"/>
  <c r="C100" i="18"/>
  <c r="R99" i="18"/>
  <c r="AX16" i="18"/>
  <c r="U37" i="5"/>
  <c r="W37" i="5"/>
  <c r="AQ21" i="5"/>
  <c r="AP22" i="5" s="1"/>
  <c r="N2" i="5"/>
  <c r="E18" i="5" s="1"/>
  <c r="K4" i="5"/>
  <c r="O22" i="16" s="1"/>
  <c r="F5" i="5"/>
  <c r="F4" i="5"/>
  <c r="BB108" i="5"/>
  <c r="AT26" i="5" s="1"/>
  <c r="AU26" i="5" s="1"/>
  <c r="AS206" i="11"/>
  <c r="AI35" i="13"/>
  <c r="AO229" i="5"/>
  <c r="AP229" i="5" s="1"/>
  <c r="BM38" i="5"/>
  <c r="BO36" i="5"/>
  <c r="Z54" i="24"/>
  <c r="Z54" i="23"/>
  <c r="Z54" i="21"/>
  <c r="Z54" i="22"/>
  <c r="Z54" i="20"/>
  <c r="BM39" i="5"/>
  <c r="BP36" i="5"/>
  <c r="Z56" i="21"/>
  <c r="Z56" i="22"/>
  <c r="Z56" i="24"/>
  <c r="Z56" i="23"/>
  <c r="Z56" i="20"/>
  <c r="BM40" i="5"/>
  <c r="BQ36" i="5"/>
  <c r="AL52" i="5"/>
  <c r="Z57" i="22"/>
  <c r="Z57" i="24"/>
  <c r="Z57" i="23"/>
  <c r="Z57" i="21"/>
  <c r="Z57" i="20"/>
  <c r="U111" i="5"/>
  <c r="AD111" i="5" s="1"/>
  <c r="AW67" i="22"/>
  <c r="AW67" i="23"/>
  <c r="T116" i="22"/>
  <c r="AC116" i="22" s="1"/>
  <c r="AD116" i="22" s="1"/>
  <c r="U114" i="5"/>
  <c r="AW67" i="20"/>
  <c r="AW67" i="21"/>
  <c r="U115" i="5"/>
  <c r="T116" i="21"/>
  <c r="AC116" i="21" s="1"/>
  <c r="AD116" i="21" s="1"/>
  <c r="T116" i="20"/>
  <c r="AC116" i="20" s="1"/>
  <c r="AD116" i="20" s="1"/>
  <c r="BM37" i="5"/>
  <c r="BN36" i="5"/>
  <c r="U112" i="5"/>
  <c r="AD112" i="5" s="1"/>
  <c r="U116" i="5"/>
  <c r="U113" i="5"/>
  <c r="AD113" i="5" s="1"/>
  <c r="U117" i="5"/>
  <c r="U118" i="5"/>
  <c r="U119" i="5"/>
  <c r="AQ184" i="11"/>
  <c r="AR184" i="11" s="1"/>
  <c r="U110" i="5"/>
  <c r="AD110" i="5" s="1"/>
  <c r="W113" i="5"/>
  <c r="AP183" i="11"/>
  <c r="AQ183" i="11" s="1"/>
  <c r="AR187" i="11"/>
  <c r="W116" i="5"/>
  <c r="AP186" i="11"/>
  <c r="W112" i="5"/>
  <c r="AP182" i="11"/>
  <c r="W115" i="5"/>
  <c r="AP185" i="11"/>
  <c r="AQ185" i="11" s="1"/>
  <c r="W111" i="5"/>
  <c r="AP181" i="11"/>
  <c r="AJ195" i="5"/>
  <c r="AR195" i="5" s="1"/>
  <c r="BC122" i="11"/>
  <c r="BD122" i="11" s="1"/>
  <c r="AS239" i="11"/>
  <c r="AS220" i="11"/>
  <c r="AS240" i="11"/>
  <c r="AS219" i="11"/>
  <c r="AS203" i="11"/>
  <c r="AS202" i="11"/>
  <c r="AS222" i="11"/>
  <c r="AS198" i="11"/>
  <c r="AS243" i="11"/>
  <c r="AS204" i="11"/>
  <c r="AS236" i="11"/>
  <c r="AS221" i="11"/>
  <c r="AS200" i="11"/>
  <c r="AS180" i="11"/>
  <c r="AS187" i="11"/>
  <c r="AS235" i="11"/>
  <c r="AS234" i="11"/>
  <c r="AS241" i="11"/>
  <c r="AS217" i="11"/>
  <c r="AS224" i="11"/>
  <c r="AS199" i="11"/>
  <c r="AS205" i="11"/>
  <c r="AS223" i="11"/>
  <c r="AS242" i="11"/>
  <c r="AS225" i="11"/>
  <c r="AS201" i="11"/>
  <c r="AS237" i="11"/>
  <c r="AS238" i="11"/>
  <c r="AS218" i="11"/>
  <c r="AS188" i="11"/>
  <c r="AS216" i="11"/>
  <c r="AS207" i="11"/>
  <c r="W119" i="5"/>
  <c r="AP189" i="11"/>
  <c r="AQ189" i="11" s="1"/>
  <c r="Y27" i="13"/>
  <c r="P142" i="5"/>
  <c r="P353" i="5" s="1"/>
  <c r="BH62" i="11"/>
  <c r="P124" i="5"/>
  <c r="P346" i="5" s="1"/>
  <c r="BH44" i="11"/>
  <c r="P160" i="5"/>
  <c r="BH80" i="11"/>
  <c r="P106" i="5"/>
  <c r="P339" i="5" s="1"/>
  <c r="BH26" i="11"/>
  <c r="AN232" i="5"/>
  <c r="AO232" i="5" s="1"/>
  <c r="AP232" i="5" s="1"/>
  <c r="AD122" i="5"/>
  <c r="AN231" i="5"/>
  <c r="AO231" i="5" s="1"/>
  <c r="AP231" i="5" s="1"/>
  <c r="AN230" i="5"/>
  <c r="AO230" i="5" s="1"/>
  <c r="AP230" i="5" s="1"/>
  <c r="AJ56" i="5"/>
  <c r="AU19" i="13"/>
  <c r="GQ27" i="19" s="1"/>
  <c r="Y181" i="5"/>
  <c r="AB181" i="5" s="1"/>
  <c r="AK56" i="5"/>
  <c r="AA88" i="5"/>
  <c r="AE88" i="5" s="1"/>
  <c r="AL50" i="5"/>
  <c r="AA90" i="5"/>
  <c r="AE90" i="5" s="1"/>
  <c r="AL51" i="5"/>
  <c r="G16" i="11"/>
  <c r="G26" i="11" s="1"/>
  <c r="G27" i="11" s="1"/>
  <c r="T99" i="5"/>
  <c r="U99" i="5" s="1"/>
  <c r="V99" i="5" s="1"/>
  <c r="G49" i="11"/>
  <c r="G50" i="11" s="1"/>
  <c r="AJ66" i="5"/>
  <c r="X4" i="5"/>
  <c r="AB224" i="5"/>
  <c r="T195" i="5"/>
  <c r="V195" i="5"/>
  <c r="W195" i="5"/>
  <c r="Q26" i="13"/>
  <c r="Q27" i="13"/>
  <c r="Q24" i="13"/>
  <c r="AI24" i="13" s="1"/>
  <c r="AL24" i="13" s="1"/>
  <c r="Q23" i="13"/>
  <c r="X23" i="13" s="1"/>
  <c r="Q25" i="13"/>
  <c r="AI25" i="13" s="1"/>
  <c r="O19" i="13"/>
  <c r="AQ151" i="11"/>
  <c r="BE17" i="11"/>
  <c r="AP57" i="13" s="1"/>
  <c r="AQ147" i="11"/>
  <c r="BE13" i="11"/>
  <c r="AP50" i="13" s="1"/>
  <c r="AQ143" i="11"/>
  <c r="BE9" i="11"/>
  <c r="AP46" i="13" s="1"/>
  <c r="AQ150" i="11"/>
  <c r="BE16" i="11"/>
  <c r="AP55" i="13" s="1"/>
  <c r="AQ146" i="11"/>
  <c r="BE12" i="11"/>
  <c r="AP49" i="13" s="1"/>
  <c r="AQ142" i="11"/>
  <c r="BE8" i="11"/>
  <c r="AP44" i="13" s="1"/>
  <c r="AQ149" i="11"/>
  <c r="BE15" i="11"/>
  <c r="AP53" i="13" s="1"/>
  <c r="AQ145" i="11"/>
  <c r="BE11" i="11"/>
  <c r="AP48" i="13" s="1"/>
  <c r="AQ141" i="11"/>
  <c r="BE7" i="11"/>
  <c r="AP42" i="13" s="1"/>
  <c r="AQ140" i="11"/>
  <c r="BE6" i="11"/>
  <c r="AP40" i="13" s="1"/>
  <c r="AQ148" i="11"/>
  <c r="BE14" i="11"/>
  <c r="AP51" i="13" s="1"/>
  <c r="AQ144" i="11"/>
  <c r="BE10" i="11"/>
  <c r="AP47" i="13" s="1"/>
  <c r="O30" i="13"/>
  <c r="J4" i="13"/>
  <c r="U4" i="13" s="1"/>
  <c r="BH4" i="25" s="1"/>
  <c r="AQ53" i="13"/>
  <c r="AQ48" i="13"/>
  <c r="AQ42" i="13"/>
  <c r="AQ49" i="13"/>
  <c r="AQ51" i="13"/>
  <c r="AQ47" i="13"/>
  <c r="AQ40" i="13"/>
  <c r="AQ44" i="13"/>
  <c r="AQ57" i="13"/>
  <c r="AQ50" i="13"/>
  <c r="AQ46" i="13"/>
  <c r="AQ55" i="13"/>
  <c r="P56" i="5"/>
  <c r="B299" i="5"/>
  <c r="P299" i="5" s="1"/>
  <c r="Y301" i="5" s="1"/>
  <c r="AR58" i="11"/>
  <c r="AP58" i="11" s="1"/>
  <c r="AP9" i="11" s="1"/>
  <c r="AS9" i="11" s="1"/>
  <c r="AT9" i="11" s="1"/>
  <c r="W114" i="5"/>
  <c r="W117" i="5"/>
  <c r="D8" i="18"/>
  <c r="BM11" i="18" s="1"/>
  <c r="BF14" i="11"/>
  <c r="AD53" i="13" s="1"/>
  <c r="AD66" i="13" s="1"/>
  <c r="AD67" i="13" s="1"/>
  <c r="BF10" i="11"/>
  <c r="Z53" i="13" s="1"/>
  <c r="Z66" i="13" s="1"/>
  <c r="Z67" i="13" s="1"/>
  <c r="BF6" i="11"/>
  <c r="BF17" i="11"/>
  <c r="AG53" i="13" s="1"/>
  <c r="AG66" i="13" s="1"/>
  <c r="AG67" i="13" s="1"/>
  <c r="BF13" i="11"/>
  <c r="AC53" i="13" s="1"/>
  <c r="AC66" i="13" s="1"/>
  <c r="AC67" i="13" s="1"/>
  <c r="BF9" i="11"/>
  <c r="Y53" i="13" s="1"/>
  <c r="Y66" i="13" s="1"/>
  <c r="Y67" i="13" s="1"/>
  <c r="BF16" i="11"/>
  <c r="AF53" i="13" s="1"/>
  <c r="AF66" i="13" s="1"/>
  <c r="AF67" i="13" s="1"/>
  <c r="BF12" i="11"/>
  <c r="AB53" i="13" s="1"/>
  <c r="AB66" i="13" s="1"/>
  <c r="AB67" i="13" s="1"/>
  <c r="BF8" i="11"/>
  <c r="X53" i="13" s="1"/>
  <c r="X66" i="13" s="1"/>
  <c r="X67" i="13" s="1"/>
  <c r="BF15" i="11"/>
  <c r="AE53" i="13" s="1"/>
  <c r="AE66" i="13" s="1"/>
  <c r="AE67" i="13" s="1"/>
  <c r="BF11" i="11"/>
  <c r="AA53" i="13" s="1"/>
  <c r="AA66" i="13" s="1"/>
  <c r="AA67" i="13" s="1"/>
  <c r="BF7" i="11"/>
  <c r="V53" i="13" s="1"/>
  <c r="AC62" i="13"/>
  <c r="Z25" i="13"/>
  <c r="Z23" i="13"/>
  <c r="Z24" i="13"/>
  <c r="Y24" i="13"/>
  <c r="Z27" i="13"/>
  <c r="Y23" i="13"/>
  <c r="Z35" i="13"/>
  <c r="AK35" i="13" s="1"/>
  <c r="S4" i="13"/>
  <c r="J5" i="13"/>
  <c r="U5" i="13" s="1"/>
  <c r="BH5" i="25" s="1"/>
  <c r="N4" i="13"/>
  <c r="E4" i="13"/>
  <c r="P4" i="13" s="1"/>
  <c r="BC4" i="25" s="1"/>
  <c r="BL85" i="18"/>
  <c r="BL86" i="18" s="1"/>
  <c r="AW9" i="18" s="1"/>
  <c r="BL90" i="18"/>
  <c r="F16" i="18"/>
  <c r="BN89" i="18" s="1"/>
  <c r="BN90" i="18" s="1"/>
  <c r="G16" i="18"/>
  <c r="BO89" i="18" s="1"/>
  <c r="E16" i="18"/>
  <c r="BM89" i="18" s="1"/>
  <c r="N16" i="18"/>
  <c r="BV89" i="18" s="1"/>
  <c r="I16" i="18"/>
  <c r="BQ89" i="18" s="1"/>
  <c r="K16" i="18"/>
  <c r="BS89" i="18" s="1"/>
  <c r="J16" i="18"/>
  <c r="BR89" i="18" s="1"/>
  <c r="O16" i="18"/>
  <c r="BW89" i="18" s="1"/>
  <c r="H16" i="18"/>
  <c r="BP89" i="18" s="1"/>
  <c r="L16" i="18"/>
  <c r="BT89" i="18" s="1"/>
  <c r="AE60" i="5"/>
  <c r="AY81" i="5"/>
  <c r="AW77" i="25" s="1"/>
  <c r="Q4" i="5"/>
  <c r="Q41" i="5"/>
  <c r="M2" i="25" s="1"/>
  <c r="B9" i="25" s="1"/>
  <c r="BB34" i="11"/>
  <c r="AV39" i="11" s="1"/>
  <c r="Q56" i="25" s="1"/>
  <c r="U196" i="5"/>
  <c r="U197" i="5" s="1"/>
  <c r="AY74" i="5"/>
  <c r="BB40" i="11"/>
  <c r="BA43" i="11" s="1"/>
  <c r="AY73" i="5"/>
  <c r="AW69" i="25" s="1"/>
  <c r="AQ217" i="5"/>
  <c r="P66" i="5"/>
  <c r="AQ218" i="5"/>
  <c r="AQ222" i="5"/>
  <c r="AQ223" i="5"/>
  <c r="AQ219" i="5"/>
  <c r="AQ215" i="5"/>
  <c r="AQ214" i="5"/>
  <c r="AQ221" i="5"/>
  <c r="AQ216" i="5"/>
  <c r="Q196" i="5"/>
  <c r="S196" i="5" s="1"/>
  <c r="BC123" i="11" s="1"/>
  <c r="BD123" i="11" s="1"/>
  <c r="AE116" i="5"/>
  <c r="AE117" i="5"/>
  <c r="AU71" i="5"/>
  <c r="AS67" i="25" s="1"/>
  <c r="AE58" i="5"/>
  <c r="AO71" i="5"/>
  <c r="AK66" i="5"/>
  <c r="BS13" i="18"/>
  <c r="AV89" i="18"/>
  <c r="C89" i="18"/>
  <c r="R89" i="18"/>
  <c r="AV82" i="18"/>
  <c r="AG82" i="18"/>
  <c r="R82" i="18"/>
  <c r="AG89" i="18"/>
  <c r="C82" i="18"/>
  <c r="BU97" i="18"/>
  <c r="BU98" i="18"/>
  <c r="BF13" i="18" s="1"/>
  <c r="AU11" i="18"/>
  <c r="C92" i="18"/>
  <c r="R92" i="18"/>
  <c r="AV92" i="18"/>
  <c r="AG92" i="18"/>
  <c r="AB117" i="5"/>
  <c r="AC117" i="5"/>
  <c r="U60" i="5"/>
  <c r="V60" i="5" s="1"/>
  <c r="W60" i="5" s="1"/>
  <c r="P86" i="5"/>
  <c r="AA224" i="5"/>
  <c r="Z219" i="25" s="1"/>
  <c r="AL224" i="5"/>
  <c r="AQ224" i="5" s="1"/>
  <c r="L37" i="5"/>
  <c r="X37" i="5" s="1"/>
  <c r="E37" i="5" s="1"/>
  <c r="AI15" i="18"/>
  <c r="AQ15" i="18"/>
  <c r="R102" i="18"/>
  <c r="C102" i="18"/>
  <c r="AG102" i="18"/>
  <c r="AV102" i="18"/>
  <c r="AS5" i="18"/>
  <c r="BH16" i="18"/>
  <c r="BD16" i="18"/>
  <c r="AO5" i="18"/>
  <c r="AK5" i="18"/>
  <c r="AZ16" i="18"/>
  <c r="AG95" i="18"/>
  <c r="C95" i="18"/>
  <c r="AV95" i="18"/>
  <c r="R95" i="18"/>
  <c r="AR56" i="11"/>
  <c r="AR60" i="11"/>
  <c r="AR64" i="11"/>
  <c r="AR65" i="11"/>
  <c r="AR66" i="11"/>
  <c r="AR55" i="11"/>
  <c r="AR61" i="11"/>
  <c r="AR63" i="11"/>
  <c r="AX50" i="11"/>
  <c r="AR57" i="11"/>
  <c r="AR59" i="11"/>
  <c r="AR62" i="11"/>
  <c r="G72" i="11"/>
  <c r="G73" i="11" s="1"/>
  <c r="AG70" i="5"/>
  <c r="Z96" i="5"/>
  <c r="AG96" i="5" s="1"/>
  <c r="AN15" i="18"/>
  <c r="AP15" i="18"/>
  <c r="BU90" i="18"/>
  <c r="L39" i="5"/>
  <c r="X39" i="5" s="1"/>
  <c r="E39" i="5" s="1"/>
  <c r="L38" i="5"/>
  <c r="X38" i="5" s="1"/>
  <c r="E38" i="5" s="1"/>
  <c r="L40" i="5"/>
  <c r="X40" i="5" s="1"/>
  <c r="E40" i="5" s="1"/>
  <c r="Y25" i="13"/>
  <c r="AC229" i="5"/>
  <c r="AD229" i="5" s="1"/>
  <c r="AR15" i="18"/>
  <c r="AQ220" i="5"/>
  <c r="P76" i="5"/>
  <c r="Y26" i="13"/>
  <c r="Z26" i="13"/>
  <c r="BE16" i="18"/>
  <c r="AH5" i="18"/>
  <c r="R86" i="18"/>
  <c r="AG86" i="18"/>
  <c r="C83" i="18"/>
  <c r="R83" i="18"/>
  <c r="AG83" i="18"/>
  <c r="AC116" i="5"/>
  <c r="AB116" i="5"/>
  <c r="AE61" i="5"/>
  <c r="AA91" i="5"/>
  <c r="AE91" i="5" s="1"/>
  <c r="AJ15" i="18"/>
  <c r="AU66" i="5"/>
  <c r="AL66" i="5"/>
  <c r="AN66" i="5"/>
  <c r="AQ66" i="5"/>
  <c r="AS66" i="5"/>
  <c r="AM66" i="5"/>
  <c r="AO66" i="5"/>
  <c r="AP66" i="5"/>
  <c r="AT66" i="5"/>
  <c r="AR66" i="5"/>
  <c r="GR26" i="19" l="1"/>
  <c r="GT26" i="19"/>
  <c r="AC214" i="5"/>
  <c r="AD214" i="5" s="1"/>
  <c r="AG220" i="5" s="1"/>
  <c r="GS58" i="19" s="1"/>
  <c r="BR8" i="18"/>
  <c r="BT8" i="18"/>
  <c r="BS8" i="18"/>
  <c r="BR7" i="18"/>
  <c r="O134" i="18" s="1"/>
  <c r="AA10" i="13"/>
  <c r="AA12" i="13"/>
  <c r="BF4" i="25"/>
  <c r="AA11" i="13"/>
  <c r="AA13" i="13"/>
  <c r="AA19" i="13"/>
  <c r="AM24" i="13" s="1"/>
  <c r="AN24" i="13" s="1"/>
  <c r="AQ24" i="13" s="1"/>
  <c r="BA4" i="25"/>
  <c r="BS7" i="18"/>
  <c r="AD134" i="18" s="1"/>
  <c r="G38" i="25"/>
  <c r="G36" i="25"/>
  <c r="BU8" i="18"/>
  <c r="V4" i="25"/>
  <c r="O4" i="25"/>
  <c r="BT7" i="18"/>
  <c r="AS134" i="18" s="1"/>
  <c r="G37" i="25"/>
  <c r="G35" i="25"/>
  <c r="AN62" i="24"/>
  <c r="AN66" i="24" s="1"/>
  <c r="AN62" i="25"/>
  <c r="AR62" i="24"/>
  <c r="AR66" i="24" s="1"/>
  <c r="AR112" i="24" s="1"/>
  <c r="AR62" i="25"/>
  <c r="AQ62" i="24"/>
  <c r="AQ66" i="24" s="1"/>
  <c r="AQ112" i="24" s="1"/>
  <c r="AQ62" i="25"/>
  <c r="AS62" i="24"/>
  <c r="AS64" i="24" s="1"/>
  <c r="AS111" i="24" s="1"/>
  <c r="AS62" i="25"/>
  <c r="AH62" i="24"/>
  <c r="AH64" i="24" s="1"/>
  <c r="AH62" i="25"/>
  <c r="AI62" i="24"/>
  <c r="AI66" i="24" s="1"/>
  <c r="AI112" i="24" s="1"/>
  <c r="AI62" i="25"/>
  <c r="AO62" i="24"/>
  <c r="AO64" i="24" s="1"/>
  <c r="AO111" i="24" s="1"/>
  <c r="AO62" i="25"/>
  <c r="AM62" i="24"/>
  <c r="AM64" i="24" s="1"/>
  <c r="AM111" i="24" s="1"/>
  <c r="AM62" i="25"/>
  <c r="AL62" i="24"/>
  <c r="AL66" i="24" s="1"/>
  <c r="AL112" i="24" s="1"/>
  <c r="AL62" i="25"/>
  <c r="AM67" i="24"/>
  <c r="AO67" i="24" s="1"/>
  <c r="AM67" i="25"/>
  <c r="AW70" i="24"/>
  <c r="AW74" i="24" s="1"/>
  <c r="AC44" i="24" s="1"/>
  <c r="AW70" i="25"/>
  <c r="AW74" i="25" s="1"/>
  <c r="AC44" i="25" s="1"/>
  <c r="AP62" i="24"/>
  <c r="AP64" i="24" s="1"/>
  <c r="AP111" i="24" s="1"/>
  <c r="AP62" i="25"/>
  <c r="AK62" i="24"/>
  <c r="AK66" i="24" s="1"/>
  <c r="AK112" i="24" s="1"/>
  <c r="AK62" i="25"/>
  <c r="AJ62" i="24"/>
  <c r="AJ64" i="24" s="1"/>
  <c r="AJ111" i="24" s="1"/>
  <c r="AJ62" i="25"/>
  <c r="Y9" i="5"/>
  <c r="I53" i="1"/>
  <c r="U16" i="5"/>
  <c r="W13" i="5"/>
  <c r="W28" i="5"/>
  <c r="U13" i="5"/>
  <c r="U28" i="5"/>
  <c r="S13" i="5"/>
  <c r="S28" i="5"/>
  <c r="S21" i="5"/>
  <c r="S38" i="5"/>
  <c r="W21" i="5"/>
  <c r="U21" i="5"/>
  <c r="E10" i="5"/>
  <c r="L4" i="5"/>
  <c r="O24" i="16" s="1"/>
  <c r="E9" i="5"/>
  <c r="I52" i="1"/>
  <c r="BM42" i="5"/>
  <c r="BA56" i="5" s="1"/>
  <c r="Z86" i="24"/>
  <c r="AD86" i="24" s="1"/>
  <c r="AJ47" i="24"/>
  <c r="AD56" i="24"/>
  <c r="Z87" i="24"/>
  <c r="AD87" i="24" s="1"/>
  <c r="AJ48" i="24"/>
  <c r="AD57" i="24"/>
  <c r="Z86" i="22"/>
  <c r="AD86" i="22" s="1"/>
  <c r="AJ47" i="22"/>
  <c r="AD56" i="22"/>
  <c r="Z84" i="20"/>
  <c r="AD84" i="20" s="1"/>
  <c r="AJ46" i="20"/>
  <c r="AD54" i="20"/>
  <c r="Z84" i="24"/>
  <c r="AD84" i="24" s="1"/>
  <c r="AJ46" i="24"/>
  <c r="AD54" i="24"/>
  <c r="Z87" i="23"/>
  <c r="AD87" i="23" s="1"/>
  <c r="AJ48" i="23"/>
  <c r="AD57" i="23"/>
  <c r="Z87" i="20"/>
  <c r="AD87" i="20" s="1"/>
  <c r="AJ48" i="20"/>
  <c r="AD57" i="20"/>
  <c r="AJ48" i="22"/>
  <c r="AD57" i="22"/>
  <c r="Z87" i="22"/>
  <c r="AD87" i="22" s="1"/>
  <c r="Z86" i="20"/>
  <c r="AD86" i="20" s="1"/>
  <c r="AJ47" i="20"/>
  <c r="AD56" i="20"/>
  <c r="AJ47" i="21"/>
  <c r="Z86" i="21"/>
  <c r="AD86" i="21" s="1"/>
  <c r="AD56" i="21"/>
  <c r="AJ46" i="22"/>
  <c r="Z84" i="22"/>
  <c r="AD84" i="22" s="1"/>
  <c r="AD54" i="22"/>
  <c r="AJ46" i="23"/>
  <c r="Z84" i="23"/>
  <c r="AD84" i="23" s="1"/>
  <c r="AD54" i="23"/>
  <c r="AJ48" i="21"/>
  <c r="Z87" i="21"/>
  <c r="AD87" i="21" s="1"/>
  <c r="AD57" i="21"/>
  <c r="Z86" i="23"/>
  <c r="AD86" i="23" s="1"/>
  <c r="AJ47" i="23"/>
  <c r="AD56" i="23"/>
  <c r="Z84" i="21"/>
  <c r="AD84" i="21" s="1"/>
  <c r="AJ46" i="21"/>
  <c r="AD54" i="21"/>
  <c r="G36" i="24"/>
  <c r="G36" i="23"/>
  <c r="G36" i="22"/>
  <c r="G36" i="21"/>
  <c r="G36" i="20"/>
  <c r="BO37" i="5"/>
  <c r="G38" i="22"/>
  <c r="G38" i="23"/>
  <c r="G38" i="24"/>
  <c r="G38" i="21"/>
  <c r="G38" i="20"/>
  <c r="BQ37" i="5"/>
  <c r="G37" i="23"/>
  <c r="G37" i="21"/>
  <c r="G37" i="24"/>
  <c r="G37" i="22"/>
  <c r="AO252" i="5"/>
  <c r="AO251" i="5"/>
  <c r="AO250" i="5"/>
  <c r="AS252" i="5"/>
  <c r="AS251" i="5"/>
  <c r="AS250" i="5"/>
  <c r="AP249" i="5"/>
  <c r="AO249" i="5"/>
  <c r="AR252" i="5"/>
  <c r="AR251" i="5"/>
  <c r="AR250" i="5"/>
  <c r="AP252" i="5"/>
  <c r="AP251" i="5"/>
  <c r="AP250" i="5"/>
  <c r="AB10" i="13"/>
  <c r="AM15" i="13"/>
  <c r="AB13" i="13"/>
  <c r="AM11" i="13"/>
  <c r="AM10" i="13"/>
  <c r="AB15" i="13"/>
  <c r="AM12" i="13"/>
  <c r="AB11" i="13"/>
  <c r="AM13" i="13"/>
  <c r="AB12" i="13"/>
  <c r="G35" i="23"/>
  <c r="G35" i="22"/>
  <c r="G35" i="24"/>
  <c r="G35" i="21"/>
  <c r="BN37" i="5"/>
  <c r="G35" i="20"/>
  <c r="O35" i="20" s="1"/>
  <c r="Z70" i="20" s="1"/>
  <c r="AW69" i="23"/>
  <c r="AW69" i="24"/>
  <c r="AW77" i="23"/>
  <c r="AW77" i="24"/>
  <c r="AS67" i="23"/>
  <c r="AS67" i="24"/>
  <c r="AQ62" i="22"/>
  <c r="AQ66" i="22" s="1"/>
  <c r="AQ112" i="22" s="1"/>
  <c r="AQ62" i="23"/>
  <c r="AS62" i="22"/>
  <c r="AS66" i="22" s="1"/>
  <c r="AS112" i="22" s="1"/>
  <c r="AS62" i="23"/>
  <c r="AH62" i="22"/>
  <c r="AH62" i="23"/>
  <c r="AR62" i="22"/>
  <c r="AR66" i="22" s="1"/>
  <c r="AR112" i="22" s="1"/>
  <c r="AR62" i="23"/>
  <c r="AN62" i="22"/>
  <c r="AN64" i="22" s="1"/>
  <c r="AN111" i="22" s="1"/>
  <c r="AN62" i="23"/>
  <c r="AO62" i="22"/>
  <c r="AO66" i="22" s="1"/>
  <c r="AO112" i="22" s="1"/>
  <c r="AO62" i="23"/>
  <c r="AW70" i="22"/>
  <c r="AW74" i="22" s="1"/>
  <c r="AC44" i="22" s="1"/>
  <c r="AW70" i="23"/>
  <c r="AW74" i="23" s="1"/>
  <c r="AC44" i="23" s="1"/>
  <c r="AP62" i="22"/>
  <c r="AP64" i="22" s="1"/>
  <c r="AP111" i="22" s="1"/>
  <c r="AP62" i="23"/>
  <c r="AM62" i="22"/>
  <c r="AM66" i="22" s="1"/>
  <c r="AM112" i="22" s="1"/>
  <c r="AM62" i="23"/>
  <c r="AL62" i="22"/>
  <c r="AL64" i="22" s="1"/>
  <c r="AL111" i="22" s="1"/>
  <c r="AL62" i="23"/>
  <c r="AI62" i="22"/>
  <c r="AI64" i="22" s="1"/>
  <c r="AI111" i="22" s="1"/>
  <c r="AI62" i="23"/>
  <c r="AK62" i="22"/>
  <c r="AK66" i="22" s="1"/>
  <c r="AK112" i="22" s="1"/>
  <c r="AK62" i="23"/>
  <c r="AJ62" i="22"/>
  <c r="AJ66" i="22" s="1"/>
  <c r="AJ112" i="22" s="1"/>
  <c r="AJ62" i="23"/>
  <c r="AM67" i="22"/>
  <c r="AO67" i="22" s="1"/>
  <c r="AM67" i="23"/>
  <c r="AQ64" i="22"/>
  <c r="AQ111" i="22" s="1"/>
  <c r="AW77" i="21"/>
  <c r="AW77" i="22"/>
  <c r="AS67" i="21"/>
  <c r="AS67" i="22"/>
  <c r="AW69" i="21"/>
  <c r="AW69" i="22"/>
  <c r="AM62" i="20"/>
  <c r="AM64" i="20" s="1"/>
  <c r="AM111" i="20" s="1"/>
  <c r="AM62" i="21"/>
  <c r="AS62" i="20"/>
  <c r="AS66" i="20" s="1"/>
  <c r="AS112" i="20" s="1"/>
  <c r="AS62" i="21"/>
  <c r="AH62" i="20"/>
  <c r="AH66" i="20" s="1"/>
  <c r="AH112" i="20" s="1"/>
  <c r="AH62" i="21"/>
  <c r="AL62" i="20"/>
  <c r="AL64" i="20" s="1"/>
  <c r="AL111" i="20" s="1"/>
  <c r="AL62" i="21"/>
  <c r="AI62" i="20"/>
  <c r="AI64" i="20" s="1"/>
  <c r="AI111" i="20" s="1"/>
  <c r="AI62" i="21"/>
  <c r="AR62" i="20"/>
  <c r="AR64" i="20" s="1"/>
  <c r="AR111" i="20" s="1"/>
  <c r="AR62" i="21"/>
  <c r="AQ62" i="20"/>
  <c r="AQ66" i="20" s="1"/>
  <c r="AQ112" i="20" s="1"/>
  <c r="AQ62" i="21"/>
  <c r="AN62" i="20"/>
  <c r="AN64" i="20" s="1"/>
  <c r="AN111" i="20" s="1"/>
  <c r="AN62" i="21"/>
  <c r="AO62" i="20"/>
  <c r="AO64" i="20" s="1"/>
  <c r="AO111" i="20" s="1"/>
  <c r="AO62" i="21"/>
  <c r="AW70" i="20"/>
  <c r="AW74" i="20" s="1"/>
  <c r="AC44" i="20" s="1"/>
  <c r="AW70" i="21"/>
  <c r="AW74" i="21" s="1"/>
  <c r="AC44" i="21" s="1"/>
  <c r="AP62" i="20"/>
  <c r="AP64" i="20" s="1"/>
  <c r="AP111" i="20" s="1"/>
  <c r="AP62" i="21"/>
  <c r="AK62" i="20"/>
  <c r="AK66" i="20" s="1"/>
  <c r="AK112" i="20" s="1"/>
  <c r="AK62" i="21"/>
  <c r="AJ62" i="20"/>
  <c r="AJ64" i="20" s="1"/>
  <c r="AJ111" i="20" s="1"/>
  <c r="AJ62" i="21"/>
  <c r="AM67" i="20"/>
  <c r="AO67" i="20" s="1"/>
  <c r="AM67" i="21"/>
  <c r="BP37" i="5"/>
  <c r="G37" i="20"/>
  <c r="BQ17" i="18"/>
  <c r="AW77" i="20"/>
  <c r="AK71" i="5"/>
  <c r="AS67" i="20"/>
  <c r="BQ16" i="18"/>
  <c r="AW69" i="20"/>
  <c r="Q314" i="5"/>
  <c r="T314" i="5" s="1"/>
  <c r="U314" i="5" s="1"/>
  <c r="V314" i="5" s="1"/>
  <c r="W314" i="5" s="1"/>
  <c r="AJ44" i="13"/>
  <c r="AJ42" i="13" s="1"/>
  <c r="AM44" i="13" s="1"/>
  <c r="AM46" i="13" s="1"/>
  <c r="AM48" i="13" s="1"/>
  <c r="AS184" i="11"/>
  <c r="AQ186" i="11"/>
  <c r="AS186" i="11" s="1"/>
  <c r="AQ181" i="11"/>
  <c r="AS181" i="11" s="1"/>
  <c r="AQ182" i="11"/>
  <c r="AS182" i="11" s="1"/>
  <c r="AS185" i="11"/>
  <c r="AS183" i="11"/>
  <c r="AS189" i="11"/>
  <c r="AE122" i="5"/>
  <c r="CD22" i="11"/>
  <c r="BU22" i="11"/>
  <c r="BO22" i="11"/>
  <c r="BK22" i="11"/>
  <c r="CC22" i="11"/>
  <c r="BT22" i="11"/>
  <c r="BN22" i="11"/>
  <c r="BJ22" i="11"/>
  <c r="CB22" i="11"/>
  <c r="BS22" i="11"/>
  <c r="BM22" i="11"/>
  <c r="BI22" i="11"/>
  <c r="CA22" i="11"/>
  <c r="BL22" i="11"/>
  <c r="BR22" i="11"/>
  <c r="BV22" i="11"/>
  <c r="CF22" i="11"/>
  <c r="BX22" i="11"/>
  <c r="BP68" i="11" s="1"/>
  <c r="AG148" i="5" s="1"/>
  <c r="BW22" i="11"/>
  <c r="CG22" i="11"/>
  <c r="CE22" i="11"/>
  <c r="AJ70" i="5"/>
  <c r="AJ118" i="5" s="1"/>
  <c r="S52" i="5"/>
  <c r="T52" i="5" s="1"/>
  <c r="R73" i="5"/>
  <c r="R93" i="5"/>
  <c r="R83" i="5"/>
  <c r="Q358" i="5" s="1"/>
  <c r="H26" i="11"/>
  <c r="H27" i="11" s="1"/>
  <c r="X24" i="13"/>
  <c r="AA24" i="13" s="1"/>
  <c r="AL56" i="5"/>
  <c r="AJ99" i="5" s="1"/>
  <c r="AK99" i="5" s="1"/>
  <c r="AL99" i="5" s="1"/>
  <c r="AM99" i="5" s="1"/>
  <c r="AN99" i="5" s="1"/>
  <c r="AO99" i="5" s="1"/>
  <c r="AP99" i="5" s="1"/>
  <c r="AQ99" i="5" s="1"/>
  <c r="AR99" i="5" s="1"/>
  <c r="AS99" i="5" s="1"/>
  <c r="AT99" i="5" s="1"/>
  <c r="AU99" i="5" s="1"/>
  <c r="AL12" i="13"/>
  <c r="AA15" i="13"/>
  <c r="AL15" i="13" s="1"/>
  <c r="AR9" i="11"/>
  <c r="AR143" i="11" s="1"/>
  <c r="AY143" i="11" s="1"/>
  <c r="X25" i="13"/>
  <c r="AF25" i="13" s="1"/>
  <c r="AG11" i="13"/>
  <c r="AM70" i="5"/>
  <c r="AM118" i="5" s="1"/>
  <c r="AL70" i="5"/>
  <c r="AL118" i="5" s="1"/>
  <c r="AT70" i="5"/>
  <c r="AT118" i="5" s="1"/>
  <c r="AS70" i="5"/>
  <c r="AS118" i="5" s="1"/>
  <c r="AU70" i="5"/>
  <c r="AU118" i="5" s="1"/>
  <c r="AP143" i="11"/>
  <c r="AP163" i="11" s="1"/>
  <c r="AP70" i="5"/>
  <c r="AK70" i="5"/>
  <c r="AK118" i="5" s="1"/>
  <c r="AR70" i="5"/>
  <c r="AR118" i="5" s="1"/>
  <c r="AQ70" i="5"/>
  <c r="AQ118" i="5" s="1"/>
  <c r="AO70" i="5"/>
  <c r="AO118" i="5" s="1"/>
  <c r="AN70" i="5"/>
  <c r="AN118" i="5" s="1"/>
  <c r="AJ68" i="5"/>
  <c r="Q28" i="13"/>
  <c r="AL25" i="13"/>
  <c r="AQ25" i="13"/>
  <c r="AK195" i="5"/>
  <c r="AS195" i="5"/>
  <c r="V196" i="5"/>
  <c r="AJ196" i="5"/>
  <c r="W196" i="5"/>
  <c r="T196" i="5"/>
  <c r="AE113" i="5"/>
  <c r="AE111" i="5"/>
  <c r="AE112" i="5"/>
  <c r="AE119" i="5"/>
  <c r="AE115" i="5"/>
  <c r="AE118" i="5"/>
  <c r="AE110" i="5"/>
  <c r="AK68" i="5"/>
  <c r="AK117" i="5" s="1"/>
  <c r="BA26" i="5"/>
  <c r="AI23" i="13"/>
  <c r="AL23" i="13" s="1"/>
  <c r="AA23" i="13"/>
  <c r="AI27" i="13"/>
  <c r="X27" i="13"/>
  <c r="AI26" i="13"/>
  <c r="X26" i="13"/>
  <c r="AQ164" i="11"/>
  <c r="AX164" i="11" s="1"/>
  <c r="AX144" i="11"/>
  <c r="AQ160" i="11"/>
  <c r="AX160" i="11" s="1"/>
  <c r="AX140" i="11"/>
  <c r="AQ165" i="11"/>
  <c r="AX165" i="11" s="1"/>
  <c r="AX145" i="11"/>
  <c r="AQ162" i="11"/>
  <c r="AX162" i="11" s="1"/>
  <c r="AX142" i="11"/>
  <c r="AQ170" i="11"/>
  <c r="AX170" i="11" s="1"/>
  <c r="AX150" i="11"/>
  <c r="AQ167" i="11"/>
  <c r="AX167" i="11" s="1"/>
  <c r="AX147" i="11"/>
  <c r="AQ168" i="11"/>
  <c r="AX168" i="11" s="1"/>
  <c r="AX148" i="11"/>
  <c r="AQ161" i="11"/>
  <c r="AX161" i="11" s="1"/>
  <c r="AX141" i="11"/>
  <c r="AQ169" i="11"/>
  <c r="AX169" i="11" s="1"/>
  <c r="AX149" i="11"/>
  <c r="AQ166" i="11"/>
  <c r="AX166" i="11" s="1"/>
  <c r="AX146" i="11"/>
  <c r="AQ163" i="11"/>
  <c r="AX163" i="11" s="1"/>
  <c r="AX143" i="11"/>
  <c r="AQ171" i="11"/>
  <c r="AX171" i="11" s="1"/>
  <c r="AX151" i="11"/>
  <c r="BU13" i="18"/>
  <c r="AW79" i="25" s="1"/>
  <c r="Y44" i="13"/>
  <c r="AA44" i="13" s="1"/>
  <c r="AL11" i="13"/>
  <c r="AL13" i="13"/>
  <c r="AL10" i="13"/>
  <c r="AL14" i="13"/>
  <c r="AG10" i="13"/>
  <c r="AA14" i="13"/>
  <c r="U198" i="5"/>
  <c r="U199" i="5" s="1"/>
  <c r="AR10" i="13"/>
  <c r="AB25" i="13"/>
  <c r="V251" i="5"/>
  <c r="AY118" i="5"/>
  <c r="AW112" i="25" s="1"/>
  <c r="AY116" i="5"/>
  <c r="AY120" i="5"/>
  <c r="AW114" i="25" s="1"/>
  <c r="U53" i="13"/>
  <c r="U66" i="13" s="1"/>
  <c r="U67" i="13" s="1"/>
  <c r="BF18" i="11"/>
  <c r="O39" i="13" s="1"/>
  <c r="U39" i="13" s="1"/>
  <c r="V66" i="13"/>
  <c r="V67" i="13" s="1"/>
  <c r="AY78" i="5"/>
  <c r="AD48" i="5" s="1"/>
  <c r="AD62" i="13"/>
  <c r="Y40" i="13"/>
  <c r="AA40" i="13" s="1"/>
  <c r="AR11" i="13"/>
  <c r="Y46" i="13"/>
  <c r="AA46" i="13" s="1"/>
  <c r="Y42" i="13"/>
  <c r="AA42" i="13" s="1"/>
  <c r="BN85" i="18"/>
  <c r="BN86" i="18" s="1"/>
  <c r="AY9" i="18" s="1"/>
  <c r="BL98" i="18"/>
  <c r="AW13" i="18" s="1"/>
  <c r="BL97" i="18"/>
  <c r="BW85" i="18"/>
  <c r="BW90" i="18"/>
  <c r="BV85" i="18"/>
  <c r="BV90" i="18"/>
  <c r="BR85" i="18"/>
  <c r="BR90" i="18"/>
  <c r="BM90" i="18"/>
  <c r="BM85" i="18"/>
  <c r="BT85" i="18"/>
  <c r="BT90" i="18"/>
  <c r="BS85" i="18"/>
  <c r="BS90" i="18"/>
  <c r="BO85" i="18"/>
  <c r="BO90" i="18"/>
  <c r="BP90" i="18"/>
  <c r="BP85" i="18"/>
  <c r="BQ85" i="18"/>
  <c r="BQ90" i="18"/>
  <c r="BA39" i="11"/>
  <c r="Q46" i="25" s="1"/>
  <c r="BA45" i="11"/>
  <c r="T46" i="25" s="1"/>
  <c r="E12" i="5"/>
  <c r="E29" i="5"/>
  <c r="AV38" i="11"/>
  <c r="E16" i="5"/>
  <c r="E26" i="5"/>
  <c r="E11" i="5"/>
  <c r="E31" i="5"/>
  <c r="E14" i="5"/>
  <c r="D6" i="18"/>
  <c r="BM8" i="18" s="1"/>
  <c r="W47" i="18" s="1"/>
  <c r="BA37" i="11"/>
  <c r="AD17" i="5"/>
  <c r="S10" i="5" s="1"/>
  <c r="AV37" i="11"/>
  <c r="S5" i="5"/>
  <c r="BA38" i="11"/>
  <c r="AY110" i="5"/>
  <c r="AY112" i="5"/>
  <c r="AY114" i="5"/>
  <c r="E13" i="5"/>
  <c r="E21" i="5"/>
  <c r="BS14" i="18"/>
  <c r="BU14" i="18" s="1"/>
  <c r="BA44" i="11"/>
  <c r="W4" i="5"/>
  <c r="D7" i="18"/>
  <c r="BM9" i="18" s="1"/>
  <c r="S4" i="5"/>
  <c r="AP71" i="11"/>
  <c r="AQ71" i="5"/>
  <c r="Q197" i="5"/>
  <c r="AS68" i="5"/>
  <c r="AS117" i="5" s="1"/>
  <c r="AP79" i="11"/>
  <c r="BQ38" i="5"/>
  <c r="AA80" i="5"/>
  <c r="AA76" i="5"/>
  <c r="BO38" i="5"/>
  <c r="AP63" i="11"/>
  <c r="AP14" i="11" s="1"/>
  <c r="AR14" i="11"/>
  <c r="AR148" i="11" s="1"/>
  <c r="AK15" i="18"/>
  <c r="AO68" i="5"/>
  <c r="AO117" i="5" s="1"/>
  <c r="AP75" i="11"/>
  <c r="AO72" i="5"/>
  <c r="AO73" i="5" s="1"/>
  <c r="AP68" i="5"/>
  <c r="AP117" i="5" s="1"/>
  <c r="AP76" i="11"/>
  <c r="AU72" i="5"/>
  <c r="AU73" i="5" s="1"/>
  <c r="AU68" i="5"/>
  <c r="AU117" i="5" s="1"/>
  <c r="AP81" i="11"/>
  <c r="AH15" i="18"/>
  <c r="AP62" i="11"/>
  <c r="AP13" i="11" s="1"/>
  <c r="AR13" i="11"/>
  <c r="AR147" i="11" s="1"/>
  <c r="AP65" i="11"/>
  <c r="AP16" i="11" s="1"/>
  <c r="AR16" i="11"/>
  <c r="AR150" i="11" s="1"/>
  <c r="AQ68" i="5"/>
  <c r="AQ117" i="5" s="1"/>
  <c r="AP77" i="11"/>
  <c r="BP38" i="5"/>
  <c r="AA78" i="5"/>
  <c r="AP59" i="11"/>
  <c r="AP10" i="11" s="1"/>
  <c r="AR10" i="11"/>
  <c r="AR144" i="11" s="1"/>
  <c r="AP61" i="11"/>
  <c r="AP12" i="11" s="1"/>
  <c r="AR12" i="11"/>
  <c r="AR146" i="11" s="1"/>
  <c r="AR15" i="11"/>
  <c r="AR149" i="11" s="1"/>
  <c r="AP64" i="11"/>
  <c r="AP15" i="11" s="1"/>
  <c r="AO15" i="18"/>
  <c r="AS15" i="18"/>
  <c r="BN38" i="5"/>
  <c r="AA74" i="5"/>
  <c r="AM68" i="5"/>
  <c r="AM117" i="5" s="1"/>
  <c r="AP73" i="11"/>
  <c r="AN68" i="5"/>
  <c r="AN117" i="5" s="1"/>
  <c r="AP74" i="11"/>
  <c r="AR214" i="5"/>
  <c r="AE64" i="5" s="1"/>
  <c r="AD60" i="25" s="1"/>
  <c r="AP57" i="11"/>
  <c r="AP8" i="11" s="1"/>
  <c r="AR8" i="11"/>
  <c r="AR142" i="11" s="1"/>
  <c r="AP55" i="11"/>
  <c r="AP6" i="11" s="1"/>
  <c r="AR6" i="11"/>
  <c r="AR140" i="11" s="1"/>
  <c r="AR11" i="11"/>
  <c r="AR145" i="11" s="1"/>
  <c r="AP60" i="11"/>
  <c r="AP11" i="11" s="1"/>
  <c r="AR68" i="5"/>
  <c r="AR117" i="5" s="1"/>
  <c r="AP78" i="11"/>
  <c r="AT68" i="5"/>
  <c r="AT117" i="5" s="1"/>
  <c r="AP80" i="11"/>
  <c r="AP70" i="11"/>
  <c r="AP72" i="11"/>
  <c r="AL68" i="5"/>
  <c r="AL117" i="5" s="1"/>
  <c r="AE114" i="5"/>
  <c r="AP66" i="11"/>
  <c r="AP17" i="11" s="1"/>
  <c r="AR17" i="11"/>
  <c r="AR151" i="11" s="1"/>
  <c r="AP56" i="11"/>
  <c r="AP7" i="11" s="1"/>
  <c r="AR7" i="11"/>
  <c r="AR141" i="11" s="1"/>
  <c r="AL64" i="24" l="1"/>
  <c r="AL111" i="24" s="1"/>
  <c r="BO15" i="25"/>
  <c r="BN14" i="25"/>
  <c r="BO11" i="25"/>
  <c r="BO16" i="25"/>
  <c r="BT11" i="25"/>
  <c r="BO13" i="25"/>
  <c r="BO12" i="25"/>
  <c r="BO14" i="25"/>
  <c r="BN11" i="25"/>
  <c r="BN15" i="25"/>
  <c r="BN13" i="25"/>
  <c r="BN12" i="25"/>
  <c r="BN16" i="25"/>
  <c r="Q76" i="24"/>
  <c r="Q56" i="24"/>
  <c r="Q66" i="24"/>
  <c r="Q56" i="23"/>
  <c r="Q86" i="24"/>
  <c r="Q86" i="23"/>
  <c r="Q76" i="23"/>
  <c r="Q66" i="23"/>
  <c r="Q56" i="22"/>
  <c r="Q56" i="21"/>
  <c r="Q56" i="20"/>
  <c r="Q46" i="24"/>
  <c r="Q46" i="23"/>
  <c r="Q46" i="22"/>
  <c r="Q46" i="21"/>
  <c r="Q46" i="20"/>
  <c r="Q47" i="20" s="1"/>
  <c r="T46" i="24"/>
  <c r="T46" i="22"/>
  <c r="T47" i="22" s="1"/>
  <c r="T48" i="22" s="1"/>
  <c r="T46" i="23"/>
  <c r="T46" i="20"/>
  <c r="T46" i="21"/>
  <c r="AM35" i="13"/>
  <c r="AM25" i="13"/>
  <c r="AN25" i="13" s="1"/>
  <c r="AR64" i="24"/>
  <c r="AR111" i="24" s="1"/>
  <c r="AS66" i="24"/>
  <c r="AS112" i="24" s="1"/>
  <c r="AM27" i="13"/>
  <c r="AB23" i="13"/>
  <c r="AC23" i="13" s="1"/>
  <c r="AF23" i="13" s="1"/>
  <c r="AB24" i="13"/>
  <c r="AN64" i="24"/>
  <c r="AN111" i="24" s="1"/>
  <c r="AK64" i="24"/>
  <c r="AK111" i="24" s="1"/>
  <c r="AB26" i="13"/>
  <c r="AB27" i="13"/>
  <c r="AB35" i="13"/>
  <c r="AQ64" i="24"/>
  <c r="AQ111" i="24" s="1"/>
  <c r="AM26" i="13"/>
  <c r="AM23" i="13"/>
  <c r="AN23" i="13" s="1"/>
  <c r="AQ23" i="13" s="1"/>
  <c r="AO68" i="24"/>
  <c r="AO69" i="24" s="1"/>
  <c r="AJ66" i="24"/>
  <c r="AJ112" i="24" s="1"/>
  <c r="AM68" i="24"/>
  <c r="AM69" i="24" s="1"/>
  <c r="AS68" i="24"/>
  <c r="AS69" i="24" s="1"/>
  <c r="AP66" i="24"/>
  <c r="AP112" i="24" s="1"/>
  <c r="AI64" i="24"/>
  <c r="AI111" i="24" s="1"/>
  <c r="AM66" i="24"/>
  <c r="AM112" i="24" s="1"/>
  <c r="Y10" i="5"/>
  <c r="Z21" i="5"/>
  <c r="AA21" i="5" s="1"/>
  <c r="Z18" i="5"/>
  <c r="N21" i="5" s="1"/>
  <c r="O83" i="16" s="1"/>
  <c r="Y15" i="5"/>
  <c r="Y16" i="5"/>
  <c r="Y19" i="5"/>
  <c r="Y12" i="5"/>
  <c r="Y13" i="5"/>
  <c r="Z16" i="5"/>
  <c r="AA16" i="5" s="1"/>
  <c r="AO66" i="24"/>
  <c r="AO112" i="24" s="1"/>
  <c r="AH66" i="24"/>
  <c r="AH112" i="24" s="1"/>
  <c r="Y17" i="5"/>
  <c r="Y21" i="5"/>
  <c r="Y18" i="5"/>
  <c r="Y20" i="5"/>
  <c r="Y11" i="5"/>
  <c r="Z19" i="5"/>
  <c r="AA19" i="5" s="1"/>
  <c r="AH66" i="22"/>
  <c r="AH112" i="22" s="1"/>
  <c r="AH64" i="22"/>
  <c r="AB175" i="22" s="1"/>
  <c r="Z60" i="22" s="1"/>
  <c r="Z24" i="5"/>
  <c r="Y14" i="5"/>
  <c r="AX36" i="25"/>
  <c r="O36" i="25"/>
  <c r="AH120" i="25"/>
  <c r="AH87" i="25"/>
  <c r="AX35" i="25"/>
  <c r="AH52" i="25"/>
  <c r="AJ52" i="25" s="1"/>
  <c r="AH95" i="25" s="1"/>
  <c r="AI95" i="25" s="1"/>
  <c r="AJ95" i="25" s="1"/>
  <c r="AK95" i="25" s="1"/>
  <c r="AL95" i="25" s="1"/>
  <c r="AM95" i="25" s="1"/>
  <c r="AN95" i="25" s="1"/>
  <c r="AO95" i="25" s="1"/>
  <c r="AP95" i="25" s="1"/>
  <c r="AQ95" i="25" s="1"/>
  <c r="AR95" i="25" s="1"/>
  <c r="AS95" i="25" s="1"/>
  <c r="O35" i="25"/>
  <c r="P46" i="25"/>
  <c r="P76" i="25"/>
  <c r="C183" i="25"/>
  <c r="P183" i="25" s="1"/>
  <c r="C178" i="25"/>
  <c r="C176" i="25"/>
  <c r="P176" i="25" s="1"/>
  <c r="C177" i="25"/>
  <c r="P177" i="25" s="1"/>
  <c r="C182" i="25"/>
  <c r="C180" i="25"/>
  <c r="P180" i="25" s="1"/>
  <c r="C181" i="25"/>
  <c r="P181" i="25" s="1"/>
  <c r="C179" i="25"/>
  <c r="P66" i="25"/>
  <c r="C184" i="25"/>
  <c r="P184" i="25" s="1"/>
  <c r="C175" i="25"/>
  <c r="P175" i="25" s="1"/>
  <c r="P56" i="25"/>
  <c r="P86" i="25"/>
  <c r="AX38" i="25"/>
  <c r="O38" i="25"/>
  <c r="AX37" i="25"/>
  <c r="O37" i="25"/>
  <c r="AJ66" i="25"/>
  <c r="AJ112" i="25" s="1"/>
  <c r="AJ64" i="25"/>
  <c r="AJ111" i="25" s="1"/>
  <c r="AP66" i="25"/>
  <c r="AP112" i="25" s="1"/>
  <c r="AP64" i="25"/>
  <c r="AP111" i="25" s="1"/>
  <c r="AO67" i="25"/>
  <c r="AO68" i="25" s="1"/>
  <c r="AO69" i="25" s="1"/>
  <c r="AO70" i="25" s="1"/>
  <c r="AM68" i="25"/>
  <c r="AM69" i="25" s="1"/>
  <c r="AM70" i="25" s="1"/>
  <c r="AM66" i="25"/>
  <c r="AM112" i="25" s="1"/>
  <c r="AM64" i="25"/>
  <c r="AM111" i="25" s="1"/>
  <c r="AI66" i="25"/>
  <c r="AI112" i="25" s="1"/>
  <c r="AI64" i="25"/>
  <c r="AI111" i="25" s="1"/>
  <c r="AS64" i="25"/>
  <c r="AS111" i="25" s="1"/>
  <c r="AS68" i="25"/>
  <c r="AS69" i="25" s="1"/>
  <c r="AS70" i="25" s="1"/>
  <c r="AS66" i="25"/>
  <c r="AS112" i="25" s="1"/>
  <c r="AR66" i="25"/>
  <c r="AR112" i="25" s="1"/>
  <c r="AR64" i="25"/>
  <c r="AR111" i="25" s="1"/>
  <c r="T47" i="25"/>
  <c r="U46" i="25"/>
  <c r="V46" i="25" s="1"/>
  <c r="AW106" i="24"/>
  <c r="AW106" i="25"/>
  <c r="AL71" i="5"/>
  <c r="AT71" i="5" s="1"/>
  <c r="AT72" i="5" s="1"/>
  <c r="AT73" i="5" s="1"/>
  <c r="AI67" i="25"/>
  <c r="AH67" i="25" s="1"/>
  <c r="AH68" i="25" s="1"/>
  <c r="AH69" i="25" s="1"/>
  <c r="AH70" i="25" s="1"/>
  <c r="AW104" i="24"/>
  <c r="AW104" i="25"/>
  <c r="AW110" i="24"/>
  <c r="AW110" i="25"/>
  <c r="AK64" i="25"/>
  <c r="AK111" i="25" s="1"/>
  <c r="AK66" i="25"/>
  <c r="AK112" i="25" s="1"/>
  <c r="AL64" i="25"/>
  <c r="AL111" i="25" s="1"/>
  <c r="AL66" i="25"/>
  <c r="AL112" i="25" s="1"/>
  <c r="AO64" i="25"/>
  <c r="AO111" i="25" s="1"/>
  <c r="AO66" i="25"/>
  <c r="AO112" i="25" s="1"/>
  <c r="AH64" i="25"/>
  <c r="AH66" i="25"/>
  <c r="AH112" i="25" s="1"/>
  <c r="AQ66" i="25"/>
  <c r="AQ112" i="25" s="1"/>
  <c r="AQ64" i="25"/>
  <c r="AQ111" i="25" s="1"/>
  <c r="AN66" i="25"/>
  <c r="AN64" i="25"/>
  <c r="AN111" i="25" s="1"/>
  <c r="AW108" i="24"/>
  <c r="AW108" i="25"/>
  <c r="Q47" i="25"/>
  <c r="R46" i="25"/>
  <c r="S46" i="25" s="1"/>
  <c r="AU31" i="5"/>
  <c r="GQ23" i="19" s="1"/>
  <c r="I62" i="1"/>
  <c r="GP33" i="19" s="1"/>
  <c r="Z13" i="5"/>
  <c r="Z20" i="5"/>
  <c r="AT24" i="5"/>
  <c r="AU23" i="5" s="1"/>
  <c r="AV18" i="5" s="1"/>
  <c r="GQ22" i="19" s="1"/>
  <c r="U10" i="5"/>
  <c r="Z10" i="5" s="1"/>
  <c r="AM10" i="5"/>
  <c r="AJ9" i="5"/>
  <c r="BP66" i="11"/>
  <c r="AG146" i="5" s="1"/>
  <c r="AE19" i="5"/>
  <c r="AE20" i="5" s="1"/>
  <c r="Y119" i="5"/>
  <c r="Z119" i="5" s="1"/>
  <c r="Y173" i="5"/>
  <c r="Z173" i="5" s="1"/>
  <c r="Y155" i="5"/>
  <c r="Z155" i="5" s="1"/>
  <c r="Y137" i="5"/>
  <c r="Z137" i="5" s="1"/>
  <c r="AK252" i="5"/>
  <c r="AP66" i="20"/>
  <c r="AP112" i="20" s="1"/>
  <c r="AX35" i="20"/>
  <c r="AH52" i="20"/>
  <c r="AJ52" i="20" s="1"/>
  <c r="AH95" i="20" s="1"/>
  <c r="AI95" i="20" s="1"/>
  <c r="AJ95" i="20" s="1"/>
  <c r="AK95" i="20" s="1"/>
  <c r="AL95" i="20" s="1"/>
  <c r="AM95" i="20" s="1"/>
  <c r="AN95" i="20" s="1"/>
  <c r="AO95" i="20" s="1"/>
  <c r="AP95" i="20" s="1"/>
  <c r="AQ95" i="20" s="1"/>
  <c r="AR95" i="20" s="1"/>
  <c r="AS95" i="20" s="1"/>
  <c r="AX37" i="22"/>
  <c r="O37" i="22"/>
  <c r="AX38" i="23"/>
  <c r="O38" i="23"/>
  <c r="AX36" i="21"/>
  <c r="O36" i="21"/>
  <c r="AX37" i="24"/>
  <c r="O37" i="24"/>
  <c r="AX38" i="20"/>
  <c r="O38" i="20"/>
  <c r="AX38" i="22"/>
  <c r="O38" i="22"/>
  <c r="AX36" i="22"/>
  <c r="O36" i="22"/>
  <c r="AX37" i="21"/>
  <c r="O37" i="21"/>
  <c r="AX38" i="21"/>
  <c r="O38" i="21"/>
  <c r="AX36" i="23"/>
  <c r="O36" i="23"/>
  <c r="AX37" i="23"/>
  <c r="O37" i="23"/>
  <c r="AX38" i="24"/>
  <c r="O38" i="24"/>
  <c r="AX36" i="20"/>
  <c r="O36" i="20"/>
  <c r="AX36" i="24"/>
  <c r="O36" i="24"/>
  <c r="AK256" i="5"/>
  <c r="AS68" i="20"/>
  <c r="AS69" i="20" s="1"/>
  <c r="AR66" i="20"/>
  <c r="AR112" i="20" s="1"/>
  <c r="AN71" i="5"/>
  <c r="AR71" i="5" s="1"/>
  <c r="AR72" i="5" s="1"/>
  <c r="AR73" i="5" s="1"/>
  <c r="AR64" i="22"/>
  <c r="AR111" i="22" s="1"/>
  <c r="AO64" i="22"/>
  <c r="AO111" i="22" s="1"/>
  <c r="AD60" i="20"/>
  <c r="AH120" i="20" s="1"/>
  <c r="AD60" i="24"/>
  <c r="AD60" i="21"/>
  <c r="AD60" i="23"/>
  <c r="AD60" i="22"/>
  <c r="AR14" i="13"/>
  <c r="AL237" i="5" s="1"/>
  <c r="AG14" i="13"/>
  <c r="AA237" i="5" s="1"/>
  <c r="AL66" i="20"/>
  <c r="AL112" i="20" s="1"/>
  <c r="AN66" i="20"/>
  <c r="AN112" i="20" s="1"/>
  <c r="AS64" i="20"/>
  <c r="AS111" i="20" s="1"/>
  <c r="AL66" i="22"/>
  <c r="AL112" i="22" s="1"/>
  <c r="AS68" i="22"/>
  <c r="AS69" i="22" s="1"/>
  <c r="AS64" i="22"/>
  <c r="AS111" i="22" s="1"/>
  <c r="AP66" i="22"/>
  <c r="AP112" i="22" s="1"/>
  <c r="AK64" i="22"/>
  <c r="AK111" i="22" s="1"/>
  <c r="AN66" i="22"/>
  <c r="AF175" i="22" s="1"/>
  <c r="AM64" i="22"/>
  <c r="AM111" i="22" s="1"/>
  <c r="AJ64" i="22"/>
  <c r="AJ111" i="22" s="1"/>
  <c r="AI66" i="22"/>
  <c r="AI112" i="22" s="1"/>
  <c r="AM68" i="22"/>
  <c r="AM69" i="22" s="1"/>
  <c r="BP31" i="11"/>
  <c r="AG111" i="5" s="1"/>
  <c r="BP32" i="11"/>
  <c r="AG112" i="5" s="1"/>
  <c r="AI66" i="20"/>
  <c r="AI112" i="20" s="1"/>
  <c r="AH52" i="21"/>
  <c r="AJ52" i="21" s="1"/>
  <c r="AH95" i="21" s="1"/>
  <c r="AI95" i="21" s="1"/>
  <c r="AJ95" i="21" s="1"/>
  <c r="AK95" i="21" s="1"/>
  <c r="AL95" i="21" s="1"/>
  <c r="AM95" i="21" s="1"/>
  <c r="AN95" i="21" s="1"/>
  <c r="AO95" i="21" s="1"/>
  <c r="AP95" i="21" s="1"/>
  <c r="AQ95" i="21" s="1"/>
  <c r="AR95" i="21" s="1"/>
  <c r="AS95" i="21" s="1"/>
  <c r="AX35" i="21"/>
  <c r="O35" i="21"/>
  <c r="AH52" i="24"/>
  <c r="AJ52" i="24" s="1"/>
  <c r="AH95" i="24" s="1"/>
  <c r="AI95" i="24" s="1"/>
  <c r="AJ95" i="24" s="1"/>
  <c r="AK95" i="24" s="1"/>
  <c r="AL95" i="24" s="1"/>
  <c r="AM95" i="24" s="1"/>
  <c r="AN95" i="24" s="1"/>
  <c r="AO95" i="24" s="1"/>
  <c r="AP95" i="24" s="1"/>
  <c r="AQ95" i="24" s="1"/>
  <c r="AR95" i="24" s="1"/>
  <c r="AS95" i="24" s="1"/>
  <c r="AX35" i="24"/>
  <c r="O35" i="24"/>
  <c r="AX35" i="22"/>
  <c r="O35" i="22"/>
  <c r="AH52" i="22"/>
  <c r="AJ52" i="22" s="1"/>
  <c r="AH95" i="22" s="1"/>
  <c r="AI95" i="22" s="1"/>
  <c r="AJ95" i="22" s="1"/>
  <c r="AK95" i="22" s="1"/>
  <c r="AL95" i="22" s="1"/>
  <c r="AM95" i="22" s="1"/>
  <c r="AN95" i="22" s="1"/>
  <c r="AO95" i="22" s="1"/>
  <c r="AP95" i="22" s="1"/>
  <c r="AQ95" i="22" s="1"/>
  <c r="AR95" i="22" s="1"/>
  <c r="AS95" i="22" s="1"/>
  <c r="AH52" i="23"/>
  <c r="AJ52" i="23" s="1"/>
  <c r="AH95" i="23" s="1"/>
  <c r="AI95" i="23" s="1"/>
  <c r="AJ95" i="23" s="1"/>
  <c r="AK95" i="23" s="1"/>
  <c r="AL95" i="23" s="1"/>
  <c r="AM95" i="23" s="1"/>
  <c r="AN95" i="23" s="1"/>
  <c r="AO95" i="23" s="1"/>
  <c r="AP95" i="23" s="1"/>
  <c r="AQ95" i="23" s="1"/>
  <c r="AR95" i="23" s="1"/>
  <c r="AS95" i="23" s="1"/>
  <c r="AX35" i="23"/>
  <c r="O35" i="23"/>
  <c r="O27" i="22"/>
  <c r="AB74" i="22" s="1"/>
  <c r="AE28" i="5"/>
  <c r="AW79" i="23"/>
  <c r="AW79" i="24"/>
  <c r="AI67" i="23"/>
  <c r="AH67" i="23" s="1"/>
  <c r="AH68" i="23" s="1"/>
  <c r="AH69" i="23" s="1"/>
  <c r="AI67" i="24"/>
  <c r="AW112" i="23"/>
  <c r="AW112" i="24"/>
  <c r="AN112" i="24"/>
  <c r="AF175" i="24"/>
  <c r="AH111" i="24"/>
  <c r="AB175" i="24"/>
  <c r="Z60" i="24" s="1"/>
  <c r="AW114" i="23"/>
  <c r="AW114" i="24"/>
  <c r="AH64" i="20"/>
  <c r="AB175" i="20" s="1"/>
  <c r="Z60" i="20" s="1"/>
  <c r="AO66" i="20"/>
  <c r="AO112" i="20" s="1"/>
  <c r="AM66" i="20"/>
  <c r="AM112" i="20" s="1"/>
  <c r="AW106" i="22"/>
  <c r="AW106" i="23"/>
  <c r="AO67" i="23"/>
  <c r="AK66" i="23"/>
  <c r="AK112" i="23" s="1"/>
  <c r="AK64" i="23"/>
  <c r="AK111" i="23" s="1"/>
  <c r="AL64" i="23"/>
  <c r="AL111" i="23" s="1"/>
  <c r="AL66" i="23"/>
  <c r="AL112" i="23" s="1"/>
  <c r="AP64" i="23"/>
  <c r="AP111" i="23" s="1"/>
  <c r="AP66" i="23"/>
  <c r="AP112" i="23" s="1"/>
  <c r="AO66" i="23"/>
  <c r="AO112" i="23" s="1"/>
  <c r="AO64" i="23"/>
  <c r="AO111" i="23" s="1"/>
  <c r="AR66" i="23"/>
  <c r="AR112" i="23" s="1"/>
  <c r="AR64" i="23"/>
  <c r="AR111" i="23" s="1"/>
  <c r="AS68" i="23"/>
  <c r="AS69" i="23" s="1"/>
  <c r="AS66" i="23"/>
  <c r="AS112" i="23" s="1"/>
  <c r="AS64" i="23"/>
  <c r="AS111" i="23" s="1"/>
  <c r="AW104" i="22"/>
  <c r="AW104" i="23"/>
  <c r="AJ66" i="23"/>
  <c r="AJ112" i="23" s="1"/>
  <c r="AJ64" i="23"/>
  <c r="AJ111" i="23" s="1"/>
  <c r="AI64" i="23"/>
  <c r="AI111" i="23" s="1"/>
  <c r="AI66" i="23"/>
  <c r="AI112" i="23" s="1"/>
  <c r="AM64" i="23"/>
  <c r="AM111" i="23" s="1"/>
  <c r="AM68" i="23"/>
  <c r="AM69" i="23" s="1"/>
  <c r="AM66" i="23"/>
  <c r="AM112" i="23" s="1"/>
  <c r="AN66" i="23"/>
  <c r="AN64" i="23"/>
  <c r="AN111" i="23" s="1"/>
  <c r="AH64" i="23"/>
  <c r="AH66" i="23"/>
  <c r="AH112" i="23" s="1"/>
  <c r="AQ64" i="23"/>
  <c r="AQ111" i="23" s="1"/>
  <c r="AQ66" i="23"/>
  <c r="AQ112" i="23" s="1"/>
  <c r="AW108" i="22"/>
  <c r="AW108" i="23"/>
  <c r="AW110" i="22"/>
  <c r="AW110" i="23"/>
  <c r="AK64" i="20"/>
  <c r="AK111" i="20" s="1"/>
  <c r="AM68" i="20"/>
  <c r="AM69" i="20" s="1"/>
  <c r="AQ64" i="20"/>
  <c r="AQ111" i="20" s="1"/>
  <c r="AJ66" i="20"/>
  <c r="AJ112" i="20" s="1"/>
  <c r="Q47" i="21"/>
  <c r="Q76" i="22"/>
  <c r="Q86" i="22"/>
  <c r="Q66" i="22"/>
  <c r="AW114" i="21"/>
  <c r="AW114" i="22"/>
  <c r="T47" i="21"/>
  <c r="AW79" i="21"/>
  <c r="AW79" i="22"/>
  <c r="AK72" i="5"/>
  <c r="AK73" i="5" s="1"/>
  <c r="AI67" i="22"/>
  <c r="AL67" i="22" s="1"/>
  <c r="AW112" i="21"/>
  <c r="AW112" i="22"/>
  <c r="AO68" i="22"/>
  <c r="AO69" i="22" s="1"/>
  <c r="R35" i="20"/>
  <c r="AP64" i="21"/>
  <c r="AP111" i="21" s="1"/>
  <c r="AP66" i="21"/>
  <c r="AP112" i="21" s="1"/>
  <c r="AQ66" i="21"/>
  <c r="AQ112" i="21" s="1"/>
  <c r="AQ64" i="21"/>
  <c r="AQ111" i="21" s="1"/>
  <c r="AM68" i="21"/>
  <c r="AM69" i="21" s="1"/>
  <c r="AM66" i="21"/>
  <c r="AM112" i="21" s="1"/>
  <c r="AM64" i="21"/>
  <c r="AM111" i="21" s="1"/>
  <c r="AW104" i="20"/>
  <c r="AW104" i="21"/>
  <c r="AO67" i="21"/>
  <c r="AO68" i="21" s="1"/>
  <c r="AO69" i="21" s="1"/>
  <c r="AK64" i="21"/>
  <c r="AK111" i="21" s="1"/>
  <c r="AK66" i="21"/>
  <c r="AK112" i="21" s="1"/>
  <c r="AN66" i="21"/>
  <c r="AN64" i="21"/>
  <c r="AN111" i="21" s="1"/>
  <c r="AR66" i="21"/>
  <c r="AR112" i="21" s="1"/>
  <c r="AR64" i="21"/>
  <c r="AR111" i="21" s="1"/>
  <c r="AL64" i="21"/>
  <c r="AL111" i="21" s="1"/>
  <c r="AL66" i="21"/>
  <c r="AL112" i="21" s="1"/>
  <c r="AS64" i="21"/>
  <c r="AS111" i="21" s="1"/>
  <c r="AS68" i="21"/>
  <c r="AS69" i="21" s="1"/>
  <c r="AS66" i="21"/>
  <c r="AS112" i="21" s="1"/>
  <c r="AW108" i="20"/>
  <c r="AW108" i="21"/>
  <c r="AW110" i="20"/>
  <c r="AW110" i="21"/>
  <c r="Q66" i="21"/>
  <c r="Q86" i="21"/>
  <c r="Q76" i="21"/>
  <c r="AI67" i="20"/>
  <c r="AJ67" i="20" s="1"/>
  <c r="AR67" i="20" s="1"/>
  <c r="AR68" i="20" s="1"/>
  <c r="AR69" i="20" s="1"/>
  <c r="AI67" i="21"/>
  <c r="AJ67" i="21" s="1"/>
  <c r="AJ66" i="21"/>
  <c r="AJ112" i="21" s="1"/>
  <c r="AJ64" i="21"/>
  <c r="AJ111" i="21" s="1"/>
  <c r="AO64" i="21"/>
  <c r="AO111" i="21" s="1"/>
  <c r="AO66" i="21"/>
  <c r="AO112" i="21" s="1"/>
  <c r="AI66" i="21"/>
  <c r="AI112" i="21" s="1"/>
  <c r="AI64" i="21"/>
  <c r="AI111" i="21" s="1"/>
  <c r="AH66" i="21"/>
  <c r="AH112" i="21" s="1"/>
  <c r="AH64" i="21"/>
  <c r="AP71" i="5"/>
  <c r="AM71" i="5" s="1"/>
  <c r="AS71" i="5" s="1"/>
  <c r="AS72" i="5" s="1"/>
  <c r="AS73" i="5" s="1"/>
  <c r="AW106" i="20"/>
  <c r="AW106" i="21"/>
  <c r="AX37" i="20"/>
  <c r="O37" i="20"/>
  <c r="Z74" i="20" s="1"/>
  <c r="ET14" i="19"/>
  <c r="EV14" i="19" s="1"/>
  <c r="ET11" i="19"/>
  <c r="ET19" i="19"/>
  <c r="ET13" i="19"/>
  <c r="EV13" i="19" s="1"/>
  <c r="ET9" i="19"/>
  <c r="EV9" i="19" s="1"/>
  <c r="ET17" i="19"/>
  <c r="EV17" i="19" s="1"/>
  <c r="ET12" i="19"/>
  <c r="EV12" i="19" s="1"/>
  <c r="ET7" i="19"/>
  <c r="ET15" i="19"/>
  <c r="ET20" i="19"/>
  <c r="EV20" i="19" s="1"/>
  <c r="ET6" i="19"/>
  <c r="EV6" i="19" s="1"/>
  <c r="ET5" i="19"/>
  <c r="EV5" i="19" s="1"/>
  <c r="D35" i="20"/>
  <c r="BS16" i="18"/>
  <c r="BS17" i="18" s="1"/>
  <c r="BU17" i="18" s="1"/>
  <c r="AJ71" i="5"/>
  <c r="AJ72" i="5" s="1"/>
  <c r="AJ73" i="5" s="1"/>
  <c r="Y110" i="5"/>
  <c r="AB110" i="5" s="1"/>
  <c r="AW112" i="20"/>
  <c r="Z110" i="5"/>
  <c r="AW114" i="20"/>
  <c r="AO68" i="20"/>
  <c r="AO69" i="20" s="1"/>
  <c r="K52" i="5"/>
  <c r="AY83" i="5"/>
  <c r="AJ55" i="13" s="1"/>
  <c r="AM58" i="13" s="1"/>
  <c r="AM60" i="13" s="1"/>
  <c r="AR50" i="13" s="1"/>
  <c r="AC57" i="13" s="1"/>
  <c r="AC72" i="13" s="1"/>
  <c r="AC73" i="13" s="1"/>
  <c r="AW79" i="20"/>
  <c r="U52" i="5"/>
  <c r="V52" i="5" s="1"/>
  <c r="W52" i="5" s="1"/>
  <c r="BP67" i="11"/>
  <c r="AG147" i="5" s="1"/>
  <c r="AR181" i="11"/>
  <c r="AR182" i="11"/>
  <c r="AR186" i="11"/>
  <c r="BP30" i="11"/>
  <c r="AG110" i="5" s="1"/>
  <c r="AR183" i="11"/>
  <c r="AR185" i="11"/>
  <c r="AS244" i="11"/>
  <c r="BP38" i="11"/>
  <c r="AG118" i="5" s="1"/>
  <c r="BP39" i="11"/>
  <c r="AG119" i="5" s="1"/>
  <c r="AR189" i="11"/>
  <c r="Y117" i="5"/>
  <c r="Z114" i="5"/>
  <c r="T197" i="5"/>
  <c r="V197" i="5"/>
  <c r="AJ197" i="5"/>
  <c r="W197" i="5"/>
  <c r="S93" i="5"/>
  <c r="T93" i="5" s="1"/>
  <c r="U93" i="5"/>
  <c r="V93" i="5" s="1"/>
  <c r="W93" i="5" s="1"/>
  <c r="S83" i="5"/>
  <c r="T83" i="5" s="1"/>
  <c r="U83" i="5"/>
  <c r="V83" i="5" s="1"/>
  <c r="W83" i="5" s="1"/>
  <c r="S73" i="5"/>
  <c r="T73" i="5" s="1"/>
  <c r="U73" i="5"/>
  <c r="V73" i="5" s="1"/>
  <c r="J52" i="5"/>
  <c r="J93" i="5"/>
  <c r="K93" i="5" s="1"/>
  <c r="J83" i="5"/>
  <c r="K83" i="5" s="1"/>
  <c r="J73" i="5"/>
  <c r="K73" i="5" s="1"/>
  <c r="AW143" i="11"/>
  <c r="AZ143" i="11" s="1"/>
  <c r="BA143" i="11" s="1"/>
  <c r="AA25" i="13"/>
  <c r="AC25" i="13" s="1"/>
  <c r="AR163" i="11"/>
  <c r="AY163" i="11" s="1"/>
  <c r="AS143" i="11"/>
  <c r="AT143" i="11" s="1"/>
  <c r="AJ126" i="5"/>
  <c r="AJ92" i="5" s="1"/>
  <c r="AJ91" i="5"/>
  <c r="AJ117" i="5"/>
  <c r="AC181" i="5"/>
  <c r="AA64" i="5" s="1"/>
  <c r="AH181" i="5"/>
  <c r="AP118" i="5"/>
  <c r="J90" i="5"/>
  <c r="K90" i="5" s="1"/>
  <c r="J80" i="5"/>
  <c r="K80" i="5" s="1"/>
  <c r="J70" i="5"/>
  <c r="K70" i="5" s="1"/>
  <c r="G98" i="11"/>
  <c r="G99" i="11" s="1"/>
  <c r="Q102" i="5" s="1"/>
  <c r="H98" i="11"/>
  <c r="H99" i="11" s="1"/>
  <c r="AC24" i="13"/>
  <c r="AF24" i="13" s="1"/>
  <c r="AL26" i="13"/>
  <c r="AQ26" i="13"/>
  <c r="AA27" i="13"/>
  <c r="AF27" i="13"/>
  <c r="AL27" i="13"/>
  <c r="AQ27" i="13"/>
  <c r="AA26" i="13"/>
  <c r="AF26" i="13"/>
  <c r="AA35" i="13"/>
  <c r="AL35" i="13"/>
  <c r="AS196" i="5"/>
  <c r="AK196" i="5"/>
  <c r="AR196" i="5"/>
  <c r="J50" i="5"/>
  <c r="AP14" i="13"/>
  <c r="AA48" i="13"/>
  <c r="U55" i="13" s="1"/>
  <c r="U69" i="13" s="1"/>
  <c r="Z148" i="5"/>
  <c r="Z132" i="5"/>
  <c r="Z153" i="5"/>
  <c r="Z164" i="5"/>
  <c r="Z152" i="5"/>
  <c r="Z169" i="5"/>
  <c r="Z129" i="5"/>
  <c r="Z130" i="5"/>
  <c r="Z171" i="5"/>
  <c r="Z168" i="5"/>
  <c r="Z134" i="5"/>
  <c r="Z147" i="5"/>
  <c r="Z166" i="5"/>
  <c r="Z128" i="5"/>
  <c r="Z170" i="5"/>
  <c r="Z149" i="5"/>
  <c r="Z151" i="5"/>
  <c r="Z167" i="5"/>
  <c r="Z146" i="5"/>
  <c r="Z131" i="5"/>
  <c r="Z165" i="5"/>
  <c r="Z150" i="5"/>
  <c r="Z133" i="5"/>
  <c r="Z135" i="5"/>
  <c r="Z116" i="5"/>
  <c r="Z112" i="5"/>
  <c r="Z113" i="5"/>
  <c r="Z115" i="5"/>
  <c r="Z111" i="5"/>
  <c r="Z117" i="5"/>
  <c r="AC23" i="5"/>
  <c r="Y136" i="5"/>
  <c r="Y128" i="5"/>
  <c r="AB128" i="5" s="1"/>
  <c r="Y170" i="5"/>
  <c r="Y151" i="5"/>
  <c r="AB151" i="5" s="1"/>
  <c r="Y130" i="5"/>
  <c r="AB130" i="5" s="1"/>
  <c r="Y132" i="5"/>
  <c r="AB132" i="5" s="1"/>
  <c r="Y172" i="5"/>
  <c r="Z172" i="5" s="1"/>
  <c r="Y154" i="5"/>
  <c r="Z154" i="5" s="1"/>
  <c r="Y147" i="5"/>
  <c r="AB147" i="5" s="1"/>
  <c r="Y164" i="5"/>
  <c r="AB164" i="5" s="1"/>
  <c r="AU234" i="11" s="1"/>
  <c r="Y169" i="5"/>
  <c r="Y134" i="5"/>
  <c r="Y171" i="5"/>
  <c r="Y166" i="5"/>
  <c r="AB166" i="5" s="1"/>
  <c r="Y153" i="5"/>
  <c r="AB153" i="5" s="1"/>
  <c r="Y118" i="5"/>
  <c r="Z118" i="5" s="1"/>
  <c r="Y149" i="5"/>
  <c r="Y152" i="5"/>
  <c r="AC152" i="5" s="1"/>
  <c r="Y168" i="5"/>
  <c r="Y148" i="5"/>
  <c r="Y129" i="5"/>
  <c r="AB129" i="5" s="1"/>
  <c r="AU199" i="11" s="1"/>
  <c r="Y133" i="5"/>
  <c r="AB133" i="5" s="1"/>
  <c r="Y167" i="5"/>
  <c r="AC167" i="5" s="1"/>
  <c r="Y146" i="5"/>
  <c r="AB146" i="5" s="1"/>
  <c r="Y131" i="5"/>
  <c r="AC131" i="5" s="1"/>
  <c r="Y165" i="5"/>
  <c r="AC165" i="5" s="1"/>
  <c r="Y150" i="5"/>
  <c r="AC150" i="5" s="1"/>
  <c r="Y135" i="5"/>
  <c r="Y112" i="5"/>
  <c r="AB112" i="5" s="1"/>
  <c r="Y113" i="5"/>
  <c r="AB113" i="5" s="1"/>
  <c r="Y116" i="5"/>
  <c r="Y115" i="5"/>
  <c r="AB115" i="5" s="1"/>
  <c r="Y111" i="5"/>
  <c r="AC111" i="5" s="1"/>
  <c r="AC22" i="5"/>
  <c r="AC21" i="5"/>
  <c r="Y114" i="5"/>
  <c r="AC114" i="5" s="1"/>
  <c r="AH67" i="13"/>
  <c r="AO64" i="13" s="1"/>
  <c r="GT77" i="19" s="1"/>
  <c r="AE62" i="13"/>
  <c r="AE14" i="13"/>
  <c r="AF14" i="13" s="1"/>
  <c r="GS62" i="19" s="1"/>
  <c r="AC20" i="5"/>
  <c r="BN97" i="18"/>
  <c r="BN98" i="18"/>
  <c r="AY13" i="18" s="1"/>
  <c r="K51" i="5"/>
  <c r="M81" i="18"/>
  <c r="AP10" i="5"/>
  <c r="AQ72" i="5"/>
  <c r="AQ73" i="5" s="1"/>
  <c r="AY145" i="11"/>
  <c r="AR165" i="11"/>
  <c r="AY165" i="11" s="1"/>
  <c r="AR164" i="11"/>
  <c r="AY164" i="11" s="1"/>
  <c r="AY144" i="11"/>
  <c r="AY151" i="11"/>
  <c r="AR171" i="11"/>
  <c r="AY171" i="11" s="1"/>
  <c r="AR162" i="11"/>
  <c r="AY162" i="11" s="1"/>
  <c r="AY142" i="11"/>
  <c r="BP86" i="18"/>
  <c r="BP97" i="18"/>
  <c r="BV86" i="18"/>
  <c r="BV97" i="18"/>
  <c r="AR168" i="11"/>
  <c r="AY168" i="11" s="1"/>
  <c r="AY148" i="11"/>
  <c r="BO86" i="18"/>
  <c r="BO97" i="18"/>
  <c r="BT86" i="18"/>
  <c r="BT97" i="18"/>
  <c r="AY141" i="11"/>
  <c r="AR161" i="11"/>
  <c r="AY161" i="11" s="1"/>
  <c r="AR160" i="11"/>
  <c r="AY160" i="11" s="1"/>
  <c r="AY140" i="11"/>
  <c r="AY149" i="11"/>
  <c r="AR169" i="11"/>
  <c r="AY169" i="11" s="1"/>
  <c r="BR86" i="18"/>
  <c r="BR97" i="18"/>
  <c r="BW86" i="18"/>
  <c r="BW97" i="18"/>
  <c r="AY147" i="11"/>
  <c r="AR167" i="11"/>
  <c r="AY167" i="11" s="1"/>
  <c r="AR166" i="11"/>
  <c r="AY166" i="11" s="1"/>
  <c r="AY146" i="11"/>
  <c r="AR170" i="11"/>
  <c r="AY170" i="11" s="1"/>
  <c r="AY150" i="11"/>
  <c r="BQ86" i="18"/>
  <c r="BQ97" i="18"/>
  <c r="BS86" i="18"/>
  <c r="BS97" i="18"/>
  <c r="AW163" i="11"/>
  <c r="AZ163" i="11" s="1"/>
  <c r="BA163" i="11" s="1"/>
  <c r="AS163" i="11"/>
  <c r="AT163" i="11" s="1"/>
  <c r="BM86" i="18"/>
  <c r="BM97" i="18"/>
  <c r="S88" i="18"/>
  <c r="BF103" i="18"/>
  <c r="AP98" i="18"/>
  <c r="T95" i="18"/>
  <c r="W92" i="18"/>
  <c r="AP92" i="18"/>
  <c r="T93" i="18"/>
  <c r="W94" i="18"/>
  <c r="BA81" i="18"/>
  <c r="M90" i="18"/>
  <c r="Y92" i="18"/>
  <c r="AR94" i="18"/>
  <c r="AI102" i="18"/>
  <c r="N92" i="18"/>
  <c r="AI94" i="18"/>
  <c r="AQ92" i="18"/>
  <c r="J103" i="18"/>
  <c r="AM90" i="18"/>
  <c r="BF91" i="18"/>
  <c r="L91" i="18"/>
  <c r="L87" i="18"/>
  <c r="AD82" i="18"/>
  <c r="E99" i="18"/>
  <c r="AQ94" i="18"/>
  <c r="J84" i="18"/>
  <c r="BE85" i="18"/>
  <c r="AR92" i="18"/>
  <c r="X90" i="18"/>
  <c r="AI89" i="18"/>
  <c r="AX86" i="18"/>
  <c r="BF83" i="18"/>
  <c r="J95" i="18"/>
  <c r="AO85" i="18"/>
  <c r="AR88" i="18"/>
  <c r="AH100" i="18"/>
  <c r="AJ103" i="18"/>
  <c r="Y25" i="18"/>
  <c r="J25" i="18" s="1"/>
  <c r="BH91" i="18"/>
  <c r="BD93" i="18"/>
  <c r="AK103" i="18"/>
  <c r="Y102" i="18"/>
  <c r="AY90" i="18"/>
  <c r="BB88" i="18"/>
  <c r="AX89" i="18"/>
  <c r="AQ91" i="18"/>
  <c r="BC93" i="18"/>
  <c r="BG98" i="18"/>
  <c r="E93" i="18"/>
  <c r="AX100" i="18"/>
  <c r="AQ85" i="18"/>
  <c r="BC95" i="18"/>
  <c r="AA95" i="18"/>
  <c r="AC96" i="18"/>
  <c r="AL94" i="18"/>
  <c r="F92" i="18"/>
  <c r="AX98" i="18"/>
  <c r="M97" i="18"/>
  <c r="L97" i="18"/>
  <c r="AQ95" i="18"/>
  <c r="K86" i="18"/>
  <c r="K95" i="18"/>
  <c r="N99" i="18"/>
  <c r="AM95" i="18"/>
  <c r="AZ87" i="18"/>
  <c r="L81" i="18"/>
  <c r="AC119" i="5"/>
  <c r="K50" i="5"/>
  <c r="H92" i="18"/>
  <c r="AJ91" i="18"/>
  <c r="BF95" i="18"/>
  <c r="BH104" i="18"/>
  <c r="BH99" i="18"/>
  <c r="O97" i="18"/>
  <c r="K99" i="18"/>
  <c r="K89" i="18"/>
  <c r="BC91" i="18"/>
  <c r="AB96" i="18"/>
  <c r="S85" i="18"/>
  <c r="AK92" i="18"/>
  <c r="G82" i="18"/>
  <c r="AN101" i="18"/>
  <c r="V29" i="18"/>
  <c r="G29" i="18" s="1"/>
  <c r="W82" i="18"/>
  <c r="AI86" i="18"/>
  <c r="T33" i="18"/>
  <c r="E33" i="18" s="1"/>
  <c r="AB28" i="18"/>
  <c r="AB55" i="18" s="1"/>
  <c r="F90" i="18"/>
  <c r="BC103" i="18"/>
  <c r="L99" i="18"/>
  <c r="AR96" i="18"/>
  <c r="BA92" i="18"/>
  <c r="U87" i="18"/>
  <c r="AX93" i="18"/>
  <c r="O84" i="18"/>
  <c r="O82" i="18"/>
  <c r="AS92" i="18"/>
  <c r="AS89" i="18"/>
  <c r="K87" i="18"/>
  <c r="Z104" i="18"/>
  <c r="Z97" i="18"/>
  <c r="Y81" i="18"/>
  <c r="AJ97" i="18"/>
  <c r="AB100" i="18"/>
  <c r="D103" i="18"/>
  <c r="AW83" i="18"/>
  <c r="H93" i="18"/>
  <c r="V95" i="18"/>
  <c r="BC90" i="18"/>
  <c r="N86" i="18"/>
  <c r="L103" i="18"/>
  <c r="H82" i="18"/>
  <c r="F82" i="18"/>
  <c r="AK8" i="18"/>
  <c r="AK18" i="18" s="1"/>
  <c r="Y26" i="18"/>
  <c r="J26" i="18" s="1"/>
  <c r="Y84" i="18"/>
  <c r="AA83" i="18"/>
  <c r="N95" i="18"/>
  <c r="W90" i="18"/>
  <c r="AM91" i="18"/>
  <c r="AX91" i="18"/>
  <c r="AD83" i="18"/>
  <c r="AS87" i="18"/>
  <c r="AS91" i="18"/>
  <c r="O87" i="18"/>
  <c r="K81" i="18"/>
  <c r="Z90" i="18"/>
  <c r="AO97" i="18"/>
  <c r="AP96" i="18"/>
  <c r="BG87" i="18"/>
  <c r="BB89" i="18"/>
  <c r="BC102" i="18"/>
  <c r="S86" i="18"/>
  <c r="AX97" i="18"/>
  <c r="AZ86" i="18"/>
  <c r="AA103" i="18"/>
  <c r="BE87" i="18"/>
  <c r="F96" i="18"/>
  <c r="AD41" i="18"/>
  <c r="O41" i="18" s="1"/>
  <c r="V26" i="18"/>
  <c r="V53" i="18" s="1"/>
  <c r="T29" i="18"/>
  <c r="T56" i="18" s="1"/>
  <c r="BA91" i="18"/>
  <c r="U96" i="18"/>
  <c r="BB91" i="18"/>
  <c r="BB93" i="18"/>
  <c r="W88" i="18"/>
  <c r="BB94" i="18"/>
  <c r="X89" i="18"/>
  <c r="W97" i="18"/>
  <c r="AJ99" i="18"/>
  <c r="H91" i="18"/>
  <c r="W45" i="18"/>
  <c r="H45" i="18" s="1"/>
  <c r="W30" i="18"/>
  <c r="H30" i="18" s="1"/>
  <c r="W33" i="18"/>
  <c r="H33" i="18" s="1"/>
  <c r="X36" i="18"/>
  <c r="I36" i="18" s="1"/>
  <c r="X47" i="18"/>
  <c r="X74" i="18" s="1"/>
  <c r="X28" i="18"/>
  <c r="X55" i="18" s="1"/>
  <c r="X26" i="18"/>
  <c r="X53" i="18" s="1"/>
  <c r="X38" i="18"/>
  <c r="I38" i="18" s="1"/>
  <c r="X46" i="18"/>
  <c r="I46" i="18" s="1"/>
  <c r="Y44" i="18"/>
  <c r="J44" i="18" s="1"/>
  <c r="W34" i="18"/>
  <c r="W61" i="18" s="1"/>
  <c r="Y27" i="18"/>
  <c r="J27" i="18" s="1"/>
  <c r="Z39" i="18"/>
  <c r="K39" i="18" s="1"/>
  <c r="X25" i="18"/>
  <c r="I25" i="18" s="1"/>
  <c r="Y43" i="18"/>
  <c r="Y70" i="18" s="1"/>
  <c r="Z38" i="18"/>
  <c r="K38" i="18" s="1"/>
  <c r="AA26" i="18"/>
  <c r="L26" i="18" s="1"/>
  <c r="AA34" i="18"/>
  <c r="L34" i="18" s="1"/>
  <c r="X30" i="18"/>
  <c r="X57" i="18" s="1"/>
  <c r="Z25" i="18"/>
  <c r="K25" i="18" s="1"/>
  <c r="AA37" i="18"/>
  <c r="AA64" i="18" s="1"/>
  <c r="AA48" i="18"/>
  <c r="L48" i="18" s="1"/>
  <c r="AQ8" i="18"/>
  <c r="BF17" i="18" s="1"/>
  <c r="BF18" i="18" s="1"/>
  <c r="X35" i="18"/>
  <c r="X62" i="18" s="1"/>
  <c r="Z33" i="18"/>
  <c r="K33" i="18" s="1"/>
  <c r="Y29" i="18"/>
  <c r="J29" i="18" s="1"/>
  <c r="X37" i="18"/>
  <c r="I37" i="18" s="1"/>
  <c r="Z46" i="18"/>
  <c r="Z73" i="18" s="1"/>
  <c r="AA36" i="18"/>
  <c r="AA63" i="18" s="1"/>
  <c r="AB46" i="18"/>
  <c r="M46" i="18" s="1"/>
  <c r="AA39" i="18"/>
  <c r="L39" i="18" s="1"/>
  <c r="AB33" i="18"/>
  <c r="M33" i="18" s="1"/>
  <c r="X41" i="18"/>
  <c r="I41" i="18" s="1"/>
  <c r="AA40" i="18"/>
  <c r="AA67" i="18" s="1"/>
  <c r="AC29" i="18"/>
  <c r="N29" i="18" s="1"/>
  <c r="AC42" i="18"/>
  <c r="N42" i="18" s="1"/>
  <c r="AD27" i="18"/>
  <c r="AD54" i="18" s="1"/>
  <c r="AD35" i="18"/>
  <c r="O35" i="18" s="1"/>
  <c r="AD48" i="18"/>
  <c r="O48" i="18" s="1"/>
  <c r="AI8" i="18"/>
  <c r="AX17" i="18" s="1"/>
  <c r="AX18" i="18" s="1"/>
  <c r="AB29" i="18"/>
  <c r="M29" i="18" s="1"/>
  <c r="AC36" i="18"/>
  <c r="N36" i="18" s="1"/>
  <c r="AD32" i="18"/>
  <c r="AD59" i="18" s="1"/>
  <c r="T37" i="18"/>
  <c r="T64" i="18" s="1"/>
  <c r="U43" i="18"/>
  <c r="F43" i="18" s="1"/>
  <c r="S33" i="18"/>
  <c r="D33" i="18" s="1"/>
  <c r="S47" i="18"/>
  <c r="D47" i="18" s="1"/>
  <c r="AC37" i="18"/>
  <c r="AC64" i="18" s="1"/>
  <c r="AD28" i="18"/>
  <c r="O28" i="18" s="1"/>
  <c r="T36" i="18"/>
  <c r="E36" i="18" s="1"/>
  <c r="T48" i="18"/>
  <c r="E48" i="18" s="1"/>
  <c r="U31" i="18"/>
  <c r="U58" i="18" s="1"/>
  <c r="U45" i="18"/>
  <c r="U72" i="18" s="1"/>
  <c r="S40" i="18"/>
  <c r="D40" i="18" s="1"/>
  <c r="AA47" i="18"/>
  <c r="AA74" i="18" s="1"/>
  <c r="AD47" i="18"/>
  <c r="AD74" i="18" s="1"/>
  <c r="U28" i="18"/>
  <c r="F28" i="18" s="1"/>
  <c r="S34" i="18"/>
  <c r="D34" i="18" s="1"/>
  <c r="AB44" i="18"/>
  <c r="M44" i="18" s="1"/>
  <c r="AD37" i="18"/>
  <c r="AD64" i="18" s="1"/>
  <c r="S25" i="18"/>
  <c r="D25" i="18" s="1"/>
  <c r="S43" i="18"/>
  <c r="S70" i="18" s="1"/>
  <c r="AD34" i="18"/>
  <c r="AD61" i="18" s="1"/>
  <c r="S38" i="18"/>
  <c r="S65" i="18" s="1"/>
  <c r="AC35" i="18"/>
  <c r="N35" i="18" s="1"/>
  <c r="AJ8" i="18"/>
  <c r="AY17" i="18" s="1"/>
  <c r="AY18" i="18" s="1"/>
  <c r="BB82" i="18"/>
  <c r="AB38" i="18"/>
  <c r="AB65" i="18" s="1"/>
  <c r="U37" i="18"/>
  <c r="U64" i="18" s="1"/>
  <c r="BG81" i="18"/>
  <c r="AY99" i="18"/>
  <c r="BA83" i="18"/>
  <c r="BA98" i="18"/>
  <c r="X88" i="18"/>
  <c r="W91" i="18"/>
  <c r="AY96" i="18"/>
  <c r="U90" i="18"/>
  <c r="AL87" i="18"/>
  <c r="BB96" i="18"/>
  <c r="U91" i="18"/>
  <c r="AJ90" i="18"/>
  <c r="W35" i="18"/>
  <c r="H35" i="18" s="1"/>
  <c r="W26" i="18"/>
  <c r="H26" i="18" s="1"/>
  <c r="W40" i="18"/>
  <c r="W67" i="18" s="1"/>
  <c r="X40" i="18"/>
  <c r="X67" i="18" s="1"/>
  <c r="W38" i="18"/>
  <c r="H38" i="18" s="1"/>
  <c r="W31" i="18"/>
  <c r="W58" i="18" s="1"/>
  <c r="X42" i="18"/>
  <c r="I42" i="18" s="1"/>
  <c r="Y38" i="18"/>
  <c r="J38" i="18" s="1"/>
  <c r="W29" i="18"/>
  <c r="H29" i="18" s="1"/>
  <c r="Y36" i="18"/>
  <c r="Y63" i="18" s="1"/>
  <c r="AL8" i="18"/>
  <c r="AL10" i="18" s="1"/>
  <c r="AL20" i="18" s="1"/>
  <c r="AL21" i="18" s="1"/>
  <c r="Y41" i="18"/>
  <c r="Y68" i="18" s="1"/>
  <c r="Z43" i="18"/>
  <c r="K43" i="18" s="1"/>
  <c r="AA30" i="18"/>
  <c r="AA57" i="18" s="1"/>
  <c r="AB32" i="18"/>
  <c r="AB59" i="18" s="1"/>
  <c r="Z32" i="18"/>
  <c r="K32" i="18" s="1"/>
  <c r="AA44" i="18"/>
  <c r="AA71" i="18" s="1"/>
  <c r="AB30" i="18"/>
  <c r="AB57" i="18" s="1"/>
  <c r="Y31" i="18"/>
  <c r="J31" i="18" s="1"/>
  <c r="Z44" i="18"/>
  <c r="K44" i="18" s="1"/>
  <c r="Z37" i="18"/>
  <c r="K37" i="18" s="1"/>
  <c r="AA27" i="18"/>
  <c r="AA54" i="18" s="1"/>
  <c r="AB40" i="18"/>
  <c r="M40" i="18" s="1"/>
  <c r="Z40" i="18"/>
  <c r="Z67" i="18" s="1"/>
  <c r="AB36" i="18"/>
  <c r="M36" i="18" s="1"/>
  <c r="Z36" i="18"/>
  <c r="K36" i="18" s="1"/>
  <c r="AC27" i="18"/>
  <c r="AC54" i="18" s="1"/>
  <c r="AC45" i="18"/>
  <c r="N45" i="18" s="1"/>
  <c r="AS8" i="18"/>
  <c r="BH17" i="18" s="1"/>
  <c r="BH18" i="18" s="1"/>
  <c r="AD46" i="18"/>
  <c r="O46" i="18" s="1"/>
  <c r="T32" i="18"/>
  <c r="T59" i="18" s="1"/>
  <c r="AC30" i="18"/>
  <c r="N30" i="18" s="1"/>
  <c r="AD30" i="18"/>
  <c r="O30" i="18" s="1"/>
  <c r="T41" i="18"/>
  <c r="T68" i="18" s="1"/>
  <c r="S28" i="18"/>
  <c r="S55" i="18" s="1"/>
  <c r="S45" i="18"/>
  <c r="S72" i="18" s="1"/>
  <c r="AC40" i="18"/>
  <c r="N40" i="18" s="1"/>
  <c r="AD36" i="18"/>
  <c r="O36" i="18" s="1"/>
  <c r="T46" i="18"/>
  <c r="T73" i="18" s="1"/>
  <c r="U34" i="18"/>
  <c r="F34" i="18" s="1"/>
  <c r="S32" i="18"/>
  <c r="D32" i="18" s="1"/>
  <c r="AA25" i="18"/>
  <c r="AA52" i="18" s="1"/>
  <c r="T31" i="18"/>
  <c r="T58" i="18" s="1"/>
  <c r="U40" i="18"/>
  <c r="F40" i="18" s="1"/>
  <c r="Z34" i="18"/>
  <c r="K34" i="18" s="1"/>
  <c r="T39" i="18"/>
  <c r="E39" i="18" s="1"/>
  <c r="AH8" i="18"/>
  <c r="AW17" i="18" s="1"/>
  <c r="AW18" i="18" s="1"/>
  <c r="AC41" i="18"/>
  <c r="N41" i="18" s="1"/>
  <c r="AM99" i="18"/>
  <c r="T42" i="18"/>
  <c r="E42" i="18" s="1"/>
  <c r="AY83" i="18"/>
  <c r="AM98" i="18"/>
  <c r="S39" i="18"/>
  <c r="D39" i="18" s="1"/>
  <c r="AR86" i="18"/>
  <c r="N104" i="18"/>
  <c r="AY100" i="18"/>
  <c r="F104" i="18"/>
  <c r="AJ104" i="18"/>
  <c r="AC102" i="18"/>
  <c r="AR103" i="18"/>
  <c r="AC101" i="18"/>
  <c r="I82" i="18"/>
  <c r="AO9" i="18"/>
  <c r="AO19" i="18" s="1"/>
  <c r="X102" i="18"/>
  <c r="V31" i="18"/>
  <c r="G31" i="18" s="1"/>
  <c r="AD40" i="18"/>
  <c r="O40" i="18" s="1"/>
  <c r="AJ89" i="18"/>
  <c r="AY103" i="18"/>
  <c r="AC86" i="18"/>
  <c r="I104" i="18"/>
  <c r="W83" i="18"/>
  <c r="BB84" i="18"/>
  <c r="AC84" i="18"/>
  <c r="AY89" i="18"/>
  <c r="BG103" i="18"/>
  <c r="X101" i="18"/>
  <c r="F84" i="18"/>
  <c r="W103" i="18"/>
  <c r="Y99" i="18"/>
  <c r="BB104" i="18"/>
  <c r="AJ81" i="18"/>
  <c r="U93" i="18"/>
  <c r="AL95" i="18"/>
  <c r="W39" i="18"/>
  <c r="W66" i="18" s="1"/>
  <c r="W28" i="18"/>
  <c r="H28" i="18" s="1"/>
  <c r="W41" i="18"/>
  <c r="H41" i="18" s="1"/>
  <c r="X43" i="18"/>
  <c r="I43" i="18" s="1"/>
  <c r="X27" i="18"/>
  <c r="I27" i="18" s="1"/>
  <c r="X32" i="18"/>
  <c r="X59" i="18" s="1"/>
  <c r="W25" i="18"/>
  <c r="H25" i="18" s="1"/>
  <c r="Y42" i="18"/>
  <c r="Y69" i="18" s="1"/>
  <c r="X29" i="18"/>
  <c r="I29" i="18" s="1"/>
  <c r="Y39" i="18"/>
  <c r="J39" i="18" s="1"/>
  <c r="W42" i="18"/>
  <c r="H42" i="18" s="1"/>
  <c r="Z26" i="18"/>
  <c r="Z53" i="18" s="1"/>
  <c r="Z45" i="18"/>
  <c r="Z72" i="18" s="1"/>
  <c r="AA32" i="18"/>
  <c r="L32" i="18" s="1"/>
  <c r="Y28" i="18"/>
  <c r="J28" i="18" s="1"/>
  <c r="Z42" i="18"/>
  <c r="Z69" i="18" s="1"/>
  <c r="AA46" i="18"/>
  <c r="L46" i="18" s="1"/>
  <c r="AB35" i="18"/>
  <c r="M35" i="18" s="1"/>
  <c r="AN8" i="18"/>
  <c r="AN18" i="18" s="1"/>
  <c r="Z48" i="18"/>
  <c r="K48" i="18" s="1"/>
  <c r="X44" i="18"/>
  <c r="I44" i="18" s="1"/>
  <c r="AA31" i="18"/>
  <c r="L31" i="18" s="1"/>
  <c r="AB45" i="18"/>
  <c r="AB72" i="18" s="1"/>
  <c r="AA45" i="18"/>
  <c r="L45" i="18" s="1"/>
  <c r="AB47" i="18"/>
  <c r="M47" i="18" s="1"/>
  <c r="AA29" i="18"/>
  <c r="AA56" i="18" s="1"/>
  <c r="AC31" i="18"/>
  <c r="N31" i="18" s="1"/>
  <c r="AC47" i="18"/>
  <c r="AC74" i="18" s="1"/>
  <c r="AD31" i="18"/>
  <c r="O31" i="18" s="1"/>
  <c r="T26" i="18"/>
  <c r="E26" i="18" s="1"/>
  <c r="AA35" i="18"/>
  <c r="L35" i="18" s="1"/>
  <c r="AC33" i="18"/>
  <c r="AC60" i="18" s="1"/>
  <c r="AD42" i="18"/>
  <c r="AD69" i="18" s="1"/>
  <c r="U35" i="18"/>
  <c r="U62" i="18" s="1"/>
  <c r="S30" i="18"/>
  <c r="S57" i="18" s="1"/>
  <c r="X48" i="18"/>
  <c r="I48" i="18" s="1"/>
  <c r="AC43" i="18"/>
  <c r="AC70" i="18" s="1"/>
  <c r="T27" i="18"/>
  <c r="E27" i="18" s="1"/>
  <c r="U25" i="18"/>
  <c r="F25" i="18" s="1"/>
  <c r="U38" i="18"/>
  <c r="U65" i="18" s="1"/>
  <c r="S36" i="18"/>
  <c r="D36" i="18" s="1"/>
  <c r="AC32" i="18"/>
  <c r="N32" i="18" s="1"/>
  <c r="T38" i="18"/>
  <c r="E38" i="18" s="1"/>
  <c r="U46" i="18"/>
  <c r="U73" i="18" s="1"/>
  <c r="AC26" i="18"/>
  <c r="N26" i="18" s="1"/>
  <c r="U33" i="18"/>
  <c r="F33" i="18" s="1"/>
  <c r="S35" i="18"/>
  <c r="S62" i="18" s="1"/>
  <c r="T43" i="18"/>
  <c r="E43" i="18" s="1"/>
  <c r="I101" i="18"/>
  <c r="U26" i="18"/>
  <c r="F26" i="18" s="1"/>
  <c r="I83" i="18"/>
  <c r="T25" i="18"/>
  <c r="T52" i="18" s="1"/>
  <c r="W102" i="18"/>
  <c r="AY101" i="18"/>
  <c r="AY104" i="18"/>
  <c r="BA85" i="18"/>
  <c r="BB85" i="18"/>
  <c r="U100" i="18"/>
  <c r="X86" i="18"/>
  <c r="AM81" i="18"/>
  <c r="AC83" i="18"/>
  <c r="H102" i="18"/>
  <c r="BA86" i="18"/>
  <c r="V32" i="18"/>
  <c r="G32" i="18" s="1"/>
  <c r="V44" i="18"/>
  <c r="G44" i="18" s="1"/>
  <c r="T34" i="18"/>
  <c r="E34" i="18" s="1"/>
  <c r="F86" i="18"/>
  <c r="U102" i="18"/>
  <c r="AL86" i="18"/>
  <c r="AL103" i="18"/>
  <c r="BG85" i="18"/>
  <c r="H87" i="18"/>
  <c r="AC104" i="18"/>
  <c r="T102" i="18"/>
  <c r="BF102" i="18"/>
  <c r="AR82" i="18"/>
  <c r="J85" i="18"/>
  <c r="M83" i="18"/>
  <c r="W99" i="18"/>
  <c r="AM100" i="18"/>
  <c r="AM96" i="18"/>
  <c r="W95" i="18"/>
  <c r="X95" i="18"/>
  <c r="F95" i="18"/>
  <c r="H94" i="18"/>
  <c r="W32" i="18"/>
  <c r="H32" i="18" s="1"/>
  <c r="X45" i="18"/>
  <c r="I45" i="18" s="1"/>
  <c r="X33" i="18"/>
  <c r="X60" i="18" s="1"/>
  <c r="Y46" i="18"/>
  <c r="J46" i="18" s="1"/>
  <c r="Z35" i="18"/>
  <c r="K35" i="18" s="1"/>
  <c r="Z27" i="18"/>
  <c r="Z54" i="18" s="1"/>
  <c r="AA38" i="18"/>
  <c r="L38" i="18" s="1"/>
  <c r="AA33" i="18"/>
  <c r="AA60" i="18" s="1"/>
  <c r="AB39" i="18"/>
  <c r="M39" i="18" s="1"/>
  <c r="Y47" i="18"/>
  <c r="Y74" i="18" s="1"/>
  <c r="AP8" i="18"/>
  <c r="BE17" i="18" s="1"/>
  <c r="BE18" i="18" s="1"/>
  <c r="AB27" i="18"/>
  <c r="M27" i="18" s="1"/>
  <c r="AB34" i="18"/>
  <c r="AB61" i="18" s="1"/>
  <c r="AD25" i="18"/>
  <c r="AD52" i="18" s="1"/>
  <c r="T28" i="18"/>
  <c r="T55" i="18" s="1"/>
  <c r="AC39" i="18"/>
  <c r="N39" i="18" s="1"/>
  <c r="U39" i="18"/>
  <c r="F39" i="18" s="1"/>
  <c r="Z29" i="18"/>
  <c r="K29" i="18" s="1"/>
  <c r="T40" i="18"/>
  <c r="T67" i="18" s="1"/>
  <c r="U42" i="18"/>
  <c r="F42" i="18" s="1"/>
  <c r="AD38" i="18"/>
  <c r="AD65" i="18" s="1"/>
  <c r="S42" i="18"/>
  <c r="D42" i="18" s="1"/>
  <c r="U41" i="18"/>
  <c r="U68" i="18" s="1"/>
  <c r="U36" i="18"/>
  <c r="U63" i="18" s="1"/>
  <c r="S31" i="18"/>
  <c r="S58" i="18" s="1"/>
  <c r="F89" i="18"/>
  <c r="BB102" i="18"/>
  <c r="BA103" i="18"/>
  <c r="W87" i="18"/>
  <c r="W101" i="18"/>
  <c r="U103" i="18"/>
  <c r="V38" i="18"/>
  <c r="V65" i="18" s="1"/>
  <c r="T45" i="18"/>
  <c r="T72" i="18" s="1"/>
  <c r="X84" i="18"/>
  <c r="F101" i="18"/>
  <c r="X100" i="18"/>
  <c r="AN86" i="18"/>
  <c r="H103" i="18"/>
  <c r="AA85" i="18"/>
  <c r="BG101" i="18"/>
  <c r="BE100" i="18"/>
  <c r="AC82" i="18"/>
  <c r="L82" i="18"/>
  <c r="BC82" i="18"/>
  <c r="AM103" i="18"/>
  <c r="BC101" i="18"/>
  <c r="V41" i="18"/>
  <c r="V68" i="18" s="1"/>
  <c r="J97" i="18"/>
  <c r="T35" i="18"/>
  <c r="E35" i="18" s="1"/>
  <c r="M101" i="18"/>
  <c r="BC99" i="18"/>
  <c r="AN85" i="18"/>
  <c r="AX102" i="18"/>
  <c r="AP101" i="18"/>
  <c r="M100" i="18"/>
  <c r="AX84" i="18"/>
  <c r="J99" i="18"/>
  <c r="AI85" i="18"/>
  <c r="BG102" i="18"/>
  <c r="I87" i="18"/>
  <c r="AY81" i="18"/>
  <c r="V30" i="18"/>
  <c r="V57" i="18" s="1"/>
  <c r="V48" i="18"/>
  <c r="G48" i="18" s="1"/>
  <c r="AX94" i="18"/>
  <c r="T82" i="18"/>
  <c r="AY82" i="18"/>
  <c r="BB86" i="18"/>
  <c r="BE102" i="18"/>
  <c r="N84" i="18"/>
  <c r="U84" i="18"/>
  <c r="I99" i="18"/>
  <c r="V40" i="18"/>
  <c r="G40" i="18" s="1"/>
  <c r="BE93" i="18"/>
  <c r="T84" i="18"/>
  <c r="BC104" i="18"/>
  <c r="E81" i="18"/>
  <c r="V45" i="18"/>
  <c r="G45" i="18" s="1"/>
  <c r="AY85" i="18"/>
  <c r="I85" i="18"/>
  <c r="AM9" i="18"/>
  <c r="AM19" i="18" s="1"/>
  <c r="AL82" i="18"/>
  <c r="U83" i="18"/>
  <c r="H100" i="18"/>
  <c r="J87" i="18"/>
  <c r="AN100" i="18"/>
  <c r="AJ83" i="18"/>
  <c r="AA84" i="18"/>
  <c r="E104" i="18"/>
  <c r="BC86" i="18"/>
  <c r="X85" i="18"/>
  <c r="AM86" i="18"/>
  <c r="AB81" i="18"/>
  <c r="M104" i="18"/>
  <c r="BC87" i="18"/>
  <c r="AC95" i="18"/>
  <c r="AR95" i="18"/>
  <c r="AP83" i="18"/>
  <c r="BE89" i="18"/>
  <c r="BC100" i="18"/>
  <c r="J92" i="18"/>
  <c r="Y90" i="18"/>
  <c r="AK84" i="18"/>
  <c r="G84" i="18"/>
  <c r="AZ101" i="18"/>
  <c r="G85" i="18"/>
  <c r="G86" i="18"/>
  <c r="V93" i="18"/>
  <c r="AK89" i="18"/>
  <c r="AZ92" i="18"/>
  <c r="AZ85" i="18"/>
  <c r="V103" i="18"/>
  <c r="G91" i="18"/>
  <c r="AZ96" i="18"/>
  <c r="V83" i="18"/>
  <c r="AZ83" i="18"/>
  <c r="V100" i="18"/>
  <c r="AK95" i="18"/>
  <c r="G103" i="18"/>
  <c r="V94" i="18"/>
  <c r="AK101" i="18"/>
  <c r="AK97" i="18"/>
  <c r="V98" i="18"/>
  <c r="V97" i="18"/>
  <c r="V91" i="18"/>
  <c r="V99" i="18"/>
  <c r="BF81" i="18"/>
  <c r="BF93" i="18"/>
  <c r="E84" i="18"/>
  <c r="T91" i="18"/>
  <c r="AM93" i="18"/>
  <c r="AJ92" i="18"/>
  <c r="BA96" i="18"/>
  <c r="BA94" i="18"/>
  <c r="W93" i="18"/>
  <c r="L102" i="18"/>
  <c r="D88" i="18"/>
  <c r="S87" i="18"/>
  <c r="AH88" i="18"/>
  <c r="AW89" i="18"/>
  <c r="D94" i="18"/>
  <c r="AH87" i="18"/>
  <c r="AW99" i="18"/>
  <c r="S93" i="18"/>
  <c r="AH98" i="18"/>
  <c r="D90" i="18"/>
  <c r="AH93" i="18"/>
  <c r="D99" i="18"/>
  <c r="AW86" i="18"/>
  <c r="D91" i="18"/>
  <c r="S84" i="18"/>
  <c r="AW84" i="18"/>
  <c r="AW85" i="18"/>
  <c r="D101" i="18"/>
  <c r="S103" i="18"/>
  <c r="AH95" i="18"/>
  <c r="AH102" i="18"/>
  <c r="AH101" i="18"/>
  <c r="D83" i="18"/>
  <c r="D104" i="18"/>
  <c r="AR97" i="18"/>
  <c r="BE84" i="18"/>
  <c r="AA96" i="18"/>
  <c r="AL90" i="18"/>
  <c r="H98" i="18"/>
  <c r="W36" i="18"/>
  <c r="H36" i="18" s="1"/>
  <c r="W37" i="18"/>
  <c r="H37" i="18" s="1"/>
  <c r="X34" i="18"/>
  <c r="X61" i="18" s="1"/>
  <c r="Y48" i="18"/>
  <c r="J48" i="18" s="1"/>
  <c r="W27" i="18"/>
  <c r="H27" i="18" s="1"/>
  <c r="AO8" i="18"/>
  <c r="BD17" i="18" s="1"/>
  <c r="BD18" i="18" s="1"/>
  <c r="AA42" i="18"/>
  <c r="L42" i="18" s="1"/>
  <c r="AA41" i="18"/>
  <c r="L41" i="18" s="1"/>
  <c r="AB43" i="18"/>
  <c r="M43" i="18" s="1"/>
  <c r="Z28" i="18"/>
  <c r="Z55" i="18" s="1"/>
  <c r="AB37" i="18"/>
  <c r="M37" i="18" s="1"/>
  <c r="AB31" i="18"/>
  <c r="M31" i="18" s="1"/>
  <c r="AC25" i="18"/>
  <c r="AC52" i="18" s="1"/>
  <c r="AD29" i="18"/>
  <c r="O29" i="18" s="1"/>
  <c r="T30" i="18"/>
  <c r="T57" i="18" s="1"/>
  <c r="AC48" i="18"/>
  <c r="N48" i="18" s="1"/>
  <c r="S26" i="18"/>
  <c r="D26" i="18" s="1"/>
  <c r="AC28" i="18"/>
  <c r="AC55" i="18" s="1"/>
  <c r="T44" i="18"/>
  <c r="T71" i="18" s="1"/>
  <c r="U47" i="18"/>
  <c r="F47" i="18" s="1"/>
  <c r="AD44" i="18"/>
  <c r="AD71" i="18" s="1"/>
  <c r="S48" i="18"/>
  <c r="D48" i="18" s="1"/>
  <c r="S29" i="18"/>
  <c r="D29" i="18" s="1"/>
  <c r="U48" i="18"/>
  <c r="F48" i="18" s="1"/>
  <c r="BB83" i="18"/>
  <c r="U94" i="18"/>
  <c r="BB100" i="18"/>
  <c r="X82" i="18"/>
  <c r="H85" i="18"/>
  <c r="I100" i="18"/>
  <c r="AC103" i="18"/>
  <c r="AH9" i="18"/>
  <c r="AH19" i="18" s="1"/>
  <c r="U30" i="18"/>
  <c r="F30" i="18" s="1"/>
  <c r="F83" i="18"/>
  <c r="W104" i="18"/>
  <c r="H101" i="18"/>
  <c r="AN103" i="18"/>
  <c r="AM102" i="18"/>
  <c r="AC81" i="18"/>
  <c r="H104" i="18"/>
  <c r="AN84" i="18"/>
  <c r="N81" i="18"/>
  <c r="N85" i="18"/>
  <c r="AR81" i="18"/>
  <c r="AL84" i="18"/>
  <c r="AJ100" i="18"/>
  <c r="V46" i="18"/>
  <c r="G46" i="18" s="1"/>
  <c r="U99" i="18"/>
  <c r="U44" i="18"/>
  <c r="F44" i="18" s="1"/>
  <c r="E83" i="18"/>
  <c r="AP85" i="18"/>
  <c r="AL81" i="18"/>
  <c r="J86" i="18"/>
  <c r="E85" i="18"/>
  <c r="AA82" i="18"/>
  <c r="AN104" i="18"/>
  <c r="BF100" i="18"/>
  <c r="H99" i="18"/>
  <c r="AQ82" i="18"/>
  <c r="L85" i="18"/>
  <c r="Y86" i="18"/>
  <c r="V37" i="18"/>
  <c r="V64" i="18" s="1"/>
  <c r="AL9" i="18"/>
  <c r="AL19" i="18" s="1"/>
  <c r="S27" i="18"/>
  <c r="D27" i="18" s="1"/>
  <c r="X81" i="18"/>
  <c r="BE103" i="18"/>
  <c r="X103" i="18"/>
  <c r="BG104" i="18"/>
  <c r="AR101" i="18"/>
  <c r="L104" i="18"/>
  <c r="AP9" i="18"/>
  <c r="AP19" i="18" s="1"/>
  <c r="V36" i="18"/>
  <c r="G36" i="18" s="1"/>
  <c r="I98" i="18"/>
  <c r="BF82" i="18"/>
  <c r="AR83" i="18"/>
  <c r="BB87" i="18"/>
  <c r="I86" i="18"/>
  <c r="BA102" i="18"/>
  <c r="L100" i="18"/>
  <c r="AL85" i="18"/>
  <c r="I81" i="18"/>
  <c r="BE99" i="18"/>
  <c r="U81" i="18"/>
  <c r="V47" i="18"/>
  <c r="G47" i="18" s="1"/>
  <c r="AC85" i="18"/>
  <c r="X104" i="18"/>
  <c r="AM84" i="18"/>
  <c r="AN99" i="18"/>
  <c r="N83" i="18"/>
  <c r="U86" i="18"/>
  <c r="V27" i="18"/>
  <c r="V54" i="18" s="1"/>
  <c r="BA99" i="18"/>
  <c r="AJ101" i="18"/>
  <c r="AJ84" i="18"/>
  <c r="AR87" i="18"/>
  <c r="BG91" i="18"/>
  <c r="L83" i="18"/>
  <c r="BE88" i="18"/>
  <c r="J100" i="18"/>
  <c r="J93" i="18"/>
  <c r="Y97" i="18"/>
  <c r="AZ104" i="18"/>
  <c r="AZ102" i="18"/>
  <c r="G102" i="18"/>
  <c r="AK99" i="18"/>
  <c r="G89" i="18"/>
  <c r="AK91" i="18"/>
  <c r="AZ98" i="18"/>
  <c r="G93" i="18"/>
  <c r="AZ91" i="18"/>
  <c r="G87" i="18"/>
  <c r="AK93" i="18"/>
  <c r="G96" i="18"/>
  <c r="AZ95" i="18"/>
  <c r="AZ84" i="18"/>
  <c r="AZ82" i="18"/>
  <c r="V101" i="18"/>
  <c r="AZ99" i="18"/>
  <c r="G97" i="18"/>
  <c r="G95" i="18"/>
  <c r="G83" i="18"/>
  <c r="G90" i="18"/>
  <c r="G99" i="18"/>
  <c r="G104" i="18"/>
  <c r="AK96" i="18"/>
  <c r="AB83" i="18"/>
  <c r="AQ99" i="18"/>
  <c r="AI95" i="18"/>
  <c r="AI97" i="18"/>
  <c r="AM92" i="18"/>
  <c r="I94" i="18"/>
  <c r="U92" i="18"/>
  <c r="BA93" i="18"/>
  <c r="AL97" i="18"/>
  <c r="F97" i="18"/>
  <c r="I95" i="18"/>
  <c r="D89" i="18"/>
  <c r="D92" i="18"/>
  <c r="S91" i="18"/>
  <c r="AH92" i="18"/>
  <c r="AW93" i="18"/>
  <c r="S89" i="18"/>
  <c r="AH94" i="18"/>
  <c r="D87" i="18"/>
  <c r="S100" i="18"/>
  <c r="AW87" i="18"/>
  <c r="S90" i="18"/>
  <c r="AW100" i="18"/>
  <c r="S94" i="18"/>
  <c r="D102" i="18"/>
  <c r="S92" i="18"/>
  <c r="D81" i="18"/>
  <c r="S82" i="18"/>
  <c r="S81" i="18"/>
  <c r="D82" i="18"/>
  <c r="AH81" i="18"/>
  <c r="AH83" i="18"/>
  <c r="AW104" i="18"/>
  <c r="S101" i="18"/>
  <c r="D85" i="18"/>
  <c r="AC94" i="18"/>
  <c r="W48" i="18"/>
  <c r="H48" i="18" s="1"/>
  <c r="Y34" i="18"/>
  <c r="Y61" i="18" s="1"/>
  <c r="Y37" i="18"/>
  <c r="J37" i="18" s="1"/>
  <c r="Y45" i="18"/>
  <c r="J45" i="18" s="1"/>
  <c r="Z41" i="18"/>
  <c r="K41" i="18" s="1"/>
  <c r="Y35" i="18"/>
  <c r="Y62" i="18" s="1"/>
  <c r="AC38" i="18"/>
  <c r="AC65" i="18" s="1"/>
  <c r="AB42" i="18"/>
  <c r="M42" i="18" s="1"/>
  <c r="S41" i="18"/>
  <c r="D41" i="18" s="1"/>
  <c r="U29" i="18"/>
  <c r="U56" i="18" s="1"/>
  <c r="U32" i="18"/>
  <c r="F32" i="18" s="1"/>
  <c r="AB41" i="18"/>
  <c r="AB68" i="18" s="1"/>
  <c r="AA43" i="18"/>
  <c r="L43" i="18" s="1"/>
  <c r="I102" i="18"/>
  <c r="X83" i="18"/>
  <c r="AJ82" i="18"/>
  <c r="N82" i="18"/>
  <c r="AL83" i="18"/>
  <c r="U101" i="18"/>
  <c r="W85" i="18"/>
  <c r="AX81" i="18"/>
  <c r="U82" i="18"/>
  <c r="AA81" i="18"/>
  <c r="V34" i="18"/>
  <c r="V61" i="18" s="1"/>
  <c r="AA86" i="18"/>
  <c r="F102" i="18"/>
  <c r="AQ102" i="18"/>
  <c r="N102" i="18"/>
  <c r="I84" i="18"/>
  <c r="AL104" i="18"/>
  <c r="AI9" i="18"/>
  <c r="AI19" i="18" s="1"/>
  <c r="BG89" i="18"/>
  <c r="Y101" i="18"/>
  <c r="AQ81" i="18"/>
  <c r="W100" i="18"/>
  <c r="J83" i="18"/>
  <c r="BG82" i="18"/>
  <c r="AI81" i="18"/>
  <c r="AB84" i="18"/>
  <c r="V33" i="18"/>
  <c r="G33" i="18" s="1"/>
  <c r="AI101" i="18"/>
  <c r="AM82" i="18"/>
  <c r="N103" i="18"/>
  <c r="H86" i="18"/>
  <c r="M86" i="18"/>
  <c r="BG96" i="18"/>
  <c r="AP104" i="18"/>
  <c r="N89" i="18"/>
  <c r="BE98" i="18"/>
  <c r="Y96" i="18"/>
  <c r="V88" i="18"/>
  <c r="AZ93" i="18"/>
  <c r="V85" i="18"/>
  <c r="V82" i="18"/>
  <c r="AK100" i="18"/>
  <c r="AK81" i="18"/>
  <c r="AK88" i="18"/>
  <c r="V89" i="18"/>
  <c r="V86" i="18"/>
  <c r="G100" i="18"/>
  <c r="AZ97" i="18"/>
  <c r="G101" i="18"/>
  <c r="AQ83" i="18"/>
  <c r="AI82" i="18"/>
  <c r="AY88" i="18"/>
  <c r="BA88" i="18"/>
  <c r="D97" i="18"/>
  <c r="S99" i="18"/>
  <c r="D86" i="18"/>
  <c r="AW92" i="18"/>
  <c r="AH91" i="18"/>
  <c r="AH86" i="18"/>
  <c r="AH97" i="18"/>
  <c r="S83" i="18"/>
  <c r="D84" i="18"/>
  <c r="AW98" i="18"/>
  <c r="AW102" i="18"/>
  <c r="AH103" i="18"/>
  <c r="AP87" i="18"/>
  <c r="AA94" i="18"/>
  <c r="J104" i="18"/>
  <c r="BF85" i="18"/>
  <c r="AQ90" i="18"/>
  <c r="AX82" i="18"/>
  <c r="E94" i="18"/>
  <c r="E87" i="18"/>
  <c r="I88" i="18"/>
  <c r="X91" i="18"/>
  <c r="AY98" i="18"/>
  <c r="AL96" i="18"/>
  <c r="AR104" i="18"/>
  <c r="AR90" i="18"/>
  <c r="AR93" i="18"/>
  <c r="N94" i="18"/>
  <c r="AA87" i="18"/>
  <c r="AA92" i="18"/>
  <c r="L88" i="18"/>
  <c r="AP90" i="18"/>
  <c r="J82" i="18"/>
  <c r="BC88" i="18"/>
  <c r="AN91" i="18"/>
  <c r="Y93" i="18"/>
  <c r="K90" i="18"/>
  <c r="Z96" i="18"/>
  <c r="BD90" i="18"/>
  <c r="K98" i="18"/>
  <c r="AO90" i="18"/>
  <c r="BD95" i="18"/>
  <c r="K96" i="18"/>
  <c r="K88" i="18"/>
  <c r="BD88" i="18"/>
  <c r="K92" i="18"/>
  <c r="BD92" i="18"/>
  <c r="BD81" i="18"/>
  <c r="Z102" i="18"/>
  <c r="AO100" i="18"/>
  <c r="AO101" i="18"/>
  <c r="AO99" i="18"/>
  <c r="K82" i="18"/>
  <c r="AO84" i="18"/>
  <c r="AO83" i="18"/>
  <c r="BD85" i="18"/>
  <c r="K100" i="18"/>
  <c r="Z85" i="18"/>
  <c r="AO87" i="18"/>
  <c r="AO82" i="18"/>
  <c r="O91" i="18"/>
  <c r="AD92" i="18"/>
  <c r="AS93" i="18"/>
  <c r="BH94" i="18"/>
  <c r="O100" i="18"/>
  <c r="AS86" i="18"/>
  <c r="BH93" i="18"/>
  <c r="AD86" i="18"/>
  <c r="AS98" i="18"/>
  <c r="BH96" i="18"/>
  <c r="AS99" i="18"/>
  <c r="AD89" i="18"/>
  <c r="O92" i="18"/>
  <c r="AD87" i="18"/>
  <c r="O103" i="18"/>
  <c r="AS84" i="18"/>
  <c r="O102" i="18"/>
  <c r="AS94" i="18"/>
  <c r="AD103" i="18"/>
  <c r="O104" i="18"/>
  <c r="AS102" i="18"/>
  <c r="AS85" i="18"/>
  <c r="BH102" i="18"/>
  <c r="BH101" i="18"/>
  <c r="AQ100" i="18"/>
  <c r="AB86" i="18"/>
  <c r="M94" i="18"/>
  <c r="BF89" i="18"/>
  <c r="AB87" i="18"/>
  <c r="E103" i="18"/>
  <c r="AX99" i="18"/>
  <c r="AI87" i="18"/>
  <c r="AI90" i="18"/>
  <c r="T90" i="18"/>
  <c r="BB95" i="18"/>
  <c r="X92" i="18"/>
  <c r="AJ93" i="18"/>
  <c r="AJ88" i="18"/>
  <c r="U88" i="18"/>
  <c r="W43" i="18"/>
  <c r="H43" i="18" s="1"/>
  <c r="AM8" i="18"/>
  <c r="BB17" i="18" s="1"/>
  <c r="BB18" i="18" s="1"/>
  <c r="X31" i="18"/>
  <c r="I31" i="18" s="1"/>
  <c r="Z47" i="18"/>
  <c r="Z74" i="18" s="1"/>
  <c r="AB26" i="18"/>
  <c r="AB53" i="18" s="1"/>
  <c r="Y30" i="18"/>
  <c r="J30" i="18" s="1"/>
  <c r="AB48" i="18"/>
  <c r="M48" i="18" s="1"/>
  <c r="AD39" i="18"/>
  <c r="AD66" i="18" s="1"/>
  <c r="AD45" i="18"/>
  <c r="AD72" i="18" s="1"/>
  <c r="AC46" i="18"/>
  <c r="N46" i="18" s="1"/>
  <c r="S44" i="18"/>
  <c r="D44" i="18" s="1"/>
  <c r="AR8" i="18"/>
  <c r="BV82" i="18" s="1"/>
  <c r="AM83" i="18"/>
  <c r="BA84" i="18"/>
  <c r="BA104" i="18"/>
  <c r="N101" i="18"/>
  <c r="AQ9" i="18"/>
  <c r="AQ19" i="18" s="1"/>
  <c r="AM104" i="18"/>
  <c r="AM101" i="18"/>
  <c r="BG84" i="18"/>
  <c r="AC100" i="18"/>
  <c r="AY84" i="18"/>
  <c r="AY86" i="18"/>
  <c r="I103" i="18"/>
  <c r="AD26" i="18"/>
  <c r="AD53" i="18" s="1"/>
  <c r="AP102" i="18"/>
  <c r="AM87" i="18"/>
  <c r="L101" i="18"/>
  <c r="AP99" i="18"/>
  <c r="AJ85" i="18"/>
  <c r="U85" i="18"/>
  <c r="V39" i="18"/>
  <c r="G39" i="18" s="1"/>
  <c r="N93" i="18"/>
  <c r="BB81" i="18"/>
  <c r="AL102" i="18"/>
  <c r="AR85" i="18"/>
  <c r="AR9" i="18"/>
  <c r="AR19" i="18" s="1"/>
  <c r="M82" i="18"/>
  <c r="BC84" i="18"/>
  <c r="AJ102" i="18"/>
  <c r="N100" i="18"/>
  <c r="BF86" i="18"/>
  <c r="AI99" i="18"/>
  <c r="BG100" i="18"/>
  <c r="T101" i="18"/>
  <c r="BB101" i="18"/>
  <c r="AI100" i="18"/>
  <c r="AK9" i="18"/>
  <c r="AK19" i="18" s="1"/>
  <c r="N98" i="18"/>
  <c r="L89" i="18"/>
  <c r="AN93" i="18"/>
  <c r="AK86" i="18"/>
  <c r="G98" i="18"/>
  <c r="V96" i="18"/>
  <c r="AK98" i="18"/>
  <c r="AZ103" i="18"/>
  <c r="AK102" i="18"/>
  <c r="V81" i="18"/>
  <c r="V87" i="18"/>
  <c r="G81" i="18"/>
  <c r="AK82" i="18"/>
  <c r="V92" i="18"/>
  <c r="AK90" i="18"/>
  <c r="AB97" i="18"/>
  <c r="T97" i="18"/>
  <c r="U95" i="18"/>
  <c r="BA97" i="18"/>
  <c r="D96" i="18"/>
  <c r="AH96" i="18"/>
  <c r="S96" i="18"/>
  <c r="D95" i="18"/>
  <c r="AW94" i="18"/>
  <c r="AH85" i="18"/>
  <c r="AH104" i="18"/>
  <c r="S104" i="18"/>
  <c r="AW88" i="18"/>
  <c r="AW91" i="18"/>
  <c r="AW103" i="18"/>
  <c r="AW82" i="18"/>
  <c r="AC92" i="18"/>
  <c r="AA91" i="18"/>
  <c r="AP94" i="18"/>
  <c r="Y88" i="18"/>
  <c r="T88" i="18"/>
  <c r="AB98" i="18"/>
  <c r="M98" i="18"/>
  <c r="T104" i="18"/>
  <c r="T96" i="18"/>
  <c r="T94" i="18"/>
  <c r="AM89" i="18"/>
  <c r="F93" i="18"/>
  <c r="AJ95" i="18"/>
  <c r="N87" i="18"/>
  <c r="H90" i="18"/>
  <c r="AC88" i="18"/>
  <c r="AR91" i="18"/>
  <c r="N88" i="18"/>
  <c r="BE104" i="18"/>
  <c r="BE90" i="18"/>
  <c r="AP95" i="18"/>
  <c r="L98" i="18"/>
  <c r="BC85" i="18"/>
  <c r="AN88" i="18"/>
  <c r="AN89" i="18"/>
  <c r="K93" i="18"/>
  <c r="AO89" i="18"/>
  <c r="BD94" i="18"/>
  <c r="Z89" i="18"/>
  <c r="AO94" i="18"/>
  <c r="Z94" i="18"/>
  <c r="Z95" i="18"/>
  <c r="K97" i="18"/>
  <c r="BD96" i="18"/>
  <c r="AO91" i="18"/>
  <c r="BD86" i="18"/>
  <c r="BD84" i="18"/>
  <c r="Z103" i="18"/>
  <c r="AO104" i="18"/>
  <c r="Z84" i="18"/>
  <c r="BD102" i="18"/>
  <c r="Z81" i="18"/>
  <c r="Z83" i="18"/>
  <c r="K85" i="18"/>
  <c r="Z82" i="18"/>
  <c r="K103" i="18"/>
  <c r="BD103" i="18"/>
  <c r="BD100" i="18"/>
  <c r="K84" i="18"/>
  <c r="O95" i="18"/>
  <c r="AD96" i="18"/>
  <c r="AS97" i="18"/>
  <c r="BH98" i="18"/>
  <c r="AD90" i="18"/>
  <c r="AS88" i="18"/>
  <c r="BH100" i="18"/>
  <c r="AD93" i="18"/>
  <c r="AS100" i="18"/>
  <c r="O90" i="18"/>
  <c r="BH88" i="18"/>
  <c r="AS96" i="18"/>
  <c r="AD91" i="18"/>
  <c r="AD94" i="18"/>
  <c r="AD84" i="18"/>
  <c r="AD101" i="18"/>
  <c r="O81" i="18"/>
  <c r="AS90" i="18"/>
  <c r="BH82" i="18"/>
  <c r="AS82" i="18"/>
  <c r="BH83" i="18"/>
  <c r="AD104" i="18"/>
  <c r="AS103" i="18"/>
  <c r="AD85" i="18"/>
  <c r="M102" i="18"/>
  <c r="AQ96" i="18"/>
  <c r="AB95" i="18"/>
  <c r="AB99" i="18"/>
  <c r="AB92" i="18"/>
  <c r="AI96" i="18"/>
  <c r="T103" i="18"/>
  <c r="AX95" i="18"/>
  <c r="T87" i="18"/>
  <c r="E88" i="18"/>
  <c r="BB98" i="18"/>
  <c r="X97" i="18"/>
  <c r="I91" i="18"/>
  <c r="J60" i="5"/>
  <c r="K60" i="5" s="1"/>
  <c r="T98" i="18"/>
  <c r="AI98" i="18"/>
  <c r="AX90" i="18"/>
  <c r="AX104" i="18"/>
  <c r="E102" i="18"/>
  <c r="AQ87" i="18"/>
  <c r="BF97" i="18"/>
  <c r="BF88" i="18"/>
  <c r="M85" i="18"/>
  <c r="AB101" i="18"/>
  <c r="BC94" i="18"/>
  <c r="Y95" i="18"/>
  <c r="Y98" i="18"/>
  <c r="J102" i="18"/>
  <c r="L93" i="18"/>
  <c r="BE97" i="18"/>
  <c r="AP81" i="18"/>
  <c r="AP82" i="18"/>
  <c r="BG95" i="18"/>
  <c r="AL89" i="18"/>
  <c r="AL88" i="18"/>
  <c r="W81" i="18"/>
  <c r="F94" i="18"/>
  <c r="AJ98" i="18"/>
  <c r="BB97" i="18"/>
  <c r="I90" i="18"/>
  <c r="I89" i="18"/>
  <c r="AX92" i="18"/>
  <c r="E98" i="18"/>
  <c r="AX83" i="18"/>
  <c r="BF94" i="18"/>
  <c r="AQ93" i="18"/>
  <c r="Y94" i="18"/>
  <c r="J98" i="18"/>
  <c r="L94" i="18"/>
  <c r="AP91" i="18"/>
  <c r="AP97" i="18"/>
  <c r="BE83" i="18"/>
  <c r="AA101" i="18"/>
  <c r="BG99" i="18"/>
  <c r="AR89" i="18"/>
  <c r="AR84" i="18"/>
  <c r="AX88" i="18"/>
  <c r="E90" i="18"/>
  <c r="AI91" i="18"/>
  <c r="E86" i="18"/>
  <c r="M88" i="18"/>
  <c r="BF90" i="18"/>
  <c r="AQ97" i="18"/>
  <c r="M93" i="18"/>
  <c r="AB102" i="18"/>
  <c r="J94" i="18"/>
  <c r="BC96" i="18"/>
  <c r="BC89" i="18"/>
  <c r="Y103" i="18"/>
  <c r="L90" i="18"/>
  <c r="AA98" i="18"/>
  <c r="AP89" i="18"/>
  <c r="BE81" i="18"/>
  <c r="L84" i="18"/>
  <c r="AC91" i="18"/>
  <c r="BG93" i="18"/>
  <c r="H95" i="18"/>
  <c r="BA95" i="18"/>
  <c r="AL98" i="18"/>
  <c r="BG92" i="18"/>
  <c r="F99" i="18"/>
  <c r="U97" i="18"/>
  <c r="U98" i="18"/>
  <c r="I97" i="18"/>
  <c r="BB92" i="18"/>
  <c r="F88" i="18"/>
  <c r="E96" i="18"/>
  <c r="AX87" i="18"/>
  <c r="E101" i="18"/>
  <c r="T86" i="18"/>
  <c r="AB88" i="18"/>
  <c r="AB91" i="18"/>
  <c r="AB90" i="18"/>
  <c r="AB104" i="18"/>
  <c r="AB103" i="18"/>
  <c r="AN96" i="18"/>
  <c r="J96" i="18"/>
  <c r="BC98" i="18"/>
  <c r="J101" i="18"/>
  <c r="AA97" i="18"/>
  <c r="BE96" i="18"/>
  <c r="L95" i="18"/>
  <c r="BE86" i="18"/>
  <c r="BE82" i="18"/>
  <c r="N90" i="18"/>
  <c r="AC98" i="18"/>
  <c r="N97" i="18"/>
  <c r="BG86" i="18"/>
  <c r="AL93" i="18"/>
  <c r="AL91" i="18"/>
  <c r="H83" i="18"/>
  <c r="AY92" i="18"/>
  <c r="F98" i="18"/>
  <c r="I96" i="18"/>
  <c r="I93" i="18"/>
  <c r="AI93" i="18"/>
  <c r="E95" i="18"/>
  <c r="AX103" i="18"/>
  <c r="AB93" i="18"/>
  <c r="AQ84" i="18"/>
  <c r="AS83" i="18"/>
  <c r="AS101" i="18"/>
  <c r="O83" i="18"/>
  <c r="O86" i="18"/>
  <c r="AD102" i="18"/>
  <c r="O93" i="18"/>
  <c r="O89" i="18"/>
  <c r="BH89" i="18"/>
  <c r="O98" i="18"/>
  <c r="AD99" i="18"/>
  <c r="BH90" i="18"/>
  <c r="AD88" i="18"/>
  <c r="AO81" i="18"/>
  <c r="Z86" i="18"/>
  <c r="BD99" i="18"/>
  <c r="K83" i="18"/>
  <c r="Z87" i="18"/>
  <c r="Z101" i="18"/>
  <c r="AO103" i="18"/>
  <c r="AO92" i="18"/>
  <c r="AO96" i="18"/>
  <c r="BD91" i="18"/>
  <c r="K94" i="18"/>
  <c r="Z92" i="18"/>
  <c r="J91" i="18"/>
  <c r="J88" i="18"/>
  <c r="BE95" i="18"/>
  <c r="AP84" i="18"/>
  <c r="AC87" i="18"/>
  <c r="U89" i="18"/>
  <c r="AY97" i="18"/>
  <c r="AX101" i="18"/>
  <c r="AQ89" i="18"/>
  <c r="AN94" i="18"/>
  <c r="L96" i="18"/>
  <c r="AW81" i="18"/>
  <c r="AW95" i="18"/>
  <c r="AW101" i="18"/>
  <c r="AW96" i="18"/>
  <c r="S98" i="18"/>
  <c r="D100" i="18"/>
  <c r="AQ88" i="18"/>
  <c r="V90" i="18"/>
  <c r="AK83" i="18"/>
  <c r="G94" i="18"/>
  <c r="AZ88" i="18"/>
  <c r="AK94" i="18"/>
  <c r="AK104" i="18"/>
  <c r="AA89" i="18"/>
  <c r="AS9" i="18"/>
  <c r="AS19" i="18" s="1"/>
  <c r="AR100" i="18"/>
  <c r="H84" i="18"/>
  <c r="BA101" i="18"/>
  <c r="AQ86" i="18"/>
  <c r="BB103" i="18"/>
  <c r="U104" i="18"/>
  <c r="T81" i="18"/>
  <c r="V43" i="18"/>
  <c r="V70" i="18" s="1"/>
  <c r="AA102" i="18"/>
  <c r="X87" i="18"/>
  <c r="AN87" i="18"/>
  <c r="Y104" i="18"/>
  <c r="Y100" i="18"/>
  <c r="T100" i="18"/>
  <c r="BG83" i="18"/>
  <c r="H81" i="18"/>
  <c r="W84" i="18"/>
  <c r="AC44" i="18"/>
  <c r="N44" i="18" s="1"/>
  <c r="AD33" i="18"/>
  <c r="AD60" i="18" s="1"/>
  <c r="AD43" i="18"/>
  <c r="AD70" i="18" s="1"/>
  <c r="Z30" i="18"/>
  <c r="K30" i="18" s="1"/>
  <c r="AA28" i="18"/>
  <c r="L28" i="18" s="1"/>
  <c r="X39" i="18"/>
  <c r="I39" i="18" s="1"/>
  <c r="AJ96" i="18"/>
  <c r="AC99" i="18"/>
  <c r="AX85" i="18"/>
  <c r="M87" i="18"/>
  <c r="BF92" i="18"/>
  <c r="BF101" i="18"/>
  <c r="Y89" i="18"/>
  <c r="Y87" i="18"/>
  <c r="W96" i="18"/>
  <c r="BA90" i="18"/>
  <c r="W98" i="18"/>
  <c r="AR99" i="18"/>
  <c r="AY94" i="18"/>
  <c r="AY93" i="18"/>
  <c r="X93" i="18"/>
  <c r="T89" i="18"/>
  <c r="AI84" i="18"/>
  <c r="BF98" i="18"/>
  <c r="BF87" i="18"/>
  <c r="AS81" i="18"/>
  <c r="BH103" i="18"/>
  <c r="BH84" i="18"/>
  <c r="BH97" i="18"/>
  <c r="AS104" i="18"/>
  <c r="BH92" i="18"/>
  <c r="O96" i="18"/>
  <c r="AD95" i="18"/>
  <c r="AS95" i="18"/>
  <c r="O94" i="18"/>
  <c r="AD100" i="18"/>
  <c r="Z99" i="18"/>
  <c r="K104" i="18"/>
  <c r="AO102" i="18"/>
  <c r="AO86" i="18"/>
  <c r="BD104" i="18"/>
  <c r="Z100" i="18"/>
  <c r="K101" i="18"/>
  <c r="BD97" i="18"/>
  <c r="Z98" i="18"/>
  <c r="AO95" i="18"/>
  <c r="Z93" i="18"/>
  <c r="AO93" i="18"/>
  <c r="K91" i="18"/>
  <c r="Y91" i="18"/>
  <c r="BC81" i="18"/>
  <c r="AA88" i="18"/>
  <c r="BG97" i="18"/>
  <c r="F91" i="18"/>
  <c r="X94" i="18"/>
  <c r="E91" i="18"/>
  <c r="AB94" i="18"/>
  <c r="AQ104" i="18"/>
  <c r="AN81" i="18"/>
  <c r="N91" i="18"/>
  <c r="AH82" i="18"/>
  <c r="D98" i="18"/>
  <c r="AH99" i="18"/>
  <c r="S97" i="18"/>
  <c r="AW90" i="18"/>
  <c r="S95" i="18"/>
  <c r="AL101" i="18"/>
  <c r="M95" i="18"/>
  <c r="V84" i="18"/>
  <c r="AZ100" i="18"/>
  <c r="AZ90" i="18"/>
  <c r="V102" i="18"/>
  <c r="G92" i="18"/>
  <c r="AK85" i="18"/>
  <c r="AN95" i="18"/>
  <c r="AR98" i="18"/>
  <c r="V28" i="18"/>
  <c r="G28" i="18" s="1"/>
  <c r="AN102" i="18"/>
  <c r="V35" i="18"/>
  <c r="G35" i="18" s="1"/>
  <c r="AY102" i="18"/>
  <c r="AI103" i="18"/>
  <c r="F103" i="18"/>
  <c r="BA87" i="18"/>
  <c r="AJ9" i="18"/>
  <c r="AJ19" i="18" s="1"/>
  <c r="W86" i="18"/>
  <c r="BA100" i="18"/>
  <c r="AP86" i="18"/>
  <c r="AN9" i="18"/>
  <c r="AN19" i="18" s="1"/>
  <c r="AL100" i="18"/>
  <c r="J81" i="18"/>
  <c r="AL99" i="18"/>
  <c r="AJ86" i="18"/>
  <c r="F81" i="18"/>
  <c r="S46" i="18"/>
  <c r="S73" i="18" s="1"/>
  <c r="U27" i="18"/>
  <c r="F27" i="18" s="1"/>
  <c r="AB25" i="18"/>
  <c r="AB52" i="18" s="1"/>
  <c r="Y32" i="18"/>
  <c r="Y59" i="18" s="1"/>
  <c r="Y40" i="18"/>
  <c r="J40" i="18" s="1"/>
  <c r="W46" i="18"/>
  <c r="W73" i="18" s="1"/>
  <c r="X98" i="18"/>
  <c r="J51" i="5"/>
  <c r="E92" i="18"/>
  <c r="AI92" i="18"/>
  <c r="T85" i="18"/>
  <c r="T83" i="18"/>
  <c r="M99" i="18"/>
  <c r="AB89" i="18"/>
  <c r="M96" i="18"/>
  <c r="M84" i="18"/>
  <c r="AQ101" i="18"/>
  <c r="AN92" i="18"/>
  <c r="BC92" i="18"/>
  <c r="AN98" i="18"/>
  <c r="Y82" i="18"/>
  <c r="AA93" i="18"/>
  <c r="BE92" i="18"/>
  <c r="L92" i="18"/>
  <c r="AA99" i="18"/>
  <c r="L86" i="18"/>
  <c r="AC89" i="18"/>
  <c r="BG88" i="18"/>
  <c r="BG94" i="18"/>
  <c r="H88" i="18"/>
  <c r="AL92" i="18"/>
  <c r="H97" i="18"/>
  <c r="AJ87" i="18"/>
  <c r="AY87" i="18"/>
  <c r="I92" i="18"/>
  <c r="X96" i="18"/>
  <c r="BB90" i="18"/>
  <c r="E97" i="18"/>
  <c r="T99" i="18"/>
  <c r="T92" i="18"/>
  <c r="AI88" i="18"/>
  <c r="E82" i="18"/>
  <c r="M92" i="18"/>
  <c r="AQ98" i="18"/>
  <c r="BF96" i="18"/>
  <c r="BF84" i="18"/>
  <c r="BF104" i="18"/>
  <c r="J63" i="5"/>
  <c r="K63" i="5" s="1"/>
  <c r="AN90" i="18"/>
  <c r="J89" i="18"/>
  <c r="BC83" i="18"/>
  <c r="AN83" i="18"/>
  <c r="BE91" i="18"/>
  <c r="AP88" i="18"/>
  <c r="AP93" i="18"/>
  <c r="AA100" i="18"/>
  <c r="AC93" i="18"/>
  <c r="BG90" i="18"/>
  <c r="N96" i="18"/>
  <c r="W89" i="18"/>
  <c r="H89" i="18"/>
  <c r="BA89" i="18"/>
  <c r="F87" i="18"/>
  <c r="AY91" i="18"/>
  <c r="AM94" i="18"/>
  <c r="AM88" i="18"/>
  <c r="AX96" i="18"/>
  <c r="AI83" i="18"/>
  <c r="M91" i="18"/>
  <c r="BF99" i="18"/>
  <c r="AB85" i="18"/>
  <c r="AD81" i="18"/>
  <c r="BH81" i="18"/>
  <c r="O85" i="18"/>
  <c r="BH85" i="18"/>
  <c r="O101" i="18"/>
  <c r="AD98" i="18"/>
  <c r="BH95" i="18"/>
  <c r="BH87" i="18"/>
  <c r="O88" i="18"/>
  <c r="AD97" i="18"/>
  <c r="BH86" i="18"/>
  <c r="O99" i="18"/>
  <c r="BD101" i="18"/>
  <c r="K102" i="18"/>
  <c r="BD82" i="18"/>
  <c r="BD87" i="18"/>
  <c r="BD83" i="18"/>
  <c r="Z91" i="18"/>
  <c r="BD89" i="18"/>
  <c r="AO88" i="18"/>
  <c r="AO98" i="18"/>
  <c r="BD98" i="18"/>
  <c r="Z88" i="18"/>
  <c r="AN97" i="18"/>
  <c r="Y83" i="18"/>
  <c r="AA90" i="18"/>
  <c r="BE101" i="18"/>
  <c r="AC97" i="18"/>
  <c r="AC90" i="18"/>
  <c r="AY95" i="18"/>
  <c r="AI104" i="18"/>
  <c r="M89" i="18"/>
  <c r="BC97" i="18"/>
  <c r="BE94" i="18"/>
  <c r="S102" i="18"/>
  <c r="AH84" i="18"/>
  <c r="AH90" i="18"/>
  <c r="AH89" i="18"/>
  <c r="AW97" i="18"/>
  <c r="D93" i="18"/>
  <c r="H96" i="18"/>
  <c r="AM97" i="18"/>
  <c r="E89" i="18"/>
  <c r="G88" i="18"/>
  <c r="AZ94" i="18"/>
  <c r="AZ89" i="18"/>
  <c r="AK87" i="18"/>
  <c r="V104" i="18"/>
  <c r="AZ81" i="18"/>
  <c r="J90" i="18"/>
  <c r="AP103" i="18"/>
  <c r="BA82" i="18"/>
  <c r="M103" i="18"/>
  <c r="AM85" i="18"/>
  <c r="AQ103" i="18"/>
  <c r="AP100" i="18"/>
  <c r="AB82" i="18"/>
  <c r="V42" i="18"/>
  <c r="G42" i="18" s="1"/>
  <c r="E100" i="18"/>
  <c r="V25" i="18"/>
  <c r="V52" i="18" s="1"/>
  <c r="AA104" i="18"/>
  <c r="Y85" i="18"/>
  <c r="AJ94" i="18"/>
  <c r="F100" i="18"/>
  <c r="BB99" i="18"/>
  <c r="AN82" i="18"/>
  <c r="X99" i="18"/>
  <c r="AR102" i="18"/>
  <c r="F85" i="18"/>
  <c r="T47" i="18"/>
  <c r="T74" i="18" s="1"/>
  <c r="S37" i="18"/>
  <c r="S64" i="18" s="1"/>
  <c r="AC34" i="18"/>
  <c r="N34" i="18" s="1"/>
  <c r="Z31" i="18"/>
  <c r="K31" i="18" s="1"/>
  <c r="Y33" i="18"/>
  <c r="J33" i="18" s="1"/>
  <c r="W44" i="18"/>
  <c r="W71" i="18" s="1"/>
  <c r="AB119" i="5"/>
  <c r="AU189" i="11" s="1"/>
  <c r="AS71" i="11"/>
  <c r="AQ71" i="11"/>
  <c r="Q198" i="5"/>
  <c r="AP144" i="11"/>
  <c r="AS10" i="11"/>
  <c r="AT10" i="11" s="1"/>
  <c r="AS77" i="11"/>
  <c r="AQ77" i="11"/>
  <c r="AS81" i="11"/>
  <c r="AQ81" i="11"/>
  <c r="AS80" i="11"/>
  <c r="AQ80" i="11"/>
  <c r="AP140" i="11"/>
  <c r="AS6" i="11"/>
  <c r="AT6" i="11" s="1"/>
  <c r="S63" i="5"/>
  <c r="T63" i="5" s="1"/>
  <c r="U63" i="5"/>
  <c r="V63" i="5" s="1"/>
  <c r="W63" i="5" s="1"/>
  <c r="AP148" i="11"/>
  <c r="AS14" i="11"/>
  <c r="AT14" i="11" s="1"/>
  <c r="H47" i="18"/>
  <c r="W74" i="18"/>
  <c r="AS70" i="11"/>
  <c r="AQ70" i="11"/>
  <c r="AP142" i="11"/>
  <c r="AS8" i="11"/>
  <c r="AT8" i="11" s="1"/>
  <c r="AS74" i="11"/>
  <c r="AQ74" i="11"/>
  <c r="AP149" i="11"/>
  <c r="AS15" i="11"/>
  <c r="AT15" i="11" s="1"/>
  <c r="AP150" i="11"/>
  <c r="AS16" i="11"/>
  <c r="AT16" i="11" s="1"/>
  <c r="AS75" i="11"/>
  <c r="AQ75" i="11"/>
  <c r="AS79" i="11"/>
  <c r="AQ79" i="11"/>
  <c r="AP141" i="11"/>
  <c r="AS7" i="11"/>
  <c r="AT7" i="11" s="1"/>
  <c r="AS72" i="11"/>
  <c r="AQ72" i="11"/>
  <c r="AP147" i="11"/>
  <c r="AS13" i="11"/>
  <c r="AT13" i="11" s="1"/>
  <c r="U200" i="5"/>
  <c r="AP151" i="11"/>
  <c r="AS17" i="11"/>
  <c r="AT17" i="11" s="1"/>
  <c r="AS78" i="11"/>
  <c r="AQ78" i="11"/>
  <c r="AP145" i="11"/>
  <c r="AS11" i="11"/>
  <c r="AT11" i="11" s="1"/>
  <c r="AS73" i="11"/>
  <c r="AQ73" i="11"/>
  <c r="AP146" i="11"/>
  <c r="AS12" i="11"/>
  <c r="AT12" i="11" s="1"/>
  <c r="AS76" i="11"/>
  <c r="AQ76" i="11"/>
  <c r="AI26" i="5" l="1"/>
  <c r="AI25" i="5"/>
  <c r="AI24" i="5"/>
  <c r="AI18" i="5"/>
  <c r="AI12" i="5"/>
  <c r="AH10" i="5"/>
  <c r="AI23" i="5"/>
  <c r="AI27" i="5"/>
  <c r="AI21" i="5"/>
  <c r="AI20" i="5"/>
  <c r="AI19" i="5"/>
  <c r="AI13" i="5"/>
  <c r="AI10" i="5"/>
  <c r="AH15" i="5"/>
  <c r="AI17" i="5"/>
  <c r="AI28" i="5"/>
  <c r="AI22" i="5"/>
  <c r="AI16" i="5"/>
  <c r="AI15" i="5"/>
  <c r="AI14" i="5"/>
  <c r="AI29" i="5"/>
  <c r="AI11" i="5"/>
  <c r="N31" i="5"/>
  <c r="O89" i="16" s="1"/>
  <c r="N9" i="5"/>
  <c r="I79" i="16" s="1"/>
  <c r="AA10" i="5"/>
  <c r="AB237" i="5"/>
  <c r="AD237" i="5"/>
  <c r="AE237" i="5" s="1"/>
  <c r="GS68" i="19" s="1"/>
  <c r="AN27" i="13"/>
  <c r="AC26" i="13"/>
  <c r="BT15" i="25"/>
  <c r="Z232" i="25" s="1"/>
  <c r="BR15" i="25"/>
  <c r="BS15" i="25" s="1"/>
  <c r="GR62" i="19" s="1"/>
  <c r="Q47" i="24"/>
  <c r="R46" i="24"/>
  <c r="S46" i="24" s="1"/>
  <c r="Q67" i="23"/>
  <c r="T66" i="23"/>
  <c r="U66" i="23" s="1"/>
  <c r="V66" i="23" s="1"/>
  <c r="R66" i="23"/>
  <c r="S66" i="23" s="1"/>
  <c r="Q57" i="23"/>
  <c r="R56" i="23"/>
  <c r="S56" i="23" s="1"/>
  <c r="T56" i="23"/>
  <c r="U56" i="23" s="1"/>
  <c r="V56" i="23" s="1"/>
  <c r="T47" i="23"/>
  <c r="U46" i="23"/>
  <c r="V46" i="23" s="1"/>
  <c r="T76" i="23"/>
  <c r="U76" i="23" s="1"/>
  <c r="V76" i="23" s="1"/>
  <c r="Q77" i="23"/>
  <c r="R76" i="23"/>
  <c r="S76" i="23" s="1"/>
  <c r="T66" i="24"/>
  <c r="U66" i="24" s="1"/>
  <c r="V66" i="24" s="1"/>
  <c r="R66" i="24"/>
  <c r="S66" i="24" s="1"/>
  <c r="Q67" i="24"/>
  <c r="Q47" i="22"/>
  <c r="R46" i="22"/>
  <c r="S46" i="22" s="1"/>
  <c r="Q87" i="23"/>
  <c r="T86" i="23"/>
  <c r="U86" i="23" s="1"/>
  <c r="V86" i="23" s="1"/>
  <c r="R86" i="23"/>
  <c r="S86" i="23" s="1"/>
  <c r="Q57" i="24"/>
  <c r="T56" i="24"/>
  <c r="U56" i="24" s="1"/>
  <c r="V56" i="24" s="1"/>
  <c r="R56" i="24"/>
  <c r="S56" i="24" s="1"/>
  <c r="W105" i="20"/>
  <c r="S105" i="20" s="1"/>
  <c r="W109" i="20"/>
  <c r="S109" i="20" s="1"/>
  <c r="W106" i="20"/>
  <c r="S106" i="20" s="1"/>
  <c r="W110" i="20"/>
  <c r="S110" i="20" s="1"/>
  <c r="W108" i="20"/>
  <c r="S108" i="20" s="1"/>
  <c r="W104" i="20"/>
  <c r="Q104" i="20" s="1"/>
  <c r="O104" i="20" s="1"/>
  <c r="W107" i="20"/>
  <c r="S107" i="20" s="1"/>
  <c r="W111" i="20"/>
  <c r="Q111" i="20" s="1"/>
  <c r="W112" i="20"/>
  <c r="Q112" i="20" s="1"/>
  <c r="T47" i="24"/>
  <c r="U46" i="24"/>
  <c r="V46" i="24" s="1"/>
  <c r="Q47" i="23"/>
  <c r="R46" i="23"/>
  <c r="S46" i="23" s="1"/>
  <c r="T56" i="22"/>
  <c r="U56" i="22" s="1"/>
  <c r="V56" i="22" s="1"/>
  <c r="R56" i="22"/>
  <c r="S56" i="22" s="1"/>
  <c r="Q57" i="22"/>
  <c r="T86" i="24"/>
  <c r="U86" i="24" s="1"/>
  <c r="V86" i="24" s="1"/>
  <c r="R86" i="24"/>
  <c r="S86" i="24" s="1"/>
  <c r="Q87" i="24"/>
  <c r="Q77" i="24"/>
  <c r="T76" i="24"/>
  <c r="U76" i="24" s="1"/>
  <c r="V76" i="24" s="1"/>
  <c r="R76" i="24"/>
  <c r="S76" i="24" s="1"/>
  <c r="N26" i="5"/>
  <c r="O85" i="16" s="1"/>
  <c r="N16" i="5"/>
  <c r="O79" i="16" s="1"/>
  <c r="AN26" i="13"/>
  <c r="AA18" i="5"/>
  <c r="AC27" i="13"/>
  <c r="AC35" i="13"/>
  <c r="AF35" i="13" s="1"/>
  <c r="AG23" i="13" s="1"/>
  <c r="GS63" i="19" s="1"/>
  <c r="AS70" i="24"/>
  <c r="AS130" i="24" s="1"/>
  <c r="AA13" i="5"/>
  <c r="Y22" i="5"/>
  <c r="AA20" i="5"/>
  <c r="Q175" i="25"/>
  <c r="X175" i="25" s="1"/>
  <c r="AA175" i="25" s="1"/>
  <c r="AB175" i="25" s="1"/>
  <c r="Z60" i="25" s="1"/>
  <c r="AH111" i="22"/>
  <c r="AH133" i="22" s="1"/>
  <c r="AI87" i="25"/>
  <c r="AH123" i="25"/>
  <c r="AL72" i="5"/>
  <c r="AL73" i="5" s="1"/>
  <c r="AL74" i="5" s="1"/>
  <c r="AL134" i="5" s="1"/>
  <c r="Z70" i="25"/>
  <c r="D35" i="25"/>
  <c r="AU35" i="25" s="1"/>
  <c r="AJ88" i="25"/>
  <c r="AL88" i="25"/>
  <c r="AP88" i="25"/>
  <c r="AI88" i="25"/>
  <c r="AI120" i="25"/>
  <c r="AJ120" i="25" s="1"/>
  <c r="AK120" i="25" s="1"/>
  <c r="AL120" i="25" s="1"/>
  <c r="AM120" i="25" s="1"/>
  <c r="AN120" i="25" s="1"/>
  <c r="AO120" i="25" s="1"/>
  <c r="AP120" i="25" s="1"/>
  <c r="AQ120" i="25" s="1"/>
  <c r="AR120" i="25" s="1"/>
  <c r="AS120" i="25" s="1"/>
  <c r="AQ88" i="25"/>
  <c r="AO88" i="25"/>
  <c r="AH88" i="25"/>
  <c r="AR88" i="25"/>
  <c r="AM88" i="25"/>
  <c r="AS88" i="25"/>
  <c r="AN88" i="25"/>
  <c r="AK88" i="25"/>
  <c r="D37" i="25"/>
  <c r="AU37" i="25" s="1"/>
  <c r="Z74" i="25"/>
  <c r="AH54" i="25"/>
  <c r="AH96" i="25" s="1"/>
  <c r="AI96" i="25" s="1"/>
  <c r="AJ96" i="25" s="1"/>
  <c r="AK96" i="25" s="1"/>
  <c r="AL96" i="25" s="1"/>
  <c r="AM96" i="25" s="1"/>
  <c r="AN96" i="25" s="1"/>
  <c r="AO96" i="25" s="1"/>
  <c r="AP96" i="25" s="1"/>
  <c r="AQ96" i="25" s="1"/>
  <c r="AR96" i="25" s="1"/>
  <c r="AS96" i="25" s="1"/>
  <c r="D36" i="25"/>
  <c r="AU36" i="25" s="1"/>
  <c r="Z72" i="25"/>
  <c r="Z76" i="25"/>
  <c r="D38" i="25"/>
  <c r="AU38" i="25" s="1"/>
  <c r="AX9" i="13"/>
  <c r="AX11" i="13"/>
  <c r="EV19" i="19"/>
  <c r="Q37" i="21" s="1"/>
  <c r="AE139" i="21" s="1"/>
  <c r="AB74" i="21" s="1"/>
  <c r="Q37" i="25"/>
  <c r="AE139" i="25" s="1"/>
  <c r="AB74" i="25" s="1"/>
  <c r="AN112" i="25"/>
  <c r="AF175" i="25"/>
  <c r="AI68" i="25"/>
  <c r="AI69" i="25" s="1"/>
  <c r="AI70" i="25" s="1"/>
  <c r="AN67" i="25"/>
  <c r="EV11" i="19"/>
  <c r="Q35" i="21" s="1"/>
  <c r="AE103" i="21" s="1"/>
  <c r="AB70" i="21" s="1"/>
  <c r="Q35" i="25"/>
  <c r="AE103" i="25" s="1"/>
  <c r="AB70" i="25" s="1"/>
  <c r="AH111" i="25"/>
  <c r="AJ67" i="25"/>
  <c r="EV15" i="19"/>
  <c r="Q38" i="21" s="1"/>
  <c r="AE157" i="21" s="1"/>
  <c r="AB76" i="21" s="1"/>
  <c r="Q38" i="25"/>
  <c r="AE157" i="25" s="1"/>
  <c r="AB76" i="25" s="1"/>
  <c r="Q57" i="25"/>
  <c r="R56" i="25"/>
  <c r="S56" i="25" s="1"/>
  <c r="T56" i="25"/>
  <c r="U56" i="25" s="1"/>
  <c r="V56" i="25" s="1"/>
  <c r="AL67" i="25"/>
  <c r="EV7" i="19"/>
  <c r="Q36" i="21" s="1"/>
  <c r="AE121" i="21" s="1"/>
  <c r="AB72" i="21" s="1"/>
  <c r="Q36" i="25"/>
  <c r="AE121" i="25" s="1"/>
  <c r="AB72" i="25" s="1"/>
  <c r="R47" i="25"/>
  <c r="Q48" i="25"/>
  <c r="R48" i="25" s="1"/>
  <c r="T48" i="25"/>
  <c r="U48" i="25" s="1"/>
  <c r="U47" i="25"/>
  <c r="AX14" i="13"/>
  <c r="AX13" i="13"/>
  <c r="AX12" i="13"/>
  <c r="AX15" i="13"/>
  <c r="AX10" i="13"/>
  <c r="N12" i="5"/>
  <c r="I85" i="16" s="1"/>
  <c r="AD23" i="5"/>
  <c r="AE23" i="5" s="1"/>
  <c r="AD22" i="5"/>
  <c r="AE22" i="5" s="1"/>
  <c r="N29" i="5"/>
  <c r="O87" i="16" s="1"/>
  <c r="AD20" i="5"/>
  <c r="AD21" i="5"/>
  <c r="AE21" i="5" s="1"/>
  <c r="AH18" i="5"/>
  <c r="AH21" i="5"/>
  <c r="AH28" i="5"/>
  <c r="AH26" i="5"/>
  <c r="AH13" i="5"/>
  <c r="AH20" i="5"/>
  <c r="AH22" i="5"/>
  <c r="AH25" i="5"/>
  <c r="AH19" i="5"/>
  <c r="AH16" i="5"/>
  <c r="AH29" i="5"/>
  <c r="AH23" i="5"/>
  <c r="AH24" i="5"/>
  <c r="AH27" i="5"/>
  <c r="AH14" i="5"/>
  <c r="AH11" i="5"/>
  <c r="AH17" i="5"/>
  <c r="AH12" i="5"/>
  <c r="AJ139" i="5"/>
  <c r="AN35" i="13"/>
  <c r="AQ35" i="13" s="1"/>
  <c r="AR40" i="13"/>
  <c r="U57" i="13" s="1"/>
  <c r="U72" i="13" s="1"/>
  <c r="U73" i="13" s="1"/>
  <c r="AH111" i="20"/>
  <c r="AH133" i="20" s="1"/>
  <c r="AR42" i="13"/>
  <c r="V57" i="13" s="1"/>
  <c r="V72" i="13" s="1"/>
  <c r="V73" i="13" s="1"/>
  <c r="D36" i="24"/>
  <c r="AU36" i="24" s="1"/>
  <c r="Z72" i="24"/>
  <c r="R36" i="24"/>
  <c r="D38" i="24"/>
  <c r="AU38" i="24" s="1"/>
  <c r="R38" i="24"/>
  <c r="Z76" i="24"/>
  <c r="Z72" i="23"/>
  <c r="R36" i="23"/>
  <c r="D36" i="23"/>
  <c r="AU36" i="23" s="1"/>
  <c r="Z74" i="21"/>
  <c r="D37" i="21"/>
  <c r="AU37" i="21" s="1"/>
  <c r="R37" i="21"/>
  <c r="D38" i="22"/>
  <c r="AU38" i="22" s="1"/>
  <c r="R38" i="22"/>
  <c r="Z76" i="22"/>
  <c r="D37" i="24"/>
  <c r="AU37" i="24" s="1"/>
  <c r="R37" i="24"/>
  <c r="Z74" i="24"/>
  <c r="Z76" i="23"/>
  <c r="R38" i="23"/>
  <c r="D38" i="23"/>
  <c r="AU38" i="23" s="1"/>
  <c r="D36" i="20"/>
  <c r="AU36" i="20" s="1"/>
  <c r="R36" i="20"/>
  <c r="Z72" i="20"/>
  <c r="D37" i="23"/>
  <c r="AU37" i="23" s="1"/>
  <c r="R37" i="23"/>
  <c r="Z74" i="23"/>
  <c r="Z76" i="21"/>
  <c r="R38" i="21"/>
  <c r="D38" i="21"/>
  <c r="AU38" i="21" s="1"/>
  <c r="R36" i="22"/>
  <c r="Z72" i="22"/>
  <c r="D36" i="22"/>
  <c r="AU36" i="22" s="1"/>
  <c r="R38" i="20"/>
  <c r="Z76" i="20"/>
  <c r="D38" i="20"/>
  <c r="AU38" i="20" s="1"/>
  <c r="Z72" i="21"/>
  <c r="D36" i="21"/>
  <c r="AU36" i="21" s="1"/>
  <c r="R36" i="21"/>
  <c r="Z74" i="22"/>
  <c r="D37" i="22"/>
  <c r="AU37" i="22" s="1"/>
  <c r="R37" i="22"/>
  <c r="AH87" i="20"/>
  <c r="AI87" i="20" s="1"/>
  <c r="AN112" i="22"/>
  <c r="AM70" i="23"/>
  <c r="AP72" i="5"/>
  <c r="AP73" i="5" s="1"/>
  <c r="AP74" i="5" s="1"/>
  <c r="AP136" i="5" s="1"/>
  <c r="AM72" i="5"/>
  <c r="AM73" i="5" s="1"/>
  <c r="AM74" i="5" s="1"/>
  <c r="AM136" i="5" s="1"/>
  <c r="AN72" i="5"/>
  <c r="AN73" i="5" s="1"/>
  <c r="AN74" i="5" s="1"/>
  <c r="AN136" i="5" s="1"/>
  <c r="AS133" i="22"/>
  <c r="AS70" i="22"/>
  <c r="AS128" i="22" s="1"/>
  <c r="AF175" i="20"/>
  <c r="R46" i="21"/>
  <c r="S46" i="21" s="1"/>
  <c r="AS70" i="23"/>
  <c r="AH87" i="24"/>
  <c r="AH120" i="24"/>
  <c r="AH120" i="22"/>
  <c r="AH87" i="22"/>
  <c r="AH120" i="23"/>
  <c r="AH87" i="23"/>
  <c r="AH120" i="21"/>
  <c r="AH87" i="21"/>
  <c r="AI68" i="23"/>
  <c r="AI69" i="23" s="1"/>
  <c r="AI70" i="23" s="1"/>
  <c r="AJ67" i="23"/>
  <c r="AR67" i="23" s="1"/>
  <c r="AR68" i="23" s="1"/>
  <c r="AR69" i="23" s="1"/>
  <c r="AR70" i="23" s="1"/>
  <c r="AN67" i="23"/>
  <c r="AL67" i="23"/>
  <c r="AP67" i="23" s="1"/>
  <c r="AP68" i="23" s="1"/>
  <c r="AP69" i="23" s="1"/>
  <c r="AP70" i="23" s="1"/>
  <c r="AM70" i="24"/>
  <c r="AM128" i="24" s="1"/>
  <c r="R35" i="23"/>
  <c r="D35" i="23"/>
  <c r="AU35" i="23" s="1"/>
  <c r="Z70" i="23"/>
  <c r="R35" i="22"/>
  <c r="D35" i="22"/>
  <c r="AU35" i="22" s="1"/>
  <c r="Z70" i="22"/>
  <c r="Z70" i="21"/>
  <c r="D35" i="21"/>
  <c r="AU35" i="21" s="1"/>
  <c r="R35" i="21"/>
  <c r="D35" i="24"/>
  <c r="AU35" i="24" s="1"/>
  <c r="Z70" i="24"/>
  <c r="R35" i="24"/>
  <c r="AH70" i="23"/>
  <c r="AJ68" i="20"/>
  <c r="AJ69" i="20" s="1"/>
  <c r="AJ70" i="20" s="1"/>
  <c r="AJ130" i="20" s="1"/>
  <c r="AO70" i="24"/>
  <c r="AO130" i="24" s="1"/>
  <c r="AN67" i="24"/>
  <c r="AI68" i="24"/>
  <c r="AI69" i="24" s="1"/>
  <c r="AI70" i="24" s="1"/>
  <c r="AI128" i="24" s="1"/>
  <c r="AJ67" i="24"/>
  <c r="AH67" i="24"/>
  <c r="AH68" i="24" s="1"/>
  <c r="AH69" i="24" s="1"/>
  <c r="AH70" i="24" s="1"/>
  <c r="AH130" i="24" s="1"/>
  <c r="AR133" i="24"/>
  <c r="AN133" i="24"/>
  <c r="AJ133" i="24"/>
  <c r="AP133" i="24"/>
  <c r="AL133" i="24"/>
  <c r="AH133" i="24"/>
  <c r="AM133" i="24"/>
  <c r="AS133" i="24"/>
  <c r="AK133" i="24"/>
  <c r="AQ133" i="24"/>
  <c r="AO133" i="24"/>
  <c r="AH100" i="24"/>
  <c r="AI100" i="24" s="1"/>
  <c r="AJ100" i="24" s="1"/>
  <c r="AK100" i="24" s="1"/>
  <c r="AL100" i="24" s="1"/>
  <c r="AM100" i="24" s="1"/>
  <c r="AN100" i="24" s="1"/>
  <c r="AO100" i="24" s="1"/>
  <c r="AP100" i="24" s="1"/>
  <c r="AQ100" i="24" s="1"/>
  <c r="AR100" i="24" s="1"/>
  <c r="AS100" i="24" s="1"/>
  <c r="AI133" i="24"/>
  <c r="AI68" i="21"/>
  <c r="AI69" i="21" s="1"/>
  <c r="AI70" i="21" s="1"/>
  <c r="AO68" i="23"/>
  <c r="AO69" i="23" s="1"/>
  <c r="AO70" i="23" s="1"/>
  <c r="AL67" i="24"/>
  <c r="R46" i="20"/>
  <c r="S46" i="20" s="1"/>
  <c r="AH67" i="20"/>
  <c r="AH68" i="20" s="1"/>
  <c r="AH69" i="20" s="1"/>
  <c r="AH70" i="20" s="1"/>
  <c r="AN67" i="20"/>
  <c r="AK67" i="20" s="1"/>
  <c r="AO70" i="21"/>
  <c r="AS70" i="21"/>
  <c r="BA21" i="5"/>
  <c r="AM70" i="21"/>
  <c r="Q38" i="22"/>
  <c r="AE157" i="22" s="1"/>
  <c r="AB76" i="22" s="1"/>
  <c r="AB76" i="23"/>
  <c r="Q36" i="22"/>
  <c r="AE121" i="22" s="1"/>
  <c r="AB72" i="22" s="1"/>
  <c r="AB72" i="23"/>
  <c r="Q35" i="22"/>
  <c r="AE103" i="22" s="1"/>
  <c r="AB70" i="22" s="1"/>
  <c r="AB70" i="23"/>
  <c r="AH111" i="23"/>
  <c r="AB175" i="23"/>
  <c r="Z60" i="23" s="1"/>
  <c r="AO133" i="23" s="1"/>
  <c r="AN112" i="23"/>
  <c r="AF175" i="23"/>
  <c r="AO70" i="22"/>
  <c r="AO128" i="22" s="1"/>
  <c r="U46" i="21"/>
  <c r="V46" i="21" s="1"/>
  <c r="AH67" i="22"/>
  <c r="AH68" i="22" s="1"/>
  <c r="AH69" i="22" s="1"/>
  <c r="AH70" i="22" s="1"/>
  <c r="AI68" i="22"/>
  <c r="AI69" i="22" s="1"/>
  <c r="AI70" i="22" s="1"/>
  <c r="AI128" i="22" s="1"/>
  <c r="AN67" i="22"/>
  <c r="AJ67" i="22"/>
  <c r="U46" i="22"/>
  <c r="V46" i="22" s="1"/>
  <c r="R76" i="22"/>
  <c r="S76" i="22" s="1"/>
  <c r="T76" i="22"/>
  <c r="U76" i="22" s="1"/>
  <c r="V76" i="22" s="1"/>
  <c r="Q77" i="22"/>
  <c r="R66" i="22"/>
  <c r="S66" i="22" s="1"/>
  <c r="T66" i="22"/>
  <c r="U66" i="22" s="1"/>
  <c r="V66" i="22" s="1"/>
  <c r="Q67" i="22"/>
  <c r="AP67" i="22"/>
  <c r="AP68" i="22" s="1"/>
  <c r="AP69" i="22" s="1"/>
  <c r="AP70" i="22" s="1"/>
  <c r="AP128" i="22" s="1"/>
  <c r="AL68" i="22"/>
  <c r="AL69" i="22" s="1"/>
  <c r="AL70" i="22" s="1"/>
  <c r="AL128" i="22" s="1"/>
  <c r="AM70" i="22"/>
  <c r="AM128" i="22" s="1"/>
  <c r="AH67" i="21"/>
  <c r="AH68" i="21" s="1"/>
  <c r="AH69" i="21" s="1"/>
  <c r="AH70" i="21" s="1"/>
  <c r="T86" i="22"/>
  <c r="U86" i="22" s="1"/>
  <c r="V86" i="22" s="1"/>
  <c r="Q87" i="22"/>
  <c r="R86" i="22"/>
  <c r="S86" i="22" s="1"/>
  <c r="AR67" i="21"/>
  <c r="AR68" i="21" s="1"/>
  <c r="AR69" i="21" s="1"/>
  <c r="AR70" i="21" s="1"/>
  <c r="AJ68" i="21"/>
  <c r="AJ69" i="21" s="1"/>
  <c r="AJ70" i="21" s="1"/>
  <c r="AH111" i="21"/>
  <c r="AB175" i="21"/>
  <c r="Z60" i="21" s="1"/>
  <c r="Q87" i="21"/>
  <c r="R86" i="21"/>
  <c r="S86" i="21" s="1"/>
  <c r="T86" i="21"/>
  <c r="U86" i="21" s="1"/>
  <c r="V86" i="21" s="1"/>
  <c r="U47" i="21"/>
  <c r="V47" i="21" s="1"/>
  <c r="T48" i="21"/>
  <c r="U48" i="21" s="1"/>
  <c r="AN112" i="21"/>
  <c r="AF175" i="21"/>
  <c r="AL67" i="21"/>
  <c r="Q38" i="20"/>
  <c r="AE157" i="20" s="1"/>
  <c r="AB76" i="20" s="1"/>
  <c r="Q67" i="21"/>
  <c r="T66" i="21"/>
  <c r="U66" i="21" s="1"/>
  <c r="V66" i="21" s="1"/>
  <c r="R66" i="21"/>
  <c r="S66" i="21" s="1"/>
  <c r="AL67" i="20"/>
  <c r="AL68" i="20" s="1"/>
  <c r="AL69" i="20" s="1"/>
  <c r="AL70" i="20" s="1"/>
  <c r="Q36" i="20"/>
  <c r="AE121" i="20" s="1"/>
  <c r="AB72" i="20" s="1"/>
  <c r="R56" i="21"/>
  <c r="S56" i="21" s="1"/>
  <c r="Q57" i="21"/>
  <c r="T56" i="21"/>
  <c r="U56" i="21" s="1"/>
  <c r="V56" i="21" s="1"/>
  <c r="AN67" i="21"/>
  <c r="AI68" i="20"/>
  <c r="AI69" i="20" s="1"/>
  <c r="AI70" i="20" s="1"/>
  <c r="AI130" i="20" s="1"/>
  <c r="Q35" i="20"/>
  <c r="AE103" i="20" s="1"/>
  <c r="AB70" i="20" s="1"/>
  <c r="Q37" i="20"/>
  <c r="AE139" i="20" s="1"/>
  <c r="AB74" i="20" s="1"/>
  <c r="Q77" i="21"/>
  <c r="T76" i="21"/>
  <c r="U76" i="21" s="1"/>
  <c r="V76" i="21" s="1"/>
  <c r="R76" i="21"/>
  <c r="S76" i="21" s="1"/>
  <c r="Q48" i="21"/>
  <c r="R48" i="21" s="1"/>
  <c r="R47" i="21"/>
  <c r="S47" i="21" s="1"/>
  <c r="R37" i="20"/>
  <c r="D37" i="20"/>
  <c r="AR46" i="13"/>
  <c r="Y57" i="13" s="1"/>
  <c r="Y72" i="13" s="1"/>
  <c r="Y73" i="13" s="1"/>
  <c r="AS74" i="5"/>
  <c r="AS134" i="5" s="1"/>
  <c r="AH88" i="20"/>
  <c r="AP88" i="20"/>
  <c r="AO88" i="20"/>
  <c r="AJ88" i="20"/>
  <c r="AM88" i="20"/>
  <c r="AL88" i="20"/>
  <c r="AK88" i="20"/>
  <c r="AQ88" i="20"/>
  <c r="AR88" i="20"/>
  <c r="AS88" i="20"/>
  <c r="AN88" i="20"/>
  <c r="AI88" i="20"/>
  <c r="AI120" i="20"/>
  <c r="AJ120" i="20" s="1"/>
  <c r="AK120" i="20" s="1"/>
  <c r="AL120" i="20" s="1"/>
  <c r="AM120" i="20" s="1"/>
  <c r="AN120" i="20" s="1"/>
  <c r="AO120" i="20" s="1"/>
  <c r="AP120" i="20" s="1"/>
  <c r="AQ120" i="20" s="1"/>
  <c r="AR120" i="20" s="1"/>
  <c r="AS120" i="20" s="1"/>
  <c r="AU35" i="20"/>
  <c r="BU16" i="18"/>
  <c r="AO133" i="20"/>
  <c r="AP133" i="20"/>
  <c r="AM133" i="20"/>
  <c r="AR133" i="20"/>
  <c r="AI133" i="20"/>
  <c r="AK133" i="20"/>
  <c r="AN133" i="20"/>
  <c r="AQ133" i="20"/>
  <c r="AH100" i="20"/>
  <c r="AI100" i="20" s="1"/>
  <c r="AJ100" i="20" s="1"/>
  <c r="AK100" i="20" s="1"/>
  <c r="AL100" i="20" s="1"/>
  <c r="AM100" i="20" s="1"/>
  <c r="AN100" i="20" s="1"/>
  <c r="AO100" i="20" s="1"/>
  <c r="AP100" i="20" s="1"/>
  <c r="AQ100" i="20" s="1"/>
  <c r="AR100" i="20" s="1"/>
  <c r="AS100" i="20" s="1"/>
  <c r="AJ133" i="20"/>
  <c r="AL133" i="20"/>
  <c r="AS133" i="20"/>
  <c r="T47" i="20"/>
  <c r="U46" i="20"/>
  <c r="V46" i="20" s="1"/>
  <c r="Q57" i="20"/>
  <c r="T56" i="20"/>
  <c r="U56" i="20" s="1"/>
  <c r="V56" i="20" s="1"/>
  <c r="R56" i="20"/>
  <c r="S56" i="20" s="1"/>
  <c r="AR70" i="20"/>
  <c r="AR130" i="20" s="1"/>
  <c r="Q48" i="20"/>
  <c r="R48" i="20" s="1"/>
  <c r="R47" i="20"/>
  <c r="S47" i="20" s="1"/>
  <c r="AS70" i="20"/>
  <c r="AR53" i="13"/>
  <c r="AE57" i="13" s="1"/>
  <c r="AE72" i="13" s="1"/>
  <c r="AE73" i="13" s="1"/>
  <c r="AR57" i="13"/>
  <c r="AG57" i="13" s="1"/>
  <c r="AG72" i="13" s="1"/>
  <c r="AG73" i="13" s="1"/>
  <c r="AT74" i="5"/>
  <c r="AT134" i="5" s="1"/>
  <c r="AQ74" i="5"/>
  <c r="AQ136" i="5" s="1"/>
  <c r="AR44" i="13"/>
  <c r="X57" i="13" s="1"/>
  <c r="X72" i="13" s="1"/>
  <c r="X73" i="13" s="1"/>
  <c r="AR47" i="13"/>
  <c r="Z57" i="13" s="1"/>
  <c r="Z72" i="13" s="1"/>
  <c r="Z73" i="13" s="1"/>
  <c r="AR49" i="13"/>
  <c r="AB57" i="13" s="1"/>
  <c r="AB72" i="13" s="1"/>
  <c r="AB73" i="13" s="1"/>
  <c r="AJ74" i="5"/>
  <c r="AJ134" i="5" s="1"/>
  <c r="AK74" i="5"/>
  <c r="AK134" i="5" s="1"/>
  <c r="AM70" i="20"/>
  <c r="AO70" i="20"/>
  <c r="AR51" i="13"/>
  <c r="AD57" i="13" s="1"/>
  <c r="AD72" i="13" s="1"/>
  <c r="AD73" i="13" s="1"/>
  <c r="AR48" i="13"/>
  <c r="AA57" i="13" s="1"/>
  <c r="AA72" i="13" s="1"/>
  <c r="AA73" i="13" s="1"/>
  <c r="AR55" i="13"/>
  <c r="AF57" i="13" s="1"/>
  <c r="AF72" i="13" s="1"/>
  <c r="AF73" i="13" s="1"/>
  <c r="AU74" i="5"/>
  <c r="AU134" i="5" s="1"/>
  <c r="AR74" i="5"/>
  <c r="AR134" i="5" s="1"/>
  <c r="AO74" i="5"/>
  <c r="AO134" i="5" s="1"/>
  <c r="AG145" i="5"/>
  <c r="AC78" i="5" s="1"/>
  <c r="AR244" i="11"/>
  <c r="AM139" i="5"/>
  <c r="AO19" i="5"/>
  <c r="AO13" i="5"/>
  <c r="AO16" i="5"/>
  <c r="AO14" i="5"/>
  <c r="AO15" i="5"/>
  <c r="AO12" i="5"/>
  <c r="AO11" i="5"/>
  <c r="AO17" i="5"/>
  <c r="Z136" i="5"/>
  <c r="AB136" i="5"/>
  <c r="AC136" i="5"/>
  <c r="AC110" i="5"/>
  <c r="AU217" i="11"/>
  <c r="BA16" i="5"/>
  <c r="W73" i="5"/>
  <c r="V198" i="5"/>
  <c r="AJ198" i="5"/>
  <c r="W198" i="5"/>
  <c r="T198" i="5"/>
  <c r="AR197" i="5"/>
  <c r="AS197" i="5"/>
  <c r="AK197" i="5"/>
  <c r="AP69" i="13"/>
  <c r="AQ69" i="13"/>
  <c r="AC148" i="5"/>
  <c r="AB148" i="5"/>
  <c r="AJ106" i="5"/>
  <c r="AC113" i="5"/>
  <c r="AU183" i="11" s="1"/>
  <c r="AK91" i="5"/>
  <c r="AJ129" i="5"/>
  <c r="AU92" i="5"/>
  <c r="AN92" i="5"/>
  <c r="AR92" i="5"/>
  <c r="AK92" i="5"/>
  <c r="AO92" i="5"/>
  <c r="AL92" i="5"/>
  <c r="AP92" i="5"/>
  <c r="AT92" i="5"/>
  <c r="AK126" i="5"/>
  <c r="AL126" i="5" s="1"/>
  <c r="AM126" i="5" s="1"/>
  <c r="AN126" i="5" s="1"/>
  <c r="AO126" i="5" s="1"/>
  <c r="AP126" i="5" s="1"/>
  <c r="AQ126" i="5" s="1"/>
  <c r="AR126" i="5" s="1"/>
  <c r="AS126" i="5" s="1"/>
  <c r="AT126" i="5" s="1"/>
  <c r="AU126" i="5" s="1"/>
  <c r="AM92" i="5"/>
  <c r="AQ92" i="5"/>
  <c r="AS92" i="5"/>
  <c r="AC115" i="5"/>
  <c r="AL139" i="5"/>
  <c r="AR139" i="5"/>
  <c r="AQ139" i="5"/>
  <c r="AS139" i="5"/>
  <c r="AO139" i="5"/>
  <c r="AN139" i="5"/>
  <c r="AT139" i="5"/>
  <c r="AK139" i="5"/>
  <c r="AU139" i="5"/>
  <c r="AP139" i="5"/>
  <c r="BD6" i="18"/>
  <c r="BD8" i="18" s="1"/>
  <c r="AB114" i="5"/>
  <c r="AB152" i="5"/>
  <c r="AG127" i="5"/>
  <c r="AC76" i="5" s="1"/>
  <c r="AG163" i="5"/>
  <c r="AC80" i="5" s="1"/>
  <c r="AC132" i="5"/>
  <c r="AB150" i="5"/>
  <c r="AC112" i="5"/>
  <c r="AU182" i="11" s="1"/>
  <c r="AC153" i="5"/>
  <c r="AB167" i="5"/>
  <c r="AB118" i="5"/>
  <c r="AU188" i="11" s="1"/>
  <c r="AC118" i="5"/>
  <c r="AC151" i="5"/>
  <c r="M38" i="18"/>
  <c r="BU38" i="18" s="1"/>
  <c r="AB111" i="5"/>
  <c r="AU181" i="11" s="1"/>
  <c r="AC128" i="5"/>
  <c r="AU198" i="11" s="1"/>
  <c r="AB165" i="5"/>
  <c r="AU235" i="11" s="1"/>
  <c r="AC133" i="5"/>
  <c r="AC164" i="5"/>
  <c r="E29" i="18"/>
  <c r="AI29" i="18" s="1"/>
  <c r="AC166" i="5"/>
  <c r="Y75" i="18"/>
  <c r="F31" i="18"/>
  <c r="BN58" i="18" s="1"/>
  <c r="M32" i="18"/>
  <c r="BU32" i="18" s="1"/>
  <c r="AC146" i="5"/>
  <c r="AC147" i="5"/>
  <c r="AC129" i="5"/>
  <c r="AB131" i="5"/>
  <c r="AC130" i="5"/>
  <c r="AB67" i="18"/>
  <c r="M67" i="18" s="1"/>
  <c r="BM83" i="18"/>
  <c r="AH10" i="18"/>
  <c r="AH20" i="18" s="1"/>
  <c r="AH21" i="18" s="1"/>
  <c r="BP82" i="18"/>
  <c r="E37" i="18"/>
  <c r="BM37" i="18" s="1"/>
  <c r="O37" i="18"/>
  <c r="O64" i="18" s="1"/>
  <c r="X69" i="18"/>
  <c r="I69" i="18" s="1"/>
  <c r="D28" i="18"/>
  <c r="AH55" i="18" s="1"/>
  <c r="BA6" i="18"/>
  <c r="BA12" i="18" s="1"/>
  <c r="O47" i="18"/>
  <c r="AD130" i="18" s="1"/>
  <c r="N37" i="18"/>
  <c r="N64" i="18" s="1"/>
  <c r="D38" i="18"/>
  <c r="D65" i="18" s="1"/>
  <c r="Y58" i="18"/>
  <c r="J42" i="18"/>
  <c r="V55" i="13"/>
  <c r="U70" i="13"/>
  <c r="AF62" i="13"/>
  <c r="I26" i="18"/>
  <c r="AM53" i="18" s="1"/>
  <c r="AC56" i="18"/>
  <c r="T75" i="18"/>
  <c r="O34" i="18"/>
  <c r="BW61" i="18" s="1"/>
  <c r="K27" i="18"/>
  <c r="AO110" i="18" s="1"/>
  <c r="O45" i="18"/>
  <c r="BW72" i="18" s="1"/>
  <c r="J43" i="18"/>
  <c r="W75" i="18"/>
  <c r="BU82" i="18"/>
  <c r="AC58" i="18"/>
  <c r="N58" i="18" s="1"/>
  <c r="L25" i="18"/>
  <c r="AA108" i="18" s="1"/>
  <c r="J47" i="18"/>
  <c r="BC130" i="18" s="1"/>
  <c r="X64" i="18"/>
  <c r="I64" i="18" s="1"/>
  <c r="T69" i="18"/>
  <c r="E69" i="18" s="1"/>
  <c r="E45" i="18"/>
  <c r="AI128" i="18" s="1"/>
  <c r="K45" i="18"/>
  <c r="BD128" i="18" s="1"/>
  <c r="AC68" i="18"/>
  <c r="N68" i="18" s="1"/>
  <c r="I47" i="18"/>
  <c r="X130" i="18" s="1"/>
  <c r="Z60" i="18"/>
  <c r="K60" i="18" s="1"/>
  <c r="X54" i="18"/>
  <c r="N43" i="18"/>
  <c r="N70" i="18" s="1"/>
  <c r="L37" i="18"/>
  <c r="BT37" i="18" s="1"/>
  <c r="AD55" i="18"/>
  <c r="V74" i="18"/>
  <c r="AA73" i="18"/>
  <c r="AZ17" i="18"/>
  <c r="AZ18" i="18" s="1"/>
  <c r="H34" i="18"/>
  <c r="H61" i="18" s="1"/>
  <c r="BF6" i="18"/>
  <c r="BF8" i="18" s="1"/>
  <c r="BF10" i="18" s="1"/>
  <c r="AA66" i="18"/>
  <c r="L66" i="18" s="1"/>
  <c r="W64" i="18"/>
  <c r="H64" i="18" s="1"/>
  <c r="U52" i="18"/>
  <c r="W53" i="18"/>
  <c r="AA62" i="18"/>
  <c r="L62" i="18" s="1"/>
  <c r="N28" i="18"/>
  <c r="AR111" i="18" s="1"/>
  <c r="E41" i="18"/>
  <c r="BM68" i="18" s="1"/>
  <c r="BR82" i="18"/>
  <c r="S75" i="18"/>
  <c r="S68" i="18"/>
  <c r="D68" i="18" s="1"/>
  <c r="M45" i="18"/>
  <c r="M128" i="18" s="1"/>
  <c r="S69" i="18"/>
  <c r="D69" i="18" s="1"/>
  <c r="G37" i="18"/>
  <c r="BO64" i="18" s="1"/>
  <c r="I30" i="18"/>
  <c r="AM30" i="18" s="1"/>
  <c r="AD75" i="18"/>
  <c r="AD67" i="18"/>
  <c r="O67" i="18" s="1"/>
  <c r="AD63" i="18"/>
  <c r="O63" i="18" s="1"/>
  <c r="AO10" i="18"/>
  <c r="AO20" i="18" s="1"/>
  <c r="AO21" i="18" s="1"/>
  <c r="O25" i="18"/>
  <c r="AS108" i="18" s="1"/>
  <c r="D43" i="18"/>
  <c r="D70" i="18" s="1"/>
  <c r="W57" i="18"/>
  <c r="L40" i="18"/>
  <c r="BT67" i="18" s="1"/>
  <c r="L44" i="18"/>
  <c r="BE127" i="18" s="1"/>
  <c r="W59" i="18"/>
  <c r="H59" i="18" s="1"/>
  <c r="D31" i="18"/>
  <c r="D58" i="18" s="1"/>
  <c r="AA75" i="18"/>
  <c r="Y72" i="18"/>
  <c r="L29" i="18"/>
  <c r="AP112" i="18" s="1"/>
  <c r="T54" i="18"/>
  <c r="U53" i="18"/>
  <c r="M34" i="18"/>
  <c r="BU34" i="18" s="1"/>
  <c r="W63" i="18"/>
  <c r="H63" i="18" s="1"/>
  <c r="M28" i="18"/>
  <c r="BF111" i="18" s="1"/>
  <c r="V56" i="18"/>
  <c r="I28" i="18"/>
  <c r="X111" i="18" s="1"/>
  <c r="AA61" i="18"/>
  <c r="L61" i="18" s="1"/>
  <c r="AB73" i="18"/>
  <c r="S61" i="18"/>
  <c r="D61" i="18" s="1"/>
  <c r="V72" i="18"/>
  <c r="I32" i="18"/>
  <c r="T53" i="18"/>
  <c r="Y66" i="18"/>
  <c r="J66" i="18" s="1"/>
  <c r="AS10" i="18"/>
  <c r="AS20" i="18" s="1"/>
  <c r="AS21" i="18" s="1"/>
  <c r="O38" i="18"/>
  <c r="BW38" i="18" s="1"/>
  <c r="Y53" i="18"/>
  <c r="X58" i="18"/>
  <c r="AJ18" i="18"/>
  <c r="Z64" i="18"/>
  <c r="K64" i="18" s="1"/>
  <c r="O44" i="18"/>
  <c r="BW71" i="18" s="1"/>
  <c r="BH6" i="18"/>
  <c r="BH12" i="18" s="1"/>
  <c r="W54" i="18"/>
  <c r="S71" i="18"/>
  <c r="D71" i="18" s="1"/>
  <c r="N25" i="18"/>
  <c r="AR25" i="18" s="1"/>
  <c r="X52" i="18"/>
  <c r="Y56" i="18"/>
  <c r="S67" i="18"/>
  <c r="D67" i="18" s="1"/>
  <c r="AC59" i="18"/>
  <c r="N59" i="18" s="1"/>
  <c r="AS18" i="18"/>
  <c r="F35" i="18"/>
  <c r="BN35" i="18" s="1"/>
  <c r="S59" i="18"/>
  <c r="D59" i="18" s="1"/>
  <c r="U71" i="18"/>
  <c r="AA59" i="18"/>
  <c r="L59" i="18" s="1"/>
  <c r="AB63" i="18"/>
  <c r="M63" i="18" s="1"/>
  <c r="S60" i="18"/>
  <c r="D60" i="18" s="1"/>
  <c r="T63" i="18"/>
  <c r="E63" i="18" s="1"/>
  <c r="BN82" i="18"/>
  <c r="AD68" i="18"/>
  <c r="O68" i="18" s="1"/>
  <c r="Y52" i="18"/>
  <c r="T61" i="18"/>
  <c r="E61" i="18" s="1"/>
  <c r="AB66" i="18"/>
  <c r="M66" i="18" s="1"/>
  <c r="W55" i="18"/>
  <c r="U66" i="18"/>
  <c r="F66" i="18" s="1"/>
  <c r="Z61" i="18"/>
  <c r="K61" i="18" s="1"/>
  <c r="U57" i="18"/>
  <c r="S66" i="18"/>
  <c r="D66" i="18" s="1"/>
  <c r="Y71" i="18"/>
  <c r="AD62" i="18"/>
  <c r="O62" i="18" s="1"/>
  <c r="AC63" i="18"/>
  <c r="N63" i="18" s="1"/>
  <c r="BN83" i="18"/>
  <c r="W62" i="18"/>
  <c r="H62" i="18" s="1"/>
  <c r="Z70" i="18"/>
  <c r="K70" i="18" s="1"/>
  <c r="S53" i="18"/>
  <c r="BW82" i="18"/>
  <c r="M41" i="18"/>
  <c r="M68" i="18" s="1"/>
  <c r="W56" i="18"/>
  <c r="Z62" i="18"/>
  <c r="K62" i="18" s="1"/>
  <c r="AB70" i="18"/>
  <c r="M70" i="18" s="1"/>
  <c r="AD57" i="18"/>
  <c r="O57" i="18" s="1"/>
  <c r="V58" i="18"/>
  <c r="AB62" i="18"/>
  <c r="M62" i="18" s="1"/>
  <c r="AC67" i="18"/>
  <c r="N67" i="18" s="1"/>
  <c r="T62" i="18"/>
  <c r="E62" i="18" s="1"/>
  <c r="W65" i="18"/>
  <c r="H65" i="18" s="1"/>
  <c r="AA58" i="18"/>
  <c r="U60" i="18"/>
  <c r="F60" i="18" s="1"/>
  <c r="AY6" i="18"/>
  <c r="AY12" i="18" s="1"/>
  <c r="AY14" i="18" s="1"/>
  <c r="AY44" i="18" s="1"/>
  <c r="AJ10" i="18"/>
  <c r="AJ20" i="18" s="1"/>
  <c r="AJ21" i="18" s="1"/>
  <c r="BW83" i="18"/>
  <c r="V60" i="18"/>
  <c r="G60" i="18" s="1"/>
  <c r="S56" i="18"/>
  <c r="D56" i="18" s="1"/>
  <c r="I33" i="18"/>
  <c r="BQ33" i="18" s="1"/>
  <c r="AA69" i="18"/>
  <c r="L69" i="18" s="1"/>
  <c r="E30" i="18"/>
  <c r="W60" i="18"/>
  <c r="H60" i="18" s="1"/>
  <c r="AQ10" i="18"/>
  <c r="AQ20" i="18" s="1"/>
  <c r="AQ21" i="18" s="1"/>
  <c r="O32" i="18"/>
  <c r="BW59" i="18" s="1"/>
  <c r="S74" i="18"/>
  <c r="L47" i="18"/>
  <c r="AP130" i="18" s="1"/>
  <c r="AB71" i="18"/>
  <c r="BC6" i="18"/>
  <c r="BC8" i="18" s="1"/>
  <c r="J36" i="18"/>
  <c r="J63" i="18" s="1"/>
  <c r="AD56" i="18"/>
  <c r="O56" i="18" s="1"/>
  <c r="W52" i="18"/>
  <c r="Z63" i="18"/>
  <c r="K63" i="18" s="1"/>
  <c r="Z56" i="18"/>
  <c r="AR10" i="18"/>
  <c r="AR20" i="18" s="1"/>
  <c r="AR21" i="18" s="1"/>
  <c r="G26" i="18"/>
  <c r="AZ109" i="18" s="1"/>
  <c r="X72" i="18"/>
  <c r="H31" i="18"/>
  <c r="H114" i="18" s="1"/>
  <c r="W69" i="18"/>
  <c r="H69" i="18" s="1"/>
  <c r="BS82" i="18"/>
  <c r="M30" i="18"/>
  <c r="AQ57" i="18" s="1"/>
  <c r="AD73" i="18"/>
  <c r="D30" i="18"/>
  <c r="D57" i="18" s="1"/>
  <c r="D35" i="18"/>
  <c r="BL62" i="18" s="1"/>
  <c r="AA70" i="18"/>
  <c r="W68" i="18"/>
  <c r="H68" i="18" s="1"/>
  <c r="Y55" i="18"/>
  <c r="Z68" i="18"/>
  <c r="K68" i="18" s="1"/>
  <c r="L27" i="18"/>
  <c r="L110" i="18" s="1"/>
  <c r="T66" i="18"/>
  <c r="E66" i="18" s="1"/>
  <c r="G30" i="18"/>
  <c r="AK113" i="18" s="1"/>
  <c r="L30" i="18"/>
  <c r="BE113" i="18" s="1"/>
  <c r="AN10" i="18"/>
  <c r="AN20" i="18" s="1"/>
  <c r="AN21" i="18" s="1"/>
  <c r="K28" i="18"/>
  <c r="Z111" i="18" s="1"/>
  <c r="T65" i="18"/>
  <c r="E65" i="18" s="1"/>
  <c r="BU83" i="18"/>
  <c r="BC17" i="18"/>
  <c r="BC18" i="18" s="1"/>
  <c r="BS83" i="18"/>
  <c r="BR83" i="18"/>
  <c r="AQ18" i="18"/>
  <c r="AO18" i="18"/>
  <c r="AC62" i="18"/>
  <c r="N62" i="18" s="1"/>
  <c r="K40" i="18"/>
  <c r="BS40" i="18" s="1"/>
  <c r="I40" i="18"/>
  <c r="I67" i="18" s="1"/>
  <c r="BG17" i="18"/>
  <c r="BG18" i="18" s="1"/>
  <c r="V66" i="18"/>
  <c r="G66" i="18" s="1"/>
  <c r="K47" i="18"/>
  <c r="AO130" i="18" s="1"/>
  <c r="O39" i="18"/>
  <c r="BW39" i="18" s="1"/>
  <c r="AB64" i="18"/>
  <c r="M64" i="18" s="1"/>
  <c r="N33" i="18"/>
  <c r="BV60" i="18" s="1"/>
  <c r="F29" i="18"/>
  <c r="AY112" i="18" s="1"/>
  <c r="G41" i="18"/>
  <c r="G68" i="18" s="1"/>
  <c r="AP10" i="18"/>
  <c r="AP20" i="18" s="1"/>
  <c r="AP21" i="18" s="1"/>
  <c r="F46" i="18"/>
  <c r="F129" i="18" s="1"/>
  <c r="O26" i="18"/>
  <c r="BH109" i="18" s="1"/>
  <c r="K26" i="18"/>
  <c r="Z109" i="18" s="1"/>
  <c r="E40" i="18"/>
  <c r="E67" i="18" s="1"/>
  <c r="M26" i="18"/>
  <c r="AQ53" i="18" s="1"/>
  <c r="I34" i="18"/>
  <c r="BQ61" i="18" s="1"/>
  <c r="Z75" i="18"/>
  <c r="N47" i="18"/>
  <c r="N130" i="18" s="1"/>
  <c r="X66" i="18"/>
  <c r="I66" i="18" s="1"/>
  <c r="O33" i="18"/>
  <c r="O60" i="18" s="1"/>
  <c r="D37" i="18"/>
  <c r="D64" i="18" s="1"/>
  <c r="AZ6" i="18"/>
  <c r="AZ12" i="18" s="1"/>
  <c r="U69" i="18"/>
  <c r="F69" i="18" s="1"/>
  <c r="F36" i="18"/>
  <c r="BN36" i="18" s="1"/>
  <c r="Z66" i="18"/>
  <c r="K66" i="18" s="1"/>
  <c r="L36" i="18"/>
  <c r="L63" i="18" s="1"/>
  <c r="BO83" i="18"/>
  <c r="X68" i="18"/>
  <c r="I68" i="18" s="1"/>
  <c r="S52" i="18"/>
  <c r="T60" i="18"/>
  <c r="E60" i="18" s="1"/>
  <c r="H39" i="18"/>
  <c r="H66" i="18" s="1"/>
  <c r="Z71" i="18"/>
  <c r="AD58" i="18"/>
  <c r="O58" i="18" s="1"/>
  <c r="X56" i="18"/>
  <c r="AB74" i="18"/>
  <c r="BO82" i="18"/>
  <c r="AB54" i="18"/>
  <c r="J41" i="18"/>
  <c r="BR68" i="18" s="1"/>
  <c r="G38" i="18"/>
  <c r="G65" i="18" s="1"/>
  <c r="AM10" i="18"/>
  <c r="AM20" i="18" s="1"/>
  <c r="AM21" i="18" s="1"/>
  <c r="AC66" i="18"/>
  <c r="N66" i="18" s="1"/>
  <c r="U70" i="18"/>
  <c r="F70" i="18" s="1"/>
  <c r="V71" i="18"/>
  <c r="Y73" i="18"/>
  <c r="O27" i="18"/>
  <c r="AD110" i="18" s="1"/>
  <c r="F45" i="18"/>
  <c r="AY128" i="18" s="1"/>
  <c r="F37" i="18"/>
  <c r="BN64" i="18" s="1"/>
  <c r="S54" i="18"/>
  <c r="Z59" i="18"/>
  <c r="K59" i="18" s="1"/>
  <c r="O42" i="18"/>
  <c r="O69" i="18" s="1"/>
  <c r="AC53" i="18"/>
  <c r="Y64" i="18"/>
  <c r="J64" i="18" s="1"/>
  <c r="L33" i="18"/>
  <c r="BT60" i="18" s="1"/>
  <c r="N38" i="18"/>
  <c r="BV38" i="18" s="1"/>
  <c r="D45" i="18"/>
  <c r="AS148" i="11"/>
  <c r="AT148" i="11" s="1"/>
  <c r="AW148" i="11"/>
  <c r="AZ148" i="11" s="1"/>
  <c r="BA148" i="11" s="1"/>
  <c r="AP168" i="11"/>
  <c r="AS149" i="11"/>
  <c r="AT149" i="11" s="1"/>
  <c r="AP169" i="11"/>
  <c r="AW149" i="11"/>
  <c r="AZ149" i="11" s="1"/>
  <c r="BA149" i="11" s="1"/>
  <c r="AX9" i="18"/>
  <c r="BM98" i="18"/>
  <c r="AX13" i="18" s="1"/>
  <c r="BD9" i="18"/>
  <c r="BS98" i="18"/>
  <c r="BD13" i="18" s="1"/>
  <c r="BC9" i="18"/>
  <c r="BR98" i="18"/>
  <c r="BC13" i="18" s="1"/>
  <c r="BE9" i="18"/>
  <c r="BT98" i="18"/>
  <c r="BE13" i="18" s="1"/>
  <c r="BA9" i="18"/>
  <c r="BP98" i="18"/>
  <c r="BA13" i="18" s="1"/>
  <c r="AS145" i="11"/>
  <c r="AT145" i="11" s="1"/>
  <c r="AP165" i="11"/>
  <c r="AW145" i="11"/>
  <c r="AZ145" i="11" s="1"/>
  <c r="BA145" i="11" s="1"/>
  <c r="AS140" i="11"/>
  <c r="AT140" i="11" s="1"/>
  <c r="AP160" i="11"/>
  <c r="AW140" i="11"/>
  <c r="AZ140" i="11" s="1"/>
  <c r="BA140" i="11" s="1"/>
  <c r="AS146" i="11"/>
  <c r="AT146" i="11" s="1"/>
  <c r="AP166" i="11"/>
  <c r="AW146" i="11"/>
  <c r="AZ146" i="11" s="1"/>
  <c r="BA146" i="11" s="1"/>
  <c r="AS151" i="11"/>
  <c r="AT151" i="11" s="1"/>
  <c r="AW151" i="11"/>
  <c r="AZ151" i="11" s="1"/>
  <c r="BA151" i="11" s="1"/>
  <c r="AP171" i="11"/>
  <c r="AS147" i="11"/>
  <c r="AT147" i="11" s="1"/>
  <c r="AW147" i="11"/>
  <c r="AZ147" i="11" s="1"/>
  <c r="BA147" i="11" s="1"/>
  <c r="AP167" i="11"/>
  <c r="AS141" i="11"/>
  <c r="AT141" i="11" s="1"/>
  <c r="AP161" i="11"/>
  <c r="AW141" i="11"/>
  <c r="AZ141" i="11" s="1"/>
  <c r="BA141" i="11" s="1"/>
  <c r="AS150" i="11"/>
  <c r="AT150" i="11" s="1"/>
  <c r="AP170" i="11"/>
  <c r="AW150" i="11"/>
  <c r="AZ150" i="11" s="1"/>
  <c r="BA150" i="11" s="1"/>
  <c r="AS144" i="11"/>
  <c r="AT144" i="11" s="1"/>
  <c r="AW144" i="11"/>
  <c r="AZ144" i="11" s="1"/>
  <c r="BA144" i="11" s="1"/>
  <c r="AP164" i="11"/>
  <c r="BB9" i="18"/>
  <c r="BQ98" i="18"/>
  <c r="BB13" i="18" s="1"/>
  <c r="BH9" i="18"/>
  <c r="BW98" i="18"/>
  <c r="BH13" i="18" s="1"/>
  <c r="AS142" i="11"/>
  <c r="AT142" i="11" s="1"/>
  <c r="AP162" i="11"/>
  <c r="AW142" i="11"/>
  <c r="AZ142" i="11" s="1"/>
  <c r="BA142" i="11" s="1"/>
  <c r="AZ9" i="18"/>
  <c r="BO98" i="18"/>
  <c r="AZ13" i="18" s="1"/>
  <c r="BG9" i="18"/>
  <c r="BV98" i="18"/>
  <c r="BG13" i="18" s="1"/>
  <c r="AC71" i="18"/>
  <c r="N71" i="18" s="1"/>
  <c r="E47" i="18"/>
  <c r="T130" i="18" s="1"/>
  <c r="Y60" i="18"/>
  <c r="J60" i="18" s="1"/>
  <c r="W70" i="18"/>
  <c r="H70" i="18" s="1"/>
  <c r="Z57" i="18"/>
  <c r="M25" i="18"/>
  <c r="AQ52" i="18" s="1"/>
  <c r="E44" i="18"/>
  <c r="U54" i="18"/>
  <c r="J32" i="18"/>
  <c r="AB69" i="18"/>
  <c r="M69" i="18" s="1"/>
  <c r="Y67" i="18"/>
  <c r="J67" i="18" s="1"/>
  <c r="AB75" i="18"/>
  <c r="G34" i="18"/>
  <c r="BO61" i="18" s="1"/>
  <c r="D46" i="18"/>
  <c r="AH129" i="18" s="1"/>
  <c r="H44" i="18"/>
  <c r="AL127" i="18" s="1"/>
  <c r="Z58" i="18"/>
  <c r="W72" i="18"/>
  <c r="AA53" i="18"/>
  <c r="AB56" i="18"/>
  <c r="U55" i="18"/>
  <c r="X71" i="18"/>
  <c r="V69" i="18"/>
  <c r="G69" i="18" s="1"/>
  <c r="Y57" i="18"/>
  <c r="U67" i="18"/>
  <c r="F67" i="18" s="1"/>
  <c r="AB58" i="18"/>
  <c r="M58" i="18" s="1"/>
  <c r="S63" i="18"/>
  <c r="D63" i="18" s="1"/>
  <c r="V67" i="18"/>
  <c r="G67" i="18" s="1"/>
  <c r="AM18" i="18"/>
  <c r="AA55" i="18"/>
  <c r="AA68" i="18"/>
  <c r="L68" i="18" s="1"/>
  <c r="AC72" i="18"/>
  <c r="U61" i="18"/>
  <c r="F61" i="18" s="1"/>
  <c r="Y65" i="18"/>
  <c r="J65" i="18" s="1"/>
  <c r="AC57" i="18"/>
  <c r="N57" i="18" s="1"/>
  <c r="AK10" i="18"/>
  <c r="AK20" i="18" s="1"/>
  <c r="AK21" i="18" s="1"/>
  <c r="X73" i="18"/>
  <c r="V63" i="18"/>
  <c r="G63" i="18" s="1"/>
  <c r="V55" i="18"/>
  <c r="U74" i="18"/>
  <c r="U59" i="18"/>
  <c r="F59" i="18" s="1"/>
  <c r="AC75" i="18"/>
  <c r="AC73" i="18"/>
  <c r="U75" i="18"/>
  <c r="BQ83" i="18"/>
  <c r="BB6" i="18"/>
  <c r="BB8" i="18" s="1"/>
  <c r="BQ82" i="18"/>
  <c r="AB60" i="18"/>
  <c r="M60" i="18" s="1"/>
  <c r="AC69" i="18"/>
  <c r="N69" i="18" s="1"/>
  <c r="X63" i="18"/>
  <c r="I63" i="18" s="1"/>
  <c r="X65" i="18"/>
  <c r="I65" i="18" s="1"/>
  <c r="Y54" i="18"/>
  <c r="Z65" i="18"/>
  <c r="K65" i="18" s="1"/>
  <c r="Z52" i="18"/>
  <c r="I35" i="18"/>
  <c r="I62" i="18" s="1"/>
  <c r="K46" i="18"/>
  <c r="AO73" i="18" s="1"/>
  <c r="AI18" i="18"/>
  <c r="V73" i="18"/>
  <c r="AA65" i="18"/>
  <c r="L65" i="18" s="1"/>
  <c r="AA72" i="18"/>
  <c r="X75" i="18"/>
  <c r="T70" i="18"/>
  <c r="E70" i="18" s="1"/>
  <c r="X70" i="18"/>
  <c r="I70" i="18" s="1"/>
  <c r="AC61" i="18"/>
  <c r="N61" i="18" s="1"/>
  <c r="BV83" i="18"/>
  <c r="BL83" i="18"/>
  <c r="G27" i="18"/>
  <c r="V110" i="18" s="1"/>
  <c r="H40" i="18"/>
  <c r="H67" i="18" s="1"/>
  <c r="H46" i="18"/>
  <c r="AL129" i="18" s="1"/>
  <c r="BE6" i="18"/>
  <c r="BE8" i="18" s="1"/>
  <c r="BT83" i="18"/>
  <c r="N27" i="18"/>
  <c r="AR110" i="18" s="1"/>
  <c r="E46" i="18"/>
  <c r="AI73" i="18" s="1"/>
  <c r="F41" i="18"/>
  <c r="BN41" i="18" s="1"/>
  <c r="G25" i="18"/>
  <c r="BO25" i="18" s="1"/>
  <c r="J34" i="18"/>
  <c r="BR61" i="18" s="1"/>
  <c r="E32" i="18"/>
  <c r="BM59" i="18" s="1"/>
  <c r="E31" i="18"/>
  <c r="E58" i="18" s="1"/>
  <c r="V75" i="18"/>
  <c r="AL18" i="18"/>
  <c r="K42" i="18"/>
  <c r="BS42" i="18" s="1"/>
  <c r="J35" i="18"/>
  <c r="BR62" i="18" s="1"/>
  <c r="E28" i="18"/>
  <c r="AX111" i="18" s="1"/>
  <c r="F38" i="18"/>
  <c r="BN65" i="18" s="1"/>
  <c r="E25" i="18"/>
  <c r="AI25" i="18" s="1"/>
  <c r="V59" i="18"/>
  <c r="G59" i="18" s="1"/>
  <c r="AI10" i="18"/>
  <c r="AI20" i="18" s="1"/>
  <c r="AI21" i="18" s="1"/>
  <c r="BM82" i="18"/>
  <c r="O43" i="18"/>
  <c r="BW43" i="18" s="1"/>
  <c r="AR18" i="18"/>
  <c r="AH18" i="18"/>
  <c r="AP18" i="18"/>
  <c r="BA17" i="18"/>
  <c r="BA18" i="18" s="1"/>
  <c r="BP83" i="18"/>
  <c r="G43" i="18"/>
  <c r="BO70" i="18" s="1"/>
  <c r="BG6" i="18"/>
  <c r="BG12" i="18" s="1"/>
  <c r="AW6" i="18"/>
  <c r="AW12" i="18" s="1"/>
  <c r="AW14" i="18" s="1"/>
  <c r="BL82" i="18"/>
  <c r="BT82" i="18"/>
  <c r="AX6" i="18"/>
  <c r="V62" i="18"/>
  <c r="G62" i="18" s="1"/>
  <c r="Q199" i="5"/>
  <c r="AL30" i="18"/>
  <c r="W113" i="18"/>
  <c r="AL57" i="18"/>
  <c r="AL113" i="18"/>
  <c r="H113" i="18"/>
  <c r="BA113" i="18"/>
  <c r="BP30" i="18"/>
  <c r="H57" i="18"/>
  <c r="BP57" i="18"/>
  <c r="AN71" i="18"/>
  <c r="AN44" i="18"/>
  <c r="BC127" i="18"/>
  <c r="Y127" i="18"/>
  <c r="J127" i="18"/>
  <c r="AN127" i="18"/>
  <c r="BR44" i="18"/>
  <c r="J71" i="18"/>
  <c r="BR71" i="18"/>
  <c r="AN27" i="18"/>
  <c r="Y110" i="18"/>
  <c r="J110" i="18"/>
  <c r="AN110" i="18"/>
  <c r="AN54" i="18"/>
  <c r="BC110" i="18"/>
  <c r="BR27" i="18"/>
  <c r="BR54" i="18"/>
  <c r="J54" i="18"/>
  <c r="BB108" i="18"/>
  <c r="I108" i="18"/>
  <c r="AM25" i="18"/>
  <c r="X108" i="18"/>
  <c r="AM108" i="18"/>
  <c r="AM52" i="18"/>
  <c r="BQ52" i="18"/>
  <c r="BQ25" i="18"/>
  <c r="I52" i="18"/>
  <c r="BS38" i="18"/>
  <c r="BS65" i="18"/>
  <c r="BT34" i="18"/>
  <c r="BT61" i="18"/>
  <c r="AO25" i="18"/>
  <c r="BD108" i="18"/>
  <c r="AO108" i="18"/>
  <c r="AO52" i="18"/>
  <c r="Z108" i="18"/>
  <c r="K108" i="18"/>
  <c r="BS25" i="18"/>
  <c r="K52" i="18"/>
  <c r="BS52" i="18"/>
  <c r="AA131" i="18"/>
  <c r="AP75" i="18"/>
  <c r="AP48" i="18"/>
  <c r="BE131" i="18"/>
  <c r="AP131" i="18"/>
  <c r="L131" i="18"/>
  <c r="BT48" i="18"/>
  <c r="L75" i="18"/>
  <c r="BT75" i="18"/>
  <c r="AZ127" i="18"/>
  <c r="BO71" i="18"/>
  <c r="BO44" i="18"/>
  <c r="AK127" i="18"/>
  <c r="AK44" i="18"/>
  <c r="V127" i="18"/>
  <c r="G71" i="18"/>
  <c r="G127" i="18"/>
  <c r="AK71" i="18"/>
  <c r="AK46" i="18"/>
  <c r="V129" i="18"/>
  <c r="AK73" i="18"/>
  <c r="G73" i="18"/>
  <c r="G129" i="18"/>
  <c r="AZ129" i="18"/>
  <c r="BO73" i="18"/>
  <c r="AK129" i="18"/>
  <c r="BO46" i="18"/>
  <c r="AN75" i="18"/>
  <c r="BC131" i="18"/>
  <c r="AN48" i="18"/>
  <c r="Y131" i="18"/>
  <c r="AN131" i="18"/>
  <c r="J131" i="18"/>
  <c r="BR48" i="18"/>
  <c r="J75" i="18"/>
  <c r="BR75" i="18"/>
  <c r="BT42" i="18"/>
  <c r="BT69" i="18"/>
  <c r="K127" i="18"/>
  <c r="AO127" i="18"/>
  <c r="Z127" i="18"/>
  <c r="AO44" i="18"/>
  <c r="AO71" i="18"/>
  <c r="BD127" i="18"/>
  <c r="BS71" i="18"/>
  <c r="BS44" i="18"/>
  <c r="K71" i="18"/>
  <c r="BS63" i="18"/>
  <c r="BS36" i="18"/>
  <c r="AJ110" i="18"/>
  <c r="AJ54" i="18"/>
  <c r="AY110" i="18"/>
  <c r="U110" i="18"/>
  <c r="AJ27" i="18"/>
  <c r="F110" i="18"/>
  <c r="F54" i="18"/>
  <c r="BN54" i="18"/>
  <c r="BN27" i="18"/>
  <c r="BU31" i="18"/>
  <c r="BU58" i="18"/>
  <c r="BV71" i="18"/>
  <c r="BV44" i="18"/>
  <c r="AJ48" i="18"/>
  <c r="U131" i="18"/>
  <c r="F131" i="18"/>
  <c r="AJ131" i="18"/>
  <c r="AJ75" i="18"/>
  <c r="AY131" i="18"/>
  <c r="BN75" i="18"/>
  <c r="BN48" i="18"/>
  <c r="F75" i="18"/>
  <c r="AZ130" i="18"/>
  <c r="BO74" i="18"/>
  <c r="BO47" i="18"/>
  <c r="V130" i="18"/>
  <c r="AK74" i="18"/>
  <c r="G130" i="18"/>
  <c r="G74" i="18"/>
  <c r="AK47" i="18"/>
  <c r="AK130" i="18"/>
  <c r="AN29" i="18"/>
  <c r="Y112" i="18"/>
  <c r="AN56" i="18"/>
  <c r="AN112" i="18"/>
  <c r="BC112" i="18"/>
  <c r="J112" i="18"/>
  <c r="BR29" i="18"/>
  <c r="J56" i="18"/>
  <c r="BR56" i="18"/>
  <c r="AQ46" i="18"/>
  <c r="AB129" i="18"/>
  <c r="BF129" i="18"/>
  <c r="AQ129" i="18"/>
  <c r="AQ73" i="18"/>
  <c r="BU46" i="18"/>
  <c r="M73" i="18"/>
  <c r="M129" i="18"/>
  <c r="BU73" i="18"/>
  <c r="BV42" i="18"/>
  <c r="BV69" i="18"/>
  <c r="BW35" i="18"/>
  <c r="BW62" i="18"/>
  <c r="BO36" i="18"/>
  <c r="BO63" i="18"/>
  <c r="BP59" i="18"/>
  <c r="BP32" i="18"/>
  <c r="AN73" i="18"/>
  <c r="J129" i="18"/>
  <c r="Y129" i="18"/>
  <c r="AN129" i="18"/>
  <c r="BC129" i="18"/>
  <c r="AN46" i="18"/>
  <c r="BR46" i="18"/>
  <c r="J73" i="18"/>
  <c r="BR73" i="18"/>
  <c r="BT38" i="18"/>
  <c r="BT65" i="18"/>
  <c r="BV58" i="18"/>
  <c r="BV31" i="18"/>
  <c r="AM72" i="18"/>
  <c r="AM45" i="18"/>
  <c r="X128" i="18"/>
  <c r="AM128" i="18"/>
  <c r="I128" i="18"/>
  <c r="BB128" i="18"/>
  <c r="BQ72" i="18"/>
  <c r="BQ45" i="18"/>
  <c r="I72" i="18"/>
  <c r="BS35" i="18"/>
  <c r="BS62" i="18"/>
  <c r="BS37" i="18"/>
  <c r="BS64" i="18"/>
  <c r="AS73" i="18"/>
  <c r="BH129" i="18"/>
  <c r="AS46" i="18"/>
  <c r="AS129" i="18"/>
  <c r="O129" i="18"/>
  <c r="AD129" i="18"/>
  <c r="BW46" i="18"/>
  <c r="O73" i="18"/>
  <c r="BW73" i="18"/>
  <c r="AP55" i="18"/>
  <c r="AP28" i="18"/>
  <c r="BE111" i="18"/>
  <c r="L111" i="18"/>
  <c r="AP111" i="18"/>
  <c r="AA111" i="18"/>
  <c r="L55" i="18"/>
  <c r="BT28" i="18"/>
  <c r="BT55" i="18"/>
  <c r="BS41" i="18"/>
  <c r="BS68" i="18"/>
  <c r="BU36" i="18"/>
  <c r="BU63" i="18"/>
  <c r="BN61" i="18"/>
  <c r="BN34" i="18"/>
  <c r="BM39" i="18"/>
  <c r="BM66" i="18"/>
  <c r="BM62" i="18"/>
  <c r="BM35" i="18"/>
  <c r="L114" i="18"/>
  <c r="AP114" i="18"/>
  <c r="AA114" i="18"/>
  <c r="AP31" i="18"/>
  <c r="BE114" i="18"/>
  <c r="AP58" i="18"/>
  <c r="BT31" i="18"/>
  <c r="BT58" i="18"/>
  <c r="L58" i="18"/>
  <c r="BV57" i="18"/>
  <c r="BV30" i="18"/>
  <c r="S131" i="18"/>
  <c r="AH131" i="18"/>
  <c r="D131" i="18"/>
  <c r="AW131" i="18"/>
  <c r="BL48" i="18"/>
  <c r="AH75" i="18"/>
  <c r="D75" i="18"/>
  <c r="BL75" i="18"/>
  <c r="AH48" i="18"/>
  <c r="AL72" i="18"/>
  <c r="H128" i="18"/>
  <c r="W128" i="18"/>
  <c r="BA128" i="18"/>
  <c r="AL128" i="18"/>
  <c r="AL45" i="18"/>
  <c r="BP45" i="18"/>
  <c r="BP72" i="18"/>
  <c r="H72" i="18"/>
  <c r="I129" i="18"/>
  <c r="AM129" i="18"/>
  <c r="AM46" i="18"/>
  <c r="BB129" i="18"/>
  <c r="X129" i="18"/>
  <c r="AM73" i="18"/>
  <c r="I73" i="18"/>
  <c r="BQ46" i="18"/>
  <c r="BQ73" i="18"/>
  <c r="BS39" i="18"/>
  <c r="BS66" i="18"/>
  <c r="AP53" i="18"/>
  <c r="AP26" i="18"/>
  <c r="BE109" i="18"/>
  <c r="L109" i="18"/>
  <c r="AP109" i="18"/>
  <c r="AA109" i="18"/>
  <c r="L53" i="18"/>
  <c r="BT53" i="18"/>
  <c r="BT26" i="18"/>
  <c r="AZ128" i="18"/>
  <c r="G128" i="18"/>
  <c r="BO45" i="18"/>
  <c r="BO72" i="18"/>
  <c r="AK45" i="18"/>
  <c r="AK128" i="18"/>
  <c r="V128" i="18"/>
  <c r="G72" i="18"/>
  <c r="AK72" i="18"/>
  <c r="R102" i="5"/>
  <c r="S102" i="5" s="1"/>
  <c r="T102" i="5"/>
  <c r="U102" i="5" s="1"/>
  <c r="V102" i="5" s="1"/>
  <c r="BM33" i="18"/>
  <c r="BM60" i="18"/>
  <c r="U201" i="5"/>
  <c r="AL26" i="18"/>
  <c r="W109" i="18"/>
  <c r="AL53" i="18"/>
  <c r="AL109" i="18"/>
  <c r="H109" i="18"/>
  <c r="BA109" i="18"/>
  <c r="BP53" i="18"/>
  <c r="H53" i="18"/>
  <c r="BP26" i="18"/>
  <c r="BQ43" i="18"/>
  <c r="BQ70" i="18"/>
  <c r="H108" i="18"/>
  <c r="AL25" i="18"/>
  <c r="W108" i="18"/>
  <c r="BA108" i="18"/>
  <c r="AL108" i="18"/>
  <c r="AL52" i="18"/>
  <c r="BP25" i="18"/>
  <c r="H52" i="18"/>
  <c r="BP52" i="18"/>
  <c r="BR39" i="18"/>
  <c r="BR66" i="18"/>
  <c r="BR40" i="18"/>
  <c r="BR67" i="18"/>
  <c r="BU39" i="18"/>
  <c r="BU66" i="18"/>
  <c r="BC113" i="18"/>
  <c r="AN30" i="18"/>
  <c r="AN57" i="18"/>
  <c r="AN113" i="18"/>
  <c r="J113" i="18"/>
  <c r="Y113" i="18"/>
  <c r="BR57" i="18"/>
  <c r="BR30" i="18"/>
  <c r="J57" i="18"/>
  <c r="AQ27" i="18"/>
  <c r="M110" i="18"/>
  <c r="AQ110" i="18"/>
  <c r="AQ54" i="18"/>
  <c r="AB110" i="18"/>
  <c r="BF110" i="18"/>
  <c r="BU27" i="18"/>
  <c r="M54" i="18"/>
  <c r="BU54" i="18"/>
  <c r="BV61" i="18"/>
  <c r="BV34" i="18"/>
  <c r="N131" i="18"/>
  <c r="AR131" i="18"/>
  <c r="AR75" i="18"/>
  <c r="BG131" i="18"/>
  <c r="N75" i="18"/>
  <c r="BV48" i="18"/>
  <c r="AC131" i="18"/>
  <c r="AR48" i="18"/>
  <c r="BV75" i="18"/>
  <c r="BL41" i="18"/>
  <c r="BL68" i="18"/>
  <c r="BW63" i="18"/>
  <c r="BW36" i="18"/>
  <c r="BL32" i="18"/>
  <c r="BL59" i="18"/>
  <c r="BN40" i="18"/>
  <c r="BN67" i="18"/>
  <c r="AJ44" i="18"/>
  <c r="U127" i="18"/>
  <c r="F127" i="18"/>
  <c r="AJ127" i="18"/>
  <c r="AJ71" i="18"/>
  <c r="AY127" i="18"/>
  <c r="BN71" i="18"/>
  <c r="F71" i="18"/>
  <c r="BN44" i="18"/>
  <c r="AQ48" i="18"/>
  <c r="AQ75" i="18"/>
  <c r="AB131" i="18"/>
  <c r="BF131" i="18"/>
  <c r="AQ131" i="18"/>
  <c r="M131" i="18"/>
  <c r="M75" i="18"/>
  <c r="BU48" i="18"/>
  <c r="BU75" i="18"/>
  <c r="BW57" i="18"/>
  <c r="BW30" i="18"/>
  <c r="BN39" i="18"/>
  <c r="BN66" i="18"/>
  <c r="N129" i="18"/>
  <c r="AR129" i="18"/>
  <c r="AC129" i="18"/>
  <c r="BG129" i="18"/>
  <c r="AR73" i="18"/>
  <c r="AR46" i="18"/>
  <c r="BV46" i="18"/>
  <c r="N73" i="18"/>
  <c r="BV73" i="18"/>
  <c r="BN42" i="18"/>
  <c r="BN69" i="18"/>
  <c r="BS34" i="18"/>
  <c r="BS61" i="18"/>
  <c r="BV41" i="18"/>
  <c r="BV68" i="18"/>
  <c r="AJ26" i="18"/>
  <c r="F109" i="18"/>
  <c r="U109" i="18"/>
  <c r="AJ53" i="18"/>
  <c r="AJ109" i="18"/>
  <c r="F53" i="18"/>
  <c r="BN53" i="18"/>
  <c r="AY109" i="18"/>
  <c r="BN26" i="18"/>
  <c r="AT18" i="11"/>
  <c r="AQ20" i="11" s="1"/>
  <c r="AW257" i="5" s="1"/>
  <c r="AY257" i="5" s="1"/>
  <c r="GT74" i="19" s="1"/>
  <c r="BO29" i="18"/>
  <c r="AZ112" i="18"/>
  <c r="G56" i="18"/>
  <c r="AK56" i="18"/>
  <c r="AK112" i="18"/>
  <c r="BO56" i="18"/>
  <c r="G112" i="18"/>
  <c r="V112" i="18"/>
  <c r="AK29" i="18"/>
  <c r="BQ36" i="18"/>
  <c r="BQ63" i="18"/>
  <c r="BQ38" i="18"/>
  <c r="BQ65" i="18"/>
  <c r="BQ66" i="18"/>
  <c r="BQ39" i="18"/>
  <c r="BR37" i="18"/>
  <c r="BR64" i="18"/>
  <c r="BU40" i="18"/>
  <c r="BU67" i="18"/>
  <c r="BT62" i="18"/>
  <c r="BT35" i="18"/>
  <c r="AO29" i="18"/>
  <c r="AO56" i="18"/>
  <c r="BD112" i="18"/>
  <c r="K112" i="18"/>
  <c r="AO112" i="18"/>
  <c r="Z112" i="18"/>
  <c r="BS29" i="18"/>
  <c r="BS56" i="18"/>
  <c r="K56" i="18"/>
  <c r="BW58" i="18"/>
  <c r="BW31" i="18"/>
  <c r="E110" i="18"/>
  <c r="T110" i="18"/>
  <c r="AI27" i="18"/>
  <c r="AX110" i="18"/>
  <c r="AI54" i="18"/>
  <c r="AI110" i="18"/>
  <c r="BM54" i="18"/>
  <c r="BM27" i="18"/>
  <c r="E54" i="18"/>
  <c r="BL63" i="18"/>
  <c r="BL36" i="18"/>
  <c r="BT43" i="18"/>
  <c r="L70" i="18"/>
  <c r="BT70" i="18"/>
  <c r="AZ114" i="18"/>
  <c r="G58" i="18"/>
  <c r="BO31" i="18"/>
  <c r="AK58" i="18"/>
  <c r="G114" i="18"/>
  <c r="BO58" i="18"/>
  <c r="AK114" i="18"/>
  <c r="V114" i="18"/>
  <c r="AK31" i="18"/>
  <c r="BO66" i="18"/>
  <c r="BO39" i="18"/>
  <c r="BO35" i="18"/>
  <c r="BO62" i="18"/>
  <c r="BO48" i="18"/>
  <c r="AK48" i="18"/>
  <c r="V131" i="18"/>
  <c r="G75" i="18"/>
  <c r="G131" i="18"/>
  <c r="AK131" i="18"/>
  <c r="AZ131" i="18"/>
  <c r="AK75" i="18"/>
  <c r="BO75" i="18"/>
  <c r="BO59" i="18"/>
  <c r="BO32" i="18"/>
  <c r="BU33" i="18"/>
  <c r="BU60" i="18"/>
  <c r="BV36" i="18"/>
  <c r="BV63" i="18"/>
  <c r="BL33" i="18"/>
  <c r="BL60" i="18"/>
  <c r="BM36" i="18"/>
  <c r="BM63" i="18"/>
  <c r="BL67" i="18"/>
  <c r="BL40" i="18"/>
  <c r="BL34" i="18"/>
  <c r="BL61" i="18"/>
  <c r="AZ111" i="18"/>
  <c r="AK28" i="18"/>
  <c r="AK111" i="18"/>
  <c r="BO55" i="18"/>
  <c r="BO28" i="18"/>
  <c r="V111" i="18"/>
  <c r="G55" i="18"/>
  <c r="G111" i="18"/>
  <c r="AK55" i="18"/>
  <c r="BR60" i="18"/>
  <c r="BR33" i="18"/>
  <c r="I127" i="18"/>
  <c r="AM127" i="18"/>
  <c r="AM71" i="18"/>
  <c r="BB127" i="18"/>
  <c r="AM44" i="18"/>
  <c r="X127" i="18"/>
  <c r="BQ44" i="18"/>
  <c r="BQ71" i="18"/>
  <c r="I71" i="18"/>
  <c r="AP45" i="18"/>
  <c r="BE128" i="18"/>
  <c r="L128" i="18"/>
  <c r="AP128" i="18"/>
  <c r="AA128" i="18"/>
  <c r="BT72" i="18"/>
  <c r="BT45" i="18"/>
  <c r="AP72" i="18"/>
  <c r="L72" i="18"/>
  <c r="AI53" i="18"/>
  <c r="E109" i="18"/>
  <c r="AI109" i="18"/>
  <c r="AX109" i="18"/>
  <c r="T109" i="18"/>
  <c r="BM53" i="18"/>
  <c r="AI26" i="18"/>
  <c r="E53" i="18"/>
  <c r="BM26" i="18"/>
  <c r="I131" i="18"/>
  <c r="AM131" i="18"/>
  <c r="AM48" i="18"/>
  <c r="X131" i="18"/>
  <c r="BB131" i="18"/>
  <c r="AM75" i="18"/>
  <c r="BQ48" i="18"/>
  <c r="I75" i="18"/>
  <c r="BQ75" i="18"/>
  <c r="AJ108" i="18"/>
  <c r="AJ52" i="18"/>
  <c r="AY108" i="18"/>
  <c r="F108" i="18"/>
  <c r="AJ25" i="18"/>
  <c r="BN52" i="18"/>
  <c r="U108" i="18"/>
  <c r="BN25" i="18"/>
  <c r="F52" i="18"/>
  <c r="BV32" i="18"/>
  <c r="BV59" i="18"/>
  <c r="N109" i="18"/>
  <c r="AC109" i="18"/>
  <c r="AR26" i="18"/>
  <c r="AR109" i="18"/>
  <c r="BG109" i="18"/>
  <c r="N53" i="18"/>
  <c r="BV26" i="18"/>
  <c r="AR53" i="18"/>
  <c r="BV53" i="18"/>
  <c r="BM70" i="18"/>
  <c r="BM43" i="18"/>
  <c r="BO42" i="18"/>
  <c r="BO69" i="18"/>
  <c r="BP70" i="18"/>
  <c r="BP43" i="18"/>
  <c r="H112" i="18"/>
  <c r="AL29" i="18"/>
  <c r="W112" i="18"/>
  <c r="BA112" i="18"/>
  <c r="AL112" i="18"/>
  <c r="AL56" i="18"/>
  <c r="BP56" i="18"/>
  <c r="H56" i="18"/>
  <c r="BP29" i="18"/>
  <c r="AO31" i="18"/>
  <c r="K114" i="18"/>
  <c r="BD114" i="18"/>
  <c r="AO114" i="18"/>
  <c r="AO58" i="18"/>
  <c r="Z114" i="18"/>
  <c r="BS31" i="18"/>
  <c r="BS58" i="18"/>
  <c r="K58" i="18"/>
  <c r="BO33" i="18"/>
  <c r="BO60" i="18"/>
  <c r="AL74" i="18"/>
  <c r="W130" i="18"/>
  <c r="BA130" i="18"/>
  <c r="H130" i="18"/>
  <c r="AL47" i="18"/>
  <c r="AL130" i="18"/>
  <c r="BP47" i="18"/>
  <c r="H74" i="18"/>
  <c r="BP74" i="18"/>
  <c r="H110" i="18"/>
  <c r="BA110" i="18"/>
  <c r="AL110" i="18"/>
  <c r="AL54" i="18"/>
  <c r="W110" i="18"/>
  <c r="AL27" i="18"/>
  <c r="BP27" i="18"/>
  <c r="BP54" i="18"/>
  <c r="H54" i="18"/>
  <c r="BT68" i="18"/>
  <c r="BT41" i="18"/>
  <c r="AR72" i="18"/>
  <c r="N128" i="18"/>
  <c r="BG128" i="18"/>
  <c r="AR45" i="18"/>
  <c r="AR128" i="18"/>
  <c r="AC128" i="18"/>
  <c r="BV72" i="18"/>
  <c r="N72" i="18"/>
  <c r="BV45" i="18"/>
  <c r="BV67" i="18"/>
  <c r="BV40" i="18"/>
  <c r="BP63" i="18"/>
  <c r="BP36" i="18"/>
  <c r="BB114" i="18"/>
  <c r="AM31" i="18"/>
  <c r="AM58" i="18"/>
  <c r="AM114" i="18"/>
  <c r="X114" i="18"/>
  <c r="I114" i="18"/>
  <c r="BQ58" i="18"/>
  <c r="BQ31" i="18"/>
  <c r="I58" i="18"/>
  <c r="AQ74" i="18"/>
  <c r="BF130" i="18"/>
  <c r="AQ130" i="18"/>
  <c r="M130" i="18"/>
  <c r="AB130" i="18"/>
  <c r="AQ47" i="18"/>
  <c r="BU47" i="18"/>
  <c r="M74" i="18"/>
  <c r="BU74" i="18"/>
  <c r="BP60" i="18"/>
  <c r="BP33" i="18"/>
  <c r="BS33" i="18"/>
  <c r="BS60" i="18"/>
  <c r="BQ37" i="18"/>
  <c r="BQ64" i="18"/>
  <c r="BT39" i="18"/>
  <c r="BT66" i="18"/>
  <c r="BQ41" i="18"/>
  <c r="BQ68" i="18"/>
  <c r="AR56" i="18"/>
  <c r="BG112" i="18"/>
  <c r="AC112" i="18"/>
  <c r="AR112" i="18"/>
  <c r="N112" i="18"/>
  <c r="AR29" i="18"/>
  <c r="BV56" i="18"/>
  <c r="N56" i="18"/>
  <c r="BV29" i="18"/>
  <c r="AS75" i="18"/>
  <c r="AS48" i="18"/>
  <c r="O131" i="18"/>
  <c r="BH131" i="18"/>
  <c r="AD131" i="18"/>
  <c r="AS131" i="18"/>
  <c r="BW48" i="18"/>
  <c r="O75" i="18"/>
  <c r="BW75" i="18"/>
  <c r="AQ29" i="18"/>
  <c r="M112" i="18"/>
  <c r="AQ112" i="18"/>
  <c r="AQ56" i="18"/>
  <c r="AB112" i="18"/>
  <c r="BF112" i="18"/>
  <c r="BU29" i="18"/>
  <c r="BU56" i="18"/>
  <c r="M56" i="18"/>
  <c r="BN43" i="18"/>
  <c r="BN70" i="18"/>
  <c r="AH47" i="18"/>
  <c r="AW130" i="18"/>
  <c r="D130" i="18"/>
  <c r="AH74" i="18"/>
  <c r="AH130" i="18"/>
  <c r="D74" i="18"/>
  <c r="S130" i="18"/>
  <c r="BL74" i="18"/>
  <c r="BL47" i="18"/>
  <c r="O111" i="18"/>
  <c r="BH111" i="18"/>
  <c r="AD111" i="18"/>
  <c r="AS28" i="18"/>
  <c r="AS111" i="18"/>
  <c r="AS55" i="18"/>
  <c r="O55" i="18"/>
  <c r="BW55" i="18"/>
  <c r="BW28" i="18"/>
  <c r="AX131" i="18"/>
  <c r="AI75" i="18"/>
  <c r="E131" i="18"/>
  <c r="AI131" i="18"/>
  <c r="AI48" i="18"/>
  <c r="T131" i="18"/>
  <c r="BM75" i="18"/>
  <c r="E75" i="18"/>
  <c r="BM48" i="18"/>
  <c r="AJ28" i="18"/>
  <c r="F111" i="18"/>
  <c r="U111" i="18"/>
  <c r="AY111" i="18"/>
  <c r="AJ111" i="18"/>
  <c r="AJ55" i="18"/>
  <c r="BN28" i="18"/>
  <c r="F55" i="18"/>
  <c r="BN55" i="18"/>
  <c r="AQ44" i="18"/>
  <c r="AB127" i="18"/>
  <c r="M127" i="18"/>
  <c r="AQ127" i="18"/>
  <c r="BF127" i="18"/>
  <c r="AQ71" i="18"/>
  <c r="BU71" i="18"/>
  <c r="BU44" i="18"/>
  <c r="M71" i="18"/>
  <c r="D108" i="18"/>
  <c r="AH108" i="18"/>
  <c r="AH25" i="18"/>
  <c r="S108" i="18"/>
  <c r="AH52" i="18"/>
  <c r="AW108" i="18"/>
  <c r="BL52" i="18"/>
  <c r="D52" i="18"/>
  <c r="BL25" i="18"/>
  <c r="BV35" i="18"/>
  <c r="BV62" i="18"/>
  <c r="BW40" i="18"/>
  <c r="BW67" i="18"/>
  <c r="BW41" i="18"/>
  <c r="BW68" i="18"/>
  <c r="D110" i="18"/>
  <c r="AH110" i="18"/>
  <c r="AH27" i="18"/>
  <c r="AH54" i="18"/>
  <c r="S110" i="18"/>
  <c r="BL27" i="18"/>
  <c r="D54" i="18"/>
  <c r="AW110" i="18"/>
  <c r="BL54" i="18"/>
  <c r="BP62" i="18"/>
  <c r="BP35" i="18"/>
  <c r="BP37" i="18"/>
  <c r="BP64" i="18"/>
  <c r="BQ42" i="18"/>
  <c r="BQ69" i="18"/>
  <c r="BS70" i="18"/>
  <c r="BS43" i="18"/>
  <c r="BS32" i="18"/>
  <c r="BS59" i="18"/>
  <c r="AN31" i="18"/>
  <c r="Y114" i="18"/>
  <c r="J114" i="18"/>
  <c r="AN58" i="18"/>
  <c r="BC114" i="18"/>
  <c r="AN114" i="18"/>
  <c r="J58" i="18"/>
  <c r="BR58" i="18"/>
  <c r="BR31" i="18"/>
  <c r="BU37" i="18"/>
  <c r="BU64" i="18"/>
  <c r="AN25" i="18"/>
  <c r="Y108" i="18"/>
  <c r="BC108" i="18"/>
  <c r="AN52" i="18"/>
  <c r="AN108" i="18"/>
  <c r="J108" i="18"/>
  <c r="BR25" i="18"/>
  <c r="BR52" i="18"/>
  <c r="J52" i="18"/>
  <c r="BW29" i="18"/>
  <c r="BW56" i="18"/>
  <c r="BU42" i="18"/>
  <c r="BU69" i="18"/>
  <c r="AH53" i="18"/>
  <c r="AH26" i="18"/>
  <c r="AH109" i="18"/>
  <c r="D109" i="18"/>
  <c r="AW109" i="18"/>
  <c r="S109" i="18"/>
  <c r="D53" i="18"/>
  <c r="BL53" i="18"/>
  <c r="BL26" i="18"/>
  <c r="AY130" i="18"/>
  <c r="AJ74" i="18"/>
  <c r="F130" i="18"/>
  <c r="AJ47" i="18"/>
  <c r="AJ130" i="18"/>
  <c r="U130" i="18"/>
  <c r="BN74" i="18"/>
  <c r="BN47" i="18"/>
  <c r="F74" i="18"/>
  <c r="BN32" i="18"/>
  <c r="BN59" i="18"/>
  <c r="BL29" i="18"/>
  <c r="BL56" i="18"/>
  <c r="BM34" i="18"/>
  <c r="BM61" i="18"/>
  <c r="U64" i="5"/>
  <c r="V64" i="5" s="1"/>
  <c r="S64" i="5"/>
  <c r="AL28" i="18"/>
  <c r="W111" i="18"/>
  <c r="AL55" i="18"/>
  <c r="AL111" i="18"/>
  <c r="H111" i="18"/>
  <c r="BA111" i="18"/>
  <c r="BP28" i="18"/>
  <c r="H55" i="18"/>
  <c r="BP55" i="18"/>
  <c r="H131" i="18"/>
  <c r="AL48" i="18"/>
  <c r="AL131" i="18"/>
  <c r="W131" i="18"/>
  <c r="AL75" i="18"/>
  <c r="BA131" i="18"/>
  <c r="H75" i="18"/>
  <c r="BP75" i="18"/>
  <c r="BP48" i="18"/>
  <c r="BB110" i="18"/>
  <c r="I110" i="18"/>
  <c r="X110" i="18"/>
  <c r="AM54" i="18"/>
  <c r="AM27" i="18"/>
  <c r="AM110" i="18"/>
  <c r="I54" i="18"/>
  <c r="BQ27" i="18"/>
  <c r="BQ54" i="18"/>
  <c r="BC109" i="18"/>
  <c r="AN109" i="18"/>
  <c r="AN53" i="18"/>
  <c r="Y109" i="18"/>
  <c r="J109" i="18"/>
  <c r="AN26" i="18"/>
  <c r="J53" i="18"/>
  <c r="BR26" i="18"/>
  <c r="BR53" i="18"/>
  <c r="BP69" i="18"/>
  <c r="BP42" i="18"/>
  <c r="BT32" i="18"/>
  <c r="BT59" i="18"/>
  <c r="J128" i="18"/>
  <c r="AN128" i="18"/>
  <c r="AN45" i="18"/>
  <c r="AN72" i="18"/>
  <c r="BC128" i="18"/>
  <c r="Y128" i="18"/>
  <c r="J72" i="18"/>
  <c r="BR45" i="18"/>
  <c r="BR72" i="18"/>
  <c r="AA129" i="18"/>
  <c r="AP73" i="18"/>
  <c r="L129" i="18"/>
  <c r="AP46" i="18"/>
  <c r="BE129" i="18"/>
  <c r="AP129" i="18"/>
  <c r="L73" i="18"/>
  <c r="BT73" i="18"/>
  <c r="BT46" i="18"/>
  <c r="BU70" i="18"/>
  <c r="BU43" i="18"/>
  <c r="K131" i="18"/>
  <c r="AO131" i="18"/>
  <c r="Z131" i="18"/>
  <c r="AO48" i="18"/>
  <c r="AO75" i="18"/>
  <c r="BD131" i="18"/>
  <c r="BS75" i="18"/>
  <c r="K75" i="18"/>
  <c r="BS48" i="18"/>
  <c r="AO30" i="18"/>
  <c r="Z113" i="18"/>
  <c r="K113" i="18"/>
  <c r="AO57" i="18"/>
  <c r="AO113" i="18"/>
  <c r="BD113" i="18"/>
  <c r="BS57" i="18"/>
  <c r="K57" i="18"/>
  <c r="BS30" i="18"/>
  <c r="AJ30" i="18"/>
  <c r="F113" i="18"/>
  <c r="U113" i="18"/>
  <c r="AJ57" i="18"/>
  <c r="AY113" i="18"/>
  <c r="AJ113" i="18"/>
  <c r="F57" i="18"/>
  <c r="BN30" i="18"/>
  <c r="BN57" i="18"/>
  <c r="BO40" i="18"/>
  <c r="BO67" i="18"/>
  <c r="BP68" i="18"/>
  <c r="BP41" i="18"/>
  <c r="BB112" i="18"/>
  <c r="AM56" i="18"/>
  <c r="AM29" i="18"/>
  <c r="X112" i="18"/>
  <c r="AM112" i="18"/>
  <c r="I112" i="18"/>
  <c r="I56" i="18"/>
  <c r="BQ56" i="18"/>
  <c r="BQ29" i="18"/>
  <c r="BC111" i="18"/>
  <c r="AN55" i="18"/>
  <c r="J111" i="18"/>
  <c r="AN28" i="18"/>
  <c r="Y111" i="18"/>
  <c r="AN111" i="18"/>
  <c r="J55" i="18"/>
  <c r="BR55" i="18"/>
  <c r="BR28" i="18"/>
  <c r="BU35" i="18"/>
  <c r="BU62" i="18"/>
  <c r="BV39" i="18"/>
  <c r="BV66" i="18"/>
  <c r="BL71" i="18"/>
  <c r="BL44" i="18"/>
  <c r="BL42" i="18"/>
  <c r="BL69" i="18"/>
  <c r="BP38" i="18"/>
  <c r="BP65" i="18"/>
  <c r="BR65" i="18"/>
  <c r="BR38" i="18"/>
  <c r="BM38" i="18"/>
  <c r="BM65" i="18"/>
  <c r="BN60" i="18"/>
  <c r="BN33" i="18"/>
  <c r="BM42" i="18"/>
  <c r="BM69" i="18"/>
  <c r="BL39" i="18"/>
  <c r="BL66" i="18"/>
  <c r="AS128" i="24" l="1"/>
  <c r="AU180" i="11"/>
  <c r="AJ15" i="5"/>
  <c r="AJ14" i="5"/>
  <c r="AJ28" i="5"/>
  <c r="AJ13" i="5"/>
  <c r="AJ27" i="5"/>
  <c r="AJ18" i="5"/>
  <c r="AJ10" i="5"/>
  <c r="AU216" i="11"/>
  <c r="AJ17" i="5"/>
  <c r="AJ19" i="5"/>
  <c r="AJ23" i="5"/>
  <c r="AJ24" i="5"/>
  <c r="AJ11" i="5"/>
  <c r="AJ16" i="5"/>
  <c r="AJ20" i="5"/>
  <c r="AJ25" i="5"/>
  <c r="AJ29" i="5"/>
  <c r="AJ22" i="5"/>
  <c r="AJ21" i="5"/>
  <c r="AJ12" i="5"/>
  <c r="AJ26" i="5"/>
  <c r="AA232" i="25"/>
  <c r="AC232" i="25" s="1"/>
  <c r="AD232" i="25" s="1"/>
  <c r="AM237" i="5"/>
  <c r="AC237" i="5"/>
  <c r="AG237" i="5" s="1"/>
  <c r="GS59" i="19" s="1"/>
  <c r="BT5" i="25"/>
  <c r="Q109" i="20"/>
  <c r="O109" i="20" s="1"/>
  <c r="T109" i="20" s="1"/>
  <c r="R37" i="25"/>
  <c r="W141" i="25" s="1"/>
  <c r="R38" i="25"/>
  <c r="W165" i="25" s="1"/>
  <c r="W108" i="24"/>
  <c r="I108" i="24" s="1"/>
  <c r="W111" i="24"/>
  <c r="W112" i="24"/>
  <c r="W110" i="24"/>
  <c r="W109" i="24"/>
  <c r="I109" i="24" s="1"/>
  <c r="W107" i="24"/>
  <c r="W106" i="24"/>
  <c r="W105" i="24"/>
  <c r="W104" i="24"/>
  <c r="R35" i="25"/>
  <c r="W110" i="25" s="1"/>
  <c r="W111" i="22"/>
  <c r="AB111" i="22" s="1"/>
  <c r="I111" i="22" s="1"/>
  <c r="W104" i="22"/>
  <c r="W112" i="22"/>
  <c r="W108" i="22"/>
  <c r="AA108" i="22" s="1"/>
  <c r="H108" i="22" s="1"/>
  <c r="W106" i="22"/>
  <c r="W105" i="22"/>
  <c r="W110" i="22"/>
  <c r="AB110" i="22" s="1"/>
  <c r="I110" i="22" s="1"/>
  <c r="W109" i="22"/>
  <c r="AA109" i="22" s="1"/>
  <c r="H109" i="22" s="1"/>
  <c r="W107" i="22"/>
  <c r="T77" i="24"/>
  <c r="U77" i="24" s="1"/>
  <c r="Q78" i="24"/>
  <c r="R77" i="24"/>
  <c r="Q58" i="22"/>
  <c r="R57" i="22"/>
  <c r="T57" i="22"/>
  <c r="U57" i="22" s="1"/>
  <c r="Q48" i="23"/>
  <c r="R48" i="23" s="1"/>
  <c r="R47" i="23"/>
  <c r="T67" i="24"/>
  <c r="U67" i="24" s="1"/>
  <c r="Q68" i="24"/>
  <c r="R67" i="24"/>
  <c r="T77" i="23"/>
  <c r="U77" i="23" s="1"/>
  <c r="R77" i="23"/>
  <c r="Q78" i="23"/>
  <c r="T87" i="24"/>
  <c r="U87" i="24" s="1"/>
  <c r="R87" i="24"/>
  <c r="Q88" i="24"/>
  <c r="Q88" i="23"/>
  <c r="R87" i="23"/>
  <c r="T87" i="23"/>
  <c r="U87" i="23" s="1"/>
  <c r="Q68" i="23"/>
  <c r="R67" i="23"/>
  <c r="T67" i="23"/>
  <c r="U67" i="23" s="1"/>
  <c r="W163" i="23"/>
  <c r="W159" i="23"/>
  <c r="W148" i="23"/>
  <c r="W145" i="23"/>
  <c r="W144" i="23"/>
  <c r="W140" i="23"/>
  <c r="W129" i="23"/>
  <c r="W166" i="23"/>
  <c r="W162" i="23"/>
  <c r="W158" i="23"/>
  <c r="W146" i="23"/>
  <c r="W142" i="23"/>
  <c r="W141" i="23"/>
  <c r="W128" i="23"/>
  <c r="W127" i="23"/>
  <c r="W126" i="23"/>
  <c r="W122" i="23"/>
  <c r="W165" i="23"/>
  <c r="W161" i="23"/>
  <c r="W147" i="23"/>
  <c r="W125" i="23"/>
  <c r="W123" i="23"/>
  <c r="W160" i="23"/>
  <c r="W143" i="23"/>
  <c r="W124" i="23"/>
  <c r="W130" i="23"/>
  <c r="W164" i="23"/>
  <c r="U47" i="24"/>
  <c r="T48" i="24"/>
  <c r="U48" i="24" s="1"/>
  <c r="T57" i="24"/>
  <c r="U57" i="24" s="1"/>
  <c r="Q58" i="24"/>
  <c r="R57" i="24"/>
  <c r="T57" i="23"/>
  <c r="U57" i="23" s="1"/>
  <c r="R57" i="23"/>
  <c r="Q58" i="23"/>
  <c r="W109" i="21"/>
  <c r="W108" i="21"/>
  <c r="W104" i="21"/>
  <c r="W107" i="21"/>
  <c r="W111" i="21"/>
  <c r="W106" i="21"/>
  <c r="W105" i="21"/>
  <c r="W110" i="21"/>
  <c r="W112" i="21"/>
  <c r="W112" i="23"/>
  <c r="W110" i="23"/>
  <c r="W108" i="23"/>
  <c r="W106" i="23"/>
  <c r="W111" i="23"/>
  <c r="W109" i="23"/>
  <c r="W107" i="23"/>
  <c r="W105" i="23"/>
  <c r="W104" i="23"/>
  <c r="W165" i="21"/>
  <c r="W161" i="21"/>
  <c r="W148" i="21"/>
  <c r="W146" i="21"/>
  <c r="W143" i="21"/>
  <c r="W166" i="21"/>
  <c r="W162" i="21"/>
  <c r="W158" i="21"/>
  <c r="W147" i="21"/>
  <c r="W164" i="21"/>
  <c r="W159" i="21"/>
  <c r="W142" i="21"/>
  <c r="W163" i="21"/>
  <c r="W144" i="21"/>
  <c r="W141" i="21"/>
  <c r="W160" i="21"/>
  <c r="W145" i="21"/>
  <c r="W140" i="21"/>
  <c r="R36" i="25"/>
  <c r="W123" i="25" s="1"/>
  <c r="W161" i="22"/>
  <c r="W148" i="22"/>
  <c r="W142" i="22"/>
  <c r="W141" i="22"/>
  <c r="W140" i="22"/>
  <c r="W130" i="22"/>
  <c r="W147" i="22"/>
  <c r="W145" i="22"/>
  <c r="AB145" i="22" s="1"/>
  <c r="I145" i="22" s="1"/>
  <c r="W144" i="22"/>
  <c r="AB144" i="22" s="1"/>
  <c r="I144" i="22" s="1"/>
  <c r="W129" i="22"/>
  <c r="W127" i="22"/>
  <c r="W126" i="22"/>
  <c r="W166" i="22"/>
  <c r="W158" i="22"/>
  <c r="W143" i="22"/>
  <c r="W125" i="22"/>
  <c r="W124" i="22"/>
  <c r="W122" i="22"/>
  <c r="W165" i="22"/>
  <c r="W160" i="22"/>
  <c r="W128" i="22"/>
  <c r="W164" i="22"/>
  <c r="W159" i="22"/>
  <c r="W162" i="22"/>
  <c r="W163" i="22"/>
  <c r="W123" i="22"/>
  <c r="W146" i="22"/>
  <c r="W164" i="24"/>
  <c r="W161" i="24"/>
  <c r="W158" i="24"/>
  <c r="W148" i="24"/>
  <c r="W144" i="24"/>
  <c r="W140" i="24"/>
  <c r="W165" i="24"/>
  <c r="W145" i="24"/>
  <c r="W129" i="24"/>
  <c r="W123" i="24"/>
  <c r="W163" i="24"/>
  <c r="W147" i="24"/>
  <c r="W143" i="24"/>
  <c r="W130" i="24"/>
  <c r="W128" i="24"/>
  <c r="W126" i="24"/>
  <c r="W124" i="24"/>
  <c r="W122" i="24"/>
  <c r="W159" i="24"/>
  <c r="W141" i="24"/>
  <c r="W125" i="24"/>
  <c r="W166" i="24"/>
  <c r="W162" i="24"/>
  <c r="W160" i="24"/>
  <c r="W146" i="24"/>
  <c r="W142" i="24"/>
  <c r="W127" i="24"/>
  <c r="R47" i="22"/>
  <c r="Q48" i="22"/>
  <c r="R48" i="22" s="1"/>
  <c r="T48" i="23"/>
  <c r="U48" i="23" s="1"/>
  <c r="U47" i="23"/>
  <c r="R47" i="24"/>
  <c r="Q48" i="24"/>
  <c r="R48" i="24" s="1"/>
  <c r="AS128" i="25"/>
  <c r="AI128" i="25"/>
  <c r="AH128" i="25"/>
  <c r="W125" i="25"/>
  <c r="AI123" i="25"/>
  <c r="AJ87" i="25"/>
  <c r="AQ133" i="25"/>
  <c r="AM133" i="25"/>
  <c r="AI133" i="25"/>
  <c r="AM130" i="25"/>
  <c r="AI130" i="25"/>
  <c r="AS133" i="25"/>
  <c r="AN133" i="25"/>
  <c r="AH133" i="25"/>
  <c r="AR133" i="25"/>
  <c r="AL133" i="25"/>
  <c r="AO130" i="25"/>
  <c r="AJ133" i="25"/>
  <c r="AH100" i="25"/>
  <c r="AI100" i="25" s="1"/>
  <c r="AJ100" i="25" s="1"/>
  <c r="AK100" i="25" s="1"/>
  <c r="AL100" i="25" s="1"/>
  <c r="AM100" i="25" s="1"/>
  <c r="AN100" i="25" s="1"/>
  <c r="AO100" i="25" s="1"/>
  <c r="AP100" i="25" s="1"/>
  <c r="AQ100" i="25" s="1"/>
  <c r="AR100" i="25" s="1"/>
  <c r="AS100" i="25" s="1"/>
  <c r="AP133" i="25"/>
  <c r="AS130" i="25"/>
  <c r="AH130" i="25"/>
  <c r="AO133" i="25"/>
  <c r="AK133" i="25"/>
  <c r="AK67" i="25"/>
  <c r="AN68" i="25"/>
  <c r="AN69" i="25" s="1"/>
  <c r="AN70" i="25" s="1"/>
  <c r="AN130" i="25" s="1"/>
  <c r="AW78" i="24"/>
  <c r="AW80" i="24" s="1"/>
  <c r="AW78" i="25"/>
  <c r="AW80" i="25" s="1"/>
  <c r="AM128" i="25"/>
  <c r="AO128" i="25"/>
  <c r="AP67" i="25"/>
  <c r="AP68" i="25" s="1"/>
  <c r="AP69" i="25" s="1"/>
  <c r="AP70" i="25" s="1"/>
  <c r="AP128" i="25" s="1"/>
  <c r="AL68" i="25"/>
  <c r="AL69" i="25" s="1"/>
  <c r="AL70" i="25" s="1"/>
  <c r="AL128" i="25" s="1"/>
  <c r="Q58" i="25"/>
  <c r="R57" i="25"/>
  <c r="T57" i="25"/>
  <c r="U57" i="25" s="1"/>
  <c r="AR67" i="25"/>
  <c r="AR68" i="25" s="1"/>
  <c r="AR69" i="25" s="1"/>
  <c r="AR70" i="25" s="1"/>
  <c r="AR130" i="25" s="1"/>
  <c r="AJ68" i="25"/>
  <c r="AJ69" i="25" s="1"/>
  <c r="AJ70" i="25" s="1"/>
  <c r="AJ130" i="25" s="1"/>
  <c r="S17" i="5"/>
  <c r="W17" i="5"/>
  <c r="Z17" i="5" s="1"/>
  <c r="U17" i="5"/>
  <c r="AG4" i="13"/>
  <c r="GT46" i="19" s="1"/>
  <c r="AE24" i="5"/>
  <c r="AH123" i="20"/>
  <c r="AY94" i="5"/>
  <c r="AY92" i="5"/>
  <c r="AO128" i="24"/>
  <c r="W127" i="21"/>
  <c r="W130" i="21"/>
  <c r="W126" i="21"/>
  <c r="W123" i="21"/>
  <c r="W124" i="21"/>
  <c r="W129" i="21"/>
  <c r="W125" i="21"/>
  <c r="W122" i="21"/>
  <c r="W128" i="21"/>
  <c r="W123" i="20"/>
  <c r="W124" i="20"/>
  <c r="W129" i="20"/>
  <c r="W130" i="20"/>
  <c r="W122" i="20"/>
  <c r="W126" i="20"/>
  <c r="W128" i="20"/>
  <c r="W127" i="20"/>
  <c r="W125" i="20"/>
  <c r="W159" i="20"/>
  <c r="W161" i="20"/>
  <c r="W163" i="20"/>
  <c r="W162" i="20"/>
  <c r="W165" i="20"/>
  <c r="W160" i="20"/>
  <c r="W158" i="20"/>
  <c r="W166" i="20"/>
  <c r="W164" i="20"/>
  <c r="AP67" i="20"/>
  <c r="AP68" i="20" s="1"/>
  <c r="AP69" i="20" s="1"/>
  <c r="AP70" i="20" s="1"/>
  <c r="AP130" i="20" s="1"/>
  <c r="AJ128" i="20"/>
  <c r="AR133" i="22"/>
  <c r="AI133" i="22"/>
  <c r="AS130" i="22"/>
  <c r="AP133" i="22"/>
  <c r="AK133" i="22"/>
  <c r="AJ133" i="22"/>
  <c r="AM133" i="22"/>
  <c r="AL133" i="22"/>
  <c r="AO133" i="22"/>
  <c r="AN133" i="22"/>
  <c r="AH100" i="22"/>
  <c r="AI100" i="22" s="1"/>
  <c r="AJ100" i="22" s="1"/>
  <c r="AK100" i="22" s="1"/>
  <c r="AL100" i="22" s="1"/>
  <c r="AM100" i="22" s="1"/>
  <c r="AN100" i="22" s="1"/>
  <c r="AO100" i="22" s="1"/>
  <c r="AP100" i="22" s="1"/>
  <c r="AQ100" i="22" s="1"/>
  <c r="AR100" i="22" s="1"/>
  <c r="AS100" i="22" s="1"/>
  <c r="AQ133" i="22"/>
  <c r="AH130" i="22"/>
  <c r="AH123" i="21"/>
  <c r="AI87" i="21"/>
  <c r="AI87" i="22"/>
  <c r="AH123" i="22"/>
  <c r="AS88" i="21"/>
  <c r="AK88" i="21"/>
  <c r="AQ88" i="21"/>
  <c r="AN88" i="21"/>
  <c r="AI88" i="21"/>
  <c r="AL88" i="21"/>
  <c r="AJ88" i="21"/>
  <c r="AI120" i="21"/>
  <c r="AJ120" i="21" s="1"/>
  <c r="AK120" i="21" s="1"/>
  <c r="AL120" i="21" s="1"/>
  <c r="AM120" i="21" s="1"/>
  <c r="AN120" i="21" s="1"/>
  <c r="AO120" i="21" s="1"/>
  <c r="AP120" i="21" s="1"/>
  <c r="AQ120" i="21" s="1"/>
  <c r="AR120" i="21" s="1"/>
  <c r="AS120" i="21" s="1"/>
  <c r="AH88" i="21"/>
  <c r="AR88" i="21"/>
  <c r="AO88" i="21"/>
  <c r="AM88" i="21"/>
  <c r="AP88" i="21"/>
  <c r="AS88" i="22"/>
  <c r="AM88" i="22"/>
  <c r="AR88" i="22"/>
  <c r="AJ88" i="22"/>
  <c r="AQ88" i="22"/>
  <c r="AI88" i="22"/>
  <c r="AN88" i="22"/>
  <c r="AL88" i="22"/>
  <c r="AO88" i="22"/>
  <c r="AP88" i="22"/>
  <c r="AH88" i="22"/>
  <c r="AI120" i="22"/>
  <c r="AJ120" i="22" s="1"/>
  <c r="AK120" i="22" s="1"/>
  <c r="AL120" i="22" s="1"/>
  <c r="AM120" i="22" s="1"/>
  <c r="AN120" i="22" s="1"/>
  <c r="AO120" i="22" s="1"/>
  <c r="AP120" i="22" s="1"/>
  <c r="AQ120" i="22" s="1"/>
  <c r="AR120" i="22" s="1"/>
  <c r="AS120" i="22" s="1"/>
  <c r="AK88" i="22"/>
  <c r="AH123" i="23"/>
  <c r="AI87" i="23"/>
  <c r="AM88" i="24"/>
  <c r="AH88" i="24"/>
  <c r="AK88" i="24"/>
  <c r="AI88" i="24"/>
  <c r="AI120" i="24"/>
  <c r="AJ120" i="24" s="1"/>
  <c r="AK120" i="24" s="1"/>
  <c r="AL120" i="24" s="1"/>
  <c r="AM120" i="24" s="1"/>
  <c r="AN120" i="24" s="1"/>
  <c r="AO120" i="24" s="1"/>
  <c r="AP120" i="24" s="1"/>
  <c r="AQ120" i="24" s="1"/>
  <c r="AR120" i="24" s="1"/>
  <c r="AS120" i="24" s="1"/>
  <c r="AR88" i="24"/>
  <c r="AP88" i="24"/>
  <c r="AN88" i="24"/>
  <c r="AJ88" i="24"/>
  <c r="AQ88" i="24"/>
  <c r="AL88" i="24"/>
  <c r="AS88" i="24"/>
  <c r="AO88" i="24"/>
  <c r="AO88" i="23"/>
  <c r="AP88" i="23"/>
  <c r="AI88" i="23"/>
  <c r="AJ88" i="23"/>
  <c r="AM88" i="23"/>
  <c r="AN88" i="23"/>
  <c r="AK88" i="23"/>
  <c r="AI120" i="23"/>
  <c r="AJ120" i="23" s="1"/>
  <c r="AK120" i="23" s="1"/>
  <c r="AL120" i="23" s="1"/>
  <c r="AM120" i="23" s="1"/>
  <c r="AN120" i="23" s="1"/>
  <c r="AO120" i="23" s="1"/>
  <c r="AP120" i="23" s="1"/>
  <c r="AQ120" i="23" s="1"/>
  <c r="AR120" i="23" s="1"/>
  <c r="AS120" i="23" s="1"/>
  <c r="AH88" i="23"/>
  <c r="AQ88" i="23"/>
  <c r="AR88" i="23"/>
  <c r="AS88" i="23"/>
  <c r="AL88" i="23"/>
  <c r="AH123" i="24"/>
  <c r="AI87" i="24"/>
  <c r="AJ68" i="23"/>
  <c r="AJ69" i="23" s="1"/>
  <c r="AJ70" i="23" s="1"/>
  <c r="AJ130" i="23" s="1"/>
  <c r="AM130" i="24"/>
  <c r="BA18" i="5"/>
  <c r="AK67" i="23"/>
  <c r="AN68" i="23"/>
  <c r="AN69" i="23" s="1"/>
  <c r="AN70" i="23" s="1"/>
  <c r="AN128" i="23" s="1"/>
  <c r="AL68" i="23"/>
  <c r="AL69" i="23" s="1"/>
  <c r="AL70" i="23" s="1"/>
  <c r="AL128" i="23" s="1"/>
  <c r="AI130" i="24"/>
  <c r="Q107" i="20"/>
  <c r="O107" i="20" s="1"/>
  <c r="V107" i="20" s="1"/>
  <c r="AS136" i="5"/>
  <c r="AN68" i="20"/>
  <c r="AN69" i="20" s="1"/>
  <c r="AN70" i="20" s="1"/>
  <c r="AN128" i="20" s="1"/>
  <c r="AO136" i="5"/>
  <c r="S112" i="20"/>
  <c r="AH133" i="21"/>
  <c r="AI128" i="20"/>
  <c r="AK67" i="24"/>
  <c r="AN68" i="24"/>
  <c r="AN69" i="24" s="1"/>
  <c r="AN70" i="24" s="1"/>
  <c r="AP67" i="24"/>
  <c r="AP68" i="24" s="1"/>
  <c r="AP69" i="24" s="1"/>
  <c r="AP70" i="24" s="1"/>
  <c r="AL68" i="24"/>
  <c r="AL69" i="24" s="1"/>
  <c r="AL70" i="24" s="1"/>
  <c r="AR67" i="24"/>
  <c r="AR68" i="24" s="1"/>
  <c r="AR69" i="24" s="1"/>
  <c r="AR70" i="24" s="1"/>
  <c r="AJ68" i="24"/>
  <c r="AJ69" i="24" s="1"/>
  <c r="AJ70" i="24" s="1"/>
  <c r="AH128" i="24"/>
  <c r="Q105" i="20"/>
  <c r="O105" i="20" s="1"/>
  <c r="V105" i="20" s="1"/>
  <c r="Q106" i="20"/>
  <c r="O106" i="20" s="1"/>
  <c r="T106" i="20" s="1"/>
  <c r="AI130" i="22"/>
  <c r="AP130" i="22"/>
  <c r="AO130" i="22"/>
  <c r="Q110" i="20"/>
  <c r="O110" i="20" s="1"/>
  <c r="S111" i="20"/>
  <c r="AI128" i="21"/>
  <c r="AH128" i="21"/>
  <c r="AS128" i="21"/>
  <c r="AJ128" i="21"/>
  <c r="AR128" i="21"/>
  <c r="O112" i="20"/>
  <c r="AH128" i="22"/>
  <c r="AR128" i="20"/>
  <c r="AR128" i="23"/>
  <c r="AS128" i="23"/>
  <c r="AI128" i="23"/>
  <c r="AH128" i="23"/>
  <c r="AM128" i="23"/>
  <c r="AP128" i="23"/>
  <c r="AO128" i="23"/>
  <c r="AM134" i="5"/>
  <c r="S104" i="20"/>
  <c r="T104" i="20" s="1"/>
  <c r="O111" i="20"/>
  <c r="V111" i="20" s="1"/>
  <c r="AW78" i="22"/>
  <c r="AW80" i="22" s="1"/>
  <c r="AW78" i="23"/>
  <c r="AW80" i="23" s="1"/>
  <c r="AQ133" i="23"/>
  <c r="AM133" i="23"/>
  <c r="AI133" i="23"/>
  <c r="AM130" i="23"/>
  <c r="AI130" i="23"/>
  <c r="AR133" i="23"/>
  <c r="AL133" i="23"/>
  <c r="AO130" i="23"/>
  <c r="AP133" i="23"/>
  <c r="AK133" i="23"/>
  <c r="AS130" i="23"/>
  <c r="AH130" i="23"/>
  <c r="AJ133" i="23"/>
  <c r="AR130" i="23"/>
  <c r="AS133" i="23"/>
  <c r="AN133" i="23"/>
  <c r="AH133" i="23"/>
  <c r="AP130" i="23"/>
  <c r="AH100" i="23"/>
  <c r="AI100" i="23" s="1"/>
  <c r="AJ100" i="23" s="1"/>
  <c r="AK100" i="23" s="1"/>
  <c r="AL100" i="23" s="1"/>
  <c r="AM100" i="23" s="1"/>
  <c r="AN100" i="23" s="1"/>
  <c r="AO100" i="23" s="1"/>
  <c r="AP100" i="23" s="1"/>
  <c r="AQ100" i="23" s="1"/>
  <c r="AR100" i="23" s="1"/>
  <c r="AS100" i="23" s="1"/>
  <c r="AL130" i="22"/>
  <c r="Q108" i="20"/>
  <c r="O108" i="20" s="1"/>
  <c r="AM130" i="22"/>
  <c r="AQ134" i="5"/>
  <c r="AR67" i="22"/>
  <c r="AR68" i="22" s="1"/>
  <c r="AR69" i="22" s="1"/>
  <c r="AR70" i="22" s="1"/>
  <c r="AJ68" i="22"/>
  <c r="AJ69" i="22" s="1"/>
  <c r="AJ70" i="22" s="1"/>
  <c r="AK67" i="22"/>
  <c r="AN68" i="22"/>
  <c r="AN69" i="22" s="1"/>
  <c r="AN70" i="22" s="1"/>
  <c r="R67" i="22"/>
  <c r="Q68" i="22"/>
  <c r="T67" i="22"/>
  <c r="U67" i="22" s="1"/>
  <c r="U48" i="22"/>
  <c r="U47" i="22"/>
  <c r="V47" i="22" s="1"/>
  <c r="R87" i="22"/>
  <c r="Q88" i="22"/>
  <c r="T87" i="22"/>
  <c r="U87" i="22" s="1"/>
  <c r="R77" i="22"/>
  <c r="T77" i="22"/>
  <c r="U77" i="22" s="1"/>
  <c r="Q78" i="22"/>
  <c r="AY82" i="5"/>
  <c r="AY84" i="5" s="1"/>
  <c r="AW78" i="21"/>
  <c r="AW80" i="21" s="1"/>
  <c r="AM128" i="21"/>
  <c r="AO128" i="21"/>
  <c r="T57" i="21"/>
  <c r="U57" i="21" s="1"/>
  <c r="Q58" i="21"/>
  <c r="R57" i="21"/>
  <c r="R77" i="21"/>
  <c r="T77" i="21"/>
  <c r="U77" i="21" s="1"/>
  <c r="Q78" i="21"/>
  <c r="AK67" i="21"/>
  <c r="AN68" i="21"/>
  <c r="AN69" i="21" s="1"/>
  <c r="AN70" i="21" s="1"/>
  <c r="AN128" i="21" s="1"/>
  <c r="R87" i="21"/>
  <c r="Q88" i="21"/>
  <c r="T87" i="21"/>
  <c r="U87" i="21" s="1"/>
  <c r="AN134" i="5"/>
  <c r="Q68" i="21"/>
  <c r="T67" i="21"/>
  <c r="U67" i="21" s="1"/>
  <c r="R67" i="21"/>
  <c r="AP67" i="21"/>
  <c r="AP68" i="21" s="1"/>
  <c r="AP69" i="21" s="1"/>
  <c r="AP70" i="21" s="1"/>
  <c r="AP128" i="21" s="1"/>
  <c r="AL68" i="21"/>
  <c r="AL69" i="21" s="1"/>
  <c r="AL70" i="21" s="1"/>
  <c r="AL128" i="21" s="1"/>
  <c r="AR133" i="21"/>
  <c r="AN133" i="21"/>
  <c r="AJ133" i="21"/>
  <c r="AR130" i="21"/>
  <c r="AJ130" i="21"/>
  <c r="AQ133" i="21"/>
  <c r="AM133" i="21"/>
  <c r="AI133" i="21"/>
  <c r="AM130" i="21"/>
  <c r="AI130" i="21"/>
  <c r="AL133" i="21"/>
  <c r="AH100" i="21"/>
  <c r="AI100" i="21" s="1"/>
  <c r="AJ100" i="21" s="1"/>
  <c r="AK100" i="21" s="1"/>
  <c r="AL100" i="21" s="1"/>
  <c r="AM100" i="21" s="1"/>
  <c r="AN100" i="21" s="1"/>
  <c r="AO100" i="21" s="1"/>
  <c r="AP100" i="21" s="1"/>
  <c r="AQ100" i="21" s="1"/>
  <c r="AR100" i="21" s="1"/>
  <c r="AS100" i="21" s="1"/>
  <c r="AS133" i="21"/>
  <c r="AK133" i="21"/>
  <c r="AS130" i="21"/>
  <c r="AP133" i="21"/>
  <c r="AH130" i="21"/>
  <c r="AO133" i="21"/>
  <c r="AO130" i="21"/>
  <c r="BA9" i="5"/>
  <c r="AK136" i="5"/>
  <c r="AU37" i="20"/>
  <c r="W148" i="20"/>
  <c r="W140" i="20"/>
  <c r="W147" i="20"/>
  <c r="W143" i="20"/>
  <c r="W145" i="20"/>
  <c r="W142" i="20"/>
  <c r="W146" i="20"/>
  <c r="W141" i="20"/>
  <c r="W144" i="20"/>
  <c r="AL136" i="5"/>
  <c r="AT136" i="5"/>
  <c r="AW78" i="20"/>
  <c r="AW80" i="20" s="1"/>
  <c r="AU136" i="5"/>
  <c r="AJ136" i="5"/>
  <c r="AG109" i="5"/>
  <c r="AC74" i="5" s="1"/>
  <c r="AI123" i="20"/>
  <c r="AJ87" i="20"/>
  <c r="AP134" i="5"/>
  <c r="V104" i="20"/>
  <c r="T48" i="20"/>
  <c r="U48" i="20" s="1"/>
  <c r="U47" i="20"/>
  <c r="V47" i="20" s="1"/>
  <c r="AQ67" i="20"/>
  <c r="AQ68" i="20" s="1"/>
  <c r="AQ69" i="20" s="1"/>
  <c r="AQ70" i="20" s="1"/>
  <c r="AQ130" i="20" s="1"/>
  <c r="AK68" i="20"/>
  <c r="AK69" i="20" s="1"/>
  <c r="AK70" i="20" s="1"/>
  <c r="AK128" i="20" s="1"/>
  <c r="Q58" i="20"/>
  <c r="T57" i="20"/>
  <c r="U57" i="20" s="1"/>
  <c r="R57" i="20"/>
  <c r="AH130" i="20"/>
  <c r="AH128" i="20"/>
  <c r="AS130" i="20"/>
  <c r="AS128" i="20"/>
  <c r="AR136" i="5"/>
  <c r="AL130" i="20"/>
  <c r="AL128" i="20"/>
  <c r="AM128" i="20"/>
  <c r="AM130" i="20"/>
  <c r="AO130" i="20"/>
  <c r="AO128" i="20"/>
  <c r="AN21" i="5"/>
  <c r="AU218" i="11"/>
  <c r="AK198" i="5"/>
  <c r="AR198" i="5"/>
  <c r="AS198" i="5"/>
  <c r="AJ199" i="5"/>
  <c r="W199" i="5"/>
  <c r="T199" i="5"/>
  <c r="V199" i="5"/>
  <c r="BD12" i="18"/>
  <c r="BD64" i="18" s="1"/>
  <c r="AO64" i="18" s="1"/>
  <c r="AL91" i="5"/>
  <c r="AK129" i="5"/>
  <c r="BA14" i="18"/>
  <c r="BA41" i="18" s="1"/>
  <c r="AL41" i="18" s="1"/>
  <c r="O61" i="18"/>
  <c r="M65" i="18"/>
  <c r="BU65" i="18"/>
  <c r="AS74" i="18"/>
  <c r="F58" i="18"/>
  <c r="BM56" i="18"/>
  <c r="BW37" i="18"/>
  <c r="BW47" i="18"/>
  <c r="T112" i="18"/>
  <c r="BR42" i="18"/>
  <c r="BW64" i="18"/>
  <c r="BH130" i="18"/>
  <c r="AS130" i="18"/>
  <c r="BN31" i="18"/>
  <c r="BM29" i="18"/>
  <c r="AI56" i="18"/>
  <c r="BR69" i="18"/>
  <c r="O74" i="18"/>
  <c r="AS47" i="18"/>
  <c r="O130" i="18"/>
  <c r="E56" i="18"/>
  <c r="AI112" i="18"/>
  <c r="E112" i="18"/>
  <c r="J69" i="18"/>
  <c r="BW74" i="18"/>
  <c r="AX112" i="18"/>
  <c r="M59" i="18"/>
  <c r="BV37" i="18"/>
  <c r="BU59" i="18"/>
  <c r="BV64" i="18"/>
  <c r="J70" i="18"/>
  <c r="BL55" i="18"/>
  <c r="D111" i="18"/>
  <c r="BL65" i="18"/>
  <c r="BR43" i="18"/>
  <c r="BL28" i="18"/>
  <c r="AW111" i="18"/>
  <c r="BL38" i="18"/>
  <c r="BR70" i="18"/>
  <c r="S111" i="18"/>
  <c r="AH28" i="18"/>
  <c r="BT64" i="18"/>
  <c r="I113" i="18"/>
  <c r="D55" i="18"/>
  <c r="AH111" i="18"/>
  <c r="BA59" i="18"/>
  <c r="AL59" i="18" s="1"/>
  <c r="BM64" i="18"/>
  <c r="BW34" i="18"/>
  <c r="E64" i="18"/>
  <c r="BA8" i="18"/>
  <c r="BA10" i="18" s="1"/>
  <c r="X109" i="18"/>
  <c r="BS54" i="18"/>
  <c r="AO54" i="18"/>
  <c r="BB109" i="18"/>
  <c r="AM57" i="18"/>
  <c r="BQ30" i="18"/>
  <c r="I130" i="18"/>
  <c r="AM130" i="18"/>
  <c r="BQ57" i="18"/>
  <c r="AR58" i="13"/>
  <c r="AH73" i="13"/>
  <c r="AO66" i="13" s="1"/>
  <c r="GT79" i="19" s="1"/>
  <c r="X55" i="13"/>
  <c r="V69" i="13"/>
  <c r="V70" i="13" s="1"/>
  <c r="AG62" i="13"/>
  <c r="BW45" i="18"/>
  <c r="O72" i="18"/>
  <c r="I53" i="18"/>
  <c r="I109" i="18"/>
  <c r="AM26" i="18"/>
  <c r="Z110" i="18"/>
  <c r="BD110" i="18"/>
  <c r="BQ53" i="18"/>
  <c r="AM109" i="18"/>
  <c r="K54" i="18"/>
  <c r="K110" i="18"/>
  <c r="AO27" i="18"/>
  <c r="BQ26" i="18"/>
  <c r="BS27" i="18"/>
  <c r="AT152" i="11"/>
  <c r="AQ154" i="11" s="1"/>
  <c r="AQ229" i="5" s="1"/>
  <c r="AI45" i="18"/>
  <c r="BT52" i="18"/>
  <c r="E72" i="18"/>
  <c r="AP52" i="18"/>
  <c r="AS25" i="18"/>
  <c r="AI72" i="18"/>
  <c r="G64" i="18"/>
  <c r="Y130" i="18"/>
  <c r="AN130" i="18"/>
  <c r="BS45" i="18"/>
  <c r="BR47" i="18"/>
  <c r="BR74" i="18"/>
  <c r="AN74" i="18"/>
  <c r="AY41" i="18"/>
  <c r="AJ41" i="18" s="1"/>
  <c r="BH110" i="18"/>
  <c r="BL70" i="18"/>
  <c r="BL30" i="18"/>
  <c r="K67" i="18"/>
  <c r="AJ29" i="18"/>
  <c r="J74" i="18"/>
  <c r="AN47" i="18"/>
  <c r="J130" i="18"/>
  <c r="K128" i="18"/>
  <c r="AY43" i="18"/>
  <c r="AJ43" i="18" s="1"/>
  <c r="AY36" i="18"/>
  <c r="AJ36" i="18" s="1"/>
  <c r="BQ32" i="18"/>
  <c r="AP56" i="18"/>
  <c r="BF12" i="18"/>
  <c r="BF14" i="18" s="1"/>
  <c r="BF27" i="18" s="1"/>
  <c r="AK30" i="18"/>
  <c r="BL58" i="18"/>
  <c r="BP61" i="18"/>
  <c r="AQ72" i="18"/>
  <c r="BM45" i="18"/>
  <c r="E128" i="18"/>
  <c r="AP25" i="18"/>
  <c r="AP108" i="18"/>
  <c r="BF128" i="18"/>
  <c r="AX128" i="18"/>
  <c r="T128" i="18"/>
  <c r="L52" i="18"/>
  <c r="BE108" i="18"/>
  <c r="L108" i="18"/>
  <c r="BH108" i="18"/>
  <c r="M72" i="18"/>
  <c r="BM72" i="18"/>
  <c r="BT25" i="18"/>
  <c r="BV43" i="18"/>
  <c r="M111" i="18"/>
  <c r="BV70" i="18"/>
  <c r="BO37" i="18"/>
  <c r="BL31" i="18"/>
  <c r="BB113" i="18"/>
  <c r="X113" i="18"/>
  <c r="I74" i="18"/>
  <c r="AM47" i="18"/>
  <c r="AM74" i="18"/>
  <c r="I57" i="18"/>
  <c r="AM113" i="18"/>
  <c r="L64" i="18"/>
  <c r="BQ47" i="18"/>
  <c r="BB130" i="18"/>
  <c r="BG111" i="18"/>
  <c r="BQ74" i="18"/>
  <c r="AC111" i="18"/>
  <c r="I61" i="18"/>
  <c r="BW60" i="18"/>
  <c r="AY42" i="18"/>
  <c r="AJ42" i="18" s="1"/>
  <c r="AA130" i="18"/>
  <c r="BW26" i="18"/>
  <c r="K130" i="18"/>
  <c r="BL43" i="18"/>
  <c r="BO57" i="18"/>
  <c r="Z128" i="18"/>
  <c r="AO45" i="18"/>
  <c r="AY29" i="18"/>
  <c r="BE130" i="18"/>
  <c r="BW27" i="18"/>
  <c r="AS53" i="18"/>
  <c r="AO47" i="18"/>
  <c r="L56" i="18"/>
  <c r="K72" i="18"/>
  <c r="AO128" i="18"/>
  <c r="AO72" i="18"/>
  <c r="BN29" i="18"/>
  <c r="AY30" i="18"/>
  <c r="AY35" i="18"/>
  <c r="AJ35" i="18" s="1"/>
  <c r="AY39" i="18"/>
  <c r="AJ39" i="18" s="1"/>
  <c r="BT33" i="18"/>
  <c r="O65" i="18"/>
  <c r="AZ113" i="18"/>
  <c r="BS72" i="18"/>
  <c r="AJ112" i="18"/>
  <c r="AY47" i="18"/>
  <c r="BP34" i="18"/>
  <c r="BU72" i="18"/>
  <c r="AQ45" i="18"/>
  <c r="O52" i="18"/>
  <c r="AD108" i="18"/>
  <c r="E68" i="18"/>
  <c r="BU45" i="18"/>
  <c r="AQ128" i="18"/>
  <c r="BW25" i="18"/>
  <c r="O108" i="18"/>
  <c r="AS52" i="18"/>
  <c r="BM41" i="18"/>
  <c r="AB128" i="18"/>
  <c r="BW52" i="18"/>
  <c r="BT54" i="18"/>
  <c r="N55" i="18"/>
  <c r="N111" i="18"/>
  <c r="BW32" i="18"/>
  <c r="BO65" i="18"/>
  <c r="BV55" i="18"/>
  <c r="AR55" i="18"/>
  <c r="BV28" i="18"/>
  <c r="AR28" i="18"/>
  <c r="BF113" i="18"/>
  <c r="L71" i="18"/>
  <c r="M61" i="18"/>
  <c r="AP44" i="18"/>
  <c r="BH8" i="18"/>
  <c r="BH10" i="18" s="1"/>
  <c r="AA110" i="18"/>
  <c r="BC12" i="18"/>
  <c r="BC70" i="18" s="1"/>
  <c r="AQ113" i="18"/>
  <c r="L67" i="18"/>
  <c r="BM40" i="18"/>
  <c r="O59" i="18"/>
  <c r="L54" i="18"/>
  <c r="BU30" i="18"/>
  <c r="BT40" i="18"/>
  <c r="BM67" i="18"/>
  <c r="AP27" i="18"/>
  <c r="BG130" i="18"/>
  <c r="M113" i="18"/>
  <c r="AY63" i="18"/>
  <c r="L127" i="18"/>
  <c r="AP71" i="18"/>
  <c r="AY75" i="18"/>
  <c r="BN62" i="18"/>
  <c r="BT71" i="18"/>
  <c r="AP127" i="18"/>
  <c r="AA127" i="18"/>
  <c r="AM111" i="18"/>
  <c r="BT44" i="18"/>
  <c r="AY74" i="18"/>
  <c r="BU61" i="18"/>
  <c r="F62" i="18"/>
  <c r="AY60" i="18"/>
  <c r="AJ60" i="18" s="1"/>
  <c r="AY56" i="18"/>
  <c r="AY66" i="18"/>
  <c r="AJ66" i="18" s="1"/>
  <c r="BH64" i="18"/>
  <c r="AS64" i="18" s="1"/>
  <c r="I55" i="18"/>
  <c r="AM28" i="18"/>
  <c r="I111" i="18"/>
  <c r="BQ55" i="18"/>
  <c r="O71" i="18"/>
  <c r="BQ28" i="18"/>
  <c r="AM55" i="18"/>
  <c r="AC108" i="18"/>
  <c r="BU55" i="18"/>
  <c r="BG108" i="18"/>
  <c r="BB111" i="18"/>
  <c r="AQ111" i="18"/>
  <c r="AB111" i="18"/>
  <c r="BV52" i="18"/>
  <c r="AR108" i="18"/>
  <c r="AR52" i="18"/>
  <c r="BW44" i="18"/>
  <c r="BU28" i="18"/>
  <c r="AQ28" i="18"/>
  <c r="AQ55" i="18"/>
  <c r="BV25" i="18"/>
  <c r="N108" i="18"/>
  <c r="M55" i="18"/>
  <c r="AP30" i="18"/>
  <c r="N52" i="18"/>
  <c r="BQ34" i="18"/>
  <c r="BT47" i="18"/>
  <c r="L130" i="18"/>
  <c r="O54" i="18"/>
  <c r="AS110" i="18"/>
  <c r="AS54" i="18"/>
  <c r="AY26" i="18"/>
  <c r="O53" i="18"/>
  <c r="AS109" i="18"/>
  <c r="O109" i="18"/>
  <c r="L60" i="18"/>
  <c r="BS74" i="18"/>
  <c r="BD130" i="18"/>
  <c r="I59" i="18"/>
  <c r="BL57" i="18"/>
  <c r="BT56" i="18"/>
  <c r="AP29" i="18"/>
  <c r="L112" i="18"/>
  <c r="BW65" i="18"/>
  <c r="BP66" i="18"/>
  <c r="G57" i="18"/>
  <c r="G113" i="18"/>
  <c r="BS67" i="18"/>
  <c r="AY62" i="18"/>
  <c r="AJ62" i="18" s="1"/>
  <c r="AY58" i="18"/>
  <c r="AJ58" i="18" s="1"/>
  <c r="AY55" i="18"/>
  <c r="AY65" i="18"/>
  <c r="AJ65" i="18" s="1"/>
  <c r="AY67" i="18"/>
  <c r="AJ67" i="18" s="1"/>
  <c r="AY64" i="18"/>
  <c r="AJ64" i="18" s="1"/>
  <c r="AY40" i="18"/>
  <c r="AJ40" i="18" s="1"/>
  <c r="U112" i="18"/>
  <c r="AJ56" i="18"/>
  <c r="BU68" i="18"/>
  <c r="AY25" i="18"/>
  <c r="AY31" i="18"/>
  <c r="AJ31" i="18" s="1"/>
  <c r="AY38" i="18"/>
  <c r="BW33" i="18"/>
  <c r="BT74" i="18"/>
  <c r="AP74" i="18"/>
  <c r="AP47" i="18"/>
  <c r="AS27" i="18"/>
  <c r="O110" i="18"/>
  <c r="AY46" i="18"/>
  <c r="AY27" i="18"/>
  <c r="BW53" i="18"/>
  <c r="AS26" i="18"/>
  <c r="K74" i="18"/>
  <c r="Z130" i="18"/>
  <c r="AO74" i="18"/>
  <c r="BQ59" i="18"/>
  <c r="BT29" i="18"/>
  <c r="AA112" i="18"/>
  <c r="BP39" i="18"/>
  <c r="BX39" i="18" s="1"/>
  <c r="BO30" i="18"/>
  <c r="AK57" i="18"/>
  <c r="AY52" i="18"/>
  <c r="AY71" i="18"/>
  <c r="AY61" i="18"/>
  <c r="AY72" i="18"/>
  <c r="AY57" i="18"/>
  <c r="AY59" i="18"/>
  <c r="AJ59" i="18" s="1"/>
  <c r="AY28" i="18"/>
  <c r="F56" i="18"/>
  <c r="F112" i="18"/>
  <c r="BU41" i="18"/>
  <c r="AY32" i="18"/>
  <c r="AJ32" i="18" s="1"/>
  <c r="AY45" i="18"/>
  <c r="BD10" i="18"/>
  <c r="D73" i="18"/>
  <c r="L74" i="18"/>
  <c r="BW54" i="18"/>
  <c r="AY33" i="18"/>
  <c r="AJ33" i="18" s="1"/>
  <c r="AD109" i="18"/>
  <c r="BS47" i="18"/>
  <c r="BE112" i="18"/>
  <c r="V113" i="18"/>
  <c r="AY69" i="18"/>
  <c r="AY70" i="18"/>
  <c r="AJ70" i="18" s="1"/>
  <c r="AY73" i="18"/>
  <c r="AY54" i="18"/>
  <c r="AY53" i="18"/>
  <c r="AY68" i="18"/>
  <c r="AY34" i="18"/>
  <c r="AJ34" i="18" s="1"/>
  <c r="BN56" i="18"/>
  <c r="AY37" i="18"/>
  <c r="AY48" i="18"/>
  <c r="AK109" i="18"/>
  <c r="BQ67" i="18"/>
  <c r="AP113" i="18"/>
  <c r="D62" i="18"/>
  <c r="AK26" i="18"/>
  <c r="I60" i="18"/>
  <c r="AY8" i="18"/>
  <c r="AY10" i="18" s="1"/>
  <c r="L57" i="18"/>
  <c r="AA113" i="18"/>
  <c r="AP57" i="18"/>
  <c r="S129" i="18"/>
  <c r="BW66" i="18"/>
  <c r="BL35" i="18"/>
  <c r="BL37" i="18"/>
  <c r="AK53" i="18"/>
  <c r="BO26" i="18"/>
  <c r="BQ60" i="18"/>
  <c r="BQ40" i="18"/>
  <c r="BT57" i="18"/>
  <c r="L113" i="18"/>
  <c r="BS26" i="18"/>
  <c r="BO53" i="18"/>
  <c r="G109" i="18"/>
  <c r="BO41" i="18"/>
  <c r="BT30" i="18"/>
  <c r="AO26" i="18"/>
  <c r="G53" i="18"/>
  <c r="V109" i="18"/>
  <c r="BM57" i="18"/>
  <c r="E57" i="18"/>
  <c r="BM30" i="18"/>
  <c r="BS55" i="18"/>
  <c r="AW8" i="18"/>
  <c r="AW10" i="18" s="1"/>
  <c r="BR63" i="18"/>
  <c r="W114" i="18"/>
  <c r="BE10" i="18"/>
  <c r="BO54" i="18"/>
  <c r="AO55" i="18"/>
  <c r="AP54" i="18"/>
  <c r="AP110" i="18"/>
  <c r="AK25" i="18"/>
  <c r="G54" i="18"/>
  <c r="BU57" i="18"/>
  <c r="AQ30" i="18"/>
  <c r="BD111" i="18"/>
  <c r="BT27" i="18"/>
  <c r="BE110" i="18"/>
  <c r="H58" i="18"/>
  <c r="G108" i="18"/>
  <c r="BV47" i="18"/>
  <c r="M57" i="18"/>
  <c r="AB113" i="18"/>
  <c r="J62" i="18"/>
  <c r="K55" i="18"/>
  <c r="AO111" i="18"/>
  <c r="BP31" i="18"/>
  <c r="AL58" i="18"/>
  <c r="BQ35" i="18"/>
  <c r="AK108" i="18"/>
  <c r="G52" i="18"/>
  <c r="AK110" i="18"/>
  <c r="BO27" i="18"/>
  <c r="AZ110" i="18"/>
  <c r="BR35" i="18"/>
  <c r="BS28" i="18"/>
  <c r="AO28" i="18"/>
  <c r="BR36" i="18"/>
  <c r="AL31" i="18"/>
  <c r="BA114" i="18"/>
  <c r="BQ62" i="18"/>
  <c r="AJ129" i="18"/>
  <c r="AK52" i="18"/>
  <c r="V108" i="18"/>
  <c r="AK27" i="18"/>
  <c r="AK54" i="18"/>
  <c r="K111" i="18"/>
  <c r="BP58" i="18"/>
  <c r="AL114" i="18"/>
  <c r="AZ108" i="18"/>
  <c r="BO52" i="18"/>
  <c r="G110" i="18"/>
  <c r="AC130" i="18"/>
  <c r="AR130" i="18"/>
  <c r="BV74" i="18"/>
  <c r="AR47" i="18"/>
  <c r="AR74" i="18"/>
  <c r="N74" i="18"/>
  <c r="M109" i="18"/>
  <c r="AQ26" i="18"/>
  <c r="BM71" i="18"/>
  <c r="BN73" i="18"/>
  <c r="N60" i="18"/>
  <c r="BA68" i="18"/>
  <c r="AL68" i="18" s="1"/>
  <c r="O66" i="18"/>
  <c r="K53" i="18"/>
  <c r="K109" i="18"/>
  <c r="AX130" i="18"/>
  <c r="BD109" i="18"/>
  <c r="AO53" i="18"/>
  <c r="BL64" i="18"/>
  <c r="BO68" i="18"/>
  <c r="BS53" i="18"/>
  <c r="AO109" i="18"/>
  <c r="BN72" i="18"/>
  <c r="BT36" i="18"/>
  <c r="BU26" i="18"/>
  <c r="BF109" i="18"/>
  <c r="F73" i="18"/>
  <c r="U129" i="18"/>
  <c r="BV33" i="18"/>
  <c r="BT63" i="18"/>
  <c r="E71" i="18"/>
  <c r="BU53" i="18"/>
  <c r="AB109" i="18"/>
  <c r="AJ73" i="18"/>
  <c r="AY129" i="18"/>
  <c r="AJ46" i="18"/>
  <c r="M53" i="18"/>
  <c r="AQ109" i="18"/>
  <c r="BN46" i="18"/>
  <c r="BM44" i="18"/>
  <c r="D72" i="18"/>
  <c r="BL73" i="18"/>
  <c r="BL46" i="18"/>
  <c r="D129" i="18"/>
  <c r="BU25" i="18"/>
  <c r="F64" i="18"/>
  <c r="AH46" i="18"/>
  <c r="AH73" i="18"/>
  <c r="AZ8" i="18"/>
  <c r="AZ10" i="18" s="1"/>
  <c r="BO38" i="18"/>
  <c r="BL72" i="18"/>
  <c r="AQ108" i="18"/>
  <c r="BC10" i="18"/>
  <c r="BN37" i="18"/>
  <c r="BN38" i="18"/>
  <c r="AW129" i="18"/>
  <c r="BL45" i="18"/>
  <c r="U128" i="18"/>
  <c r="BW69" i="18"/>
  <c r="AI47" i="18"/>
  <c r="BV27" i="18"/>
  <c r="BA75" i="18"/>
  <c r="BB10" i="18"/>
  <c r="T111" i="18"/>
  <c r="BA53" i="18"/>
  <c r="BO34" i="18"/>
  <c r="BM74" i="18"/>
  <c r="BP40" i="18"/>
  <c r="AI28" i="18"/>
  <c r="BA70" i="18"/>
  <c r="BA67" i="18"/>
  <c r="BA64" i="18"/>
  <c r="J59" i="18"/>
  <c r="BH72" i="18"/>
  <c r="AS72" i="18" s="1"/>
  <c r="BN45" i="18"/>
  <c r="AJ128" i="18"/>
  <c r="BN63" i="18"/>
  <c r="BW42" i="18"/>
  <c r="E74" i="18"/>
  <c r="AI130" i="18"/>
  <c r="N110" i="18"/>
  <c r="J68" i="18"/>
  <c r="BV65" i="18"/>
  <c r="AI111" i="18"/>
  <c r="BA73" i="18"/>
  <c r="BA58" i="18"/>
  <c r="BA66" i="18"/>
  <c r="AL66" i="18" s="1"/>
  <c r="BR32" i="18"/>
  <c r="AZ14" i="18"/>
  <c r="AZ33" i="18" s="1"/>
  <c r="AK33" i="18" s="1"/>
  <c r="AJ45" i="18"/>
  <c r="AJ72" i="18"/>
  <c r="F63" i="18"/>
  <c r="K73" i="18"/>
  <c r="G61" i="18"/>
  <c r="BM47" i="18"/>
  <c r="E130" i="18"/>
  <c r="BR41" i="18"/>
  <c r="N65" i="18"/>
  <c r="BM55" i="18"/>
  <c r="AI55" i="18"/>
  <c r="BA71" i="18"/>
  <c r="BA52" i="18"/>
  <c r="BA69" i="18"/>
  <c r="AL69" i="18" s="1"/>
  <c r="BR59" i="18"/>
  <c r="F72" i="18"/>
  <c r="F128" i="18"/>
  <c r="Z129" i="18"/>
  <c r="AI74" i="18"/>
  <c r="AS164" i="11"/>
  <c r="AT164" i="11" s="1"/>
  <c r="AW164" i="11"/>
  <c r="AZ164" i="11" s="1"/>
  <c r="BA164" i="11" s="1"/>
  <c r="AW170" i="11"/>
  <c r="AZ170" i="11" s="1"/>
  <c r="BA170" i="11" s="1"/>
  <c r="AS170" i="11"/>
  <c r="AT170" i="11" s="1"/>
  <c r="AW171" i="11"/>
  <c r="AZ171" i="11" s="1"/>
  <c r="BA171" i="11" s="1"/>
  <c r="AS171" i="11"/>
  <c r="AT171" i="11" s="1"/>
  <c r="AW166" i="11"/>
  <c r="AZ166" i="11" s="1"/>
  <c r="BA166" i="11" s="1"/>
  <c r="AS166" i="11"/>
  <c r="AT166" i="11" s="1"/>
  <c r="AI46" i="18"/>
  <c r="AB108" i="18"/>
  <c r="M108" i="18"/>
  <c r="AW167" i="11"/>
  <c r="AZ167" i="11" s="1"/>
  <c r="BA167" i="11" s="1"/>
  <c r="AS167" i="11"/>
  <c r="AT167" i="11" s="1"/>
  <c r="AS168" i="11"/>
  <c r="AT168" i="11" s="1"/>
  <c r="AW168" i="11"/>
  <c r="AZ168" i="11" s="1"/>
  <c r="BA168" i="11" s="1"/>
  <c r="M52" i="18"/>
  <c r="BF108" i="18"/>
  <c r="AQ25" i="18"/>
  <c r="AS162" i="11"/>
  <c r="AT162" i="11" s="1"/>
  <c r="AW162" i="11"/>
  <c r="AZ162" i="11" s="1"/>
  <c r="BA162" i="11" s="1"/>
  <c r="BA152" i="11"/>
  <c r="AX154" i="11" s="1"/>
  <c r="AW165" i="11"/>
  <c r="AZ165" i="11" s="1"/>
  <c r="BA165" i="11" s="1"/>
  <c r="AS165" i="11"/>
  <c r="AT165" i="11" s="1"/>
  <c r="BU52" i="18"/>
  <c r="BH14" i="18"/>
  <c r="BH29" i="18" s="1"/>
  <c r="AS29" i="18" s="1"/>
  <c r="AW161" i="11"/>
  <c r="AZ161" i="11" s="1"/>
  <c r="BA161" i="11" s="1"/>
  <c r="AS161" i="11"/>
  <c r="AT161" i="11" s="1"/>
  <c r="AS160" i="11"/>
  <c r="AT160" i="11" s="1"/>
  <c r="AW160" i="11"/>
  <c r="AZ160" i="11" s="1"/>
  <c r="BA160" i="11" s="1"/>
  <c r="AW169" i="11"/>
  <c r="AZ169" i="11" s="1"/>
  <c r="BA169" i="11" s="1"/>
  <c r="AS169" i="11"/>
  <c r="AT169" i="11" s="1"/>
  <c r="W127" i="18"/>
  <c r="AL44" i="18"/>
  <c r="BS69" i="18"/>
  <c r="BN68" i="18"/>
  <c r="H71" i="18"/>
  <c r="BA127" i="18"/>
  <c r="H127" i="18"/>
  <c r="BW70" i="18"/>
  <c r="BP71" i="18"/>
  <c r="AL71" i="18"/>
  <c r="BG8" i="18"/>
  <c r="BG10" i="18" s="1"/>
  <c r="BP44" i="18"/>
  <c r="E55" i="18"/>
  <c r="E111" i="18"/>
  <c r="BA56" i="18"/>
  <c r="BA54" i="18"/>
  <c r="BA72" i="18"/>
  <c r="BA62" i="18"/>
  <c r="BA65" i="18"/>
  <c r="AL65" i="18" s="1"/>
  <c r="BA60" i="18"/>
  <c r="AL60" i="18" s="1"/>
  <c r="AO46" i="18"/>
  <c r="AO129" i="18"/>
  <c r="AC110" i="18"/>
  <c r="BG110" i="18"/>
  <c r="J61" i="18"/>
  <c r="BM28" i="18"/>
  <c r="BA55" i="18"/>
  <c r="BA74" i="18"/>
  <c r="BA57" i="18"/>
  <c r="BA63" i="18"/>
  <c r="BA61" i="18"/>
  <c r="AL61" i="18" s="1"/>
  <c r="BS46" i="18"/>
  <c r="BD129" i="18"/>
  <c r="K129" i="18"/>
  <c r="N54" i="18"/>
  <c r="AR27" i="18"/>
  <c r="AR54" i="18"/>
  <c r="BR34" i="18"/>
  <c r="BP67" i="18"/>
  <c r="BS73" i="18"/>
  <c r="BV54" i="18"/>
  <c r="BE12" i="18"/>
  <c r="BE14" i="18" s="1"/>
  <c r="BE39" i="18" s="1"/>
  <c r="AP39" i="18" s="1"/>
  <c r="AI108" i="18"/>
  <c r="T108" i="18"/>
  <c r="F65" i="18"/>
  <c r="BH56" i="18"/>
  <c r="BM32" i="18"/>
  <c r="W129" i="18"/>
  <c r="BH54" i="18"/>
  <c r="BH58" i="18"/>
  <c r="AS58" i="18" s="1"/>
  <c r="G70" i="18"/>
  <c r="H129" i="18"/>
  <c r="BH59" i="18"/>
  <c r="T129" i="18"/>
  <c r="BP73" i="18"/>
  <c r="BG14" i="18"/>
  <c r="BG32" i="18" s="1"/>
  <c r="AR32" i="18" s="1"/>
  <c r="BG68" i="18"/>
  <c r="AR68" i="18" s="1"/>
  <c r="BG60" i="18"/>
  <c r="AR60" i="18" s="1"/>
  <c r="BG73" i="18"/>
  <c r="BG67" i="18"/>
  <c r="AR67" i="18" s="1"/>
  <c r="BG56" i="18"/>
  <c r="BH63" i="18"/>
  <c r="AS63" i="18" s="1"/>
  <c r="BH62" i="18"/>
  <c r="AS62" i="18" s="1"/>
  <c r="BH55" i="18"/>
  <c r="BH57" i="18"/>
  <c r="AS57" i="18" s="1"/>
  <c r="BH71" i="18"/>
  <c r="AS71" i="18" s="1"/>
  <c r="BH67" i="18"/>
  <c r="AS67" i="18" s="1"/>
  <c r="BM58" i="18"/>
  <c r="O70" i="18"/>
  <c r="BM25" i="18"/>
  <c r="AX108" i="18"/>
  <c r="E108" i="18"/>
  <c r="BB12" i="18"/>
  <c r="BB14" i="18" s="1"/>
  <c r="BB26" i="18" s="1"/>
  <c r="BH74" i="18"/>
  <c r="BH53" i="18"/>
  <c r="BH65" i="18"/>
  <c r="AS65" i="18" s="1"/>
  <c r="BH75" i="18"/>
  <c r="BH61" i="18"/>
  <c r="AS61" i="18" s="1"/>
  <c r="BH68" i="18"/>
  <c r="AS68" i="18" s="1"/>
  <c r="BM31" i="18"/>
  <c r="F68" i="18"/>
  <c r="E52" i="18"/>
  <c r="AI52" i="18"/>
  <c r="K69" i="18"/>
  <c r="BH73" i="18"/>
  <c r="BH69" i="18"/>
  <c r="AS69" i="18" s="1"/>
  <c r="BH66" i="18"/>
  <c r="AS66" i="18" s="1"/>
  <c r="BH52" i="18"/>
  <c r="BH70" i="18"/>
  <c r="AS70" i="18" s="1"/>
  <c r="BH60" i="18"/>
  <c r="AS60" i="18" s="1"/>
  <c r="BM52" i="18"/>
  <c r="AJ158" i="18"/>
  <c r="BO43" i="18"/>
  <c r="E73" i="18"/>
  <c r="AI129" i="18"/>
  <c r="AX129" i="18"/>
  <c r="E59" i="18"/>
  <c r="BP46" i="18"/>
  <c r="AL73" i="18"/>
  <c r="BM46" i="18"/>
  <c r="E129" i="18"/>
  <c r="BA129" i="18"/>
  <c r="AL46" i="18"/>
  <c r="AX8" i="18"/>
  <c r="AX10" i="18" s="1"/>
  <c r="AX12" i="18"/>
  <c r="AX53" i="18" s="1"/>
  <c r="BM73" i="18"/>
  <c r="H73" i="18"/>
  <c r="AY158" i="18"/>
  <c r="U158" i="18"/>
  <c r="AJ154" i="18"/>
  <c r="V139" i="18"/>
  <c r="AY136" i="18"/>
  <c r="AY154" i="18"/>
  <c r="AB137" i="18"/>
  <c r="AL137" i="18"/>
  <c r="H157" i="18"/>
  <c r="BA157" i="18"/>
  <c r="AL157" i="18"/>
  <c r="W157" i="18"/>
  <c r="BG69" i="18"/>
  <c r="AR69" i="18" s="1"/>
  <c r="BG54" i="18"/>
  <c r="BG58" i="18"/>
  <c r="AR58" i="18" s="1"/>
  <c r="BG65" i="18"/>
  <c r="AR65" i="18" s="1"/>
  <c r="BG59" i="18"/>
  <c r="AR59" i="18" s="1"/>
  <c r="AM155" i="18"/>
  <c r="BG55" i="18"/>
  <c r="BG71" i="18"/>
  <c r="BG74" i="18"/>
  <c r="BG64" i="18"/>
  <c r="AR64" i="18" s="1"/>
  <c r="AQ158" i="18"/>
  <c r="BG70" i="18"/>
  <c r="AR70" i="18" s="1"/>
  <c r="BG52" i="18"/>
  <c r="BG53" i="18"/>
  <c r="BG61" i="18"/>
  <c r="AR61" i="18" s="1"/>
  <c r="AA141" i="18"/>
  <c r="AA136" i="18"/>
  <c r="Q200" i="5"/>
  <c r="S200" i="5" s="1"/>
  <c r="AW158" i="18"/>
  <c r="G156" i="18"/>
  <c r="F135" i="18"/>
  <c r="AO140" i="18"/>
  <c r="BA158" i="18"/>
  <c r="N139" i="18"/>
  <c r="BF154" i="18"/>
  <c r="L158" i="18"/>
  <c r="AW157" i="18"/>
  <c r="AZ139" i="18"/>
  <c r="BB158" i="18"/>
  <c r="AN154" i="18"/>
  <c r="F154" i="18"/>
  <c r="U154" i="18"/>
  <c r="BC155" i="18"/>
  <c r="U157" i="18"/>
  <c r="W137" i="18"/>
  <c r="AR158" i="18"/>
  <c r="Y140" i="18"/>
  <c r="AL135" i="18"/>
  <c r="H135" i="18"/>
  <c r="BE141" i="18"/>
  <c r="AP138" i="18"/>
  <c r="O156" i="18"/>
  <c r="BC139" i="18"/>
  <c r="BE158" i="18"/>
  <c r="AH136" i="18"/>
  <c r="BB156" i="18"/>
  <c r="S136" i="18"/>
  <c r="AB157" i="18"/>
  <c r="J139" i="18"/>
  <c r="BA140" i="18"/>
  <c r="W140" i="18"/>
  <c r="I139" i="18"/>
  <c r="AQ157" i="18"/>
  <c r="AK157" i="18"/>
  <c r="BC141" i="18"/>
  <c r="Y139" i="18"/>
  <c r="J155" i="18"/>
  <c r="X137" i="18"/>
  <c r="W158" i="18"/>
  <c r="H138" i="18"/>
  <c r="AH137" i="18"/>
  <c r="V141" i="18"/>
  <c r="AO139" i="18"/>
  <c r="AN139" i="18"/>
  <c r="BD158" i="18"/>
  <c r="AO158" i="18"/>
  <c r="Y136" i="18"/>
  <c r="D136" i="18"/>
  <c r="AN135" i="18"/>
  <c r="S135" i="18"/>
  <c r="BH138" i="18"/>
  <c r="S157" i="18"/>
  <c r="D157" i="18"/>
  <c r="AB139" i="18"/>
  <c r="AS158" i="18"/>
  <c r="AP155" i="18"/>
  <c r="BB155" i="18"/>
  <c r="AW52" i="18"/>
  <c r="X135" i="18"/>
  <c r="AL140" i="18"/>
  <c r="K158" i="18"/>
  <c r="I158" i="18"/>
  <c r="G158" i="18"/>
  <c r="L141" i="18"/>
  <c r="AW54" i="18"/>
  <c r="AZ156" i="18"/>
  <c r="V156" i="18"/>
  <c r="Z135" i="18"/>
  <c r="BC135" i="18"/>
  <c r="S137" i="18"/>
  <c r="D137" i="18"/>
  <c r="AH157" i="18"/>
  <c r="H137" i="18"/>
  <c r="BA139" i="18"/>
  <c r="F136" i="18"/>
  <c r="W135" i="18"/>
  <c r="H136" i="18"/>
  <c r="AW55" i="18"/>
  <c r="AW57" i="18"/>
  <c r="AH57" i="18" s="1"/>
  <c r="AM137" i="18"/>
  <c r="I137" i="18"/>
  <c r="AL158" i="18"/>
  <c r="J135" i="18"/>
  <c r="Y135" i="18"/>
  <c r="AW137" i="18"/>
  <c r="BF139" i="18"/>
  <c r="M139" i="18"/>
  <c r="O158" i="18"/>
  <c r="AC136" i="18"/>
  <c r="AZ158" i="18"/>
  <c r="V158" i="18"/>
  <c r="AR156" i="18"/>
  <c r="AW53" i="18"/>
  <c r="AW58" i="18"/>
  <c r="AH58" i="18" s="1"/>
  <c r="AN156" i="18"/>
  <c r="AY137" i="18"/>
  <c r="AK156" i="18"/>
  <c r="AM139" i="18"/>
  <c r="L156" i="18"/>
  <c r="AN138" i="18"/>
  <c r="X139" i="18"/>
  <c r="J141" i="18"/>
  <c r="AW135" i="18"/>
  <c r="M154" i="18"/>
  <c r="AY138" i="18"/>
  <c r="AC139" i="18"/>
  <c r="AZ65" i="18"/>
  <c r="AZ75" i="18"/>
  <c r="BB141" i="18"/>
  <c r="AC155" i="18"/>
  <c r="AR136" i="18"/>
  <c r="T136" i="18"/>
  <c r="AK138" i="18"/>
  <c r="AB158" i="18"/>
  <c r="L136" i="18"/>
  <c r="AM156" i="18"/>
  <c r="BA155" i="18"/>
  <c r="AH158" i="18"/>
  <c r="BE138" i="18"/>
  <c r="AW71" i="18"/>
  <c r="AW63" i="18"/>
  <c r="AW60" i="18"/>
  <c r="AW59" i="18"/>
  <c r="AW65" i="18"/>
  <c r="AW66" i="18"/>
  <c r="J156" i="18"/>
  <c r="BF156" i="18"/>
  <c r="AZ157" i="18"/>
  <c r="AJ137" i="18"/>
  <c r="Z154" i="18"/>
  <c r="AN158" i="18"/>
  <c r="AZ154" i="18"/>
  <c r="AO135" i="18"/>
  <c r="I135" i="18"/>
  <c r="J137" i="18"/>
  <c r="Y154" i="18"/>
  <c r="Y138" i="18"/>
  <c r="BC138" i="18"/>
  <c r="AY140" i="18"/>
  <c r="BD140" i="18"/>
  <c r="Z140" i="18"/>
  <c r="Z158" i="18"/>
  <c r="BE156" i="18"/>
  <c r="AA156" i="18"/>
  <c r="Y155" i="18"/>
  <c r="AN155" i="18"/>
  <c r="J136" i="18"/>
  <c r="BC136" i="18"/>
  <c r="H158" i="18"/>
  <c r="BA138" i="18"/>
  <c r="W138" i="18"/>
  <c r="BG75" i="18"/>
  <c r="BG72" i="18"/>
  <c r="BG66" i="18"/>
  <c r="BG57" i="18"/>
  <c r="BG62" i="18"/>
  <c r="BG63" i="18"/>
  <c r="F157" i="18"/>
  <c r="AW136" i="18"/>
  <c r="AN141" i="18"/>
  <c r="Y141" i="18"/>
  <c r="D135" i="18"/>
  <c r="AB154" i="18"/>
  <c r="U138" i="18"/>
  <c r="T158" i="18"/>
  <c r="AD138" i="18"/>
  <c r="AQ139" i="18"/>
  <c r="BH158" i="18"/>
  <c r="BG139" i="18"/>
  <c r="AZ70" i="18"/>
  <c r="AZ54" i="18"/>
  <c r="AZ58" i="18"/>
  <c r="AZ62" i="18"/>
  <c r="AZ71" i="18"/>
  <c r="AZ55" i="18"/>
  <c r="M157" i="18"/>
  <c r="AM141" i="18"/>
  <c r="AR155" i="18"/>
  <c r="Z141" i="18"/>
  <c r="K141" i="18"/>
  <c r="AL139" i="18"/>
  <c r="H139" i="18"/>
  <c r="AJ135" i="18"/>
  <c r="AM158" i="18"/>
  <c r="AX136" i="18"/>
  <c r="AA155" i="18"/>
  <c r="X154" i="18"/>
  <c r="AM154" i="18"/>
  <c r="V138" i="18"/>
  <c r="AK158" i="18"/>
  <c r="G141" i="18"/>
  <c r="AZ141" i="18"/>
  <c r="AI137" i="18"/>
  <c r="T137" i="18"/>
  <c r="Z139" i="18"/>
  <c r="G139" i="18"/>
  <c r="U136" i="18"/>
  <c r="AC156" i="18"/>
  <c r="M158" i="18"/>
  <c r="AC158" i="18"/>
  <c r="BF137" i="18"/>
  <c r="M137" i="18"/>
  <c r="BA135" i="18"/>
  <c r="BA136" i="18"/>
  <c r="W136" i="18"/>
  <c r="U202" i="5"/>
  <c r="AK155" i="18"/>
  <c r="G155" i="18"/>
  <c r="BE136" i="18"/>
  <c r="X156" i="18"/>
  <c r="I156" i="18"/>
  <c r="W155" i="18"/>
  <c r="BX48" i="18"/>
  <c r="S158" i="18"/>
  <c r="AA138" i="18"/>
  <c r="AD156" i="18"/>
  <c r="BH156" i="18"/>
  <c r="I155" i="18"/>
  <c r="AW64" i="18"/>
  <c r="AW74" i="18"/>
  <c r="AW72" i="18"/>
  <c r="AH72" i="18" s="1"/>
  <c r="AW73" i="18"/>
  <c r="AW61" i="18"/>
  <c r="AW62" i="18"/>
  <c r="BC156" i="18"/>
  <c r="AB156" i="18"/>
  <c r="V157" i="18"/>
  <c r="F158" i="18"/>
  <c r="U137" i="18"/>
  <c r="BD154" i="18"/>
  <c r="AO154" i="18"/>
  <c r="Y158" i="18"/>
  <c r="G154" i="18"/>
  <c r="AK154" i="18"/>
  <c r="AP158" i="18"/>
  <c r="AA158" i="18"/>
  <c r="K135" i="18"/>
  <c r="BD135" i="18"/>
  <c r="AM135" i="18"/>
  <c r="BB135" i="18"/>
  <c r="BC137" i="18"/>
  <c r="Y137" i="18"/>
  <c r="BC154" i="18"/>
  <c r="H140" i="18"/>
  <c r="AX158" i="18"/>
  <c r="AZ61" i="18"/>
  <c r="AZ74" i="18"/>
  <c r="AZ67" i="18"/>
  <c r="AI136" i="18"/>
  <c r="I154" i="18"/>
  <c r="K154" i="18"/>
  <c r="BB139" i="18"/>
  <c r="AL138" i="18"/>
  <c r="AW35" i="18"/>
  <c r="AH35" i="18" s="1"/>
  <c r="AW47" i="18"/>
  <c r="AW31" i="18"/>
  <c r="AW40" i="18"/>
  <c r="AH40" i="18" s="1"/>
  <c r="AW38" i="18"/>
  <c r="AH38" i="18" s="1"/>
  <c r="AW27" i="18"/>
  <c r="AW30" i="18"/>
  <c r="AW43" i="18"/>
  <c r="AH43" i="18" s="1"/>
  <c r="AW44" i="18"/>
  <c r="AH44" i="18" s="1"/>
  <c r="AW25" i="18"/>
  <c r="AW42" i="18"/>
  <c r="AH42" i="18" s="1"/>
  <c r="AW33" i="18"/>
  <c r="AH33" i="18" s="1"/>
  <c r="AW45" i="18"/>
  <c r="AW32" i="18"/>
  <c r="AH32" i="18" s="1"/>
  <c r="AW37" i="18"/>
  <c r="AH37" i="18" s="1"/>
  <c r="AW34" i="18"/>
  <c r="AH34" i="18" s="1"/>
  <c r="AW36" i="18"/>
  <c r="AH36" i="18" s="1"/>
  <c r="AW46" i="18"/>
  <c r="AW39" i="18"/>
  <c r="AH39" i="18" s="1"/>
  <c r="AW29" i="18"/>
  <c r="AH29" i="18" s="1"/>
  <c r="AW41" i="18"/>
  <c r="AH41" i="18" s="1"/>
  <c r="AW26" i="18"/>
  <c r="AW28" i="18"/>
  <c r="AW48" i="18"/>
  <c r="AJ157" i="18"/>
  <c r="AY157" i="18"/>
  <c r="AQ154" i="18"/>
  <c r="AJ138" i="18"/>
  <c r="AI158" i="18"/>
  <c r="AS138" i="18"/>
  <c r="O138" i="18"/>
  <c r="AR139" i="18"/>
  <c r="AZ72" i="18"/>
  <c r="AZ56" i="18"/>
  <c r="AZ69" i="18"/>
  <c r="AZ73" i="18"/>
  <c r="AZ52" i="18"/>
  <c r="AZ63" i="18"/>
  <c r="BF157" i="18"/>
  <c r="I141" i="18"/>
  <c r="BG155" i="18"/>
  <c r="BA137" i="18"/>
  <c r="AO141" i="18"/>
  <c r="W139" i="18"/>
  <c r="BG136" i="18"/>
  <c r="N136" i="18"/>
  <c r="U135" i="18"/>
  <c r="AY135" i="18"/>
  <c r="X158" i="18"/>
  <c r="E136" i="18"/>
  <c r="L155" i="18"/>
  <c r="BB154" i="18"/>
  <c r="G138" i="18"/>
  <c r="AK141" i="18"/>
  <c r="AX137" i="18"/>
  <c r="K139" i="18"/>
  <c r="AK139" i="18"/>
  <c r="AJ136" i="18"/>
  <c r="N156" i="18"/>
  <c r="BF158" i="18"/>
  <c r="N158" i="18"/>
  <c r="J140" i="18"/>
  <c r="BC140" i="18"/>
  <c r="AL136" i="18"/>
  <c r="AP136" i="18"/>
  <c r="AL155" i="18"/>
  <c r="D158" i="18"/>
  <c r="AP141" i="18"/>
  <c r="L138" i="18"/>
  <c r="AS156" i="18"/>
  <c r="X155" i="18"/>
  <c r="AW56" i="18"/>
  <c r="AW75" i="18"/>
  <c r="AW68" i="18"/>
  <c r="AW67" i="18"/>
  <c r="AW69" i="18"/>
  <c r="AW70" i="18"/>
  <c r="Y156" i="18"/>
  <c r="M156" i="18"/>
  <c r="AQ156" i="18"/>
  <c r="G157" i="18"/>
  <c r="F137" i="18"/>
  <c r="J158" i="18"/>
  <c r="BC158" i="18"/>
  <c r="V154" i="18"/>
  <c r="AN137" i="18"/>
  <c r="J154" i="18"/>
  <c r="F138" i="18"/>
  <c r="AZ66" i="18"/>
  <c r="AZ53" i="18"/>
  <c r="AZ57" i="18"/>
  <c r="AZ138" i="18"/>
  <c r="E137" i="18"/>
  <c r="AZ155" i="18"/>
  <c r="H155" i="18"/>
  <c r="J138" i="18"/>
  <c r="U140" i="18"/>
  <c r="AJ140" i="18"/>
  <c r="F140" i="18"/>
  <c r="K140" i="18"/>
  <c r="AP156" i="18"/>
  <c r="AN136" i="18"/>
  <c r="BB137" i="18"/>
  <c r="AH135" i="18"/>
  <c r="E158" i="18"/>
  <c r="AD158" i="18"/>
  <c r="AZ60" i="18"/>
  <c r="AZ64" i="18"/>
  <c r="AZ68" i="18"/>
  <c r="AZ59" i="18"/>
  <c r="X141" i="18"/>
  <c r="N155" i="18"/>
  <c r="BD141" i="18"/>
  <c r="BE155" i="18"/>
  <c r="BD139" i="18"/>
  <c r="BG156" i="18"/>
  <c r="BG158" i="18"/>
  <c r="AQ137" i="18"/>
  <c r="AN140" i="18"/>
  <c r="V155" i="18"/>
  <c r="GR68" i="19" l="1"/>
  <c r="X43" i="16" s="1"/>
  <c r="AJ30" i="5"/>
  <c r="W166" i="25"/>
  <c r="Q166" i="25" s="1"/>
  <c r="AB232" i="25"/>
  <c r="AF232" i="25" s="1"/>
  <c r="GR59" i="19" s="1"/>
  <c r="W124" i="25"/>
  <c r="S124" i="25" s="1"/>
  <c r="W140" i="25"/>
  <c r="S140" i="25" s="1"/>
  <c r="W148" i="25"/>
  <c r="AB148" i="25" s="1"/>
  <c r="W147" i="25"/>
  <c r="V147" i="25" s="1"/>
  <c r="W104" i="25"/>
  <c r="W127" i="25"/>
  <c r="V127" i="25" s="1"/>
  <c r="W129" i="25"/>
  <c r="S129" i="25" s="1"/>
  <c r="W130" i="25"/>
  <c r="AB130" i="25" s="1"/>
  <c r="W126" i="25"/>
  <c r="H126" i="25" s="1"/>
  <c r="W122" i="25"/>
  <c r="Q122" i="25" s="1"/>
  <c r="W143" i="25"/>
  <c r="Q143" i="25" s="1"/>
  <c r="W144" i="25"/>
  <c r="AA144" i="25" s="1"/>
  <c r="W145" i="25"/>
  <c r="I145" i="25" s="1"/>
  <c r="W146" i="25"/>
  <c r="H146" i="25" s="1"/>
  <c r="W107" i="25"/>
  <c r="S107" i="25" s="1"/>
  <c r="BC127" i="11"/>
  <c r="BD127" i="11" s="1"/>
  <c r="W162" i="25"/>
  <c r="H162" i="25" s="1"/>
  <c r="W159" i="25"/>
  <c r="S159" i="25" s="1"/>
  <c r="W163" i="25"/>
  <c r="H163" i="25" s="1"/>
  <c r="W161" i="25"/>
  <c r="S161" i="25" s="1"/>
  <c r="W164" i="25"/>
  <c r="AB164" i="25" s="1"/>
  <c r="W158" i="25"/>
  <c r="Q158" i="25" s="1"/>
  <c r="W160" i="25"/>
  <c r="Q160" i="25" s="1"/>
  <c r="W142" i="25"/>
  <c r="Q142" i="25" s="1"/>
  <c r="W105" i="25"/>
  <c r="W109" i="25"/>
  <c r="Q109" i="25" s="1"/>
  <c r="W112" i="25"/>
  <c r="H112" i="25" s="1"/>
  <c r="W106" i="25"/>
  <c r="Q106" i="25" s="1"/>
  <c r="W111" i="25"/>
  <c r="W108" i="25"/>
  <c r="AB108" i="25" s="1"/>
  <c r="Q127" i="24"/>
  <c r="O127" i="24" s="1"/>
  <c r="V127" i="24"/>
  <c r="AB127" i="24"/>
  <c r="S127" i="24"/>
  <c r="AC127" i="24"/>
  <c r="AD127" i="24" s="1"/>
  <c r="AA127" i="24"/>
  <c r="S162" i="24"/>
  <c r="Q162" i="24"/>
  <c r="O162" i="24" s="1"/>
  <c r="AB162" i="24"/>
  <c r="V162" i="24"/>
  <c r="AA162" i="24"/>
  <c r="AC162" i="24"/>
  <c r="AD162" i="24" s="1"/>
  <c r="S159" i="24"/>
  <c r="Q159" i="24"/>
  <c r="O159" i="24" s="1"/>
  <c r="V159" i="24"/>
  <c r="AB128" i="24"/>
  <c r="Q128" i="24"/>
  <c r="O128" i="24" s="1"/>
  <c r="AC128" i="24"/>
  <c r="AD128" i="24" s="1"/>
  <c r="S128" i="24"/>
  <c r="AA128" i="24"/>
  <c r="V128" i="24"/>
  <c r="S163" i="24"/>
  <c r="Q163" i="24"/>
  <c r="O163" i="24" s="1"/>
  <c r="AB163" i="24"/>
  <c r="V163" i="24"/>
  <c r="AA163" i="24"/>
  <c r="AC163" i="24"/>
  <c r="AD163" i="24" s="1"/>
  <c r="S165" i="24"/>
  <c r="Q165" i="24"/>
  <c r="O165" i="24" s="1"/>
  <c r="AB165" i="24"/>
  <c r="AA165" i="24"/>
  <c r="V165" i="24"/>
  <c r="AC165" i="24"/>
  <c r="AD165" i="24" s="1"/>
  <c r="S158" i="24"/>
  <c r="Q158" i="24"/>
  <c r="O158" i="24" s="1"/>
  <c r="V158" i="24"/>
  <c r="S123" i="22"/>
  <c r="Q123" i="22"/>
  <c r="O123" i="22" s="1"/>
  <c r="V123" i="22"/>
  <c r="V164" i="22"/>
  <c r="S164" i="22"/>
  <c r="Q164" i="22"/>
  <c r="O164" i="22" s="1"/>
  <c r="Q122" i="22"/>
  <c r="O122" i="22" s="1"/>
  <c r="V122" i="22"/>
  <c r="S122" i="22"/>
  <c r="S158" i="22"/>
  <c r="V158" i="22"/>
  <c r="Q158" i="22"/>
  <c r="O158" i="22" s="1"/>
  <c r="Q129" i="22"/>
  <c r="O129" i="22" s="1"/>
  <c r="V129" i="22"/>
  <c r="S129" i="22"/>
  <c r="V130" i="22"/>
  <c r="Q130" i="22"/>
  <c r="O130" i="22" s="1"/>
  <c r="S130" i="22"/>
  <c r="V148" i="22"/>
  <c r="Q148" i="22"/>
  <c r="O148" i="22" s="1"/>
  <c r="S148" i="22"/>
  <c r="S145" i="21"/>
  <c r="Q145" i="21"/>
  <c r="O145" i="21" s="1"/>
  <c r="V145" i="21"/>
  <c r="V163" i="21"/>
  <c r="S163" i="21"/>
  <c r="Q163" i="21"/>
  <c r="O163" i="21" s="1"/>
  <c r="Q147" i="21"/>
  <c r="O147" i="21" s="1"/>
  <c r="S147" i="21"/>
  <c r="V147" i="21"/>
  <c r="Q143" i="21"/>
  <c r="O143" i="21" s="1"/>
  <c r="V143" i="21"/>
  <c r="S143" i="21"/>
  <c r="Q165" i="21"/>
  <c r="O165" i="21" s="1"/>
  <c r="V165" i="21"/>
  <c r="S165" i="21"/>
  <c r="V109" i="23"/>
  <c r="AC109" i="23"/>
  <c r="AD109" i="23" s="1"/>
  <c r="Q109" i="23"/>
  <c r="O109" i="23" s="1"/>
  <c r="S109" i="23"/>
  <c r="AB109" i="23"/>
  <c r="AA109" i="23"/>
  <c r="V110" i="23"/>
  <c r="AC110" i="23"/>
  <c r="AD110" i="23" s="1"/>
  <c r="S110" i="23"/>
  <c r="Q110" i="23"/>
  <c r="O110" i="23" s="1"/>
  <c r="AA110" i="23"/>
  <c r="AB110" i="23"/>
  <c r="S105" i="21"/>
  <c r="Q105" i="21"/>
  <c r="O105" i="21" s="1"/>
  <c r="V105" i="21"/>
  <c r="V104" i="21"/>
  <c r="S104" i="21"/>
  <c r="Q104" i="21"/>
  <c r="O104" i="21" s="1"/>
  <c r="V130" i="23"/>
  <c r="S130" i="23"/>
  <c r="AA130" i="23"/>
  <c r="AC130" i="23"/>
  <c r="AD130" i="23" s="1"/>
  <c r="Q130" i="23"/>
  <c r="O130" i="23" s="1"/>
  <c r="AB130" i="23"/>
  <c r="Q123" i="23"/>
  <c r="O123" i="23" s="1"/>
  <c r="S123" i="23"/>
  <c r="V123" i="23"/>
  <c r="AC165" i="23"/>
  <c r="AD165" i="23" s="1"/>
  <c r="S165" i="23"/>
  <c r="Q165" i="23"/>
  <c r="O165" i="23" s="1"/>
  <c r="AB165" i="23"/>
  <c r="V165" i="23"/>
  <c r="AA165" i="23"/>
  <c r="V128" i="23"/>
  <c r="AA128" i="23"/>
  <c r="S128" i="23"/>
  <c r="Q128" i="23"/>
  <c r="O128" i="23" s="1"/>
  <c r="AB128" i="23"/>
  <c r="AC128" i="23"/>
  <c r="AD128" i="23" s="1"/>
  <c r="S158" i="23"/>
  <c r="Q158" i="23"/>
  <c r="O158" i="23" s="1"/>
  <c r="V158" i="23"/>
  <c r="S140" i="23"/>
  <c r="Q140" i="23"/>
  <c r="O140" i="23" s="1"/>
  <c r="V140" i="23"/>
  <c r="Q159" i="23"/>
  <c r="O159" i="23" s="1"/>
  <c r="S159" i="23"/>
  <c r="V159" i="23"/>
  <c r="R68" i="23"/>
  <c r="T68" i="23"/>
  <c r="U68" i="23" s="1"/>
  <c r="Q69" i="23"/>
  <c r="Q89" i="24"/>
  <c r="R88" i="24"/>
  <c r="T88" i="24"/>
  <c r="U88" i="24" s="1"/>
  <c r="V105" i="22"/>
  <c r="S105" i="22"/>
  <c r="Q105" i="22"/>
  <c r="O105" i="22" s="1"/>
  <c r="V104" i="22"/>
  <c r="Q104" i="22"/>
  <c r="S104" i="22"/>
  <c r="Q105" i="24"/>
  <c r="O105" i="24" s="1"/>
  <c r="S105" i="24"/>
  <c r="V105" i="24"/>
  <c r="AC110" i="24"/>
  <c r="AD110" i="24" s="1"/>
  <c r="S110" i="24"/>
  <c r="Q110" i="24"/>
  <c r="O110" i="24" s="1"/>
  <c r="AA110" i="24"/>
  <c r="V110" i="24"/>
  <c r="AB110" i="24"/>
  <c r="Q142" i="24"/>
  <c r="O142" i="24" s="1"/>
  <c r="S142" i="24"/>
  <c r="V142" i="24"/>
  <c r="S166" i="24"/>
  <c r="Q166" i="24"/>
  <c r="O166" i="24" s="1"/>
  <c r="AB166" i="24"/>
  <c r="V166" i="24"/>
  <c r="AA166" i="24"/>
  <c r="AC166" i="24"/>
  <c r="AD166" i="24" s="1"/>
  <c r="Q122" i="24"/>
  <c r="O122" i="24" s="1"/>
  <c r="V122" i="24"/>
  <c r="S122" i="24"/>
  <c r="V130" i="24"/>
  <c r="Q130" i="24"/>
  <c r="O130" i="24" s="1"/>
  <c r="AA130" i="24"/>
  <c r="AB130" i="24"/>
  <c r="S130" i="24"/>
  <c r="AC130" i="24"/>
  <c r="AD130" i="24" s="1"/>
  <c r="Q123" i="24"/>
  <c r="O123" i="24" s="1"/>
  <c r="S123" i="24"/>
  <c r="V123" i="24"/>
  <c r="V140" i="24"/>
  <c r="Q140" i="24"/>
  <c r="O140" i="24" s="1"/>
  <c r="S140" i="24"/>
  <c r="S161" i="24"/>
  <c r="Q161" i="24"/>
  <c r="O161" i="24" s="1"/>
  <c r="V161" i="24"/>
  <c r="V163" i="22"/>
  <c r="S163" i="22"/>
  <c r="Q163" i="22"/>
  <c r="V128" i="22"/>
  <c r="S128" i="22"/>
  <c r="Q128" i="22"/>
  <c r="O128" i="22" s="1"/>
  <c r="S124" i="22"/>
  <c r="Q124" i="22"/>
  <c r="O124" i="22" s="1"/>
  <c r="V124" i="22"/>
  <c r="V166" i="22"/>
  <c r="Q166" i="22"/>
  <c r="O166" i="22" s="1"/>
  <c r="S166" i="22"/>
  <c r="V144" i="22"/>
  <c r="Q144" i="22"/>
  <c r="O144" i="22" s="1"/>
  <c r="S144" i="22"/>
  <c r="S140" i="22"/>
  <c r="V140" i="22"/>
  <c r="Q140" i="22"/>
  <c r="O140" i="22" s="1"/>
  <c r="Q161" i="22"/>
  <c r="O161" i="22" s="1"/>
  <c r="V161" i="22"/>
  <c r="S161" i="22"/>
  <c r="V160" i="21"/>
  <c r="S160" i="21"/>
  <c r="Q160" i="21"/>
  <c r="O160" i="21" s="1"/>
  <c r="V142" i="21"/>
  <c r="S142" i="21"/>
  <c r="Q142" i="21"/>
  <c r="S158" i="21"/>
  <c r="V158" i="21"/>
  <c r="Q158" i="21"/>
  <c r="O158" i="21" s="1"/>
  <c r="V146" i="21"/>
  <c r="S146" i="21"/>
  <c r="Q146" i="21"/>
  <c r="O146" i="21" s="1"/>
  <c r="S104" i="23"/>
  <c r="V104" i="23"/>
  <c r="Q104" i="23"/>
  <c r="O104" i="23" s="1"/>
  <c r="V111" i="23"/>
  <c r="Q111" i="23"/>
  <c r="O111" i="23" s="1"/>
  <c r="AB111" i="23"/>
  <c r="S111" i="23"/>
  <c r="AC111" i="23"/>
  <c r="AD111" i="23" s="1"/>
  <c r="AA111" i="23"/>
  <c r="V112" i="23"/>
  <c r="AC112" i="23"/>
  <c r="AD112" i="23" s="1"/>
  <c r="S112" i="23"/>
  <c r="Q112" i="23"/>
  <c r="O112" i="23" s="1"/>
  <c r="AA112" i="23"/>
  <c r="AB112" i="23"/>
  <c r="S106" i="21"/>
  <c r="Q106" i="21"/>
  <c r="V106" i="21"/>
  <c r="V108" i="21"/>
  <c r="Q108" i="21"/>
  <c r="O108" i="21" s="1"/>
  <c r="S108" i="21"/>
  <c r="V124" i="23"/>
  <c r="S124" i="23"/>
  <c r="Q124" i="23"/>
  <c r="O124" i="23" s="1"/>
  <c r="S125" i="23"/>
  <c r="V125" i="23"/>
  <c r="Q125" i="23"/>
  <c r="O125" i="23" s="1"/>
  <c r="Q122" i="23"/>
  <c r="O122" i="23" s="1"/>
  <c r="S122" i="23"/>
  <c r="V122" i="23"/>
  <c r="S141" i="23"/>
  <c r="Q141" i="23"/>
  <c r="O141" i="23" s="1"/>
  <c r="V141" i="23"/>
  <c r="AB162" i="23"/>
  <c r="V162" i="23"/>
  <c r="AA162" i="23"/>
  <c r="AC162" i="23"/>
  <c r="AD162" i="23" s="1"/>
  <c r="S162" i="23"/>
  <c r="Q162" i="23"/>
  <c r="O162" i="23" s="1"/>
  <c r="AA144" i="23"/>
  <c r="AC144" i="23"/>
  <c r="AD144" i="23" s="1"/>
  <c r="AB144" i="23"/>
  <c r="V144" i="23"/>
  <c r="S144" i="23"/>
  <c r="Q144" i="23"/>
  <c r="O144" i="23" s="1"/>
  <c r="AB163" i="23"/>
  <c r="V163" i="23"/>
  <c r="AA163" i="23"/>
  <c r="AC163" i="23"/>
  <c r="AD163" i="23" s="1"/>
  <c r="S163" i="23"/>
  <c r="Q163" i="23"/>
  <c r="O163" i="23" s="1"/>
  <c r="T58" i="22"/>
  <c r="U58" i="22" s="1"/>
  <c r="Q59" i="22"/>
  <c r="R58" i="22"/>
  <c r="Q107" i="22"/>
  <c r="O107" i="22" s="1"/>
  <c r="V107" i="22"/>
  <c r="S107" i="22"/>
  <c r="S106" i="22"/>
  <c r="Q106" i="22"/>
  <c r="O106" i="22" s="1"/>
  <c r="V106" i="22"/>
  <c r="Q111" i="22"/>
  <c r="O111" i="22" s="1"/>
  <c r="V111" i="22"/>
  <c r="S111" i="22"/>
  <c r="S106" i="24"/>
  <c r="V106" i="24"/>
  <c r="Q106" i="24"/>
  <c r="O106" i="24" s="1"/>
  <c r="AC112" i="24"/>
  <c r="AD112" i="24" s="1"/>
  <c r="S112" i="24"/>
  <c r="Q112" i="24"/>
  <c r="O112" i="24" s="1"/>
  <c r="AA112" i="24"/>
  <c r="AB112" i="24"/>
  <c r="V112" i="24"/>
  <c r="AB146" i="24"/>
  <c r="AC146" i="24"/>
  <c r="AD146" i="24" s="1"/>
  <c r="Q146" i="24"/>
  <c r="O146" i="24" s="1"/>
  <c r="S146" i="24"/>
  <c r="V146" i="24"/>
  <c r="AA146" i="24"/>
  <c r="Q125" i="24"/>
  <c r="O125" i="24" s="1"/>
  <c r="V125" i="24"/>
  <c r="S125" i="24"/>
  <c r="Q124" i="24"/>
  <c r="O124" i="24" s="1"/>
  <c r="S124" i="24"/>
  <c r="V124" i="24"/>
  <c r="Q143" i="24"/>
  <c r="O143" i="24" s="1"/>
  <c r="V143" i="24"/>
  <c r="S143" i="24"/>
  <c r="AA129" i="24"/>
  <c r="AB129" i="24"/>
  <c r="V129" i="24"/>
  <c r="AC129" i="24"/>
  <c r="AD129" i="24" s="1"/>
  <c r="Q129" i="24"/>
  <c r="O129" i="24" s="1"/>
  <c r="S129" i="24"/>
  <c r="AB144" i="24"/>
  <c r="S144" i="24"/>
  <c r="V144" i="24"/>
  <c r="AA144" i="24"/>
  <c r="AC144" i="24"/>
  <c r="AD144" i="24" s="1"/>
  <c r="Q144" i="24"/>
  <c r="O144" i="24" s="1"/>
  <c r="T144" i="24" s="1"/>
  <c r="S164" i="24"/>
  <c r="Q164" i="24"/>
  <c r="O164" i="24" s="1"/>
  <c r="AA164" i="24"/>
  <c r="AB164" i="24"/>
  <c r="V164" i="24"/>
  <c r="AC164" i="24"/>
  <c r="AD164" i="24" s="1"/>
  <c r="V162" i="22"/>
  <c r="S162" i="22"/>
  <c r="Q162" i="22"/>
  <c r="O162" i="22" s="1"/>
  <c r="V160" i="22"/>
  <c r="S160" i="22"/>
  <c r="Q160" i="22"/>
  <c r="Q125" i="22"/>
  <c r="O125" i="22" s="1"/>
  <c r="S125" i="22"/>
  <c r="V125" i="22"/>
  <c r="V126" i="22"/>
  <c r="S126" i="22"/>
  <c r="Q126" i="22"/>
  <c r="O126" i="22" s="1"/>
  <c r="Q145" i="22"/>
  <c r="O145" i="22" s="1"/>
  <c r="V145" i="22"/>
  <c r="S145" i="22"/>
  <c r="S141" i="22"/>
  <c r="Q141" i="22"/>
  <c r="O141" i="22" s="1"/>
  <c r="V141" i="22"/>
  <c r="S141" i="21"/>
  <c r="Q141" i="21"/>
  <c r="O141" i="21" s="1"/>
  <c r="V141" i="21"/>
  <c r="S159" i="21"/>
  <c r="Q159" i="21"/>
  <c r="O159" i="21" s="1"/>
  <c r="V159" i="21"/>
  <c r="V162" i="21"/>
  <c r="S162" i="21"/>
  <c r="Q162" i="21"/>
  <c r="O162" i="21" s="1"/>
  <c r="V148" i="21"/>
  <c r="S148" i="21"/>
  <c r="Q148" i="21"/>
  <c r="O148" i="21" s="1"/>
  <c r="S105" i="23"/>
  <c r="V105" i="23"/>
  <c r="Q105" i="23"/>
  <c r="O105" i="23" s="1"/>
  <c r="V106" i="23"/>
  <c r="Q106" i="23"/>
  <c r="O106" i="23" s="1"/>
  <c r="S106" i="23"/>
  <c r="V112" i="21"/>
  <c r="Q112" i="21"/>
  <c r="O112" i="21" s="1"/>
  <c r="S112" i="21"/>
  <c r="Q111" i="21"/>
  <c r="O111" i="21" s="1"/>
  <c r="V111" i="21"/>
  <c r="S111" i="21"/>
  <c r="V109" i="21"/>
  <c r="S109" i="21"/>
  <c r="Q109" i="21"/>
  <c r="O109" i="21" s="1"/>
  <c r="V143" i="23"/>
  <c r="S143" i="23"/>
  <c r="Q143" i="23"/>
  <c r="O143" i="23" s="1"/>
  <c r="AA147" i="23"/>
  <c r="AC147" i="23"/>
  <c r="AD147" i="23" s="1"/>
  <c r="S147" i="23"/>
  <c r="AB147" i="23"/>
  <c r="Q147" i="23"/>
  <c r="O147" i="23" s="1"/>
  <c r="V147" i="23"/>
  <c r="AA126" i="23"/>
  <c r="V126" i="23"/>
  <c r="S126" i="23"/>
  <c r="AC126" i="23"/>
  <c r="AD126" i="23" s="1"/>
  <c r="Q126" i="23"/>
  <c r="O126" i="23" s="1"/>
  <c r="AB126" i="23"/>
  <c r="Q142" i="23"/>
  <c r="O142" i="23" s="1"/>
  <c r="V142" i="23"/>
  <c r="S142" i="23"/>
  <c r="AB166" i="23"/>
  <c r="V166" i="23"/>
  <c r="AA166" i="23"/>
  <c r="AC166" i="23"/>
  <c r="AD166" i="23" s="1"/>
  <c r="S166" i="23"/>
  <c r="Q166" i="23"/>
  <c r="O166" i="23" s="1"/>
  <c r="AA145" i="23"/>
  <c r="AC145" i="23"/>
  <c r="AD145" i="23" s="1"/>
  <c r="V145" i="23"/>
  <c r="AB145" i="23"/>
  <c r="S145" i="23"/>
  <c r="Q145" i="23"/>
  <c r="O145" i="23" s="1"/>
  <c r="V109" i="22"/>
  <c r="S109" i="22"/>
  <c r="Q109" i="22"/>
  <c r="O109" i="22" s="1"/>
  <c r="V108" i="22"/>
  <c r="Q108" i="22"/>
  <c r="O108" i="22" s="1"/>
  <c r="S108" i="22"/>
  <c r="S107" i="24"/>
  <c r="Q107" i="24"/>
  <c r="O107" i="24" s="1"/>
  <c r="V107" i="24"/>
  <c r="AC111" i="24"/>
  <c r="AD111" i="24" s="1"/>
  <c r="S111" i="24"/>
  <c r="Q111" i="24"/>
  <c r="O111" i="24" s="1"/>
  <c r="AA111" i="24"/>
  <c r="AB111" i="24"/>
  <c r="V111" i="24"/>
  <c r="W128" i="25"/>
  <c r="I128" i="25" s="1"/>
  <c r="V160" i="24"/>
  <c r="Q160" i="24"/>
  <c r="O160" i="24" s="1"/>
  <c r="S160" i="24"/>
  <c r="Q141" i="24"/>
  <c r="O141" i="24" s="1"/>
  <c r="S141" i="24"/>
  <c r="V141" i="24"/>
  <c r="Q126" i="24"/>
  <c r="O126" i="24" s="1"/>
  <c r="S126" i="24"/>
  <c r="V126" i="24"/>
  <c r="AA126" i="24"/>
  <c r="AC126" i="24"/>
  <c r="AD126" i="24" s="1"/>
  <c r="AB126" i="24"/>
  <c r="AB147" i="24"/>
  <c r="Q147" i="24"/>
  <c r="O147" i="24" s="1"/>
  <c r="V147" i="24"/>
  <c r="AC147" i="24"/>
  <c r="AD147" i="24" s="1"/>
  <c r="AA147" i="24"/>
  <c r="S147" i="24"/>
  <c r="AB145" i="24"/>
  <c r="AC145" i="24"/>
  <c r="AD145" i="24" s="1"/>
  <c r="AA145" i="24"/>
  <c r="S145" i="24"/>
  <c r="Q145" i="24"/>
  <c r="O145" i="24" s="1"/>
  <c r="V145" i="24"/>
  <c r="AB148" i="24"/>
  <c r="S148" i="24"/>
  <c r="V148" i="24"/>
  <c r="AA148" i="24"/>
  <c r="Q148" i="24"/>
  <c r="O148" i="24" s="1"/>
  <c r="AC148" i="24"/>
  <c r="AD148" i="24" s="1"/>
  <c r="V146" i="22"/>
  <c r="S146" i="22"/>
  <c r="Q146" i="22"/>
  <c r="O146" i="22" s="1"/>
  <c r="S159" i="22"/>
  <c r="Q159" i="22"/>
  <c r="O159" i="22" s="1"/>
  <c r="V159" i="22"/>
  <c r="Q165" i="22"/>
  <c r="O165" i="22" s="1"/>
  <c r="V165" i="22"/>
  <c r="S165" i="22"/>
  <c r="Q143" i="22"/>
  <c r="O143" i="22" s="1"/>
  <c r="V143" i="22"/>
  <c r="S143" i="22"/>
  <c r="Q127" i="22"/>
  <c r="O127" i="22" s="1"/>
  <c r="V127" i="22"/>
  <c r="S127" i="22"/>
  <c r="Q147" i="22"/>
  <c r="O147" i="22" s="1"/>
  <c r="V147" i="22"/>
  <c r="S147" i="22"/>
  <c r="V142" i="22"/>
  <c r="S142" i="22"/>
  <c r="Q142" i="22"/>
  <c r="O142" i="22" s="1"/>
  <c r="S140" i="21"/>
  <c r="V140" i="21"/>
  <c r="Q140" i="21"/>
  <c r="O140" i="21" s="1"/>
  <c r="V144" i="21"/>
  <c r="S144" i="21"/>
  <c r="Q144" i="21"/>
  <c r="O144" i="21" s="1"/>
  <c r="V164" i="21"/>
  <c r="S164" i="21"/>
  <c r="Q164" i="21"/>
  <c r="O164" i="21" s="1"/>
  <c r="V166" i="21"/>
  <c r="S166" i="21"/>
  <c r="Q166" i="21"/>
  <c r="O166" i="21" s="1"/>
  <c r="Q161" i="21"/>
  <c r="O161" i="21" s="1"/>
  <c r="V161" i="21"/>
  <c r="S161" i="21"/>
  <c r="V107" i="23"/>
  <c r="S107" i="23"/>
  <c r="Q107" i="23"/>
  <c r="O107" i="23" s="1"/>
  <c r="V108" i="23"/>
  <c r="S108" i="23"/>
  <c r="AC108" i="23"/>
  <c r="AD108" i="23" s="1"/>
  <c r="AA108" i="23"/>
  <c r="Q108" i="23"/>
  <c r="O108" i="23" s="1"/>
  <c r="AB108" i="23"/>
  <c r="V110" i="21"/>
  <c r="S110" i="21"/>
  <c r="Q110" i="21"/>
  <c r="O110" i="21" s="1"/>
  <c r="Q107" i="21"/>
  <c r="O107" i="21" s="1"/>
  <c r="S107" i="21"/>
  <c r="V107" i="21"/>
  <c r="Q59" i="23"/>
  <c r="R58" i="23"/>
  <c r="T58" i="23"/>
  <c r="U58" i="23" s="1"/>
  <c r="Q59" i="24"/>
  <c r="R58" i="24"/>
  <c r="T58" i="24"/>
  <c r="U58" i="24" s="1"/>
  <c r="AC164" i="23"/>
  <c r="AD164" i="23" s="1"/>
  <c r="S164" i="23"/>
  <c r="Q164" i="23"/>
  <c r="O164" i="23" s="1"/>
  <c r="AB164" i="23"/>
  <c r="V164" i="23"/>
  <c r="AA164" i="23"/>
  <c r="S160" i="23"/>
  <c r="Q160" i="23"/>
  <c r="O160" i="23" s="1"/>
  <c r="V160" i="23"/>
  <c r="S161" i="23"/>
  <c r="Q161" i="23"/>
  <c r="O161" i="23" s="1"/>
  <c r="V161" i="23"/>
  <c r="AA127" i="23"/>
  <c r="V127" i="23"/>
  <c r="S127" i="23"/>
  <c r="AC127" i="23"/>
  <c r="AD127" i="23" s="1"/>
  <c r="Q127" i="23"/>
  <c r="O127" i="23" s="1"/>
  <c r="AB127" i="23"/>
  <c r="AA146" i="23"/>
  <c r="Q146" i="23"/>
  <c r="O146" i="23" s="1"/>
  <c r="AC146" i="23"/>
  <c r="AD146" i="23" s="1"/>
  <c r="V146" i="23"/>
  <c r="AB146" i="23"/>
  <c r="S146" i="23"/>
  <c r="V129" i="23"/>
  <c r="AA129" i="23"/>
  <c r="S129" i="23"/>
  <c r="AB129" i="23"/>
  <c r="AC129" i="23"/>
  <c r="AD129" i="23" s="1"/>
  <c r="Q129" i="23"/>
  <c r="O129" i="23" s="1"/>
  <c r="AA148" i="23"/>
  <c r="V148" i="23"/>
  <c r="AC148" i="23"/>
  <c r="AD148" i="23" s="1"/>
  <c r="S148" i="23"/>
  <c r="Q148" i="23"/>
  <c r="O148" i="23" s="1"/>
  <c r="AB148" i="23"/>
  <c r="R88" i="23"/>
  <c r="T88" i="23"/>
  <c r="U88" i="23" s="1"/>
  <c r="Q89" i="23"/>
  <c r="Q79" i="23"/>
  <c r="R78" i="23"/>
  <c r="T78" i="23"/>
  <c r="U78" i="23" s="1"/>
  <c r="T68" i="24"/>
  <c r="U68" i="24" s="1"/>
  <c r="Q69" i="24"/>
  <c r="R68" i="24"/>
  <c r="T78" i="24"/>
  <c r="U78" i="24" s="1"/>
  <c r="R78" i="24"/>
  <c r="Q79" i="24"/>
  <c r="V110" i="22"/>
  <c r="S110" i="22"/>
  <c r="Q110" i="22"/>
  <c r="O110" i="22" s="1"/>
  <c r="V112" i="22"/>
  <c r="S112" i="22"/>
  <c r="Q112" i="22"/>
  <c r="O112" i="22" s="1"/>
  <c r="S104" i="24"/>
  <c r="Q104" i="24"/>
  <c r="O104" i="24" s="1"/>
  <c r="V104" i="24"/>
  <c r="AB109" i="24"/>
  <c r="S109" i="24"/>
  <c r="Q109" i="24"/>
  <c r="O109" i="24" s="1"/>
  <c r="V109" i="24"/>
  <c r="AC109" i="24"/>
  <c r="AD109" i="24" s="1"/>
  <c r="AA109" i="24"/>
  <c r="AB108" i="24"/>
  <c r="S108" i="24"/>
  <c r="AC108" i="24"/>
  <c r="AD108" i="24" s="1"/>
  <c r="Q108" i="24"/>
  <c r="O108" i="24" s="1"/>
  <c r="V108" i="24"/>
  <c r="AA108" i="24"/>
  <c r="X104" i="20"/>
  <c r="Y104" i="20"/>
  <c r="X105" i="20"/>
  <c r="Y105" i="20"/>
  <c r="X107" i="20"/>
  <c r="Y107" i="20"/>
  <c r="X111" i="20"/>
  <c r="Y111" i="20"/>
  <c r="AN128" i="25"/>
  <c r="Q104" i="25"/>
  <c r="O104" i="25" s="1"/>
  <c r="S104" i="25"/>
  <c r="AC129" i="25"/>
  <c r="AD129" i="25" s="1"/>
  <c r="AK87" i="25"/>
  <c r="AJ123" i="25"/>
  <c r="AC166" i="25"/>
  <c r="AD166" i="25" s="1"/>
  <c r="Q105" i="25"/>
  <c r="O105" i="25" s="1"/>
  <c r="S105" i="25"/>
  <c r="Q124" i="25"/>
  <c r="O124" i="25" s="1"/>
  <c r="AC126" i="25"/>
  <c r="AD126" i="25" s="1"/>
  <c r="S141" i="25"/>
  <c r="Q141" i="25"/>
  <c r="O141" i="25" s="1"/>
  <c r="AC111" i="25"/>
  <c r="AD111" i="25" s="1"/>
  <c r="AB111" i="25"/>
  <c r="Q111" i="25"/>
  <c r="O111" i="25" s="1"/>
  <c r="AA111" i="25"/>
  <c r="V111" i="25"/>
  <c r="H111" i="25"/>
  <c r="I111" i="25"/>
  <c r="S111" i="25"/>
  <c r="V125" i="25"/>
  <c r="S125" i="25"/>
  <c r="Q125" i="25"/>
  <c r="O125" i="25" s="1"/>
  <c r="AB165" i="25"/>
  <c r="H165" i="25"/>
  <c r="AA165" i="25"/>
  <c r="I165" i="25"/>
  <c r="S165" i="25"/>
  <c r="Q165" i="25"/>
  <c r="O165" i="25" s="1"/>
  <c r="AC165" i="25"/>
  <c r="AD165" i="25" s="1"/>
  <c r="V165" i="25"/>
  <c r="AB110" i="25"/>
  <c r="I110" i="25"/>
  <c r="AC110" i="25"/>
  <c r="AD110" i="25" s="1"/>
  <c r="AA110" i="25"/>
  <c r="Q110" i="25"/>
  <c r="O110" i="25" s="1"/>
  <c r="S110" i="25"/>
  <c r="H110" i="25"/>
  <c r="V110" i="25"/>
  <c r="S123" i="25"/>
  <c r="Q123" i="25"/>
  <c r="O123" i="25" s="1"/>
  <c r="AP130" i="25"/>
  <c r="T58" i="25"/>
  <c r="U58" i="25" s="1"/>
  <c r="Q59" i="25"/>
  <c r="R58" i="25"/>
  <c r="AJ128" i="25"/>
  <c r="AL130" i="25"/>
  <c r="AQ67" i="25"/>
  <c r="AQ68" i="25" s="1"/>
  <c r="AQ69" i="25" s="1"/>
  <c r="AQ70" i="25" s="1"/>
  <c r="AK68" i="25"/>
  <c r="AK69" i="25" s="1"/>
  <c r="AK70" i="25" s="1"/>
  <c r="AR128" i="25"/>
  <c r="S15" i="5"/>
  <c r="S30" i="5"/>
  <c r="U15" i="5"/>
  <c r="AA17" i="5"/>
  <c r="N18" i="5"/>
  <c r="O81" i="16" s="1"/>
  <c r="H109" i="24"/>
  <c r="AY102" i="5"/>
  <c r="AE32" i="5"/>
  <c r="W12" i="5"/>
  <c r="W27" i="5"/>
  <c r="U12" i="5"/>
  <c r="U27" i="5"/>
  <c r="S12" i="5"/>
  <c r="S27" i="5"/>
  <c r="S11" i="5"/>
  <c r="AN70" i="18"/>
  <c r="AK70" i="18"/>
  <c r="AL70" i="18"/>
  <c r="AP71" i="13"/>
  <c r="AQ71" i="13"/>
  <c r="AJ128" i="23"/>
  <c r="AA144" i="22"/>
  <c r="H144" i="22" s="1"/>
  <c r="AP128" i="20"/>
  <c r="I126" i="23"/>
  <c r="H126" i="23"/>
  <c r="H129" i="23"/>
  <c r="I129" i="23"/>
  <c r="AB146" i="21"/>
  <c r="I146" i="21" s="1"/>
  <c r="AA146" i="21"/>
  <c r="H146" i="21" s="1"/>
  <c r="I164" i="23"/>
  <c r="H164" i="23"/>
  <c r="I164" i="21"/>
  <c r="AB164" i="21"/>
  <c r="H164" i="21"/>
  <c r="AA164" i="21"/>
  <c r="AC164" i="21"/>
  <c r="AD164" i="21" s="1"/>
  <c r="H166" i="24"/>
  <c r="I166" i="24"/>
  <c r="I163" i="24"/>
  <c r="H163" i="24"/>
  <c r="H146" i="24"/>
  <c r="I146" i="24"/>
  <c r="H146" i="23"/>
  <c r="I146" i="23"/>
  <c r="I144" i="23"/>
  <c r="H144" i="23"/>
  <c r="S160" i="20"/>
  <c r="Q160" i="20"/>
  <c r="O160" i="20" s="1"/>
  <c r="V160" i="20" s="1"/>
  <c r="X160" i="20" s="1"/>
  <c r="S161" i="20"/>
  <c r="Q161" i="20"/>
  <c r="O161" i="20" s="1"/>
  <c r="AA166" i="22"/>
  <c r="AB166" i="22"/>
  <c r="AC166" i="22"/>
  <c r="AD166" i="22" s="1"/>
  <c r="I166" i="22"/>
  <c r="H166" i="22"/>
  <c r="Q125" i="20"/>
  <c r="O125" i="20" s="1"/>
  <c r="S125" i="20"/>
  <c r="S122" i="20"/>
  <c r="Q122" i="20"/>
  <c r="O122" i="20" s="1"/>
  <c r="S123" i="20"/>
  <c r="Q123" i="20"/>
  <c r="O123" i="20" s="1"/>
  <c r="Q125" i="21"/>
  <c r="O125" i="21" s="1"/>
  <c r="S125" i="21"/>
  <c r="AC126" i="21"/>
  <c r="AD126" i="21" s="1"/>
  <c r="AA126" i="21"/>
  <c r="H126" i="21"/>
  <c r="S126" i="21"/>
  <c r="V126" i="21"/>
  <c r="Q126" i="21"/>
  <c r="O126" i="21" s="1"/>
  <c r="AB126" i="21"/>
  <c r="I126" i="21"/>
  <c r="I128" i="24"/>
  <c r="H128" i="24"/>
  <c r="H129" i="24"/>
  <c r="I129" i="24"/>
  <c r="H130" i="23"/>
  <c r="I130" i="23"/>
  <c r="AA145" i="21"/>
  <c r="H145" i="21" s="1"/>
  <c r="AB145" i="21"/>
  <c r="I145" i="21" s="1"/>
  <c r="I163" i="23"/>
  <c r="H163" i="23"/>
  <c r="H163" i="21"/>
  <c r="AB163" i="21"/>
  <c r="AC163" i="21"/>
  <c r="AD163" i="21" s="1"/>
  <c r="AA163" i="21"/>
  <c r="I163" i="21"/>
  <c r="AA162" i="21"/>
  <c r="AC162" i="21"/>
  <c r="AD162" i="21" s="1"/>
  <c r="I162" i="21"/>
  <c r="AB162" i="21"/>
  <c r="H162" i="21"/>
  <c r="H160" i="24"/>
  <c r="H161" i="24"/>
  <c r="I147" i="24"/>
  <c r="H147" i="24"/>
  <c r="I144" i="24"/>
  <c r="H144" i="24"/>
  <c r="I145" i="23"/>
  <c r="H145" i="23"/>
  <c r="S164" i="20"/>
  <c r="Q164" i="20"/>
  <c r="O164" i="20" s="1"/>
  <c r="V164" i="20" s="1"/>
  <c r="Y164" i="20" s="1"/>
  <c r="S165" i="20"/>
  <c r="Q165" i="20"/>
  <c r="O165" i="20" s="1"/>
  <c r="V165" i="20" s="1"/>
  <c r="X165" i="20" s="1"/>
  <c r="AA165" i="20" s="1"/>
  <c r="H165" i="20" s="1"/>
  <c r="S159" i="20"/>
  <c r="Q159" i="20"/>
  <c r="O159" i="20" s="1"/>
  <c r="V159" i="20" s="1"/>
  <c r="X159" i="20" s="1"/>
  <c r="AB148" i="22"/>
  <c r="AA148" i="22"/>
  <c r="AC148" i="22"/>
  <c r="AD148" i="22" s="1"/>
  <c r="I148" i="22"/>
  <c r="H148" i="22"/>
  <c r="O160" i="22"/>
  <c r="AB164" i="22"/>
  <c r="AC164" i="22"/>
  <c r="AD164" i="22" s="1"/>
  <c r="H164" i="22"/>
  <c r="AA164" i="22"/>
  <c r="I164" i="22"/>
  <c r="Q127" i="20"/>
  <c r="O127" i="20" s="1"/>
  <c r="V127" i="20" s="1"/>
  <c r="X127" i="20" s="1"/>
  <c r="AB127" i="20" s="1"/>
  <c r="I127" i="20" s="1"/>
  <c r="S127" i="20"/>
  <c r="S130" i="20"/>
  <c r="I130" i="20"/>
  <c r="V130" i="20"/>
  <c r="AB130" i="20"/>
  <c r="AA130" i="20"/>
  <c r="AC130" i="20"/>
  <c r="AD130" i="20" s="1"/>
  <c r="H130" i="20"/>
  <c r="Q130" i="20"/>
  <c r="O130" i="20" s="1"/>
  <c r="I129" i="22"/>
  <c r="AB129" i="22"/>
  <c r="AC129" i="22"/>
  <c r="AD129" i="22" s="1"/>
  <c r="H129" i="22"/>
  <c r="AA129" i="22"/>
  <c r="AC129" i="21"/>
  <c r="AD129" i="21" s="1"/>
  <c r="V129" i="21"/>
  <c r="AB129" i="21"/>
  <c r="I129" i="21"/>
  <c r="AA129" i="21"/>
  <c r="Q129" i="21"/>
  <c r="O129" i="21" s="1"/>
  <c r="H129" i="21"/>
  <c r="S129" i="21"/>
  <c r="AC130" i="21"/>
  <c r="AD130" i="21" s="1"/>
  <c r="S130" i="21"/>
  <c r="AB130" i="21"/>
  <c r="Q130" i="21"/>
  <c r="O130" i="21" s="1"/>
  <c r="AA130" i="21"/>
  <c r="I130" i="21"/>
  <c r="H130" i="21"/>
  <c r="V130" i="21"/>
  <c r="I130" i="24"/>
  <c r="H130" i="24"/>
  <c r="H128" i="23"/>
  <c r="I128" i="23"/>
  <c r="AB144" i="21"/>
  <c r="I144" i="21" s="1"/>
  <c r="AA144" i="21"/>
  <c r="H144" i="21" s="1"/>
  <c r="O142" i="21"/>
  <c r="I162" i="23"/>
  <c r="H162" i="23"/>
  <c r="I165" i="23"/>
  <c r="H165" i="23"/>
  <c r="I165" i="24"/>
  <c r="H165" i="24"/>
  <c r="I147" i="23"/>
  <c r="H147" i="23"/>
  <c r="H148" i="23"/>
  <c r="I148" i="23"/>
  <c r="Q166" i="20"/>
  <c r="O166" i="20" s="1"/>
  <c r="S166" i="20"/>
  <c r="Q162" i="20"/>
  <c r="O162" i="20" s="1"/>
  <c r="V162" i="20" s="1"/>
  <c r="Y162" i="20" s="1"/>
  <c r="S162" i="20"/>
  <c r="I146" i="22"/>
  <c r="AC146" i="22"/>
  <c r="AD146" i="22" s="1"/>
  <c r="H146" i="22"/>
  <c r="AA146" i="22"/>
  <c r="AB146" i="22"/>
  <c r="I147" i="22"/>
  <c r="H147" i="22"/>
  <c r="AA147" i="22"/>
  <c r="AC147" i="22"/>
  <c r="AD147" i="22" s="1"/>
  <c r="AB147" i="22"/>
  <c r="AC165" i="22"/>
  <c r="AD165" i="22" s="1"/>
  <c r="AB165" i="22"/>
  <c r="AA165" i="22"/>
  <c r="I165" i="22"/>
  <c r="H165" i="22"/>
  <c r="AA162" i="22"/>
  <c r="H162" i="22"/>
  <c r="AB162" i="22"/>
  <c r="I162" i="22"/>
  <c r="AC162" i="22"/>
  <c r="AD162" i="22" s="1"/>
  <c r="S128" i="20"/>
  <c r="Q128" i="20"/>
  <c r="O128" i="20" s="1"/>
  <c r="V128" i="20" s="1"/>
  <c r="Y128" i="20" s="1"/>
  <c r="Q129" i="20"/>
  <c r="O129" i="20" s="1"/>
  <c r="S129" i="20"/>
  <c r="I127" i="22"/>
  <c r="H127" i="22"/>
  <c r="AA127" i="22"/>
  <c r="AC127" i="22"/>
  <c r="AD127" i="22" s="1"/>
  <c r="AB127" i="22"/>
  <c r="AB128" i="22"/>
  <c r="AA128" i="22"/>
  <c r="AC128" i="22"/>
  <c r="AD128" i="22" s="1"/>
  <c r="I128" i="22"/>
  <c r="H128" i="22"/>
  <c r="AC128" i="21"/>
  <c r="AD128" i="21" s="1"/>
  <c r="AA128" i="21"/>
  <c r="Q128" i="21"/>
  <c r="O128" i="21" s="1"/>
  <c r="S128" i="21"/>
  <c r="V128" i="21"/>
  <c r="AB128" i="21"/>
  <c r="I128" i="21"/>
  <c r="H128" i="21"/>
  <c r="Q124" i="21"/>
  <c r="O124" i="21" s="1"/>
  <c r="S124" i="21"/>
  <c r="AC127" i="21"/>
  <c r="AD127" i="21" s="1"/>
  <c r="AA127" i="21"/>
  <c r="S127" i="21"/>
  <c r="V127" i="21"/>
  <c r="Q127" i="21"/>
  <c r="O127" i="21" s="1"/>
  <c r="AB127" i="21"/>
  <c r="I127" i="21"/>
  <c r="H127" i="21"/>
  <c r="I126" i="24"/>
  <c r="H126" i="24"/>
  <c r="AA145" i="22"/>
  <c r="H145" i="22" s="1"/>
  <c r="I127" i="23"/>
  <c r="H127" i="23"/>
  <c r="AA147" i="21"/>
  <c r="H147" i="21" s="1"/>
  <c r="AB147" i="21"/>
  <c r="I147" i="21" s="1"/>
  <c r="AA148" i="21"/>
  <c r="AC148" i="21"/>
  <c r="AD148" i="21" s="1"/>
  <c r="AB148" i="21"/>
  <c r="H148" i="21"/>
  <c r="I148" i="21"/>
  <c r="I166" i="23"/>
  <c r="H166" i="23"/>
  <c r="AA165" i="21"/>
  <c r="AB165" i="21"/>
  <c r="H165" i="21"/>
  <c r="I165" i="21"/>
  <c r="AC165" i="21"/>
  <c r="AD165" i="21" s="1"/>
  <c r="I166" i="21"/>
  <c r="AA166" i="21"/>
  <c r="AC166" i="21"/>
  <c r="AD166" i="21" s="1"/>
  <c r="H166" i="21"/>
  <c r="AB166" i="21"/>
  <c r="H164" i="24"/>
  <c r="I164" i="24"/>
  <c r="H162" i="24"/>
  <c r="I162" i="24"/>
  <c r="I148" i="24"/>
  <c r="H148" i="24"/>
  <c r="H145" i="24"/>
  <c r="I145" i="24"/>
  <c r="Q158" i="20"/>
  <c r="O158" i="20" s="1"/>
  <c r="S158" i="20"/>
  <c r="Q163" i="20"/>
  <c r="O163" i="20" s="1"/>
  <c r="S163" i="20"/>
  <c r="AC163" i="22"/>
  <c r="AD163" i="22" s="1"/>
  <c r="I163" i="22"/>
  <c r="H163" i="22"/>
  <c r="AA163" i="22"/>
  <c r="AB163" i="22"/>
  <c r="O163" i="22"/>
  <c r="S126" i="20"/>
  <c r="Q126" i="20"/>
  <c r="O126" i="20" s="1"/>
  <c r="Q124" i="20"/>
  <c r="O124" i="20" s="1"/>
  <c r="S124" i="20"/>
  <c r="H130" i="22"/>
  <c r="AA130" i="22"/>
  <c r="I130" i="22"/>
  <c r="AC130" i="22"/>
  <c r="AD130" i="22" s="1"/>
  <c r="AB130" i="22"/>
  <c r="H126" i="22"/>
  <c r="AB126" i="22"/>
  <c r="I126" i="22"/>
  <c r="AA126" i="22"/>
  <c r="AC126" i="22"/>
  <c r="AD126" i="22" s="1"/>
  <c r="S122" i="21"/>
  <c r="Q122" i="21"/>
  <c r="O122" i="21" s="1"/>
  <c r="S123" i="21"/>
  <c r="Q123" i="21"/>
  <c r="O123" i="21" s="1"/>
  <c r="H124" i="24"/>
  <c r="H125" i="24"/>
  <c r="I127" i="24"/>
  <c r="H127" i="24"/>
  <c r="AB109" i="22"/>
  <c r="I109" i="22" s="1"/>
  <c r="AL130" i="23"/>
  <c r="AN130" i="23"/>
  <c r="AJ87" i="24"/>
  <c r="AI123" i="24"/>
  <c r="AI123" i="23"/>
  <c r="AJ87" i="23"/>
  <c r="AI123" i="22"/>
  <c r="AJ87" i="22"/>
  <c r="AI123" i="21"/>
  <c r="AJ87" i="21"/>
  <c r="AN130" i="20"/>
  <c r="AA111" i="22"/>
  <c r="H111" i="22" s="1"/>
  <c r="AB108" i="22"/>
  <c r="I108" i="22" s="1"/>
  <c r="BD3" i="13"/>
  <c r="AQ67" i="23"/>
  <c r="AQ68" i="23" s="1"/>
  <c r="AQ69" i="23" s="1"/>
  <c r="AQ70" i="23" s="1"/>
  <c r="AK68" i="23"/>
  <c r="AK69" i="23" s="1"/>
  <c r="AK70" i="23" s="1"/>
  <c r="AA110" i="22"/>
  <c r="H110" i="22" s="1"/>
  <c r="H108" i="24"/>
  <c r="H112" i="23"/>
  <c r="I112" i="23"/>
  <c r="O106" i="21"/>
  <c r="AB110" i="21"/>
  <c r="I110" i="21" s="1"/>
  <c r="AA110" i="21"/>
  <c r="H110" i="21" s="1"/>
  <c r="I112" i="22"/>
  <c r="AB112" i="22"/>
  <c r="AC112" i="22"/>
  <c r="AD112" i="22" s="1"/>
  <c r="H112" i="22"/>
  <c r="AA112" i="22"/>
  <c r="H108" i="23"/>
  <c r="I108" i="23"/>
  <c r="AC112" i="21"/>
  <c r="AD112" i="21" s="1"/>
  <c r="AB112" i="21"/>
  <c r="H112" i="21"/>
  <c r="AA112" i="21"/>
  <c r="I112" i="21"/>
  <c r="H110" i="23"/>
  <c r="I110" i="23"/>
  <c r="I111" i="23"/>
  <c r="H111" i="23"/>
  <c r="O104" i="22"/>
  <c r="I109" i="23"/>
  <c r="H109" i="23"/>
  <c r="AA111" i="21"/>
  <c r="H111" i="21" s="1"/>
  <c r="AB111" i="21"/>
  <c r="I111" i="21" s="1"/>
  <c r="H112" i="24"/>
  <c r="I112" i="24"/>
  <c r="I110" i="24"/>
  <c r="H110" i="24"/>
  <c r="H111" i="24"/>
  <c r="I111" i="24"/>
  <c r="V109" i="20"/>
  <c r="AP130" i="24"/>
  <c r="AP128" i="24"/>
  <c r="AJ130" i="24"/>
  <c r="AJ128" i="24"/>
  <c r="AQ67" i="24"/>
  <c r="AQ68" i="24" s="1"/>
  <c r="AQ69" i="24" s="1"/>
  <c r="AQ70" i="24" s="1"/>
  <c r="AK68" i="24"/>
  <c r="AK69" i="24" s="1"/>
  <c r="AK70" i="24" s="1"/>
  <c r="V106" i="20"/>
  <c r="AR128" i="24"/>
  <c r="AR130" i="24"/>
  <c r="AL128" i="24"/>
  <c r="AL130" i="24"/>
  <c r="AN130" i="24"/>
  <c r="AN128" i="24"/>
  <c r="T108" i="20"/>
  <c r="AC108" i="20" s="1"/>
  <c r="AD108" i="20" s="1"/>
  <c r="T105" i="20"/>
  <c r="AC105" i="20" s="1"/>
  <c r="AD105" i="20" s="1"/>
  <c r="T112" i="20"/>
  <c r="T110" i="20"/>
  <c r="AC110" i="20" s="1"/>
  <c r="AD110" i="20" s="1"/>
  <c r="T107" i="20"/>
  <c r="AC107" i="20" s="1"/>
  <c r="AD107" i="20" s="1"/>
  <c r="V110" i="20"/>
  <c r="T111" i="20"/>
  <c r="AC111" i="20" s="1"/>
  <c r="AD111" i="20" s="1"/>
  <c r="V112" i="20"/>
  <c r="V108" i="20"/>
  <c r="AR130" i="22"/>
  <c r="AR128" i="22"/>
  <c r="AJ130" i="22"/>
  <c r="AJ128" i="22"/>
  <c r="AQ128" i="20"/>
  <c r="Q89" i="22"/>
  <c r="T88" i="22"/>
  <c r="U88" i="22" s="1"/>
  <c r="R88" i="22"/>
  <c r="T68" i="22"/>
  <c r="U68" i="22" s="1"/>
  <c r="R68" i="22"/>
  <c r="Q69" i="22"/>
  <c r="T78" i="22"/>
  <c r="U78" i="22" s="1"/>
  <c r="R78" i="22"/>
  <c r="Q79" i="22"/>
  <c r="AN130" i="22"/>
  <c r="AN128" i="22"/>
  <c r="AQ67" i="22"/>
  <c r="AQ68" i="22" s="1"/>
  <c r="AQ69" i="22" s="1"/>
  <c r="AQ70" i="22" s="1"/>
  <c r="AK68" i="22"/>
  <c r="AK69" i="22" s="1"/>
  <c r="AK70" i="22" s="1"/>
  <c r="Q69" i="21"/>
  <c r="R68" i="21"/>
  <c r="T68" i="21"/>
  <c r="U68" i="21" s="1"/>
  <c r="Q59" i="21"/>
  <c r="R58" i="21"/>
  <c r="T58" i="21"/>
  <c r="U58" i="21" s="1"/>
  <c r="AP130" i="21"/>
  <c r="AL130" i="21"/>
  <c r="AQ67" i="21"/>
  <c r="AQ68" i="21" s="1"/>
  <c r="AQ69" i="21" s="1"/>
  <c r="AQ70" i="21" s="1"/>
  <c r="AK68" i="21"/>
  <c r="AK69" i="21" s="1"/>
  <c r="AK70" i="21" s="1"/>
  <c r="AN130" i="21"/>
  <c r="Q89" i="21"/>
  <c r="T88" i="21"/>
  <c r="U88" i="21" s="1"/>
  <c r="R88" i="21"/>
  <c r="R78" i="21"/>
  <c r="Q79" i="21"/>
  <c r="T78" i="21"/>
  <c r="U78" i="21" s="1"/>
  <c r="Q142" i="20"/>
  <c r="O142" i="20" s="1"/>
  <c r="S142" i="20"/>
  <c r="Q140" i="20"/>
  <c r="O140" i="20" s="1"/>
  <c r="S140" i="20"/>
  <c r="Q144" i="20"/>
  <c r="O144" i="20" s="1"/>
  <c r="S144" i="20"/>
  <c r="S145" i="20"/>
  <c r="Q145" i="20"/>
  <c r="O145" i="20" s="1"/>
  <c r="S148" i="20"/>
  <c r="Q148" i="20"/>
  <c r="O148" i="20" s="1"/>
  <c r="S141" i="20"/>
  <c r="Q141" i="20"/>
  <c r="O141" i="20" s="1"/>
  <c r="Q143" i="20"/>
  <c r="O143" i="20" s="1"/>
  <c r="S143" i="20"/>
  <c r="Q146" i="20"/>
  <c r="O146" i="20" s="1"/>
  <c r="S146" i="20"/>
  <c r="S147" i="20"/>
  <c r="Q147" i="20"/>
  <c r="O147" i="20" s="1"/>
  <c r="AK87" i="20"/>
  <c r="AJ123" i="20"/>
  <c r="AA166" i="20"/>
  <c r="H166" i="20" s="1"/>
  <c r="AB166" i="20"/>
  <c r="I166" i="20" s="1"/>
  <c r="AC104" i="20"/>
  <c r="AD104" i="20" s="1"/>
  <c r="AC109" i="20"/>
  <c r="AD109" i="20" s="1"/>
  <c r="AB128" i="20"/>
  <c r="I128" i="20" s="1"/>
  <c r="AC106" i="20"/>
  <c r="AD106" i="20" s="1"/>
  <c r="AA163" i="20"/>
  <c r="H163" i="20" s="1"/>
  <c r="AB129" i="20"/>
  <c r="I129" i="20" s="1"/>
  <c r="AK130" i="20"/>
  <c r="Q59" i="20"/>
  <c r="T58" i="20"/>
  <c r="U58" i="20" s="1"/>
  <c r="R58" i="20"/>
  <c r="AQ230" i="5"/>
  <c r="AS230" i="5" s="1"/>
  <c r="AS229" i="5"/>
  <c r="BA14" i="5"/>
  <c r="AU244" i="11"/>
  <c r="BD74" i="18"/>
  <c r="AR199" i="5"/>
  <c r="AS199" i="5"/>
  <c r="AK199" i="5"/>
  <c r="BD55" i="18"/>
  <c r="BD59" i="18"/>
  <c r="AO59" i="18" s="1"/>
  <c r="BD54" i="18"/>
  <c r="BD52" i="18"/>
  <c r="BF58" i="18"/>
  <c r="AQ58" i="18" s="1"/>
  <c r="BD66" i="18"/>
  <c r="AO66" i="18" s="1"/>
  <c r="BD53" i="18"/>
  <c r="BD67" i="18"/>
  <c r="AO67" i="18" s="1"/>
  <c r="BD14" i="18"/>
  <c r="BD37" i="18" s="1"/>
  <c r="K120" i="18" s="1"/>
  <c r="BD56" i="18"/>
  <c r="BD62" i="18"/>
  <c r="AO62" i="18" s="1"/>
  <c r="BD63" i="18"/>
  <c r="AO63" i="18" s="1"/>
  <c r="BD70" i="18"/>
  <c r="BD69" i="18"/>
  <c r="AO69" i="18" s="1"/>
  <c r="BD72" i="18"/>
  <c r="BD71" i="18"/>
  <c r="BD60" i="18"/>
  <c r="AO60" i="18" s="1"/>
  <c r="BD65" i="18"/>
  <c r="AO65" i="18" s="1"/>
  <c r="BD57" i="18"/>
  <c r="BD68" i="18"/>
  <c r="AO68" i="18" s="1"/>
  <c r="BD58" i="18"/>
  <c r="BD75" i="18"/>
  <c r="BD61" i="18"/>
  <c r="AO61" i="18" s="1"/>
  <c r="BD73" i="18"/>
  <c r="AM136" i="18"/>
  <c r="BA27" i="18"/>
  <c r="BA43" i="18"/>
  <c r="AL43" i="18" s="1"/>
  <c r="BA38" i="18"/>
  <c r="AL38" i="18" s="1"/>
  <c r="BA47" i="18"/>
  <c r="BA35" i="18"/>
  <c r="AL35" i="18" s="1"/>
  <c r="BA33" i="18"/>
  <c r="AL33" i="18" s="1"/>
  <c r="BA36" i="18"/>
  <c r="AL36" i="18" s="1"/>
  <c r="BA39" i="18"/>
  <c r="AL39" i="18" s="1"/>
  <c r="BA29" i="18"/>
  <c r="BA40" i="18"/>
  <c r="AL40" i="18" s="1"/>
  <c r="BA37" i="18"/>
  <c r="AL37" i="18" s="1"/>
  <c r="BA42" i="18"/>
  <c r="AL42" i="18" s="1"/>
  <c r="BA25" i="18"/>
  <c r="BA31" i="18"/>
  <c r="BA46" i="18"/>
  <c r="BA26" i="18"/>
  <c r="BA34" i="18"/>
  <c r="AL34" i="18" s="1"/>
  <c r="BA45" i="18"/>
  <c r="BA48" i="18"/>
  <c r="BA30" i="18"/>
  <c r="BA44" i="18"/>
  <c r="BA28" i="18"/>
  <c r="BA32" i="18"/>
  <c r="AL32" i="18" s="1"/>
  <c r="AM91" i="5"/>
  <c r="AL129" i="5"/>
  <c r="AL98" i="5"/>
  <c r="AS98" i="5"/>
  <c r="AU98" i="5"/>
  <c r="AR98" i="5"/>
  <c r="AM98" i="5"/>
  <c r="AT98" i="5"/>
  <c r="AN98" i="5"/>
  <c r="AK98" i="5"/>
  <c r="AJ98" i="5"/>
  <c r="AO98" i="5"/>
  <c r="AP98" i="5"/>
  <c r="AQ98" i="5"/>
  <c r="AA56" i="5"/>
  <c r="Z52" i="25" s="1"/>
  <c r="AM238" i="5"/>
  <c r="BA55" i="11" s="1"/>
  <c r="AP87" i="11" s="1"/>
  <c r="T139" i="18"/>
  <c r="AD157" i="18"/>
  <c r="V200" i="5"/>
  <c r="AJ200" i="5"/>
  <c r="W200" i="5"/>
  <c r="T200" i="5"/>
  <c r="AA48" i="5"/>
  <c r="AG48" i="5" s="1"/>
  <c r="AG46" i="5" s="1"/>
  <c r="BF65" i="18"/>
  <c r="AQ65" i="18" s="1"/>
  <c r="BH157" i="18"/>
  <c r="BF25" i="18"/>
  <c r="E139" i="18"/>
  <c r="BF26" i="18"/>
  <c r="AD136" i="18"/>
  <c r="AQ136" i="18"/>
  <c r="I140" i="18"/>
  <c r="O157" i="18"/>
  <c r="AS157" i="18"/>
  <c r="BB136" i="18"/>
  <c r="AX139" i="18"/>
  <c r="AI139" i="18"/>
  <c r="AM140" i="18"/>
  <c r="BX29" i="18"/>
  <c r="AO137" i="18"/>
  <c r="S138" i="18"/>
  <c r="BF136" i="18"/>
  <c r="AI155" i="18"/>
  <c r="AW138" i="18"/>
  <c r="AH128" i="18"/>
  <c r="AH138" i="18"/>
  <c r="BE73" i="18"/>
  <c r="AW128" i="18"/>
  <c r="D138" i="18"/>
  <c r="BF74" i="18"/>
  <c r="BF35" i="18"/>
  <c r="AQ35" i="18" s="1"/>
  <c r="BF39" i="18"/>
  <c r="AQ39" i="18" s="1"/>
  <c r="BC69" i="18"/>
  <c r="BF67" i="18"/>
  <c r="AQ67" i="18" s="1"/>
  <c r="D128" i="18"/>
  <c r="AH45" i="18"/>
  <c r="AR71" i="18"/>
  <c r="D112" i="18"/>
  <c r="AH56" i="18"/>
  <c r="AH112" i="18"/>
  <c r="AW112" i="18"/>
  <c r="S112" i="18"/>
  <c r="BF66" i="18"/>
  <c r="AR57" i="18"/>
  <c r="BF34" i="18"/>
  <c r="AQ34" i="18" s="1"/>
  <c r="AS112" i="18"/>
  <c r="BH112" i="18"/>
  <c r="AS56" i="18"/>
  <c r="O112" i="18"/>
  <c r="AD112" i="18"/>
  <c r="BF63" i="18"/>
  <c r="AQ63" i="18" s="1"/>
  <c r="S128" i="18"/>
  <c r="S155" i="18" s="1"/>
  <c r="BC52" i="18"/>
  <c r="BF60" i="18"/>
  <c r="AQ60" i="18" s="1"/>
  <c r="BF29" i="18"/>
  <c r="BF68" i="18"/>
  <c r="AQ68" i="18" s="1"/>
  <c r="K137" i="18"/>
  <c r="BF54" i="18"/>
  <c r="BF44" i="18"/>
  <c r="BF42" i="18"/>
  <c r="AQ42" i="18" s="1"/>
  <c r="BF72" i="18"/>
  <c r="BC55" i="18"/>
  <c r="BC61" i="18"/>
  <c r="AN61" i="18" s="1"/>
  <c r="BF55" i="18"/>
  <c r="BF43" i="18"/>
  <c r="AQ43" i="18" s="1"/>
  <c r="BF38" i="18"/>
  <c r="AQ38" i="18" s="1"/>
  <c r="BF47" i="18"/>
  <c r="BD137" i="18"/>
  <c r="X136" i="18"/>
  <c r="BF56" i="18"/>
  <c r="X140" i="18"/>
  <c r="BB140" i="18"/>
  <c r="Y55" i="13"/>
  <c r="X69" i="13"/>
  <c r="X70" i="13" s="1"/>
  <c r="I136" i="18"/>
  <c r="BF36" i="18"/>
  <c r="AQ36" i="18" s="1"/>
  <c r="BF70" i="18"/>
  <c r="AQ70" i="18" s="1"/>
  <c r="BF62" i="18"/>
  <c r="AQ62" i="18" s="1"/>
  <c r="BF61" i="18"/>
  <c r="AQ61" i="18" s="1"/>
  <c r="BF53" i="18"/>
  <c r="BF41" i="18"/>
  <c r="BF40" i="18"/>
  <c r="BF32" i="18"/>
  <c r="AQ32" i="18" s="1"/>
  <c r="BF48" i="18"/>
  <c r="BF30" i="18"/>
  <c r="BF46" i="18"/>
  <c r="BF73" i="18"/>
  <c r="BF71" i="18"/>
  <c r="BF59" i="18"/>
  <c r="AQ59" i="18" s="1"/>
  <c r="BF57" i="18"/>
  <c r="BF28" i="18"/>
  <c r="BF45" i="18"/>
  <c r="BF37" i="18"/>
  <c r="AQ37" i="18" s="1"/>
  <c r="BF31" i="18"/>
  <c r="AQ31" i="18" s="1"/>
  <c r="BF33" i="18"/>
  <c r="AQ33" i="18" s="1"/>
  <c r="BF52" i="18"/>
  <c r="BF69" i="18"/>
  <c r="AQ69" i="18" s="1"/>
  <c r="BF75" i="18"/>
  <c r="BF64" i="18"/>
  <c r="AQ64" i="18" s="1"/>
  <c r="BC67" i="18"/>
  <c r="AN67" i="18" s="1"/>
  <c r="BC66" i="18"/>
  <c r="AN66" i="18" s="1"/>
  <c r="AS135" i="18"/>
  <c r="Z137" i="18"/>
  <c r="AX155" i="18"/>
  <c r="E155" i="18"/>
  <c r="T155" i="18"/>
  <c r="AO136" i="18"/>
  <c r="Z136" i="18"/>
  <c r="AJ119" i="18"/>
  <c r="L137" i="18"/>
  <c r="AY124" i="18"/>
  <c r="U119" i="18"/>
  <c r="AR138" i="18"/>
  <c r="AD135" i="18"/>
  <c r="Y157" i="18"/>
  <c r="Z155" i="18"/>
  <c r="I157" i="18"/>
  <c r="L135" i="18"/>
  <c r="BH135" i="18"/>
  <c r="O135" i="18"/>
  <c r="N138" i="18"/>
  <c r="K155" i="18"/>
  <c r="BE135" i="18"/>
  <c r="AC138" i="18"/>
  <c r="M140" i="18"/>
  <c r="AY122" i="18"/>
  <c r="AY149" i="18" s="1"/>
  <c r="J157" i="18"/>
  <c r="AA135" i="18"/>
  <c r="BE139" i="18"/>
  <c r="AA139" i="18"/>
  <c r="AP139" i="18"/>
  <c r="BC157" i="18"/>
  <c r="AN157" i="18"/>
  <c r="AJ139" i="18"/>
  <c r="X157" i="18"/>
  <c r="AP135" i="18"/>
  <c r="AB155" i="18"/>
  <c r="BC71" i="18"/>
  <c r="BB157" i="18"/>
  <c r="BF155" i="18"/>
  <c r="BC62" i="18"/>
  <c r="AN62" i="18" s="1"/>
  <c r="BC53" i="18"/>
  <c r="BC57" i="18"/>
  <c r="BC60" i="18"/>
  <c r="AN60" i="18" s="1"/>
  <c r="BC56" i="18"/>
  <c r="BC59" i="18"/>
  <c r="AJ63" i="18"/>
  <c r="BX33" i="18"/>
  <c r="BC64" i="18"/>
  <c r="AN64" i="18" s="1"/>
  <c r="BC65" i="18"/>
  <c r="AN65" i="18" s="1"/>
  <c r="AM157" i="18"/>
  <c r="BC68" i="18"/>
  <c r="AN68" i="18" s="1"/>
  <c r="BC72" i="18"/>
  <c r="BC73" i="18"/>
  <c r="F119" i="18"/>
  <c r="M155" i="18"/>
  <c r="AY119" i="18"/>
  <c r="BC75" i="18"/>
  <c r="BC14" i="18"/>
  <c r="BC36" i="18" s="1"/>
  <c r="AN36" i="18" s="1"/>
  <c r="BC54" i="18"/>
  <c r="BC63" i="18"/>
  <c r="AN63" i="18" s="1"/>
  <c r="BC58" i="18"/>
  <c r="BC74" i="18"/>
  <c r="AO155" i="18"/>
  <c r="BD155" i="18"/>
  <c r="BG138" i="18"/>
  <c r="BW49" i="18"/>
  <c r="K157" i="18"/>
  <c r="U125" i="18"/>
  <c r="U122" i="18"/>
  <c r="U149" i="18" s="1"/>
  <c r="AQ155" i="18"/>
  <c r="BF140" i="18"/>
  <c r="AO157" i="18"/>
  <c r="BX40" i="18"/>
  <c r="AP154" i="18"/>
  <c r="BE154" i="18"/>
  <c r="AA154" i="18"/>
  <c r="L154" i="18"/>
  <c r="AQ140" i="18"/>
  <c r="U117" i="18"/>
  <c r="AJ120" i="18"/>
  <c r="AJ126" i="18"/>
  <c r="AJ153" i="18" s="1"/>
  <c r="X138" i="18"/>
  <c r="I138" i="18"/>
  <c r="AM138" i="18"/>
  <c r="F122" i="18"/>
  <c r="F149" i="18" s="1"/>
  <c r="AJ122" i="18"/>
  <c r="AJ149" i="18" s="1"/>
  <c r="BG135" i="18"/>
  <c r="AY116" i="18"/>
  <c r="AY143" i="18" s="1"/>
  <c r="F114" i="18"/>
  <c r="F141" i="18" s="1"/>
  <c r="AY125" i="18"/>
  <c r="Z157" i="18"/>
  <c r="U121" i="18"/>
  <c r="AZ37" i="18"/>
  <c r="AK37" i="18" s="1"/>
  <c r="F116" i="18"/>
  <c r="F143" i="18" s="1"/>
  <c r="AJ116" i="18"/>
  <c r="AJ143" i="18" s="1"/>
  <c r="U116" i="18"/>
  <c r="U143" i="18" s="1"/>
  <c r="F117" i="18"/>
  <c r="AY120" i="18"/>
  <c r="BE140" i="18"/>
  <c r="BB138" i="18"/>
  <c r="AP140" i="18"/>
  <c r="AR135" i="18"/>
  <c r="AC135" i="18"/>
  <c r="AS137" i="18"/>
  <c r="BG40" i="18"/>
  <c r="AR40" i="18" s="1"/>
  <c r="F139" i="18"/>
  <c r="U124" i="18"/>
  <c r="AJ124" i="18"/>
  <c r="AJ68" i="18"/>
  <c r="V140" i="18"/>
  <c r="BH137" i="18"/>
  <c r="M138" i="18"/>
  <c r="AY118" i="18"/>
  <c r="AY145" i="18" s="1"/>
  <c r="AY139" i="18"/>
  <c r="AD137" i="18"/>
  <c r="F124" i="18"/>
  <c r="G140" i="18"/>
  <c r="AB138" i="18"/>
  <c r="U118" i="18"/>
  <c r="U145" i="18" s="1"/>
  <c r="AJ38" i="18"/>
  <c r="AJ118" i="18"/>
  <c r="AJ145" i="18" s="1"/>
  <c r="AK140" i="18"/>
  <c r="BF138" i="18"/>
  <c r="AQ138" i="18"/>
  <c r="AY126" i="18"/>
  <c r="AY153" i="18" s="1"/>
  <c r="F126" i="18"/>
  <c r="F153" i="18" s="1"/>
  <c r="F121" i="18"/>
  <c r="AZ140" i="18"/>
  <c r="U126" i="18"/>
  <c r="U153" i="18" s="1"/>
  <c r="F118" i="18"/>
  <c r="F145" i="18" s="1"/>
  <c r="AY117" i="18"/>
  <c r="N135" i="18"/>
  <c r="BE157" i="18"/>
  <c r="U139" i="18"/>
  <c r="O137" i="18"/>
  <c r="BX26" i="18"/>
  <c r="BD157" i="18"/>
  <c r="AJ61" i="18"/>
  <c r="AJ69" i="18"/>
  <c r="AZ35" i="18"/>
  <c r="AK35" i="18" s="1"/>
  <c r="BE35" i="18"/>
  <c r="AP35" i="18" s="1"/>
  <c r="AP157" i="18"/>
  <c r="AJ114" i="18"/>
  <c r="AJ141" i="18" s="1"/>
  <c r="F125" i="18"/>
  <c r="AY114" i="18"/>
  <c r="AY141" i="18" s="1"/>
  <c r="F120" i="18"/>
  <c r="AA157" i="18"/>
  <c r="AY121" i="18"/>
  <c r="AJ37" i="18"/>
  <c r="AJ117" i="18"/>
  <c r="AJ144" i="18" s="1"/>
  <c r="L157" i="18"/>
  <c r="AY115" i="18"/>
  <c r="AY142" i="18" s="1"/>
  <c r="AJ121" i="18"/>
  <c r="BX47" i="18"/>
  <c r="U120" i="18"/>
  <c r="BQ49" i="18"/>
  <c r="AY76" i="18"/>
  <c r="AS57" i="11" s="1"/>
  <c r="AV57" i="11" s="1"/>
  <c r="AW57" i="11" s="1"/>
  <c r="AR72" i="11" s="1"/>
  <c r="AS136" i="18"/>
  <c r="L139" i="18"/>
  <c r="AJ125" i="18"/>
  <c r="U114" i="18"/>
  <c r="U141" i="18" s="1"/>
  <c r="BS49" i="18"/>
  <c r="BH136" i="18"/>
  <c r="U115" i="18"/>
  <c r="U142" i="18" s="1"/>
  <c r="O136" i="18"/>
  <c r="AJ115" i="18"/>
  <c r="AJ142" i="18" s="1"/>
  <c r="BX41" i="18"/>
  <c r="F115" i="18"/>
  <c r="F142" i="18" s="1"/>
  <c r="AJ123" i="18"/>
  <c r="AJ150" i="18" s="1"/>
  <c r="U123" i="18"/>
  <c r="U150" i="18" s="1"/>
  <c r="L140" i="18"/>
  <c r="AA140" i="18"/>
  <c r="F123" i="18"/>
  <c r="F150" i="18" s="1"/>
  <c r="AB136" i="18"/>
  <c r="AC157" i="18"/>
  <c r="BX30" i="18"/>
  <c r="G136" i="18"/>
  <c r="AY123" i="18"/>
  <c r="AY150" i="18" s="1"/>
  <c r="AZ27" i="18"/>
  <c r="BG157" i="18"/>
  <c r="AZ45" i="18"/>
  <c r="AZ26" i="18"/>
  <c r="BE31" i="18"/>
  <c r="AZ32" i="18"/>
  <c r="AK32" i="18" s="1"/>
  <c r="BE33" i="18"/>
  <c r="AP33" i="18" s="1"/>
  <c r="G137" i="18"/>
  <c r="AR157" i="18"/>
  <c r="BX36" i="18"/>
  <c r="AO138" i="18"/>
  <c r="BD138" i="18"/>
  <c r="Z138" i="18"/>
  <c r="V136" i="18"/>
  <c r="AZ28" i="18"/>
  <c r="AZ44" i="18"/>
  <c r="AZ47" i="18"/>
  <c r="AZ48" i="18"/>
  <c r="AZ41" i="18"/>
  <c r="AK41" i="18" s="1"/>
  <c r="AZ36" i="18"/>
  <c r="AK36" i="18" s="1"/>
  <c r="AK136" i="18"/>
  <c r="BE25" i="18"/>
  <c r="BE42" i="18"/>
  <c r="AP42" i="18" s="1"/>
  <c r="BE26" i="18"/>
  <c r="AZ136" i="18"/>
  <c r="AZ40" i="18"/>
  <c r="AK40" i="18" s="1"/>
  <c r="AZ34" i="18"/>
  <c r="AK34" i="18" s="1"/>
  <c r="AZ43" i="18"/>
  <c r="AK43" i="18" s="1"/>
  <c r="AZ30" i="18"/>
  <c r="AZ38" i="18"/>
  <c r="AK38" i="18" s="1"/>
  <c r="AZ39" i="18"/>
  <c r="AK39" i="18" s="1"/>
  <c r="BE28" i="18"/>
  <c r="BE40" i="18"/>
  <c r="AP40" i="18" s="1"/>
  <c r="BE44" i="18"/>
  <c r="AZ31" i="18"/>
  <c r="AZ42" i="18"/>
  <c r="AK42" i="18" s="1"/>
  <c r="AZ46" i="18"/>
  <c r="AZ25" i="18"/>
  <c r="AZ29" i="18"/>
  <c r="BE32" i="18"/>
  <c r="AP32" i="18" s="1"/>
  <c r="BE37" i="18"/>
  <c r="AP37" i="18" s="1"/>
  <c r="BE27" i="18"/>
  <c r="AL63" i="18"/>
  <c r="G135" i="18"/>
  <c r="K138" i="18"/>
  <c r="N157" i="18"/>
  <c r="V137" i="18"/>
  <c r="AZ137" i="18"/>
  <c r="BE30" i="18"/>
  <c r="BE29" i="18"/>
  <c r="BE38" i="18"/>
  <c r="AP38" i="18" s="1"/>
  <c r="BE34" i="18"/>
  <c r="AP34" i="18" s="1"/>
  <c r="BE46" i="18"/>
  <c r="BE36" i="18"/>
  <c r="AP36" i="18" s="1"/>
  <c r="AA137" i="18"/>
  <c r="BE47" i="18"/>
  <c r="BE41" i="18"/>
  <c r="AP41" i="18" s="1"/>
  <c r="BE45" i="18"/>
  <c r="BE48" i="18"/>
  <c r="BE43" i="18"/>
  <c r="AP43" i="18" s="1"/>
  <c r="BX35" i="18"/>
  <c r="AB140" i="18"/>
  <c r="BE137" i="18"/>
  <c r="AJ156" i="18"/>
  <c r="BX28" i="18"/>
  <c r="AK137" i="18"/>
  <c r="BT49" i="18"/>
  <c r="AP137" i="18"/>
  <c r="BG45" i="18"/>
  <c r="BA141" i="18"/>
  <c r="BX27" i="18"/>
  <c r="AZ135" i="18"/>
  <c r="AK135" i="18"/>
  <c r="AL141" i="18"/>
  <c r="BX45" i="18"/>
  <c r="BD136" i="18"/>
  <c r="M136" i="18"/>
  <c r="BX31" i="18"/>
  <c r="T156" i="18"/>
  <c r="V135" i="18"/>
  <c r="H141" i="18"/>
  <c r="W141" i="18"/>
  <c r="BF135" i="18"/>
  <c r="U156" i="18"/>
  <c r="T157" i="18"/>
  <c r="BH37" i="18"/>
  <c r="AS37" i="18" s="1"/>
  <c r="H124" i="18"/>
  <c r="H151" i="18" s="1"/>
  <c r="AL124" i="18"/>
  <c r="AL151" i="18" s="1"/>
  <c r="BA124" i="18"/>
  <c r="BA151" i="18" s="1"/>
  <c r="W124" i="18"/>
  <c r="W151" i="18" s="1"/>
  <c r="AY156" i="18"/>
  <c r="K136" i="18"/>
  <c r="BX44" i="18"/>
  <c r="AI156" i="18"/>
  <c r="F156" i="18"/>
  <c r="BU49" i="18"/>
  <c r="M135" i="18"/>
  <c r="BE53" i="18"/>
  <c r="AX58" i="18"/>
  <c r="AI58" i="18" s="1"/>
  <c r="BE61" i="18"/>
  <c r="AP61" i="18" s="1"/>
  <c r="BE62" i="18"/>
  <c r="AP62" i="18" s="1"/>
  <c r="BE52" i="18"/>
  <c r="BE56" i="18"/>
  <c r="E156" i="18"/>
  <c r="AX156" i="18"/>
  <c r="E157" i="18"/>
  <c r="AX138" i="18"/>
  <c r="BN49" i="18"/>
  <c r="BH47" i="18"/>
  <c r="BH40" i="18"/>
  <c r="AS123" i="18" s="1"/>
  <c r="BH43" i="18"/>
  <c r="AS43" i="18" s="1"/>
  <c r="BH46" i="18"/>
  <c r="BH38" i="18"/>
  <c r="AS121" i="18" s="1"/>
  <c r="S156" i="18"/>
  <c r="BL49" i="18"/>
  <c r="BX37" i="18"/>
  <c r="BX38" i="18"/>
  <c r="BX25" i="18"/>
  <c r="AH156" i="18"/>
  <c r="D156" i="18"/>
  <c r="AW156" i="18"/>
  <c r="AB135" i="18"/>
  <c r="AI157" i="18"/>
  <c r="BX34" i="18"/>
  <c r="AQ135" i="18"/>
  <c r="AX157" i="18"/>
  <c r="BH32" i="18"/>
  <c r="AS32" i="18" s="1"/>
  <c r="BH31" i="18"/>
  <c r="AS31" i="18" s="1"/>
  <c r="BH42" i="18"/>
  <c r="AS125" i="18" s="1"/>
  <c r="BH33" i="18"/>
  <c r="AS33" i="18" s="1"/>
  <c r="BH39" i="18"/>
  <c r="AS122" i="18" s="1"/>
  <c r="BH34" i="18"/>
  <c r="AS117" i="18" s="1"/>
  <c r="T138" i="18"/>
  <c r="BB37" i="18"/>
  <c r="AM37" i="18" s="1"/>
  <c r="BH25" i="18"/>
  <c r="BH35" i="18"/>
  <c r="BH118" i="18" s="1"/>
  <c r="BH27" i="18"/>
  <c r="BH36" i="18"/>
  <c r="AD119" i="18" s="1"/>
  <c r="BH26" i="18"/>
  <c r="BH28" i="18"/>
  <c r="E138" i="18"/>
  <c r="BH41" i="18"/>
  <c r="AS124" i="18" s="1"/>
  <c r="BH45" i="18"/>
  <c r="BH44" i="18"/>
  <c r="AS127" i="18" s="1"/>
  <c r="BH30" i="18"/>
  <c r="BH113" i="18" s="1"/>
  <c r="BH48" i="18"/>
  <c r="BB72" i="18"/>
  <c r="BB59" i="18"/>
  <c r="BO49" i="18"/>
  <c r="U155" i="18"/>
  <c r="BV49" i="18"/>
  <c r="BX42" i="18"/>
  <c r="S114" i="18"/>
  <c r="AI138" i="18"/>
  <c r="AL64" i="18"/>
  <c r="AL62" i="18"/>
  <c r="BD156" i="18"/>
  <c r="BR49" i="18"/>
  <c r="BG38" i="18"/>
  <c r="BG121" i="18" s="1"/>
  <c r="Z156" i="18"/>
  <c r="F155" i="18"/>
  <c r="AJ155" i="18"/>
  <c r="BG25" i="18"/>
  <c r="BG31" i="18"/>
  <c r="AC114" i="18" s="1"/>
  <c r="BX32" i="18"/>
  <c r="BG43" i="18"/>
  <c r="BG126" i="18" s="1"/>
  <c r="AL67" i="18"/>
  <c r="AY155" i="18"/>
  <c r="BE64" i="18"/>
  <c r="AP64" i="18" s="1"/>
  <c r="BE74" i="18"/>
  <c r="BE68" i="18"/>
  <c r="AP68" i="18" s="1"/>
  <c r="BE54" i="18"/>
  <c r="BE57" i="18"/>
  <c r="BE60" i="18"/>
  <c r="AP60" i="18" s="1"/>
  <c r="BE59" i="18"/>
  <c r="AP59" i="18" s="1"/>
  <c r="BE71" i="18"/>
  <c r="BE63" i="18"/>
  <c r="AP63" i="18" s="1"/>
  <c r="BE72" i="18"/>
  <c r="BE70" i="18"/>
  <c r="BE67" i="18"/>
  <c r="AP67" i="18" s="1"/>
  <c r="BE55" i="18"/>
  <c r="BE69" i="18"/>
  <c r="AP69" i="18" s="1"/>
  <c r="BE58" i="18"/>
  <c r="BE75" i="18"/>
  <c r="BE65" i="18"/>
  <c r="AP65" i="18" s="1"/>
  <c r="BB67" i="18"/>
  <c r="BB40" i="18"/>
  <c r="AM40" i="18" s="1"/>
  <c r="BP49" i="18"/>
  <c r="BA172" i="11"/>
  <c r="AX174" i="11" s="1"/>
  <c r="AQ232" i="5" s="1"/>
  <c r="AS232" i="5" s="1"/>
  <c r="BB36" i="18"/>
  <c r="AM36" i="18" s="1"/>
  <c r="BB38" i="18"/>
  <c r="AM38" i="18" s="1"/>
  <c r="BB69" i="18"/>
  <c r="BB65" i="18"/>
  <c r="AM65" i="18" s="1"/>
  <c r="AT172" i="11"/>
  <c r="AQ174" i="11" s="1"/>
  <c r="AQ231" i="5" s="1"/>
  <c r="AS231" i="5" s="1"/>
  <c r="BB68" i="18"/>
  <c r="AM68" i="18" s="1"/>
  <c r="BB25" i="18"/>
  <c r="BB27" i="18"/>
  <c r="AX135" i="18"/>
  <c r="T135" i="18"/>
  <c r="AC137" i="18"/>
  <c r="K156" i="18"/>
  <c r="BG137" i="18"/>
  <c r="BA76" i="18"/>
  <c r="AS59" i="11" s="1"/>
  <c r="AT59" i="11" s="1"/>
  <c r="AU59" i="11" s="1"/>
  <c r="W154" i="18"/>
  <c r="BA154" i="18"/>
  <c r="AX61" i="18"/>
  <c r="AI61" i="18" s="1"/>
  <c r="AX67" i="18"/>
  <c r="AI67" i="18" s="1"/>
  <c r="BG36" i="18"/>
  <c r="AR36" i="18" s="1"/>
  <c r="BG39" i="18"/>
  <c r="AR39" i="18" s="1"/>
  <c r="BG41" i="18"/>
  <c r="AR41" i="18" s="1"/>
  <c r="BG29" i="18"/>
  <c r="BG46" i="18"/>
  <c r="BG44" i="18"/>
  <c r="AR44" i="18" s="1"/>
  <c r="AL154" i="18"/>
  <c r="AI135" i="18"/>
  <c r="BG37" i="18"/>
  <c r="AR37" i="18" s="1"/>
  <c r="BG47" i="18"/>
  <c r="BG35" i="18"/>
  <c r="AR35" i="18" s="1"/>
  <c r="AO156" i="18"/>
  <c r="H154" i="18"/>
  <c r="AR137" i="18"/>
  <c r="BG26" i="18"/>
  <c r="BG30" i="18"/>
  <c r="AR30" i="18" s="1"/>
  <c r="BG33" i="18"/>
  <c r="AR33" i="18" s="1"/>
  <c r="BG34" i="18"/>
  <c r="AC117" i="18" s="1"/>
  <c r="BG48" i="18"/>
  <c r="BG27" i="18"/>
  <c r="BG28" i="18"/>
  <c r="BG42" i="18"/>
  <c r="BG125" i="18" s="1"/>
  <c r="N137" i="18"/>
  <c r="AL156" i="18"/>
  <c r="BE66" i="18"/>
  <c r="AP66" i="18" s="1"/>
  <c r="H156" i="18"/>
  <c r="BB66" i="18"/>
  <c r="BB48" i="18"/>
  <c r="BB33" i="18"/>
  <c r="AM33" i="18" s="1"/>
  <c r="BB57" i="18"/>
  <c r="BB64" i="18"/>
  <c r="BB52" i="18"/>
  <c r="BB44" i="18"/>
  <c r="BB46" i="18"/>
  <c r="BB31" i="18"/>
  <c r="BB34" i="18"/>
  <c r="AM34" i="18" s="1"/>
  <c r="BB28" i="18"/>
  <c r="BB39" i="18"/>
  <c r="AM39" i="18" s="1"/>
  <c r="BB63" i="18"/>
  <c r="AM63" i="18" s="1"/>
  <c r="BB74" i="18"/>
  <c r="W156" i="18"/>
  <c r="BB56" i="18"/>
  <c r="BB75" i="18"/>
  <c r="BB62" i="18"/>
  <c r="AM62" i="18" s="1"/>
  <c r="AX52" i="18"/>
  <c r="AX62" i="18"/>
  <c r="AI62" i="18" s="1"/>
  <c r="BB61" i="18"/>
  <c r="AM61" i="18" s="1"/>
  <c r="BB32" i="18"/>
  <c r="AM32" i="18" s="1"/>
  <c r="BB47" i="18"/>
  <c r="BB53" i="18"/>
  <c r="BB55" i="18"/>
  <c r="BB54" i="18"/>
  <c r="AS59" i="18"/>
  <c r="BB41" i="18"/>
  <c r="AM41" i="18" s="1"/>
  <c r="BB42" i="18"/>
  <c r="AM42" i="18" s="1"/>
  <c r="BB70" i="18"/>
  <c r="BB58" i="18"/>
  <c r="BB30" i="18"/>
  <c r="BB29" i="18"/>
  <c r="BB35" i="18"/>
  <c r="AM35" i="18" s="1"/>
  <c r="BB43" i="18"/>
  <c r="AM43" i="18" s="1"/>
  <c r="BB45" i="18"/>
  <c r="BB60" i="18"/>
  <c r="BB71" i="18"/>
  <c r="E135" i="18"/>
  <c r="AW113" i="18"/>
  <c r="AX69" i="18"/>
  <c r="AI69" i="18" s="1"/>
  <c r="BA156" i="18"/>
  <c r="BX46" i="18"/>
  <c r="BB73" i="18"/>
  <c r="BH76" i="18"/>
  <c r="AS66" i="11" s="1"/>
  <c r="AV66" i="11" s="1"/>
  <c r="AW66" i="11" s="1"/>
  <c r="AR81" i="11" s="1"/>
  <c r="BX43" i="18"/>
  <c r="BM49" i="18"/>
  <c r="AX68" i="18"/>
  <c r="AI68" i="18" s="1"/>
  <c r="AX64" i="18"/>
  <c r="AI64" i="18" s="1"/>
  <c r="AX63" i="18"/>
  <c r="AI63" i="18" s="1"/>
  <c r="AX72" i="18"/>
  <c r="AX66" i="18"/>
  <c r="AX14" i="18"/>
  <c r="AX59" i="18"/>
  <c r="AX60" i="18"/>
  <c r="AX54" i="18"/>
  <c r="AX56" i="18"/>
  <c r="AX57" i="18"/>
  <c r="AX55" i="18"/>
  <c r="AX71" i="18"/>
  <c r="AX65" i="18"/>
  <c r="AX73" i="18"/>
  <c r="AX74" i="18"/>
  <c r="AX75" i="18"/>
  <c r="AX70" i="18"/>
  <c r="Q201" i="5"/>
  <c r="S201" i="5" s="1"/>
  <c r="BC128" i="11" s="1"/>
  <c r="BD128" i="11" s="1"/>
  <c r="S113" i="18"/>
  <c r="AW76" i="18"/>
  <c r="AS55" i="11" s="1"/>
  <c r="AT55" i="11" s="1"/>
  <c r="AU55" i="11" s="1"/>
  <c r="AK59" i="18"/>
  <c r="AK69" i="18"/>
  <c r="AH114" i="18"/>
  <c r="AH31" i="18"/>
  <c r="S118" i="18"/>
  <c r="D118" i="18"/>
  <c r="AW118" i="18"/>
  <c r="AH118" i="18"/>
  <c r="AH62" i="18"/>
  <c r="S116" i="18"/>
  <c r="AW116" i="18"/>
  <c r="AH116" i="18"/>
  <c r="D116" i="18"/>
  <c r="AH60" i="18"/>
  <c r="N115" i="18"/>
  <c r="N142" i="18" s="1"/>
  <c r="AK63" i="18"/>
  <c r="AK67" i="18"/>
  <c r="AH61" i="18"/>
  <c r="D117" i="18"/>
  <c r="AW117" i="18"/>
  <c r="AH117" i="18"/>
  <c r="S117" i="18"/>
  <c r="S120" i="18"/>
  <c r="AH120" i="18"/>
  <c r="AW120" i="18"/>
  <c r="D120" i="18"/>
  <c r="AH64" i="18"/>
  <c r="U203" i="5"/>
  <c r="AR63" i="18"/>
  <c r="AH122" i="18"/>
  <c r="AH66" i="18"/>
  <c r="D122" i="18"/>
  <c r="AW122" i="18"/>
  <c r="S122" i="18"/>
  <c r="AH119" i="18"/>
  <c r="D119" i="18"/>
  <c r="AH63" i="18"/>
  <c r="S119" i="18"/>
  <c r="AW119" i="18"/>
  <c r="D113" i="18"/>
  <c r="AK65" i="18"/>
  <c r="D114" i="18"/>
  <c r="AK64" i="18"/>
  <c r="BG76" i="18"/>
  <c r="AS65" i="11" s="1"/>
  <c r="D123" i="18"/>
  <c r="S123" i="18"/>
  <c r="AH123" i="18"/>
  <c r="AW123" i="18"/>
  <c r="AH67" i="18"/>
  <c r="AZ76" i="18"/>
  <c r="AS58" i="11" s="1"/>
  <c r="AR115" i="18"/>
  <c r="AR142" i="18" s="1"/>
  <c r="AR62" i="18"/>
  <c r="AH65" i="18"/>
  <c r="AW121" i="18"/>
  <c r="AH121" i="18"/>
  <c r="S121" i="18"/>
  <c r="D121" i="18"/>
  <c r="S127" i="18"/>
  <c r="AH71" i="18"/>
  <c r="D127" i="18"/>
  <c r="AH127" i="18"/>
  <c r="AW127" i="18"/>
  <c r="D126" i="18"/>
  <c r="AH70" i="18"/>
  <c r="AH126" i="18"/>
  <c r="AW126" i="18"/>
  <c r="S126" i="18"/>
  <c r="AH113" i="18"/>
  <c r="AH30" i="18"/>
  <c r="AR66" i="18"/>
  <c r="AW114" i="18"/>
  <c r="AK68" i="18"/>
  <c r="AH69" i="18"/>
  <c r="AW125" i="18"/>
  <c r="AH125" i="18"/>
  <c r="S125" i="18"/>
  <c r="D125" i="18"/>
  <c r="V116" i="18"/>
  <c r="AK60" i="18"/>
  <c r="AZ116" i="18"/>
  <c r="G116" i="18"/>
  <c r="AK116" i="18"/>
  <c r="AK66" i="18"/>
  <c r="AW124" i="18"/>
  <c r="D124" i="18"/>
  <c r="AH124" i="18"/>
  <c r="S124" i="18"/>
  <c r="AH68" i="18"/>
  <c r="BG115" i="18"/>
  <c r="BG142" i="18" s="1"/>
  <c r="AK61" i="18"/>
  <c r="AK62" i="18"/>
  <c r="AH59" i="18"/>
  <c r="AH115" i="18"/>
  <c r="S115" i="18"/>
  <c r="AW115" i="18"/>
  <c r="D115" i="18"/>
  <c r="AC115" i="18"/>
  <c r="AC142" i="18" s="1"/>
  <c r="O166" i="25" l="1"/>
  <c r="S166" i="25"/>
  <c r="Q129" i="25"/>
  <c r="O129" i="25" s="1"/>
  <c r="T112" i="24"/>
  <c r="T110" i="24"/>
  <c r="H166" i="25"/>
  <c r="H129" i="25"/>
  <c r="AA163" i="25"/>
  <c r="V166" i="25"/>
  <c r="V129" i="25"/>
  <c r="Q163" i="25"/>
  <c r="O163" i="25" s="1"/>
  <c r="AA166" i="25"/>
  <c r="AB166" i="25"/>
  <c r="AB129" i="25"/>
  <c r="AA129" i="25"/>
  <c r="Q148" i="25"/>
  <c r="O148" i="25" s="1"/>
  <c r="S160" i="25"/>
  <c r="I112" i="25"/>
  <c r="I166" i="25"/>
  <c r="I129" i="25"/>
  <c r="S143" i="25"/>
  <c r="T161" i="22"/>
  <c r="AC161" i="22" s="1"/>
  <c r="AD161" i="22" s="1"/>
  <c r="T122" i="22"/>
  <c r="I148" i="25"/>
  <c r="O158" i="25"/>
  <c r="AC112" i="25"/>
  <c r="AD112" i="25" s="1"/>
  <c r="H127" i="25"/>
  <c r="I127" i="25"/>
  <c r="Q164" i="25"/>
  <c r="O164" i="25" s="1"/>
  <c r="AC162" i="25"/>
  <c r="AD162" i="25" s="1"/>
  <c r="I164" i="25"/>
  <c r="V162" i="25"/>
  <c r="V126" i="25"/>
  <c r="Y126" i="25" s="1"/>
  <c r="V124" i="25"/>
  <c r="Y124" i="25" s="1"/>
  <c r="T160" i="21"/>
  <c r="AC160" i="21" s="1"/>
  <c r="AD160" i="21" s="1"/>
  <c r="T124" i="22"/>
  <c r="T164" i="22"/>
  <c r="O122" i="25"/>
  <c r="T166" i="22"/>
  <c r="S158" i="25"/>
  <c r="AA127" i="25"/>
  <c r="AC127" i="25"/>
  <c r="AD127" i="25" s="1"/>
  <c r="Q140" i="25"/>
  <c r="O140" i="25" s="1"/>
  <c r="T140" i="25" s="1"/>
  <c r="AC140" i="25" s="1"/>
  <c r="AD140" i="25" s="1"/>
  <c r="AC146" i="25"/>
  <c r="AD146" i="25" s="1"/>
  <c r="S122" i="25"/>
  <c r="AB127" i="25"/>
  <c r="Q127" i="25"/>
  <c r="O127" i="25" s="1"/>
  <c r="Q159" i="25"/>
  <c r="O159" i="25" s="1"/>
  <c r="T159" i="25" s="1"/>
  <c r="AC159" i="25" s="1"/>
  <c r="AD159" i="25" s="1"/>
  <c r="V146" i="25"/>
  <c r="X146" i="25" s="1"/>
  <c r="S127" i="25"/>
  <c r="T125" i="22"/>
  <c r="O106" i="25"/>
  <c r="T166" i="21"/>
  <c r="T142" i="22"/>
  <c r="T125" i="23"/>
  <c r="AC125" i="23" s="1"/>
  <c r="AD125" i="23" s="1"/>
  <c r="O160" i="25"/>
  <c r="O143" i="25"/>
  <c r="AA148" i="25"/>
  <c r="H148" i="25"/>
  <c r="AC148" i="25"/>
  <c r="AD148" i="25" s="1"/>
  <c r="V148" i="25"/>
  <c r="Y148" i="25" s="1"/>
  <c r="S148" i="25"/>
  <c r="AN237" i="5"/>
  <c r="S106" i="25"/>
  <c r="AA128" i="25"/>
  <c r="S130" i="25"/>
  <c r="AC147" i="25"/>
  <c r="AD147" i="25" s="1"/>
  <c r="Q130" i="25"/>
  <c r="O130" i="25" s="1"/>
  <c r="T107" i="22"/>
  <c r="T140" i="21"/>
  <c r="AC140" i="21" s="1"/>
  <c r="AD140" i="21" s="1"/>
  <c r="Q147" i="25"/>
  <c r="O147" i="25" s="1"/>
  <c r="V161" i="25"/>
  <c r="X161" i="25" s="1"/>
  <c r="AA130" i="25"/>
  <c r="AC130" i="25"/>
  <c r="AD130" i="25" s="1"/>
  <c r="H147" i="25"/>
  <c r="I130" i="25"/>
  <c r="V130" i="25"/>
  <c r="X130" i="25" s="1"/>
  <c r="T142" i="23"/>
  <c r="AC142" i="23" s="1"/>
  <c r="AD142" i="23" s="1"/>
  <c r="AC128" i="25"/>
  <c r="AD128" i="25" s="1"/>
  <c r="AA147" i="25"/>
  <c r="Q144" i="25"/>
  <c r="O144" i="25" s="1"/>
  <c r="H130" i="25"/>
  <c r="T109" i="22"/>
  <c r="T130" i="24"/>
  <c r="T123" i="22"/>
  <c r="AC123" i="22" s="1"/>
  <c r="AD123" i="22" s="1"/>
  <c r="T105" i="24"/>
  <c r="AC105" i="24" s="1"/>
  <c r="AD105" i="24" s="1"/>
  <c r="H145" i="25"/>
  <c r="AC145" i="25"/>
  <c r="AD145" i="25" s="1"/>
  <c r="T111" i="22"/>
  <c r="T105" i="21"/>
  <c r="AC105" i="21" s="1"/>
  <c r="AD105" i="21" s="1"/>
  <c r="AB112" i="25"/>
  <c r="S112" i="25"/>
  <c r="O142" i="25"/>
  <c r="AA112" i="25"/>
  <c r="Q112" i="25"/>
  <c r="O112" i="25" s="1"/>
  <c r="Q107" i="25"/>
  <c r="O107" i="25" s="1"/>
  <c r="T108" i="21"/>
  <c r="O109" i="25"/>
  <c r="T104" i="21"/>
  <c r="AC104" i="21" s="1"/>
  <c r="V112" i="25"/>
  <c r="Y112" i="25" s="1"/>
  <c r="T159" i="22"/>
  <c r="AC159" i="22" s="1"/>
  <c r="AD159" i="22" s="1"/>
  <c r="T162" i="22"/>
  <c r="T143" i="21"/>
  <c r="V145" i="25"/>
  <c r="Y145" i="25" s="1"/>
  <c r="AA145" i="25"/>
  <c r="AB147" i="25"/>
  <c r="S147" i="25"/>
  <c r="AB144" i="25"/>
  <c r="Q145" i="25"/>
  <c r="O145" i="25" s="1"/>
  <c r="AB145" i="25"/>
  <c r="I147" i="25"/>
  <c r="S145" i="25"/>
  <c r="AA126" i="25"/>
  <c r="AB126" i="25"/>
  <c r="I126" i="25"/>
  <c r="Q126" i="25"/>
  <c r="O126" i="25" s="1"/>
  <c r="T129" i="22"/>
  <c r="S126" i="25"/>
  <c r="T128" i="24"/>
  <c r="T148" i="23"/>
  <c r="T141" i="21"/>
  <c r="AC141" i="21" s="1"/>
  <c r="AD141" i="21" s="1"/>
  <c r="T126" i="22"/>
  <c r="T128" i="22"/>
  <c r="AA108" i="25"/>
  <c r="T111" i="24"/>
  <c r="AB109" i="25"/>
  <c r="S142" i="25"/>
  <c r="H144" i="25"/>
  <c r="AC144" i="25"/>
  <c r="AD144" i="25" s="1"/>
  <c r="I144" i="25"/>
  <c r="S144" i="25"/>
  <c r="V144" i="25"/>
  <c r="Y144" i="25" s="1"/>
  <c r="T108" i="22"/>
  <c r="T112" i="21"/>
  <c r="T105" i="23"/>
  <c r="AC105" i="23" s="1"/>
  <c r="AD105" i="23" s="1"/>
  <c r="T164" i="21"/>
  <c r="AB146" i="25"/>
  <c r="AA146" i="25"/>
  <c r="Q146" i="25"/>
  <c r="O146" i="25" s="1"/>
  <c r="I146" i="25"/>
  <c r="S146" i="25"/>
  <c r="T126" i="23"/>
  <c r="T145" i="23"/>
  <c r="T141" i="22"/>
  <c r="AC141" i="22" s="1"/>
  <c r="AD141" i="22" s="1"/>
  <c r="T125" i="24"/>
  <c r="AC125" i="24" s="1"/>
  <c r="AD125" i="24" s="1"/>
  <c r="T112" i="22"/>
  <c r="V160" i="25"/>
  <c r="V163" i="25"/>
  <c r="X163" i="25" s="1"/>
  <c r="AC163" i="25"/>
  <c r="AD163" i="25" s="1"/>
  <c r="AB163" i="25"/>
  <c r="S163" i="25"/>
  <c r="T163" i="25" s="1"/>
  <c r="I163" i="25"/>
  <c r="T107" i="24"/>
  <c r="AC107" i="24" s="1"/>
  <c r="AD107" i="24" s="1"/>
  <c r="T110" i="22"/>
  <c r="T109" i="21"/>
  <c r="H108" i="25"/>
  <c r="AC109" i="25"/>
  <c r="AD109" i="25" s="1"/>
  <c r="AA164" i="25"/>
  <c r="H164" i="25"/>
  <c r="AB162" i="25"/>
  <c r="AA162" i="25"/>
  <c r="AC164" i="25"/>
  <c r="AD164" i="25" s="1"/>
  <c r="V164" i="25"/>
  <c r="Q162" i="25"/>
  <c r="O162" i="25" s="1"/>
  <c r="I162" i="25"/>
  <c r="S164" i="25"/>
  <c r="S162" i="25"/>
  <c r="Q161" i="25"/>
  <c r="O161" i="25" s="1"/>
  <c r="T161" i="25" s="1"/>
  <c r="AC161" i="25" s="1"/>
  <c r="AD161" i="25" s="1"/>
  <c r="T130" i="22"/>
  <c r="V128" i="25"/>
  <c r="Y128" i="25" s="1"/>
  <c r="S128" i="25"/>
  <c r="T123" i="23"/>
  <c r="AC123" i="23" s="1"/>
  <c r="AD123" i="23" s="1"/>
  <c r="T162" i="21"/>
  <c r="T159" i="21"/>
  <c r="AC159" i="21" s="1"/>
  <c r="AD159" i="21" s="1"/>
  <c r="AB128" i="25"/>
  <c r="H128" i="25"/>
  <c r="T127" i="22"/>
  <c r="T163" i="21"/>
  <c r="T145" i="21"/>
  <c r="T146" i="21"/>
  <c r="Q128" i="25"/>
  <c r="O128" i="25" s="1"/>
  <c r="Q108" i="25"/>
  <c r="O108" i="25" s="1"/>
  <c r="I108" i="25"/>
  <c r="S109" i="25"/>
  <c r="I109" i="25"/>
  <c r="AC108" i="25"/>
  <c r="AD108" i="25" s="1"/>
  <c r="V108" i="25"/>
  <c r="Y108" i="25" s="1"/>
  <c r="V109" i="25"/>
  <c r="X109" i="25" s="1"/>
  <c r="AA109" i="25"/>
  <c r="S108" i="25"/>
  <c r="H109" i="25"/>
  <c r="T165" i="23"/>
  <c r="T145" i="22"/>
  <c r="T146" i="24"/>
  <c r="T158" i="21"/>
  <c r="AC158" i="21" s="1"/>
  <c r="AD158" i="21" s="1"/>
  <c r="T140" i="22"/>
  <c r="AC140" i="22" s="1"/>
  <c r="AD140" i="22" s="1"/>
  <c r="T144" i="22"/>
  <c r="T147" i="21"/>
  <c r="T148" i="22"/>
  <c r="T164" i="24"/>
  <c r="T108" i="23"/>
  <c r="T148" i="24"/>
  <c r="T161" i="21"/>
  <c r="AC161" i="21" s="1"/>
  <c r="AD161" i="21" s="1"/>
  <c r="T143" i="22"/>
  <c r="AC143" i="22" s="1"/>
  <c r="AD143" i="22" s="1"/>
  <c r="T140" i="23"/>
  <c r="AC140" i="23" s="1"/>
  <c r="AD140" i="23" s="1"/>
  <c r="T162" i="24"/>
  <c r="T159" i="23"/>
  <c r="AC159" i="23" s="1"/>
  <c r="AD159" i="23" s="1"/>
  <c r="T110" i="23"/>
  <c r="T159" i="24"/>
  <c r="AC159" i="24" s="1"/>
  <c r="AD159" i="24" s="1"/>
  <c r="T158" i="22"/>
  <c r="AC158" i="22" s="1"/>
  <c r="AD158" i="22" s="1"/>
  <c r="T141" i="23"/>
  <c r="AC141" i="23" s="1"/>
  <c r="AD141" i="23" s="1"/>
  <c r="T111" i="21"/>
  <c r="T106" i="21"/>
  <c r="T106" i="24"/>
  <c r="AC106" i="24" s="1"/>
  <c r="AD106" i="24" s="1"/>
  <c r="T129" i="23"/>
  <c r="T160" i="24"/>
  <c r="AC160" i="24" s="1"/>
  <c r="AD160" i="24" s="1"/>
  <c r="T144" i="23"/>
  <c r="T107" i="21"/>
  <c r="AC107" i="21" s="1"/>
  <c r="AD107" i="21" s="1"/>
  <c r="T105" i="22"/>
  <c r="AC105" i="22" s="1"/>
  <c r="AD105" i="22" s="1"/>
  <c r="T165" i="22"/>
  <c r="T127" i="23"/>
  <c r="T147" i="23"/>
  <c r="T122" i="24"/>
  <c r="AC122" i="24" s="1"/>
  <c r="AD122" i="24" s="1"/>
  <c r="T104" i="22"/>
  <c r="AC104" i="22" s="1"/>
  <c r="T165" i="21"/>
  <c r="T141" i="24"/>
  <c r="AC141" i="24" s="1"/>
  <c r="AD141" i="24" s="1"/>
  <c r="T143" i="23"/>
  <c r="AC143" i="23" s="1"/>
  <c r="AD143" i="23" s="1"/>
  <c r="T166" i="24"/>
  <c r="T158" i="23"/>
  <c r="AC158" i="23" s="1"/>
  <c r="AD158" i="23" s="1"/>
  <c r="T128" i="23"/>
  <c r="T122" i="23"/>
  <c r="AC122" i="23" s="1"/>
  <c r="AD122" i="23" s="1"/>
  <c r="T109" i="24"/>
  <c r="T146" i="23"/>
  <c r="T108" i="24"/>
  <c r="T165" i="24"/>
  <c r="Y112" i="22"/>
  <c r="X112" i="22"/>
  <c r="Q80" i="24"/>
  <c r="R79" i="24"/>
  <c r="T79" i="24"/>
  <c r="U79" i="24" s="1"/>
  <c r="T69" i="24"/>
  <c r="U69" i="24" s="1"/>
  <c r="Q70" i="24"/>
  <c r="R69" i="24"/>
  <c r="T79" i="23"/>
  <c r="U79" i="23" s="1"/>
  <c r="Q80" i="23"/>
  <c r="R79" i="23"/>
  <c r="Y148" i="23"/>
  <c r="X148" i="23"/>
  <c r="T59" i="24"/>
  <c r="U59" i="24" s="1"/>
  <c r="Q60" i="24"/>
  <c r="R59" i="24"/>
  <c r="Y107" i="21"/>
  <c r="X107" i="21"/>
  <c r="X127" i="22"/>
  <c r="Y127" i="22"/>
  <c r="Y159" i="22"/>
  <c r="X159" i="22"/>
  <c r="X145" i="24"/>
  <c r="Y145" i="24"/>
  <c r="X141" i="24"/>
  <c r="Y141" i="24"/>
  <c r="X107" i="24"/>
  <c r="Y107" i="24"/>
  <c r="Y108" i="22"/>
  <c r="X108" i="22"/>
  <c r="X147" i="23"/>
  <c r="Y147" i="23"/>
  <c r="Y111" i="21"/>
  <c r="X111" i="21"/>
  <c r="Y112" i="21"/>
  <c r="X112" i="21"/>
  <c r="Y162" i="21"/>
  <c r="X162" i="21"/>
  <c r="X141" i="21"/>
  <c r="Y141" i="21"/>
  <c r="Y125" i="22"/>
  <c r="X125" i="22"/>
  <c r="Y162" i="22"/>
  <c r="X162" i="22"/>
  <c r="Y129" i="24"/>
  <c r="X129" i="24"/>
  <c r="Y111" i="22"/>
  <c r="X111" i="22"/>
  <c r="X122" i="23"/>
  <c r="Y122" i="23"/>
  <c r="X111" i="23"/>
  <c r="Y111" i="23"/>
  <c r="X160" i="21"/>
  <c r="Y160" i="21"/>
  <c r="X166" i="22"/>
  <c r="Y166" i="22"/>
  <c r="X140" i="24"/>
  <c r="Y140" i="24"/>
  <c r="X142" i="24"/>
  <c r="Y142" i="24"/>
  <c r="Q90" i="24"/>
  <c r="R89" i="24"/>
  <c r="T89" i="24"/>
  <c r="U89" i="24" s="1"/>
  <c r="Y158" i="23"/>
  <c r="X158" i="23"/>
  <c r="Y128" i="23"/>
  <c r="X128" i="23"/>
  <c r="X104" i="21"/>
  <c r="Y104" i="21"/>
  <c r="Y143" i="21"/>
  <c r="X143" i="21"/>
  <c r="Y145" i="21"/>
  <c r="X145" i="21"/>
  <c r="Y130" i="22"/>
  <c r="X130" i="22"/>
  <c r="Y122" i="22"/>
  <c r="X122" i="22"/>
  <c r="X164" i="22"/>
  <c r="Y164" i="22"/>
  <c r="T106" i="22"/>
  <c r="AC106" i="22" s="1"/>
  <c r="AD106" i="22" s="1"/>
  <c r="T147" i="22"/>
  <c r="T160" i="22"/>
  <c r="AC160" i="22" s="1"/>
  <c r="AD160" i="22" s="1"/>
  <c r="T127" i="24"/>
  <c r="T89" i="23"/>
  <c r="U89" i="23" s="1"/>
  <c r="Q90" i="23"/>
  <c r="R89" i="23"/>
  <c r="Y161" i="23"/>
  <c r="X161" i="23"/>
  <c r="T160" i="23"/>
  <c r="AC160" i="23" s="1"/>
  <c r="AD160" i="23" s="1"/>
  <c r="Y164" i="23"/>
  <c r="X164" i="23"/>
  <c r="X110" i="21"/>
  <c r="Y110" i="21"/>
  <c r="T107" i="23"/>
  <c r="AC107" i="23" s="1"/>
  <c r="AD107" i="23" s="1"/>
  <c r="X107" i="23"/>
  <c r="Y107" i="23"/>
  <c r="X144" i="21"/>
  <c r="Y144" i="21"/>
  <c r="Y147" i="22"/>
  <c r="X147" i="22"/>
  <c r="X146" i="22"/>
  <c r="Y146" i="22"/>
  <c r="X148" i="24"/>
  <c r="Y148" i="24"/>
  <c r="T145" i="24"/>
  <c r="X147" i="24"/>
  <c r="Y147" i="24"/>
  <c r="X143" i="23"/>
  <c r="Y143" i="23"/>
  <c r="T106" i="23"/>
  <c r="AC106" i="23" s="1"/>
  <c r="AD106" i="23" s="1"/>
  <c r="Y105" i="23"/>
  <c r="X105" i="23"/>
  <c r="X148" i="21"/>
  <c r="Y148" i="21"/>
  <c r="Y159" i="21"/>
  <c r="X159" i="21"/>
  <c r="X160" i="22"/>
  <c r="Y160" i="22"/>
  <c r="Q60" i="22"/>
  <c r="R59" i="22"/>
  <c r="T59" i="22"/>
  <c r="U59" i="22" s="1"/>
  <c r="V59" i="22" s="1"/>
  <c r="X108" i="21"/>
  <c r="Y108" i="21"/>
  <c r="Y104" i="23"/>
  <c r="X104" i="23"/>
  <c r="X158" i="21"/>
  <c r="Y158" i="21"/>
  <c r="X142" i="21"/>
  <c r="Y142" i="21"/>
  <c r="Y140" i="22"/>
  <c r="X140" i="22"/>
  <c r="X144" i="22"/>
  <c r="Y144" i="22"/>
  <c r="X124" i="22"/>
  <c r="Y124" i="22"/>
  <c r="Y163" i="22"/>
  <c r="X163" i="22"/>
  <c r="X105" i="24"/>
  <c r="Y105" i="24"/>
  <c r="Y105" i="22"/>
  <c r="X105" i="22"/>
  <c r="Q70" i="23"/>
  <c r="R69" i="23"/>
  <c r="T69" i="23"/>
  <c r="U69" i="23" s="1"/>
  <c r="Y123" i="23"/>
  <c r="X123" i="23"/>
  <c r="T130" i="23"/>
  <c r="Y130" i="23"/>
  <c r="X130" i="23"/>
  <c r="X105" i="21"/>
  <c r="Y105" i="21"/>
  <c r="X110" i="23"/>
  <c r="Y110" i="23"/>
  <c r="T109" i="23"/>
  <c r="Y165" i="21"/>
  <c r="X165" i="21"/>
  <c r="X148" i="22"/>
  <c r="Y148" i="22"/>
  <c r="X158" i="22"/>
  <c r="Y158" i="22"/>
  <c r="X123" i="22"/>
  <c r="Y123" i="22"/>
  <c r="Y163" i="24"/>
  <c r="X163" i="24"/>
  <c r="X128" i="24"/>
  <c r="Y128" i="24"/>
  <c r="Y159" i="24"/>
  <c r="X159" i="24"/>
  <c r="T144" i="21"/>
  <c r="X109" i="24"/>
  <c r="Y109" i="24"/>
  <c r="X104" i="24"/>
  <c r="Y104" i="24"/>
  <c r="T124" i="24"/>
  <c r="AC124" i="24" s="1"/>
  <c r="AD124" i="24" s="1"/>
  <c r="T126" i="24"/>
  <c r="X146" i="23"/>
  <c r="Y146" i="23"/>
  <c r="Y127" i="23"/>
  <c r="X127" i="23"/>
  <c r="X164" i="21"/>
  <c r="Y164" i="21"/>
  <c r="Y165" i="22"/>
  <c r="X165" i="22"/>
  <c r="T147" i="24"/>
  <c r="Y160" i="24"/>
  <c r="X160" i="24"/>
  <c r="X111" i="24"/>
  <c r="Y111" i="24"/>
  <c r="T166" i="23"/>
  <c r="Y166" i="23"/>
  <c r="X166" i="23"/>
  <c r="Y142" i="23"/>
  <c r="X142" i="23"/>
  <c r="Y126" i="23"/>
  <c r="X126" i="23"/>
  <c r="X109" i="21"/>
  <c r="Y109" i="21"/>
  <c r="Y106" i="23"/>
  <c r="X106" i="23"/>
  <c r="Y164" i="24"/>
  <c r="X164" i="24"/>
  <c r="X144" i="24"/>
  <c r="Y144" i="24"/>
  <c r="T129" i="24"/>
  <c r="X143" i="24"/>
  <c r="Y143" i="24"/>
  <c r="Y124" i="24"/>
  <c r="X124" i="24"/>
  <c r="X125" i="24"/>
  <c r="Y125" i="24"/>
  <c r="X146" i="24"/>
  <c r="Y146" i="24"/>
  <c r="X106" i="22"/>
  <c r="Y106" i="22"/>
  <c r="Y107" i="22"/>
  <c r="X107" i="22"/>
  <c r="Y125" i="23"/>
  <c r="X125" i="23"/>
  <c r="Y124" i="23"/>
  <c r="X124" i="23"/>
  <c r="X106" i="21"/>
  <c r="Y106" i="21"/>
  <c r="Y112" i="23"/>
  <c r="X112" i="23"/>
  <c r="T104" i="23"/>
  <c r="AC104" i="23" s="1"/>
  <c r="AD104" i="23" s="1"/>
  <c r="Y161" i="22"/>
  <c r="X161" i="22"/>
  <c r="X128" i="22"/>
  <c r="Y128" i="22"/>
  <c r="Y161" i="24"/>
  <c r="X161" i="24"/>
  <c r="T142" i="24"/>
  <c r="AC142" i="24" s="1"/>
  <c r="AD142" i="24" s="1"/>
  <c r="X110" i="24"/>
  <c r="Y110" i="24"/>
  <c r="Y104" i="22"/>
  <c r="X104" i="22"/>
  <c r="Y159" i="23"/>
  <c r="X159" i="23"/>
  <c r="Y165" i="23"/>
  <c r="X165" i="23"/>
  <c r="Y147" i="21"/>
  <c r="X147" i="21"/>
  <c r="Y129" i="22"/>
  <c r="X129" i="22"/>
  <c r="X158" i="24"/>
  <c r="Y158" i="24"/>
  <c r="Y165" i="24"/>
  <c r="X165" i="24"/>
  <c r="Y162" i="24"/>
  <c r="X162" i="24"/>
  <c r="X127" i="24"/>
  <c r="Y127" i="24"/>
  <c r="T110" i="21"/>
  <c r="T163" i="22"/>
  <c r="T148" i="21"/>
  <c r="T146" i="22"/>
  <c r="T142" i="21"/>
  <c r="AC142" i="21" s="1"/>
  <c r="AD142" i="21" s="1"/>
  <c r="X108" i="24"/>
  <c r="Y108" i="24"/>
  <c r="T123" i="24"/>
  <c r="AC123" i="24" s="1"/>
  <c r="AD123" i="24" s="1"/>
  <c r="T104" i="24"/>
  <c r="AC104" i="24" s="1"/>
  <c r="AD104" i="24" s="1"/>
  <c r="X110" i="22"/>
  <c r="Y110" i="22"/>
  <c r="Y129" i="23"/>
  <c r="X129" i="23"/>
  <c r="T161" i="23"/>
  <c r="AC161" i="23" s="1"/>
  <c r="AD161" i="23" s="1"/>
  <c r="X160" i="23"/>
  <c r="Y160" i="23"/>
  <c r="T164" i="23"/>
  <c r="Q60" i="23"/>
  <c r="R59" i="23"/>
  <c r="T59" i="23"/>
  <c r="U59" i="23" s="1"/>
  <c r="Y108" i="23"/>
  <c r="X108" i="23"/>
  <c r="Y161" i="21"/>
  <c r="X161" i="21"/>
  <c r="X166" i="21"/>
  <c r="Y166" i="21"/>
  <c r="X140" i="21"/>
  <c r="Y140" i="21"/>
  <c r="X142" i="22"/>
  <c r="Y142" i="22"/>
  <c r="Y143" i="22"/>
  <c r="X143" i="22"/>
  <c r="X126" i="24"/>
  <c r="Y126" i="24"/>
  <c r="Y109" i="22"/>
  <c r="X109" i="22"/>
  <c r="X145" i="23"/>
  <c r="Y145" i="23"/>
  <c r="Y141" i="22"/>
  <c r="X141" i="22"/>
  <c r="X145" i="22"/>
  <c r="Y145" i="22"/>
  <c r="X126" i="22"/>
  <c r="Y126" i="22"/>
  <c r="T143" i="24"/>
  <c r="AC143" i="24" s="1"/>
  <c r="AD143" i="24" s="1"/>
  <c r="X112" i="24"/>
  <c r="Y112" i="24"/>
  <c r="X106" i="24"/>
  <c r="Y106" i="24"/>
  <c r="T163" i="23"/>
  <c r="X163" i="23"/>
  <c r="Y163" i="23"/>
  <c r="Y144" i="23"/>
  <c r="X144" i="23"/>
  <c r="T162" i="23"/>
  <c r="Y162" i="23"/>
  <c r="X162" i="23"/>
  <c r="X141" i="23"/>
  <c r="Y141" i="23"/>
  <c r="T124" i="23"/>
  <c r="AC124" i="23" s="1"/>
  <c r="AD124" i="23" s="1"/>
  <c r="T112" i="23"/>
  <c r="T111" i="23"/>
  <c r="X146" i="21"/>
  <c r="Y146" i="21"/>
  <c r="T161" i="24"/>
  <c r="AC161" i="24" s="1"/>
  <c r="AD161" i="24" s="1"/>
  <c r="T140" i="24"/>
  <c r="AC140" i="24" s="1"/>
  <c r="AD140" i="24" s="1"/>
  <c r="Y123" i="24"/>
  <c r="X123" i="24"/>
  <c r="X130" i="24"/>
  <c r="Y130" i="24"/>
  <c r="X122" i="24"/>
  <c r="Y122" i="24"/>
  <c r="Y166" i="24"/>
  <c r="X166" i="24"/>
  <c r="Y140" i="23"/>
  <c r="X140" i="23"/>
  <c r="Y109" i="23"/>
  <c r="X109" i="23"/>
  <c r="Y163" i="21"/>
  <c r="X163" i="21"/>
  <c r="T158" i="24"/>
  <c r="AC158" i="24" s="1"/>
  <c r="AD158" i="24" s="1"/>
  <c r="T163" i="24"/>
  <c r="X110" i="20"/>
  <c r="Y110" i="20"/>
  <c r="X108" i="20"/>
  <c r="Y108" i="20"/>
  <c r="X106" i="20"/>
  <c r="AB106" i="20" s="1"/>
  <c r="I106" i="20" s="1"/>
  <c r="Y106" i="20"/>
  <c r="X109" i="20"/>
  <c r="Y109" i="20"/>
  <c r="X112" i="20"/>
  <c r="Y112" i="20"/>
  <c r="AB104" i="20"/>
  <c r="I104" i="20" s="1"/>
  <c r="AB109" i="20"/>
  <c r="I109" i="20" s="1"/>
  <c r="AC112" i="20"/>
  <c r="AD112" i="20" s="1"/>
  <c r="Z15" i="5"/>
  <c r="AA15" i="5" s="1"/>
  <c r="T107" i="25"/>
  <c r="AC107" i="25" s="1"/>
  <c r="AD107" i="25" s="1"/>
  <c r="V107" i="25"/>
  <c r="T110" i="25"/>
  <c r="X108" i="25"/>
  <c r="X160" i="25"/>
  <c r="Y160" i="25"/>
  <c r="T111" i="25"/>
  <c r="Y162" i="25"/>
  <c r="X162" i="25"/>
  <c r="Y166" i="25"/>
  <c r="X166" i="25"/>
  <c r="Y129" i="25"/>
  <c r="X129" i="25"/>
  <c r="T141" i="25"/>
  <c r="AC141" i="25" s="1"/>
  <c r="AD141" i="25" s="1"/>
  <c r="Y146" i="25"/>
  <c r="X125" i="25"/>
  <c r="Y125" i="25"/>
  <c r="Y164" i="25"/>
  <c r="X164" i="25"/>
  <c r="T105" i="25"/>
  <c r="AC105" i="25" s="1"/>
  <c r="AD105" i="25" s="1"/>
  <c r="Y110" i="25"/>
  <c r="X110" i="25"/>
  <c r="X147" i="25"/>
  <c r="Y147" i="25"/>
  <c r="X165" i="25"/>
  <c r="Y165" i="25"/>
  <c r="Y161" i="25"/>
  <c r="T143" i="25"/>
  <c r="AC143" i="25" s="1"/>
  <c r="AD143" i="25" s="1"/>
  <c r="Y163" i="25"/>
  <c r="T125" i="25"/>
  <c r="AC125" i="25" s="1"/>
  <c r="AD125" i="25" s="1"/>
  <c r="Y127" i="25"/>
  <c r="X127" i="25"/>
  <c r="X111" i="25"/>
  <c r="Y111" i="25"/>
  <c r="V106" i="25"/>
  <c r="X126" i="25"/>
  <c r="T124" i="25"/>
  <c r="AC124" i="25" s="1"/>
  <c r="AD124" i="25" s="1"/>
  <c r="T166" i="25"/>
  <c r="AK123" i="25"/>
  <c r="AL87" i="25"/>
  <c r="T158" i="25"/>
  <c r="AC158" i="25" s="1"/>
  <c r="AD158" i="25" s="1"/>
  <c r="T104" i="25"/>
  <c r="AC104" i="25" s="1"/>
  <c r="X148" i="25"/>
  <c r="T123" i="25"/>
  <c r="AC123" i="25" s="1"/>
  <c r="AD123" i="25" s="1"/>
  <c r="T165" i="25"/>
  <c r="T129" i="25"/>
  <c r="Z82" i="25"/>
  <c r="AD82" i="25" s="1"/>
  <c r="AE82" i="25" s="1"/>
  <c r="AE78" i="25" s="1"/>
  <c r="AJ44" i="25"/>
  <c r="AJ50" i="25" s="1"/>
  <c r="AK121" i="25" s="1"/>
  <c r="AD52" i="25"/>
  <c r="AE52" i="25" s="1"/>
  <c r="AE47" i="25" s="1"/>
  <c r="AQ128" i="25"/>
  <c r="AQ130" i="25"/>
  <c r="T59" i="25"/>
  <c r="U59" i="25" s="1"/>
  <c r="R59" i="25"/>
  <c r="Q60" i="25"/>
  <c r="Q66" i="25" s="1"/>
  <c r="AK130" i="25"/>
  <c r="AK128" i="25"/>
  <c r="Z12" i="5"/>
  <c r="N11" i="5" s="1"/>
  <c r="I83" i="16" s="1"/>
  <c r="U39" i="5"/>
  <c r="W39" i="5"/>
  <c r="W29" i="5"/>
  <c r="U29" i="5"/>
  <c r="S14" i="5"/>
  <c r="U11" i="5"/>
  <c r="AO70" i="18"/>
  <c r="AK126" i="18"/>
  <c r="AK153" i="18" s="1"/>
  <c r="X126" i="18"/>
  <c r="AM126" i="18"/>
  <c r="I126" i="18"/>
  <c r="AM70" i="18"/>
  <c r="BB126" i="18"/>
  <c r="AL126" i="18"/>
  <c r="AL153" i="18" s="1"/>
  <c r="AZ126" i="18"/>
  <c r="AZ153" i="18" s="1"/>
  <c r="L126" i="18"/>
  <c r="AP126" i="18"/>
  <c r="AP70" i="18"/>
  <c r="BE126" i="18"/>
  <c r="AA126" i="18"/>
  <c r="W126" i="18"/>
  <c r="W153" i="18" s="1"/>
  <c r="BA126" i="18"/>
  <c r="BA153" i="18" s="1"/>
  <c r="H126" i="18"/>
  <c r="H153" i="18" s="1"/>
  <c r="G126" i="18"/>
  <c r="G153" i="18" s="1"/>
  <c r="V126" i="18"/>
  <c r="V153" i="18" s="1"/>
  <c r="Y165" i="20"/>
  <c r="X128" i="20"/>
  <c r="AA128" i="20" s="1"/>
  <c r="H128" i="20" s="1"/>
  <c r="V122" i="20"/>
  <c r="Y122" i="20" s="1"/>
  <c r="V161" i="20"/>
  <c r="Y161" i="20" s="1"/>
  <c r="V126" i="20"/>
  <c r="Y126" i="20" s="1"/>
  <c r="X164" i="20"/>
  <c r="AB164" i="20" s="1"/>
  <c r="I164" i="20" s="1"/>
  <c r="V129" i="20"/>
  <c r="Y129" i="20" s="1"/>
  <c r="T166" i="20"/>
  <c r="AC166" i="20" s="1"/>
  <c r="AD166" i="20" s="1"/>
  <c r="Y159" i="20"/>
  <c r="T160" i="20"/>
  <c r="AC160" i="20" s="1"/>
  <c r="AD160" i="20" s="1"/>
  <c r="V163" i="20"/>
  <c r="X163" i="20" s="1"/>
  <c r="AB163" i="20" s="1"/>
  <c r="I163" i="20" s="1"/>
  <c r="V125" i="20"/>
  <c r="Y125" i="20" s="1"/>
  <c r="V166" i="20"/>
  <c r="X166" i="20" s="1"/>
  <c r="T128" i="20"/>
  <c r="AC128" i="20" s="1"/>
  <c r="AD128" i="20" s="1"/>
  <c r="V124" i="20"/>
  <c r="Y124" i="20" s="1"/>
  <c r="T124" i="20"/>
  <c r="AC124" i="20" s="1"/>
  <c r="AD124" i="20" s="1"/>
  <c r="T129" i="20"/>
  <c r="AC129" i="20" s="1"/>
  <c r="AD129" i="20" s="1"/>
  <c r="Y160" i="20"/>
  <c r="V123" i="20"/>
  <c r="X123" i="20" s="1"/>
  <c r="T164" i="20"/>
  <c r="AC164" i="20" s="1"/>
  <c r="AD164" i="20" s="1"/>
  <c r="T123" i="20"/>
  <c r="AC123" i="20" s="1"/>
  <c r="AD123" i="20" s="1"/>
  <c r="T159" i="20"/>
  <c r="AC159" i="20" s="1"/>
  <c r="AD159" i="20" s="1"/>
  <c r="T122" i="20"/>
  <c r="AC122" i="20" s="1"/>
  <c r="AD122" i="20" s="1"/>
  <c r="T126" i="20"/>
  <c r="AC126" i="20" s="1"/>
  <c r="AD126" i="20" s="1"/>
  <c r="T130" i="20"/>
  <c r="T165" i="20"/>
  <c r="AC165" i="20" s="1"/>
  <c r="AD165" i="20" s="1"/>
  <c r="T161" i="20"/>
  <c r="AC161" i="20" s="1"/>
  <c r="AD161" i="20" s="1"/>
  <c r="X162" i="20"/>
  <c r="AB162" i="20" s="1"/>
  <c r="I162" i="20" s="1"/>
  <c r="T162" i="20"/>
  <c r="AC162" i="20" s="1"/>
  <c r="AD162" i="20" s="1"/>
  <c r="V158" i="20"/>
  <c r="Y158" i="20" s="1"/>
  <c r="T158" i="20"/>
  <c r="AC158" i="20" s="1"/>
  <c r="AD158" i="20" s="1"/>
  <c r="Y128" i="21"/>
  <c r="X128" i="21"/>
  <c r="X130" i="21"/>
  <c r="Y130" i="21"/>
  <c r="T163" i="20"/>
  <c r="AC163" i="20" s="1"/>
  <c r="AD163" i="20" s="1"/>
  <c r="Y130" i="20"/>
  <c r="X130" i="20"/>
  <c r="T127" i="20"/>
  <c r="AC127" i="20" s="1"/>
  <c r="AD127" i="20" s="1"/>
  <c r="X126" i="21"/>
  <c r="Y126" i="21"/>
  <c r="T125" i="20"/>
  <c r="AC125" i="20" s="1"/>
  <c r="AD125" i="20" s="1"/>
  <c r="X127" i="21"/>
  <c r="Y127" i="21"/>
  <c r="Y129" i="21"/>
  <c r="X129" i="21"/>
  <c r="AJ123" i="21"/>
  <c r="AK87" i="21"/>
  <c r="AK87" i="23"/>
  <c r="AJ123" i="23"/>
  <c r="AJ123" i="22"/>
  <c r="AK87" i="22"/>
  <c r="Z52" i="23"/>
  <c r="Z52" i="21"/>
  <c r="Z52" i="22"/>
  <c r="Z52" i="24"/>
  <c r="AK87" i="24"/>
  <c r="AJ123" i="24"/>
  <c r="AK130" i="23"/>
  <c r="AK128" i="23"/>
  <c r="U146" i="18"/>
  <c r="AQ130" i="23"/>
  <c r="AQ128" i="23"/>
  <c r="T129" i="21"/>
  <c r="T122" i="21"/>
  <c r="AC122" i="21" s="1"/>
  <c r="AD122" i="21" s="1"/>
  <c r="V122" i="21"/>
  <c r="AC144" i="22"/>
  <c r="AD144" i="22" s="1"/>
  <c r="AC142" i="22"/>
  <c r="AD142" i="22" s="1"/>
  <c r="AC111" i="22"/>
  <c r="AD111" i="22" s="1"/>
  <c r="AC147" i="21"/>
  <c r="AD147" i="21" s="1"/>
  <c r="AC143" i="21"/>
  <c r="AD143" i="21" s="1"/>
  <c r="T124" i="21"/>
  <c r="AC124" i="21" s="1"/>
  <c r="AD124" i="21" s="1"/>
  <c r="V124" i="21"/>
  <c r="T127" i="21"/>
  <c r="AC107" i="22"/>
  <c r="AD107" i="22" s="1"/>
  <c r="AC108" i="21"/>
  <c r="AD108" i="21" s="1"/>
  <c r="AC110" i="21"/>
  <c r="AD110" i="21" s="1"/>
  <c r="AC111" i="21"/>
  <c r="AD111" i="21" s="1"/>
  <c r="AC145" i="21"/>
  <c r="AD145" i="21" s="1"/>
  <c r="AC144" i="21"/>
  <c r="AD144" i="21" s="1"/>
  <c r="T130" i="21"/>
  <c r="T128" i="21"/>
  <c r="T126" i="21"/>
  <c r="AC109" i="22"/>
  <c r="AD109" i="22" s="1"/>
  <c r="AC124" i="22"/>
  <c r="AD124" i="22" s="1"/>
  <c r="AC125" i="22"/>
  <c r="AD125" i="22" s="1"/>
  <c r="AC109" i="21"/>
  <c r="AD109" i="21" s="1"/>
  <c r="AC110" i="22"/>
  <c r="AD110" i="22" s="1"/>
  <c r="AC106" i="21"/>
  <c r="AD106" i="21" s="1"/>
  <c r="AC146" i="21"/>
  <c r="AD146" i="21" s="1"/>
  <c r="V123" i="21"/>
  <c r="T123" i="21"/>
  <c r="AC123" i="21" s="1"/>
  <c r="AD123" i="21" s="1"/>
  <c r="T125" i="21"/>
  <c r="AC125" i="21" s="1"/>
  <c r="AD125" i="21" s="1"/>
  <c r="V125" i="21"/>
  <c r="AC122" i="22"/>
  <c r="AD122" i="22" s="1"/>
  <c r="AC145" i="22"/>
  <c r="AD145" i="22" s="1"/>
  <c r="AC108" i="22"/>
  <c r="AD108" i="22" s="1"/>
  <c r="AB105" i="20"/>
  <c r="I105" i="20" s="1"/>
  <c r="Y127" i="20"/>
  <c r="AB110" i="20"/>
  <c r="I110" i="20" s="1"/>
  <c r="AQ128" i="24"/>
  <c r="AQ130" i="24"/>
  <c r="AK130" i="24"/>
  <c r="AK128" i="24"/>
  <c r="AB108" i="20"/>
  <c r="I108" i="20" s="1"/>
  <c r="AA111" i="20"/>
  <c r="H111" i="20" s="1"/>
  <c r="AB107" i="20"/>
  <c r="I107" i="20" s="1"/>
  <c r="AA107" i="20"/>
  <c r="H107" i="20" s="1"/>
  <c r="AK130" i="21"/>
  <c r="AK128" i="21"/>
  <c r="AK130" i="22"/>
  <c r="AK128" i="22"/>
  <c r="AQ128" i="22"/>
  <c r="AQ130" i="22"/>
  <c r="Q90" i="22"/>
  <c r="T89" i="22"/>
  <c r="U89" i="22" s="1"/>
  <c r="V89" i="22" s="1"/>
  <c r="R89" i="22"/>
  <c r="S89" i="22" s="1"/>
  <c r="Q80" i="22"/>
  <c r="T79" i="22"/>
  <c r="U79" i="22" s="1"/>
  <c r="V79" i="22" s="1"/>
  <c r="R79" i="22"/>
  <c r="S79" i="22" s="1"/>
  <c r="R69" i="22"/>
  <c r="S69" i="22" s="1"/>
  <c r="Q70" i="22"/>
  <c r="T69" i="22"/>
  <c r="U69" i="22" s="1"/>
  <c r="V69" i="22" s="1"/>
  <c r="Q60" i="21"/>
  <c r="T59" i="21"/>
  <c r="U59" i="21" s="1"/>
  <c r="V59" i="21" s="1"/>
  <c r="R59" i="21"/>
  <c r="S59" i="21" s="1"/>
  <c r="AQ130" i="21"/>
  <c r="AQ128" i="21"/>
  <c r="R79" i="21"/>
  <c r="S79" i="21" s="1"/>
  <c r="Q80" i="21"/>
  <c r="T79" i="21"/>
  <c r="U79" i="21" s="1"/>
  <c r="V79" i="21" s="1"/>
  <c r="Q90" i="21"/>
  <c r="T89" i="21"/>
  <c r="U89" i="21" s="1"/>
  <c r="V89" i="21" s="1"/>
  <c r="R89" i="21"/>
  <c r="S89" i="21" s="1"/>
  <c r="Q70" i="21"/>
  <c r="T69" i="21"/>
  <c r="U69" i="21" s="1"/>
  <c r="V69" i="21" s="1"/>
  <c r="R69" i="21"/>
  <c r="S69" i="21" s="1"/>
  <c r="AL48" i="5"/>
  <c r="AL54" i="5" s="1"/>
  <c r="AM127" i="5" s="1"/>
  <c r="AO127" i="5" s="1"/>
  <c r="Z52" i="20"/>
  <c r="T141" i="20"/>
  <c r="AC141" i="20" s="1"/>
  <c r="AD141" i="20" s="1"/>
  <c r="V141" i="20"/>
  <c r="V145" i="20"/>
  <c r="T145" i="20"/>
  <c r="AC145" i="20" s="1"/>
  <c r="AD145" i="20" s="1"/>
  <c r="V146" i="20"/>
  <c r="T146" i="20"/>
  <c r="AC146" i="20" s="1"/>
  <c r="AD146" i="20" s="1"/>
  <c r="T140" i="20"/>
  <c r="AC140" i="20" s="1"/>
  <c r="AD140" i="20" s="1"/>
  <c r="V140" i="20"/>
  <c r="V147" i="20"/>
  <c r="T147" i="20"/>
  <c r="AC147" i="20" s="1"/>
  <c r="AD147" i="20" s="1"/>
  <c r="T148" i="20"/>
  <c r="AC148" i="20" s="1"/>
  <c r="AD148" i="20" s="1"/>
  <c r="V148" i="20"/>
  <c r="V143" i="20"/>
  <c r="T143" i="20"/>
  <c r="AC143" i="20" s="1"/>
  <c r="AD143" i="20" s="1"/>
  <c r="T144" i="20"/>
  <c r="AC144" i="20" s="1"/>
  <c r="AD144" i="20" s="1"/>
  <c r="V144" i="20"/>
  <c r="T142" i="20"/>
  <c r="AC142" i="20" s="1"/>
  <c r="AD142" i="20" s="1"/>
  <c r="V142" i="20"/>
  <c r="AK123" i="20"/>
  <c r="AL87" i="20"/>
  <c r="AA105" i="20"/>
  <c r="H105" i="20" s="1"/>
  <c r="AA148" i="20"/>
  <c r="H148" i="20" s="1"/>
  <c r="AB126" i="20"/>
  <c r="I126" i="20" s="1"/>
  <c r="AA164" i="20"/>
  <c r="H164" i="20" s="1"/>
  <c r="AA127" i="20"/>
  <c r="H127" i="20" s="1"/>
  <c r="AA162" i="20"/>
  <c r="H162" i="20" s="1"/>
  <c r="AB160" i="20"/>
  <c r="I160" i="20" s="1"/>
  <c r="AA104" i="20"/>
  <c r="H104" i="20" s="1"/>
  <c r="AB165" i="20"/>
  <c r="I165" i="20" s="1"/>
  <c r="AB111" i="20"/>
  <c r="I111" i="20" s="1"/>
  <c r="AA110" i="20"/>
  <c r="H110" i="20" s="1"/>
  <c r="R59" i="20"/>
  <c r="S59" i="20" s="1"/>
  <c r="Q60" i="20"/>
  <c r="Q66" i="20" s="1"/>
  <c r="T59" i="20"/>
  <c r="U59" i="20" s="1"/>
  <c r="V59" i="20" s="1"/>
  <c r="AY148" i="18"/>
  <c r="AX229" i="5"/>
  <c r="BD44" i="18"/>
  <c r="BD26" i="18"/>
  <c r="BD46" i="18"/>
  <c r="BD35" i="18"/>
  <c r="AO35" i="18" s="1"/>
  <c r="BD41" i="18"/>
  <c r="Z124" i="18" s="1"/>
  <c r="BD42" i="18"/>
  <c r="Z125" i="18" s="1"/>
  <c r="AO120" i="18"/>
  <c r="BD31" i="18"/>
  <c r="BD30" i="18"/>
  <c r="BD39" i="18"/>
  <c r="AO39" i="18" s="1"/>
  <c r="BD29" i="18"/>
  <c r="Z120" i="18"/>
  <c r="BD27" i="18"/>
  <c r="BD28" i="18"/>
  <c r="BD38" i="18"/>
  <c r="AO38" i="18" s="1"/>
  <c r="BD40" i="18"/>
  <c r="AO40" i="18" s="1"/>
  <c r="BD33" i="18"/>
  <c r="AO33" i="18" s="1"/>
  <c r="BD25" i="18"/>
  <c r="BD120" i="18"/>
  <c r="AO37" i="18"/>
  <c r="K147" i="18" s="1"/>
  <c r="BD36" i="18"/>
  <c r="AO36" i="18" s="1"/>
  <c r="BD48" i="18"/>
  <c r="BD45" i="18"/>
  <c r="BD43" i="18"/>
  <c r="AO43" i="18" s="1"/>
  <c r="BD47" i="18"/>
  <c r="BD32" i="18"/>
  <c r="BD115" i="18" s="1"/>
  <c r="BD34" i="18"/>
  <c r="AO34" i="18" s="1"/>
  <c r="BD76" i="18"/>
  <c r="AS62" i="11" s="1"/>
  <c r="AV62" i="11" s="1"/>
  <c r="AW62" i="11" s="1"/>
  <c r="AR77" i="11" s="1"/>
  <c r="W118" i="18"/>
  <c r="W145" i="18" s="1"/>
  <c r="H118" i="18"/>
  <c r="H145" i="18" s="1"/>
  <c r="AL118" i="18"/>
  <c r="AL145" i="18" s="1"/>
  <c r="BA118" i="18"/>
  <c r="BA145" i="18" s="1"/>
  <c r="H121" i="18"/>
  <c r="H148" i="18" s="1"/>
  <c r="W125" i="18"/>
  <c r="W152" i="18" s="1"/>
  <c r="AL122" i="18"/>
  <c r="AL149" i="18" s="1"/>
  <c r="H122" i="18"/>
  <c r="H149" i="18" s="1"/>
  <c r="H116" i="18"/>
  <c r="H143" i="18" s="1"/>
  <c r="BA116" i="18"/>
  <c r="BA143" i="18" s="1"/>
  <c r="BA123" i="18"/>
  <c r="BA150" i="18" s="1"/>
  <c r="AL119" i="18"/>
  <c r="AL146" i="18" s="1"/>
  <c r="W116" i="18"/>
  <c r="W143" i="18" s="1"/>
  <c r="W123" i="18"/>
  <c r="W150" i="18" s="1"/>
  <c r="AL121" i="18"/>
  <c r="AL148" i="18" s="1"/>
  <c r="BA121" i="18"/>
  <c r="BA148" i="18" s="1"/>
  <c r="W121" i="18"/>
  <c r="W148" i="18" s="1"/>
  <c r="AL116" i="18"/>
  <c r="AL143" i="18" s="1"/>
  <c r="H123" i="18"/>
  <c r="H150" i="18" s="1"/>
  <c r="W119" i="18"/>
  <c r="W146" i="18" s="1"/>
  <c r="AL123" i="18"/>
  <c r="AL150" i="18" s="1"/>
  <c r="H119" i="18"/>
  <c r="H146" i="18" s="1"/>
  <c r="BA119" i="18"/>
  <c r="BA146" i="18" s="1"/>
  <c r="BA122" i="18"/>
  <c r="BA149" i="18" s="1"/>
  <c r="W122" i="18"/>
  <c r="W149" i="18" s="1"/>
  <c r="BA125" i="18"/>
  <c r="BA152" i="18" s="1"/>
  <c r="AL125" i="18"/>
  <c r="AL152" i="18" s="1"/>
  <c r="H125" i="18"/>
  <c r="H152" i="18" s="1"/>
  <c r="H117" i="18"/>
  <c r="H144" i="18" s="1"/>
  <c r="W117" i="18"/>
  <c r="W144" i="18" s="1"/>
  <c r="BA117" i="18"/>
  <c r="BA144" i="18" s="1"/>
  <c r="AL117" i="18"/>
  <c r="AL144" i="18" s="1"/>
  <c r="BA120" i="18"/>
  <c r="BA147" i="18" s="1"/>
  <c r="AL120" i="18"/>
  <c r="AL147" i="18" s="1"/>
  <c r="H115" i="18"/>
  <c r="H142" i="18" s="1"/>
  <c r="W115" i="18"/>
  <c r="W142" i="18" s="1"/>
  <c r="AL115" i="18"/>
  <c r="AL142" i="18" s="1"/>
  <c r="W120" i="18"/>
  <c r="W147" i="18" s="1"/>
  <c r="H120" i="18"/>
  <c r="H147" i="18" s="1"/>
  <c r="BA115" i="18"/>
  <c r="BA142" i="18" s="1"/>
  <c r="S144" i="18"/>
  <c r="AM129" i="5"/>
  <c r="AN91" i="5"/>
  <c r="AP104" i="5"/>
  <c r="AK104" i="5"/>
  <c r="AR104" i="5"/>
  <c r="AO104" i="5"/>
  <c r="AN104" i="5"/>
  <c r="AU104" i="5"/>
  <c r="AT104" i="5"/>
  <c r="AS104" i="5"/>
  <c r="AQ104" i="5"/>
  <c r="AJ104" i="5"/>
  <c r="AM104" i="5"/>
  <c r="AL104" i="5"/>
  <c r="BA56" i="11"/>
  <c r="BA64" i="11"/>
  <c r="BA63" i="11"/>
  <c r="BA58" i="11"/>
  <c r="BA66" i="11"/>
  <c r="AQ117" i="11" s="1"/>
  <c r="BA59" i="11"/>
  <c r="BA57" i="11"/>
  <c r="AQ89" i="11" s="1"/>
  <c r="BA65" i="11"/>
  <c r="BA61" i="11"/>
  <c r="BA60" i="11"/>
  <c r="BA62" i="11"/>
  <c r="AA86" i="5"/>
  <c r="AE86" i="5" s="1"/>
  <c r="AG86" i="5" s="1"/>
  <c r="AG82" i="5" s="1"/>
  <c r="AE56" i="5"/>
  <c r="AG56" i="5" s="1"/>
  <c r="T201" i="5"/>
  <c r="V201" i="5"/>
  <c r="AJ201" i="5"/>
  <c r="W201" i="5"/>
  <c r="AS200" i="5"/>
  <c r="AK200" i="5"/>
  <c r="AR200" i="5"/>
  <c r="I125" i="18"/>
  <c r="AM69" i="18"/>
  <c r="BB125" i="18"/>
  <c r="AM125" i="18"/>
  <c r="X125" i="18"/>
  <c r="AB118" i="18"/>
  <c r="AB145" i="18" s="1"/>
  <c r="M118" i="18"/>
  <c r="M145" i="18" s="1"/>
  <c r="AN59" i="18"/>
  <c r="AN69" i="18"/>
  <c r="AM59" i="18"/>
  <c r="X115" i="18"/>
  <c r="AM115" i="18"/>
  <c r="BB115" i="18"/>
  <c r="I115" i="18"/>
  <c r="AQ126" i="18"/>
  <c r="AQ153" i="18" s="1"/>
  <c r="AB126" i="18"/>
  <c r="AB153" i="18" s="1"/>
  <c r="M121" i="18"/>
  <c r="M148" i="18" s="1"/>
  <c r="D148" i="18"/>
  <c r="AQ114" i="18"/>
  <c r="AQ141" i="18" s="1"/>
  <c r="AW155" i="18"/>
  <c r="AH155" i="18"/>
  <c r="BF122" i="18"/>
  <c r="AQ122" i="18"/>
  <c r="M122" i="18"/>
  <c r="BH139" i="18"/>
  <c r="D155" i="18"/>
  <c r="BF123" i="18"/>
  <c r="AQ66" i="18"/>
  <c r="AB121" i="18"/>
  <c r="AB148" i="18" s="1"/>
  <c r="AD139" i="18"/>
  <c r="AS139" i="18"/>
  <c r="S139" i="18"/>
  <c r="AQ119" i="18"/>
  <c r="AQ146" i="18" s="1"/>
  <c r="AB122" i="18"/>
  <c r="BF118" i="18"/>
  <c r="BF145" i="18" s="1"/>
  <c r="O139" i="18"/>
  <c r="AW139" i="18"/>
  <c r="BF121" i="18"/>
  <c r="BF148" i="18" s="1"/>
  <c r="AQ121" i="18"/>
  <c r="AQ148" i="18" s="1"/>
  <c r="AQ118" i="18"/>
  <c r="AQ145" i="18" s="1"/>
  <c r="AB124" i="18"/>
  <c r="AQ124" i="18"/>
  <c r="M125" i="18"/>
  <c r="M152" i="18" s="1"/>
  <c r="D139" i="18"/>
  <c r="F151" i="18"/>
  <c r="N113" i="18"/>
  <c r="N140" i="18" s="1"/>
  <c r="AI71" i="18"/>
  <c r="AC113" i="18"/>
  <c r="AC140" i="18" s="1"/>
  <c r="AH139" i="18"/>
  <c r="AR127" i="18"/>
  <c r="AR154" i="18" s="1"/>
  <c r="AD128" i="18"/>
  <c r="AS45" i="18"/>
  <c r="AC127" i="18"/>
  <c r="AC154" i="18" s="1"/>
  <c r="BF126" i="18"/>
  <c r="BF153" i="18" s="1"/>
  <c r="BH128" i="18"/>
  <c r="BG113" i="18"/>
  <c r="BG140" i="18" s="1"/>
  <c r="BG127" i="18"/>
  <c r="BG154" i="18" s="1"/>
  <c r="M126" i="18"/>
  <c r="M153" i="18" s="1"/>
  <c r="AI57" i="18"/>
  <c r="O128" i="18"/>
  <c r="AS128" i="18"/>
  <c r="AR113" i="18"/>
  <c r="AR140" i="18" s="1"/>
  <c r="N127" i="18"/>
  <c r="N154" i="18" s="1"/>
  <c r="AQ115" i="18"/>
  <c r="AQ142" i="18" s="1"/>
  <c r="BF115" i="18"/>
  <c r="BF142" i="18" s="1"/>
  <c r="AB119" i="18"/>
  <c r="AB146" i="18" s="1"/>
  <c r="BF119" i="18"/>
  <c r="BF146" i="18" s="1"/>
  <c r="BF120" i="18"/>
  <c r="BF147" i="18" s="1"/>
  <c r="M116" i="18"/>
  <c r="M143" i="18" s="1"/>
  <c r="AB125" i="18"/>
  <c r="AB152" i="18" s="1"/>
  <c r="AQ117" i="18"/>
  <c r="AQ144" i="18" s="1"/>
  <c r="AB116" i="18"/>
  <c r="AB143" i="18" s="1"/>
  <c r="AQ116" i="18"/>
  <c r="AQ143" i="18" s="1"/>
  <c r="M115" i="18"/>
  <c r="M142" i="18" s="1"/>
  <c r="M119" i="18"/>
  <c r="M146" i="18" s="1"/>
  <c r="AQ120" i="18"/>
  <c r="AQ147" i="18" s="1"/>
  <c r="BF116" i="18"/>
  <c r="BF143" i="18" s="1"/>
  <c r="Z55" i="13"/>
  <c r="Y69" i="13"/>
  <c r="Y70" i="13" s="1"/>
  <c r="AB120" i="18"/>
  <c r="AB147" i="18" s="1"/>
  <c r="BF76" i="18"/>
  <c r="AS64" i="11" s="1"/>
  <c r="AV64" i="11" s="1"/>
  <c r="AW64" i="11" s="1"/>
  <c r="AR79" i="11" s="1"/>
  <c r="AQ40" i="18"/>
  <c r="AB114" i="18"/>
  <c r="AB141" i="18" s="1"/>
  <c r="M120" i="18"/>
  <c r="M147" i="18" s="1"/>
  <c r="M123" i="18"/>
  <c r="AB123" i="18"/>
  <c r="AQ123" i="18"/>
  <c r="BF125" i="18"/>
  <c r="BF152" i="18" s="1"/>
  <c r="M114" i="18"/>
  <c r="M141" i="18" s="1"/>
  <c r="BF114" i="18"/>
  <c r="BF141" i="18" s="1"/>
  <c r="AB115" i="18"/>
  <c r="AB142" i="18" s="1"/>
  <c r="M124" i="18"/>
  <c r="M117" i="18"/>
  <c r="M144" i="18" s="1"/>
  <c r="BF117" i="18"/>
  <c r="BF144" i="18" s="1"/>
  <c r="BG123" i="18"/>
  <c r="BG150" i="18" s="1"/>
  <c r="AQ41" i="18"/>
  <c r="AQ125" i="18"/>
  <c r="AQ152" i="18" s="1"/>
  <c r="BF124" i="18"/>
  <c r="AB117" i="18"/>
  <c r="AB144" i="18" s="1"/>
  <c r="AK117" i="18"/>
  <c r="AK144" i="18" s="1"/>
  <c r="BC46" i="18"/>
  <c r="BC30" i="18"/>
  <c r="AY151" i="18"/>
  <c r="BC43" i="18"/>
  <c r="F146" i="18"/>
  <c r="BC47" i="18"/>
  <c r="BC41" i="18"/>
  <c r="AN41" i="18" s="1"/>
  <c r="BC29" i="18"/>
  <c r="BC76" i="18"/>
  <c r="AS61" i="11" s="1"/>
  <c r="AT61" i="11" s="1"/>
  <c r="AU61" i="11" s="1"/>
  <c r="AK123" i="18"/>
  <c r="AK150" i="18" s="1"/>
  <c r="BC39" i="18"/>
  <c r="Y122" i="18" s="1"/>
  <c r="BC48" i="18"/>
  <c r="BC35" i="18"/>
  <c r="AN35" i="18" s="1"/>
  <c r="BC27" i="18"/>
  <c r="BC33" i="18"/>
  <c r="AN33" i="18" s="1"/>
  <c r="BC37" i="18"/>
  <c r="AN120" i="18" s="1"/>
  <c r="AJ146" i="18"/>
  <c r="BC44" i="18"/>
  <c r="BC25" i="18"/>
  <c r="BC26" i="18"/>
  <c r="BC31" i="18"/>
  <c r="BC42" i="18"/>
  <c r="AN42" i="18" s="1"/>
  <c r="BC45" i="18"/>
  <c r="BC119" i="18"/>
  <c r="BC146" i="18" s="1"/>
  <c r="AY146" i="18"/>
  <c r="J119" i="18"/>
  <c r="J146" i="18" s="1"/>
  <c r="BC32" i="18"/>
  <c r="AN32" i="18" s="1"/>
  <c r="BC38" i="18"/>
  <c r="AN38" i="18" s="1"/>
  <c r="BC34" i="18"/>
  <c r="AN34" i="18" s="1"/>
  <c r="BC40" i="18"/>
  <c r="AN40" i="18" s="1"/>
  <c r="BC28" i="18"/>
  <c r="AK124" i="18"/>
  <c r="AK151" i="18" s="1"/>
  <c r="G120" i="18"/>
  <c r="G147" i="18" s="1"/>
  <c r="AZ120" i="18"/>
  <c r="AZ147" i="18" s="1"/>
  <c r="AN119" i="18"/>
  <c r="AN146" i="18" s="1"/>
  <c r="AR123" i="18"/>
  <c r="AR150" i="18" s="1"/>
  <c r="V124" i="18"/>
  <c r="V151" i="18" s="1"/>
  <c r="V120" i="18"/>
  <c r="V147" i="18" s="1"/>
  <c r="N123" i="18"/>
  <c r="N150" i="18" s="1"/>
  <c r="V121" i="18"/>
  <c r="V148" i="18" s="1"/>
  <c r="Y119" i="18"/>
  <c r="Y146" i="18" s="1"/>
  <c r="AZ124" i="18"/>
  <c r="AZ151" i="18" s="1"/>
  <c r="G124" i="18"/>
  <c r="G151" i="18" s="1"/>
  <c r="AC123" i="18"/>
  <c r="AC150" i="18" s="1"/>
  <c r="AK120" i="18"/>
  <c r="AK147" i="18" s="1"/>
  <c r="F152" i="18"/>
  <c r="F148" i="18"/>
  <c r="U152" i="18"/>
  <c r="G118" i="18"/>
  <c r="G145" i="18" s="1"/>
  <c r="V119" i="18"/>
  <c r="V146" i="18" s="1"/>
  <c r="V118" i="18"/>
  <c r="V145" i="18" s="1"/>
  <c r="AZ118" i="18"/>
  <c r="AZ145" i="18" s="1"/>
  <c r="AK118" i="18"/>
  <c r="AK145" i="18" s="1"/>
  <c r="AK122" i="18"/>
  <c r="AK149" i="18" s="1"/>
  <c r="F144" i="18"/>
  <c r="AJ152" i="18"/>
  <c r="AJ148" i="18"/>
  <c r="U148" i="18"/>
  <c r="AY152" i="18"/>
  <c r="AJ151" i="18"/>
  <c r="U144" i="18"/>
  <c r="AY144" i="18"/>
  <c r="F147" i="18"/>
  <c r="U151" i="18"/>
  <c r="AP118" i="18"/>
  <c r="AP145" i="18" s="1"/>
  <c r="G115" i="18"/>
  <c r="G142" i="18" s="1"/>
  <c r="V115" i="18"/>
  <c r="V142" i="18" s="1"/>
  <c r="U147" i="18"/>
  <c r="AR117" i="18"/>
  <c r="N125" i="18"/>
  <c r="AT57" i="11"/>
  <c r="AU57" i="11" s="1"/>
  <c r="AJ147" i="18"/>
  <c r="AY147" i="18"/>
  <c r="AK115" i="18"/>
  <c r="AK142" i="18" s="1"/>
  <c r="AZ115" i="18"/>
  <c r="AZ142" i="18" s="1"/>
  <c r="N119" i="18"/>
  <c r="N146" i="18" s="1"/>
  <c r="AZ121" i="18"/>
  <c r="AZ148" i="18" s="1"/>
  <c r="AZ123" i="18"/>
  <c r="AZ150" i="18" s="1"/>
  <c r="AK121" i="18"/>
  <c r="AK148" i="18" s="1"/>
  <c r="G121" i="18"/>
  <c r="G148" i="18" s="1"/>
  <c r="G123" i="18"/>
  <c r="G150" i="18" s="1"/>
  <c r="V123" i="18"/>
  <c r="V150" i="18" s="1"/>
  <c r="G122" i="18"/>
  <c r="G149" i="18" s="1"/>
  <c r="G119" i="18"/>
  <c r="G146" i="18" s="1"/>
  <c r="AZ119" i="18"/>
  <c r="AZ146" i="18" s="1"/>
  <c r="O123" i="18"/>
  <c r="AS40" i="18"/>
  <c r="AA118" i="18"/>
  <c r="AA145" i="18" s="1"/>
  <c r="V117" i="18"/>
  <c r="V144" i="18" s="1"/>
  <c r="AD116" i="18"/>
  <c r="AD143" i="18" s="1"/>
  <c r="AZ122" i="18"/>
  <c r="AZ149" i="18" s="1"/>
  <c r="L118" i="18"/>
  <c r="L145" i="18" s="1"/>
  <c r="AZ117" i="18"/>
  <c r="AZ144" i="18" s="1"/>
  <c r="O116" i="18"/>
  <c r="O143" i="18" s="1"/>
  <c r="BH123" i="18"/>
  <c r="G117" i="18"/>
  <c r="G144" i="18" s="1"/>
  <c r="V122" i="18"/>
  <c r="V149" i="18" s="1"/>
  <c r="BE118" i="18"/>
  <c r="BE145" i="18" s="1"/>
  <c r="AK119" i="18"/>
  <c r="AK146" i="18" s="1"/>
  <c r="AZ125" i="18"/>
  <c r="AZ152" i="18" s="1"/>
  <c r="G125" i="18"/>
  <c r="G152" i="18" s="1"/>
  <c r="V125" i="18"/>
  <c r="V152" i="18" s="1"/>
  <c r="AK125" i="18"/>
  <c r="AK152" i="18" s="1"/>
  <c r="AP119" i="18"/>
  <c r="AP146" i="18" s="1"/>
  <c r="BE119" i="18"/>
  <c r="BE146" i="18" s="1"/>
  <c r="AS113" i="18"/>
  <c r="I116" i="18"/>
  <c r="AM120" i="18"/>
  <c r="O117" i="18"/>
  <c r="O113" i="18"/>
  <c r="AD113" i="18"/>
  <c r="AD114" i="18"/>
  <c r="AD141" i="18" s="1"/>
  <c r="BH117" i="18"/>
  <c r="O114" i="18"/>
  <c r="O141" i="18" s="1"/>
  <c r="O120" i="18"/>
  <c r="O147" i="18" s="1"/>
  <c r="AP124" i="18"/>
  <c r="AP151" i="18" s="1"/>
  <c r="AA117" i="18"/>
  <c r="AA144" i="18" s="1"/>
  <c r="BH120" i="18"/>
  <c r="BH147" i="18" s="1"/>
  <c r="AA121" i="18"/>
  <c r="AA148" i="18" s="1"/>
  <c r="AS120" i="18"/>
  <c r="AS147" i="18" s="1"/>
  <c r="BE115" i="18"/>
  <c r="BE142" i="18" s="1"/>
  <c r="AP117" i="18"/>
  <c r="AP144" i="18" s="1"/>
  <c r="AM122" i="18"/>
  <c r="AD120" i="18"/>
  <c r="AD147" i="18" s="1"/>
  <c r="AD124" i="18"/>
  <c r="BE117" i="18"/>
  <c r="BE144" i="18" s="1"/>
  <c r="L117" i="18"/>
  <c r="L144" i="18" s="1"/>
  <c r="AP116" i="18"/>
  <c r="AP143" i="18" s="1"/>
  <c r="AD122" i="18"/>
  <c r="D142" i="18"/>
  <c r="AD121" i="18"/>
  <c r="O121" i="18"/>
  <c r="BH121" i="18"/>
  <c r="AD123" i="18"/>
  <c r="L120" i="18"/>
  <c r="L147" i="18" s="1"/>
  <c r="L123" i="18"/>
  <c r="L150" i="18" s="1"/>
  <c r="N126" i="18"/>
  <c r="AS38" i="18"/>
  <c r="AA120" i="18"/>
  <c r="AA147" i="18" s="1"/>
  <c r="AC121" i="18"/>
  <c r="BH126" i="18"/>
  <c r="BH153" i="18" s="1"/>
  <c r="AS30" i="18"/>
  <c r="L124" i="18"/>
  <c r="L151" i="18" s="1"/>
  <c r="BE122" i="18"/>
  <c r="BE149" i="18" s="1"/>
  <c r="BH122" i="18"/>
  <c r="AP122" i="18"/>
  <c r="AP149" i="18" s="1"/>
  <c r="AD126" i="18"/>
  <c r="AD153" i="18" s="1"/>
  <c r="AP115" i="18"/>
  <c r="AP142" i="18" s="1"/>
  <c r="AA124" i="18"/>
  <c r="AA151" i="18" s="1"/>
  <c r="O115" i="18"/>
  <c r="O142" i="18" s="1"/>
  <c r="AS39" i="18"/>
  <c r="AS149" i="18" s="1"/>
  <c r="O122" i="18"/>
  <c r="L115" i="18"/>
  <c r="L142" i="18" s="1"/>
  <c r="AS126" i="18"/>
  <c r="AS153" i="18" s="1"/>
  <c r="AD115" i="18"/>
  <c r="AD142" i="18" s="1"/>
  <c r="AP121" i="18"/>
  <c r="AP148" i="18" s="1"/>
  <c r="BE121" i="18"/>
  <c r="BE148" i="18" s="1"/>
  <c r="AA115" i="18"/>
  <c r="AA142" i="18" s="1"/>
  <c r="BE124" i="18"/>
  <c r="BE151" i="18" s="1"/>
  <c r="L121" i="18"/>
  <c r="L148" i="18" s="1"/>
  <c r="O126" i="18"/>
  <c r="O153" i="18" s="1"/>
  <c r="AS115" i="18"/>
  <c r="AS142" i="18" s="1"/>
  <c r="BH115" i="18"/>
  <c r="BH142" i="18" s="1"/>
  <c r="AS44" i="18"/>
  <c r="N122" i="18"/>
  <c r="N149" i="18" s="1"/>
  <c r="AS119" i="18"/>
  <c r="BH119" i="18"/>
  <c r="AA116" i="18"/>
  <c r="AA143" i="18" s="1"/>
  <c r="AR120" i="18"/>
  <c r="AR147" i="18" s="1"/>
  <c r="AD127" i="18"/>
  <c r="O119" i="18"/>
  <c r="O127" i="18"/>
  <c r="AR122" i="18"/>
  <c r="AR149" i="18" s="1"/>
  <c r="AS36" i="18"/>
  <c r="AD146" i="18" s="1"/>
  <c r="L116" i="18"/>
  <c r="L143" i="18" s="1"/>
  <c r="AM121" i="18"/>
  <c r="AM148" i="18" s="1"/>
  <c r="BH116" i="18"/>
  <c r="BH143" i="18" s="1"/>
  <c r="AS116" i="18"/>
  <c r="AS143" i="18" s="1"/>
  <c r="BG122" i="18"/>
  <c r="BG149" i="18" s="1"/>
  <c r="AC122" i="18"/>
  <c r="AC149" i="18" s="1"/>
  <c r="BH127" i="18"/>
  <c r="BE116" i="18"/>
  <c r="BE143" i="18" s="1"/>
  <c r="S141" i="18"/>
  <c r="BB120" i="18"/>
  <c r="O124" i="18"/>
  <c r="AR116" i="18"/>
  <c r="AR143" i="18" s="1"/>
  <c r="AS34" i="18"/>
  <c r="N118" i="18"/>
  <c r="N145" i="18" s="1"/>
  <c r="AS118" i="18"/>
  <c r="BH114" i="18"/>
  <c r="BH141" i="18" s="1"/>
  <c r="BH124" i="18"/>
  <c r="AS41" i="18"/>
  <c r="AS151" i="18" s="1"/>
  <c r="I121" i="18"/>
  <c r="I148" i="18" s="1"/>
  <c r="AD117" i="18"/>
  <c r="AS35" i="18"/>
  <c r="AS114" i="18"/>
  <c r="AS141" i="18" s="1"/>
  <c r="AD118" i="18"/>
  <c r="AP125" i="18"/>
  <c r="AP152" i="18" s="1"/>
  <c r="AC118" i="18"/>
  <c r="AC145" i="18" s="1"/>
  <c r="O118" i="18"/>
  <c r="N121" i="18"/>
  <c r="AD125" i="18"/>
  <c r="AR38" i="18"/>
  <c r="BG148" i="18" s="1"/>
  <c r="N117" i="18"/>
  <c r="AA123" i="18"/>
  <c r="AA150" i="18" s="1"/>
  <c r="AP123" i="18"/>
  <c r="AP150" i="18" s="1"/>
  <c r="O125" i="18"/>
  <c r="BH125" i="18"/>
  <c r="AM119" i="18"/>
  <c r="AM146" i="18" s="1"/>
  <c r="AR119" i="18"/>
  <c r="AR146" i="18" s="1"/>
  <c r="AS42" i="18"/>
  <c r="AS152" i="18" s="1"/>
  <c r="AR43" i="18"/>
  <c r="AR42" i="18"/>
  <c r="BG117" i="18"/>
  <c r="AR121" i="18"/>
  <c r="BE120" i="18"/>
  <c r="BE147" i="18" s="1"/>
  <c r="AA119" i="18"/>
  <c r="AA146" i="18" s="1"/>
  <c r="AM123" i="18"/>
  <c r="AC125" i="18"/>
  <c r="AP120" i="18"/>
  <c r="AP147" i="18" s="1"/>
  <c r="BE123" i="18"/>
  <c r="BE150" i="18" s="1"/>
  <c r="BG119" i="18"/>
  <c r="BG146" i="18" s="1"/>
  <c r="AR126" i="18"/>
  <c r="AR125" i="18"/>
  <c r="AR34" i="18"/>
  <c r="AC144" i="18" s="1"/>
  <c r="L119" i="18"/>
  <c r="L146" i="18" s="1"/>
  <c r="AC119" i="18"/>
  <c r="AC146" i="18" s="1"/>
  <c r="AC126" i="18"/>
  <c r="AV59" i="11"/>
  <c r="AW59" i="11" s="1"/>
  <c r="AR74" i="11" s="1"/>
  <c r="X122" i="18"/>
  <c r="AM67" i="18"/>
  <c r="BG118" i="18"/>
  <c r="BG145" i="18" s="1"/>
  <c r="AM64" i="18"/>
  <c r="AM66" i="18"/>
  <c r="AC116" i="18"/>
  <c r="AC143" i="18" s="1"/>
  <c r="N116" i="18"/>
  <c r="N143" i="18" s="1"/>
  <c r="AR118" i="18"/>
  <c r="AR145" i="18" s="1"/>
  <c r="X124" i="18"/>
  <c r="X151" i="18" s="1"/>
  <c r="AA122" i="18"/>
  <c r="AA149" i="18" s="1"/>
  <c r="I120" i="18"/>
  <c r="X120" i="18"/>
  <c r="I122" i="18"/>
  <c r="AR114" i="18"/>
  <c r="N114" i="18"/>
  <c r="L122" i="18"/>
  <c r="L149" i="18" s="1"/>
  <c r="BB122" i="18"/>
  <c r="BG116" i="18"/>
  <c r="BG143" i="18" s="1"/>
  <c r="L125" i="18"/>
  <c r="L152" i="18" s="1"/>
  <c r="X121" i="18"/>
  <c r="X148" i="18" s="1"/>
  <c r="BB117" i="18"/>
  <c r="BB144" i="18" s="1"/>
  <c r="BG114" i="18"/>
  <c r="X123" i="18"/>
  <c r="AR31" i="18"/>
  <c r="AC141" i="18" s="1"/>
  <c r="X116" i="18"/>
  <c r="AA125" i="18"/>
  <c r="AA152" i="18" s="1"/>
  <c r="BB121" i="18"/>
  <c r="BB148" i="18" s="1"/>
  <c r="BE125" i="18"/>
  <c r="BE152" i="18" s="1"/>
  <c r="BX49" i="18"/>
  <c r="AT66" i="11"/>
  <c r="AU66" i="11" s="1"/>
  <c r="I123" i="18"/>
  <c r="N120" i="18"/>
  <c r="N147" i="18" s="1"/>
  <c r="I124" i="18"/>
  <c r="I151" i="18" s="1"/>
  <c r="BB119" i="18"/>
  <c r="BB146" i="18" s="1"/>
  <c r="I119" i="18"/>
  <c r="I146" i="18" s="1"/>
  <c r="AM117" i="18"/>
  <c r="AM144" i="18" s="1"/>
  <c r="BB123" i="18"/>
  <c r="BB124" i="18"/>
  <c r="BB151" i="18" s="1"/>
  <c r="X119" i="18"/>
  <c r="X146" i="18" s="1"/>
  <c r="BB116" i="18"/>
  <c r="BG120" i="18"/>
  <c r="BG147" i="18" s="1"/>
  <c r="AM60" i="18"/>
  <c r="AW141" i="18"/>
  <c r="N124" i="18"/>
  <c r="N151" i="18" s="1"/>
  <c r="AC120" i="18"/>
  <c r="AC147" i="18" s="1"/>
  <c r="AM124" i="18"/>
  <c r="AM151" i="18" s="1"/>
  <c r="I117" i="18"/>
  <c r="I144" i="18" s="1"/>
  <c r="AM116" i="18"/>
  <c r="AC124" i="18"/>
  <c r="AC151" i="18" s="1"/>
  <c r="AR124" i="18"/>
  <c r="AR151" i="18" s="1"/>
  <c r="X117" i="18"/>
  <c r="X144" i="18" s="1"/>
  <c r="BG124" i="18"/>
  <c r="BG151" i="18" s="1"/>
  <c r="BB118" i="18"/>
  <c r="BB145" i="18" s="1"/>
  <c r="X118" i="18"/>
  <c r="X145" i="18" s="1"/>
  <c r="I118" i="18"/>
  <c r="I145" i="18" s="1"/>
  <c r="AM118" i="18"/>
  <c r="AM145" i="18" s="1"/>
  <c r="BE76" i="18"/>
  <c r="AS63" i="11" s="1"/>
  <c r="BB76" i="18"/>
  <c r="AS60" i="11" s="1"/>
  <c r="AV60" i="11" s="1"/>
  <c r="AW60" i="11" s="1"/>
  <c r="AR75" i="11" s="1"/>
  <c r="AW140" i="18"/>
  <c r="AX76" i="18"/>
  <c r="AS56" i="11" s="1"/>
  <c r="AV56" i="11" s="1"/>
  <c r="AW56" i="11" s="1"/>
  <c r="AR71" i="11" s="1"/>
  <c r="AI60" i="18"/>
  <c r="AI59" i="18"/>
  <c r="AI65" i="18"/>
  <c r="AX28" i="18"/>
  <c r="AX37" i="18"/>
  <c r="AX34" i="18"/>
  <c r="AX31" i="18"/>
  <c r="AX42" i="18"/>
  <c r="AX27" i="18"/>
  <c r="AX45" i="18"/>
  <c r="AX47" i="18"/>
  <c r="AX32" i="18"/>
  <c r="AI32" i="18" s="1"/>
  <c r="AX30" i="18"/>
  <c r="AI30" i="18" s="1"/>
  <c r="AX43" i="18"/>
  <c r="AI43" i="18" s="1"/>
  <c r="AX29" i="18"/>
  <c r="AX40" i="18"/>
  <c r="AX46" i="18"/>
  <c r="AX36" i="18"/>
  <c r="AX26" i="18"/>
  <c r="AX38" i="18"/>
  <c r="AI38" i="18" s="1"/>
  <c r="AX48" i="18"/>
  <c r="AX35" i="18"/>
  <c r="AX44" i="18"/>
  <c r="AI44" i="18" s="1"/>
  <c r="AX41" i="18"/>
  <c r="AX25" i="18"/>
  <c r="AX39" i="18"/>
  <c r="AI39" i="18" s="1"/>
  <c r="AX33" i="18"/>
  <c r="AI33" i="18" s="1"/>
  <c r="AI70" i="18"/>
  <c r="AI66" i="18"/>
  <c r="D152" i="18"/>
  <c r="D141" i="18"/>
  <c r="Q202" i="5"/>
  <c r="S202" i="5" s="1"/>
  <c r="BC129" i="11" s="1"/>
  <c r="BD129" i="11" s="1"/>
  <c r="AH141" i="18"/>
  <c r="S148" i="18"/>
  <c r="AV55" i="11"/>
  <c r="AW55" i="11" s="1"/>
  <c r="AR70" i="11" s="1"/>
  <c r="S149" i="18"/>
  <c r="AH143" i="18"/>
  <c r="AW142" i="18"/>
  <c r="AK143" i="18"/>
  <c r="V143" i="18"/>
  <c r="S142" i="18"/>
  <c r="AH153" i="18"/>
  <c r="AH142" i="18"/>
  <c r="D143" i="18"/>
  <c r="D154" i="18"/>
  <c r="AW150" i="18"/>
  <c r="D146" i="18"/>
  <c r="D147" i="18"/>
  <c r="AW154" i="18"/>
  <c r="S154" i="18"/>
  <c r="AH150" i="18"/>
  <c r="AW146" i="18"/>
  <c r="AH146" i="18"/>
  <c r="AW147" i="18"/>
  <c r="AH144" i="18"/>
  <c r="S151" i="18"/>
  <c r="AW152" i="18"/>
  <c r="AH154" i="18"/>
  <c r="S150" i="18"/>
  <c r="S146" i="18"/>
  <c r="AH149" i="18"/>
  <c r="S140" i="18"/>
  <c r="AW145" i="18"/>
  <c r="AH151" i="18"/>
  <c r="G143" i="18"/>
  <c r="S152" i="18"/>
  <c r="AH140" i="18"/>
  <c r="S153" i="18"/>
  <c r="D153" i="18"/>
  <c r="AH148" i="18"/>
  <c r="D150" i="18"/>
  <c r="AW149" i="18"/>
  <c r="AH147" i="18"/>
  <c r="AW144" i="18"/>
  <c r="AW143" i="18"/>
  <c r="D145" i="18"/>
  <c r="D151" i="18"/>
  <c r="AZ143" i="18"/>
  <c r="AH152" i="18"/>
  <c r="AW153" i="18"/>
  <c r="AW148" i="18"/>
  <c r="AV65" i="11"/>
  <c r="AW65" i="11" s="1"/>
  <c r="AR80" i="11" s="1"/>
  <c r="AT65" i="11"/>
  <c r="AU65" i="11" s="1"/>
  <c r="D140" i="18"/>
  <c r="D149" i="18"/>
  <c r="S147" i="18"/>
  <c r="D144" i="18"/>
  <c r="S143" i="18"/>
  <c r="S145" i="18"/>
  <c r="AW151" i="18"/>
  <c r="AV58" i="11"/>
  <c r="AW58" i="11" s="1"/>
  <c r="AR73" i="11" s="1"/>
  <c r="AT58" i="11"/>
  <c r="AU58" i="11" s="1"/>
  <c r="U204" i="5"/>
  <c r="AH145" i="18"/>
  <c r="T148" i="25" l="1"/>
  <c r="X128" i="25"/>
  <c r="X124" i="25"/>
  <c r="T160" i="25"/>
  <c r="AC160" i="25" s="1"/>
  <c r="AD160" i="25" s="1"/>
  <c r="X145" i="25"/>
  <c r="X144" i="25"/>
  <c r="N14" i="5"/>
  <c r="I89" i="16" s="1"/>
  <c r="T147" i="25"/>
  <c r="T164" i="25"/>
  <c r="T108" i="25"/>
  <c r="T130" i="25"/>
  <c r="T127" i="25"/>
  <c r="T106" i="25"/>
  <c r="AC106" i="25" s="1"/>
  <c r="AD106" i="25" s="1"/>
  <c r="T122" i="25"/>
  <c r="AC122" i="25" s="1"/>
  <c r="AD122" i="25" s="1"/>
  <c r="Y130" i="25"/>
  <c r="T145" i="25"/>
  <c r="AA161" i="25"/>
  <c r="H161" i="25" s="1"/>
  <c r="X112" i="25"/>
  <c r="T144" i="25"/>
  <c r="AB160" i="25"/>
  <c r="I160" i="25" s="1"/>
  <c r="T109" i="25"/>
  <c r="AA125" i="24"/>
  <c r="AB125" i="24"/>
  <c r="I125" i="24" s="1"/>
  <c r="AB143" i="24"/>
  <c r="I143" i="24" s="1"/>
  <c r="AA143" i="24"/>
  <c r="AA142" i="23"/>
  <c r="H142" i="23" s="1"/>
  <c r="AB142" i="23"/>
  <c r="I142" i="23" s="1"/>
  <c r="AA160" i="22"/>
  <c r="H160" i="22" s="1"/>
  <c r="AB160" i="22"/>
  <c r="I160" i="22" s="1"/>
  <c r="AB160" i="21"/>
  <c r="I160" i="21" s="1"/>
  <c r="AA160" i="21"/>
  <c r="H160" i="21" s="1"/>
  <c r="AB161" i="25"/>
  <c r="I161" i="25" s="1"/>
  <c r="AA160" i="25"/>
  <c r="H160" i="25" s="1"/>
  <c r="AB161" i="21"/>
  <c r="I161" i="21" s="1"/>
  <c r="AA161" i="21"/>
  <c r="H161" i="21" s="1"/>
  <c r="AA124" i="23"/>
  <c r="AB124" i="23"/>
  <c r="I124" i="23" s="1"/>
  <c r="AB124" i="24"/>
  <c r="I124" i="24" s="1"/>
  <c r="AA124" i="24"/>
  <c r="AB143" i="23"/>
  <c r="AA143" i="23"/>
  <c r="H143" i="23" s="1"/>
  <c r="AB161" i="23"/>
  <c r="I161" i="23" s="1"/>
  <c r="AA161" i="23"/>
  <c r="H161" i="23" s="1"/>
  <c r="AA160" i="23"/>
  <c r="H160" i="23" s="1"/>
  <c r="AB160" i="23"/>
  <c r="I160" i="23" s="1"/>
  <c r="AA161" i="24"/>
  <c r="AB161" i="24"/>
  <c r="I161" i="24" s="1"/>
  <c r="AB161" i="22"/>
  <c r="I161" i="22" s="1"/>
  <c r="AA161" i="22"/>
  <c r="H161" i="22" s="1"/>
  <c r="AA142" i="24"/>
  <c r="AB142" i="24"/>
  <c r="I142" i="24" s="1"/>
  <c r="AB124" i="25"/>
  <c r="I124" i="25" s="1"/>
  <c r="AA124" i="25"/>
  <c r="H124" i="25" s="1"/>
  <c r="AA125" i="25"/>
  <c r="H125" i="25" s="1"/>
  <c r="AB125" i="25"/>
  <c r="I125" i="25" s="1"/>
  <c r="AB125" i="23"/>
  <c r="I125" i="23" s="1"/>
  <c r="AA125" i="23"/>
  <c r="H125" i="23" s="1"/>
  <c r="AB160" i="24"/>
  <c r="I160" i="24" s="1"/>
  <c r="AA160" i="24"/>
  <c r="T128" i="25"/>
  <c r="T142" i="25"/>
  <c r="AC142" i="25" s="1"/>
  <c r="AD142" i="25" s="1"/>
  <c r="T112" i="25"/>
  <c r="T126" i="25"/>
  <c r="T146" i="25"/>
  <c r="T162" i="25"/>
  <c r="Y109" i="25"/>
  <c r="AB107" i="23"/>
  <c r="AA107" i="23"/>
  <c r="H107" i="23" s="1"/>
  <c r="AB106" i="23"/>
  <c r="AA106" i="23"/>
  <c r="H106" i="23" s="1"/>
  <c r="AB107" i="24"/>
  <c r="AA107" i="24"/>
  <c r="AA106" i="24"/>
  <c r="AB106" i="24"/>
  <c r="I106" i="24" s="1"/>
  <c r="AA140" i="23"/>
  <c r="H140" i="23" s="1"/>
  <c r="AB140" i="23"/>
  <c r="I140" i="23" s="1"/>
  <c r="AA123" i="24"/>
  <c r="AB123" i="24"/>
  <c r="I123" i="24" s="1"/>
  <c r="AA104" i="24"/>
  <c r="AB104" i="24"/>
  <c r="I104" i="24" s="1"/>
  <c r="AA159" i="24"/>
  <c r="AB159" i="24"/>
  <c r="I159" i="24" s="1"/>
  <c r="AB105" i="23"/>
  <c r="I105" i="23" s="1"/>
  <c r="AA105" i="23"/>
  <c r="H105" i="23" s="1"/>
  <c r="AB122" i="24"/>
  <c r="I122" i="24" s="1"/>
  <c r="AA122" i="24"/>
  <c r="T60" i="22"/>
  <c r="U60" i="22" s="1"/>
  <c r="R60" i="22"/>
  <c r="R60" i="24"/>
  <c r="T60" i="24"/>
  <c r="U60" i="24" s="1"/>
  <c r="T70" i="24"/>
  <c r="U70" i="24" s="1"/>
  <c r="R70" i="24"/>
  <c r="R80" i="24"/>
  <c r="T80" i="24"/>
  <c r="U80" i="24" s="1"/>
  <c r="AA141" i="23"/>
  <c r="H141" i="23" s="1"/>
  <c r="AB141" i="23"/>
  <c r="I141" i="23" s="1"/>
  <c r="T60" i="23"/>
  <c r="U60" i="23" s="1"/>
  <c r="R60" i="23"/>
  <c r="AB159" i="23"/>
  <c r="I159" i="23" s="1"/>
  <c r="AA159" i="23"/>
  <c r="H159" i="23" s="1"/>
  <c r="AA123" i="23"/>
  <c r="H123" i="23" s="1"/>
  <c r="AB123" i="23"/>
  <c r="I123" i="23" s="1"/>
  <c r="R70" i="23"/>
  <c r="T70" i="23"/>
  <c r="U70" i="23" s="1"/>
  <c r="AA105" i="24"/>
  <c r="AB105" i="24"/>
  <c r="I105" i="24" s="1"/>
  <c r="R80" i="23"/>
  <c r="T80" i="23"/>
  <c r="U80" i="23" s="1"/>
  <c r="AA158" i="24"/>
  <c r="AB158" i="24"/>
  <c r="I158" i="24" s="1"/>
  <c r="AA104" i="23"/>
  <c r="H104" i="23" s="1"/>
  <c r="AB104" i="23"/>
  <c r="I104" i="23" s="1"/>
  <c r="T90" i="23"/>
  <c r="U90" i="23" s="1"/>
  <c r="R90" i="23"/>
  <c r="AA158" i="23"/>
  <c r="H158" i="23" s="1"/>
  <c r="AB158" i="23"/>
  <c r="I158" i="23" s="1"/>
  <c r="T90" i="24"/>
  <c r="U90" i="24" s="1"/>
  <c r="R90" i="24"/>
  <c r="AB140" i="24"/>
  <c r="I140" i="24" s="1"/>
  <c r="AA140" i="24"/>
  <c r="AA122" i="23"/>
  <c r="H122" i="23" s="1"/>
  <c r="AB122" i="23"/>
  <c r="I122" i="23" s="1"/>
  <c r="AA141" i="24"/>
  <c r="AB141" i="24"/>
  <c r="I141" i="24" s="1"/>
  <c r="R66" i="20"/>
  <c r="S66" i="20" s="1"/>
  <c r="T66" i="20"/>
  <c r="U66" i="20" s="1"/>
  <c r="V66" i="20" s="1"/>
  <c r="Q67" i="20"/>
  <c r="V104" i="25"/>
  <c r="Y104" i="25" s="1"/>
  <c r="U105" i="25"/>
  <c r="T66" i="25"/>
  <c r="U66" i="25" s="1"/>
  <c r="V66" i="25" s="1"/>
  <c r="R66" i="25"/>
  <c r="S66" i="25" s="1"/>
  <c r="Q67" i="25"/>
  <c r="Y106" i="25"/>
  <c r="X106" i="25"/>
  <c r="AA106" i="25" s="1"/>
  <c r="H106" i="25" s="1"/>
  <c r="Y107" i="25"/>
  <c r="X107" i="25"/>
  <c r="AB107" i="25" s="1"/>
  <c r="I107" i="25" s="1"/>
  <c r="AD104" i="25"/>
  <c r="AL123" i="25"/>
  <c r="AM87" i="25"/>
  <c r="AI121" i="25"/>
  <c r="AP121" i="25"/>
  <c r="AH121" i="25"/>
  <c r="AM121" i="25"/>
  <c r="AR121" i="25"/>
  <c r="T60" i="25"/>
  <c r="U60" i="25" s="1"/>
  <c r="R60" i="25"/>
  <c r="AA12" i="5"/>
  <c r="H124" i="23"/>
  <c r="S29" i="5"/>
  <c r="U14" i="5"/>
  <c r="W14" i="5"/>
  <c r="Z11" i="5"/>
  <c r="BA10" i="5"/>
  <c r="BA11" i="5"/>
  <c r="AA153" i="18"/>
  <c r="AA159" i="18" s="1"/>
  <c r="L153" i="18"/>
  <c r="L160" i="18" s="1"/>
  <c r="AP76" i="25" s="1"/>
  <c r="AN43" i="18"/>
  <c r="J126" i="18"/>
  <c r="AN126" i="18"/>
  <c r="BC126" i="18"/>
  <c r="Y126" i="18"/>
  <c r="AM153" i="18"/>
  <c r="BD126" i="18"/>
  <c r="BD153" i="18" s="1"/>
  <c r="AP153" i="18"/>
  <c r="AP159" i="18" s="1"/>
  <c r="BB153" i="18"/>
  <c r="X153" i="18"/>
  <c r="Z126" i="18"/>
  <c r="Z153" i="18" s="1"/>
  <c r="AO126" i="18"/>
  <c r="AO153" i="18" s="1"/>
  <c r="BE153" i="18"/>
  <c r="BE160" i="18" s="1"/>
  <c r="AP79" i="25" s="1"/>
  <c r="I153" i="18"/>
  <c r="K126" i="18"/>
  <c r="K153" i="18" s="1"/>
  <c r="AA160" i="20"/>
  <c r="H160" i="20" s="1"/>
  <c r="X129" i="20"/>
  <c r="AA129" i="20" s="1"/>
  <c r="H129" i="20" s="1"/>
  <c r="X122" i="20"/>
  <c r="O154" i="18"/>
  <c r="X161" i="20"/>
  <c r="X126" i="20"/>
  <c r="AA126" i="20" s="1"/>
  <c r="H126" i="20" s="1"/>
  <c r="Y163" i="20"/>
  <c r="Y123" i="20"/>
  <c r="X158" i="20"/>
  <c r="X124" i="20"/>
  <c r="AT127" i="5"/>
  <c r="AK127" i="5"/>
  <c r="AR127" i="5"/>
  <c r="AJ127" i="5"/>
  <c r="AJ93" i="5" s="1"/>
  <c r="X125" i="20"/>
  <c r="Y166" i="20"/>
  <c r="AA109" i="20"/>
  <c r="H109" i="20" s="1"/>
  <c r="Z82" i="21"/>
  <c r="AD82" i="21" s="1"/>
  <c r="AE82" i="21" s="1"/>
  <c r="AE78" i="21" s="1"/>
  <c r="AJ44" i="21"/>
  <c r="AJ50" i="21" s="1"/>
  <c r="AK121" i="21" s="1"/>
  <c r="AD52" i="21"/>
  <c r="AE52" i="21" s="1"/>
  <c r="AE47" i="21" s="1"/>
  <c r="AK123" i="24"/>
  <c r="AL87" i="24"/>
  <c r="AJ44" i="23"/>
  <c r="AJ50" i="23" s="1"/>
  <c r="AK121" i="23" s="1"/>
  <c r="AD52" i="23"/>
  <c r="AE52" i="23" s="1"/>
  <c r="AE47" i="23" s="1"/>
  <c r="Z82" i="23"/>
  <c r="AD82" i="23" s="1"/>
  <c r="AE82" i="23" s="1"/>
  <c r="AE78" i="23" s="1"/>
  <c r="AK123" i="23"/>
  <c r="AL87" i="23"/>
  <c r="Z82" i="24"/>
  <c r="AD82" i="24" s="1"/>
  <c r="AE82" i="24" s="1"/>
  <c r="AE78" i="24" s="1"/>
  <c r="AJ44" i="24"/>
  <c r="AJ50" i="24" s="1"/>
  <c r="AK121" i="24" s="1"/>
  <c r="AD52" i="24"/>
  <c r="AE52" i="24" s="1"/>
  <c r="AE47" i="24" s="1"/>
  <c r="AK123" i="22"/>
  <c r="AL87" i="22"/>
  <c r="AK123" i="21"/>
  <c r="AL87" i="21"/>
  <c r="AJ44" i="22"/>
  <c r="AJ50" i="22" s="1"/>
  <c r="AK121" i="22" s="1"/>
  <c r="Z82" i="22"/>
  <c r="AD82" i="22" s="1"/>
  <c r="AE82" i="22" s="1"/>
  <c r="AE78" i="22" s="1"/>
  <c r="AD52" i="22"/>
  <c r="AE52" i="22" s="1"/>
  <c r="AE47" i="22" s="1"/>
  <c r="AW90" i="24"/>
  <c r="AW88" i="24"/>
  <c r="AW96" i="24" s="1"/>
  <c r="I106" i="23"/>
  <c r="H106" i="24"/>
  <c r="AA143" i="22"/>
  <c r="H143" i="22" s="1"/>
  <c r="AA107" i="22"/>
  <c r="H107" i="22" s="1"/>
  <c r="H107" i="24"/>
  <c r="I107" i="24"/>
  <c r="X124" i="21"/>
  <c r="AB124" i="21" s="1"/>
  <c r="I124" i="21" s="1"/>
  <c r="Y124" i="21"/>
  <c r="H105" i="24"/>
  <c r="H159" i="24"/>
  <c r="AB141" i="22"/>
  <c r="I141" i="22" s="1"/>
  <c r="H104" i="24"/>
  <c r="AA122" i="22"/>
  <c r="H122" i="22" s="1"/>
  <c r="AB106" i="21"/>
  <c r="I106" i="21" s="1"/>
  <c r="H122" i="24"/>
  <c r="H142" i="24"/>
  <c r="AB109" i="21"/>
  <c r="I109" i="21" s="1"/>
  <c r="AB159" i="22"/>
  <c r="I159" i="22" s="1"/>
  <c r="AB125" i="22"/>
  <c r="I125" i="22" s="1"/>
  <c r="I107" i="23"/>
  <c r="AW90" i="23"/>
  <c r="AW88" i="23"/>
  <c r="AW96" i="23" s="1"/>
  <c r="AB104" i="21"/>
  <c r="I104" i="21" s="1"/>
  <c r="AA159" i="21"/>
  <c r="H159" i="21" s="1"/>
  <c r="H141" i="24"/>
  <c r="AB104" i="22"/>
  <c r="I104" i="22" s="1"/>
  <c r="AB106" i="22"/>
  <c r="I106" i="22" s="1"/>
  <c r="I143" i="23"/>
  <c r="AB124" i="22"/>
  <c r="I124" i="22" s="1"/>
  <c r="H143" i="24"/>
  <c r="AB105" i="22"/>
  <c r="I105" i="22" s="1"/>
  <c r="AB142" i="21"/>
  <c r="I142" i="21" s="1"/>
  <c r="H123" i="24"/>
  <c r="H140" i="24"/>
  <c r="AA158" i="22"/>
  <c r="H158" i="22" s="1"/>
  <c r="X122" i="21"/>
  <c r="AA122" i="21" s="1"/>
  <c r="H122" i="21" s="1"/>
  <c r="Y122" i="21"/>
  <c r="AA140" i="21"/>
  <c r="H140" i="21" s="1"/>
  <c r="H158" i="24"/>
  <c r="AB105" i="21"/>
  <c r="I105" i="21" s="1"/>
  <c r="AD104" i="22"/>
  <c r="AW90" i="22" s="1"/>
  <c r="AW88" i="22"/>
  <c r="AW96" i="22" s="1"/>
  <c r="AB140" i="22"/>
  <c r="I140" i="22" s="1"/>
  <c r="AB123" i="22"/>
  <c r="I123" i="22" s="1"/>
  <c r="X125" i="21"/>
  <c r="AA125" i="21" s="1"/>
  <c r="H125" i="21" s="1"/>
  <c r="Y125" i="21"/>
  <c r="X123" i="21"/>
  <c r="AB123" i="21" s="1"/>
  <c r="I123" i="21" s="1"/>
  <c r="Y123" i="21"/>
  <c r="AB141" i="21"/>
  <c r="I141" i="21" s="1"/>
  <c r="AB158" i="21"/>
  <c r="I158" i="21" s="1"/>
  <c r="AB108" i="21"/>
  <c r="I108" i="21" s="1"/>
  <c r="AD104" i="21"/>
  <c r="AW90" i="21" s="1"/>
  <c r="AW88" i="21"/>
  <c r="AW96" i="21" s="1"/>
  <c r="AA143" i="21"/>
  <c r="H143" i="21" s="1"/>
  <c r="AA107" i="21"/>
  <c r="H107" i="21" s="1"/>
  <c r="AA142" i="22"/>
  <c r="H142" i="22" s="1"/>
  <c r="AA108" i="20"/>
  <c r="H108" i="20" s="1"/>
  <c r="AA106" i="20"/>
  <c r="H106" i="20" s="1"/>
  <c r="T70" i="22"/>
  <c r="U70" i="22" s="1"/>
  <c r="R70" i="22"/>
  <c r="T80" i="22"/>
  <c r="U80" i="22" s="1"/>
  <c r="R80" i="22"/>
  <c r="T90" i="22"/>
  <c r="U90" i="22" s="1"/>
  <c r="R90" i="22"/>
  <c r="R70" i="21"/>
  <c r="T70" i="21"/>
  <c r="U70" i="21" s="1"/>
  <c r="T80" i="21"/>
  <c r="U80" i="21" s="1"/>
  <c r="R80" i="21"/>
  <c r="T90" i="21"/>
  <c r="U90" i="21" s="1"/>
  <c r="R90" i="21"/>
  <c r="T60" i="21"/>
  <c r="U60" i="21" s="1"/>
  <c r="R60" i="21"/>
  <c r="AJ44" i="20"/>
  <c r="AJ50" i="20" s="1"/>
  <c r="AK121" i="20" s="1"/>
  <c r="Z82" i="20"/>
  <c r="AD82" i="20" s="1"/>
  <c r="AE82" i="20" s="1"/>
  <c r="AE78" i="20" s="1"/>
  <c r="AD52" i="20"/>
  <c r="AE52" i="20" s="1"/>
  <c r="AE47" i="20" s="1"/>
  <c r="X146" i="20"/>
  <c r="Y146" i="20"/>
  <c r="X144" i="20"/>
  <c r="Y144" i="20"/>
  <c r="Y140" i="20"/>
  <c r="X140" i="20"/>
  <c r="X145" i="20"/>
  <c r="Y145" i="20"/>
  <c r="X142" i="20"/>
  <c r="Y142" i="20"/>
  <c r="Y143" i="20"/>
  <c r="X143" i="20"/>
  <c r="Y148" i="20"/>
  <c r="X148" i="20"/>
  <c r="AB148" i="20" s="1"/>
  <c r="I148" i="20" s="1"/>
  <c r="X141" i="20"/>
  <c r="Y141" i="20"/>
  <c r="Y147" i="20"/>
  <c r="X147" i="20"/>
  <c r="AB147" i="20" s="1"/>
  <c r="I147" i="20" s="1"/>
  <c r="AL123" i="20"/>
  <c r="AM87" i="20"/>
  <c r="T60" i="20"/>
  <c r="U60" i="20" s="1"/>
  <c r="R60" i="20"/>
  <c r="AJ213" i="5"/>
  <c r="AT218" i="5" s="1"/>
  <c r="AU218" i="5" s="1"/>
  <c r="AV218" i="5" s="1"/>
  <c r="AO115" i="18"/>
  <c r="AO125" i="18"/>
  <c r="K115" i="18"/>
  <c r="AO32" i="18"/>
  <c r="BD142" i="18" s="1"/>
  <c r="BD125" i="18"/>
  <c r="AO42" i="18"/>
  <c r="Z152" i="18" s="1"/>
  <c r="Z115" i="18"/>
  <c r="K125" i="18"/>
  <c r="K117" i="18"/>
  <c r="K144" i="18" s="1"/>
  <c r="AO121" i="18"/>
  <c r="AO148" i="18" s="1"/>
  <c r="Z122" i="18"/>
  <c r="Z149" i="18" s="1"/>
  <c r="I142" i="18"/>
  <c r="AR148" i="18"/>
  <c r="AO119" i="18"/>
  <c r="AO146" i="18" s="1"/>
  <c r="O155" i="18"/>
  <c r="AO147" i="18"/>
  <c r="AQ113" i="11"/>
  <c r="K123" i="18"/>
  <c r="K150" i="18" s="1"/>
  <c r="AO41" i="18"/>
  <c r="Z151" i="18" s="1"/>
  <c r="K124" i="18"/>
  <c r="BD124" i="18"/>
  <c r="Z116" i="18"/>
  <c r="Z143" i="18" s="1"/>
  <c r="BD119" i="18"/>
  <c r="BD146" i="18" s="1"/>
  <c r="BF150" i="18"/>
  <c r="AO116" i="18"/>
  <c r="AO143" i="18" s="1"/>
  <c r="K119" i="18"/>
  <c r="K146" i="18" s="1"/>
  <c r="AO124" i="18"/>
  <c r="BD116" i="18"/>
  <c r="BD143" i="18" s="1"/>
  <c r="K116" i="18"/>
  <c r="K143" i="18" s="1"/>
  <c r="Z119" i="18"/>
  <c r="Z146" i="18" s="1"/>
  <c r="AO122" i="18"/>
  <c r="AO149" i="18" s="1"/>
  <c r="Z147" i="18"/>
  <c r="K122" i="18"/>
  <c r="K149" i="18" s="1"/>
  <c r="BD122" i="18"/>
  <c r="BD149" i="18" s="1"/>
  <c r="Z123" i="18"/>
  <c r="Z150" i="18" s="1"/>
  <c r="K118" i="18"/>
  <c r="K145" i="18" s="1"/>
  <c r="AO123" i="18"/>
  <c r="AO150" i="18" s="1"/>
  <c r="AO118" i="18"/>
  <c r="AO145" i="18" s="1"/>
  <c r="BD147" i="18"/>
  <c r="BD118" i="18"/>
  <c r="BD145" i="18" s="1"/>
  <c r="Z118" i="18"/>
  <c r="Z145" i="18" s="1"/>
  <c r="BD123" i="18"/>
  <c r="BD150" i="18" s="1"/>
  <c r="K121" i="18"/>
  <c r="K148" i="18" s="1"/>
  <c r="BD117" i="18"/>
  <c r="BD144" i="18" s="1"/>
  <c r="Z121" i="18"/>
  <c r="Z148" i="18" s="1"/>
  <c r="Z117" i="18"/>
  <c r="Z144" i="18" s="1"/>
  <c r="AO117" i="18"/>
  <c r="AO144" i="18" s="1"/>
  <c r="BD121" i="18"/>
  <c r="BD148" i="18" s="1"/>
  <c r="AT62" i="11"/>
  <c r="AU62" i="11" s="1"/>
  <c r="AQ94" i="11"/>
  <c r="I147" i="18"/>
  <c r="AR152" i="18"/>
  <c r="AB150" i="18"/>
  <c r="AN129" i="5"/>
  <c r="AO91" i="5"/>
  <c r="AX126" i="18"/>
  <c r="AX153" i="18" s="1"/>
  <c r="AQ110" i="11"/>
  <c r="AQ98" i="11"/>
  <c r="AQ108" i="11"/>
  <c r="AP111" i="11"/>
  <c r="AP92" i="11"/>
  <c r="AP89" i="11"/>
  <c r="AR89" i="11" s="1"/>
  <c r="AS89" i="11" s="1"/>
  <c r="AT89" i="11" s="1"/>
  <c r="AP108" i="11"/>
  <c r="AP109" i="11"/>
  <c r="AP90" i="11"/>
  <c r="AG51" i="5"/>
  <c r="AP106" i="11"/>
  <c r="AP95" i="11"/>
  <c r="AP114" i="11"/>
  <c r="AP93" i="11"/>
  <c r="AP112" i="11"/>
  <c r="AP110" i="11"/>
  <c r="AP91" i="11"/>
  <c r="AP96" i="11"/>
  <c r="AP115" i="11"/>
  <c r="AP94" i="11"/>
  <c r="AP113" i="11"/>
  <c r="AP116" i="11"/>
  <c r="AP97" i="11"/>
  <c r="AP117" i="11"/>
  <c r="AR117" i="11" s="1"/>
  <c r="AS117" i="11" s="1"/>
  <c r="AT117" i="11" s="1"/>
  <c r="AP98" i="11"/>
  <c r="AP107" i="11"/>
  <c r="AP88" i="11"/>
  <c r="T202" i="5"/>
  <c r="V202" i="5"/>
  <c r="AJ202" i="5"/>
  <c r="W202" i="5"/>
  <c r="AR201" i="5"/>
  <c r="AS201" i="5"/>
  <c r="AK201" i="5"/>
  <c r="AM152" i="18"/>
  <c r="BB152" i="18"/>
  <c r="J115" i="18"/>
  <c r="J142" i="18" s="1"/>
  <c r="AM142" i="18"/>
  <c r="BC115" i="18"/>
  <c r="BC142" i="18" s="1"/>
  <c r="BB142" i="18"/>
  <c r="AN115" i="18"/>
  <c r="AN142" i="18" s="1"/>
  <c r="X142" i="18"/>
  <c r="BC125" i="18"/>
  <c r="BC152" i="18" s="1"/>
  <c r="J125" i="18"/>
  <c r="J152" i="18" s="1"/>
  <c r="AN125" i="18"/>
  <c r="AN152" i="18" s="1"/>
  <c r="Y115" i="18"/>
  <c r="Y142" i="18" s="1"/>
  <c r="Y125" i="18"/>
  <c r="Y152" i="18" s="1"/>
  <c r="X152" i="18"/>
  <c r="I152" i="18"/>
  <c r="BF149" i="18"/>
  <c r="BF151" i="18"/>
  <c r="AB149" i="18"/>
  <c r="M149" i="18"/>
  <c r="AQ149" i="18"/>
  <c r="AB151" i="18"/>
  <c r="AQ151" i="18"/>
  <c r="T127" i="18"/>
  <c r="T154" i="18" s="1"/>
  <c r="E113" i="18"/>
  <c r="E140" i="18" s="1"/>
  <c r="BC117" i="18"/>
  <c r="BC144" i="18" s="1"/>
  <c r="J117" i="18"/>
  <c r="J144" i="18" s="1"/>
  <c r="Y118" i="18"/>
  <c r="Y145" i="18" s="1"/>
  <c r="AS155" i="18"/>
  <c r="AX127" i="18"/>
  <c r="AX154" i="18" s="1"/>
  <c r="AV61" i="11"/>
  <c r="AW61" i="11" s="1"/>
  <c r="AR76" i="11" s="1"/>
  <c r="AQ112" i="11" s="1"/>
  <c r="AX113" i="18"/>
  <c r="AX140" i="18" s="1"/>
  <c r="AI127" i="18"/>
  <c r="AI154" i="18" s="1"/>
  <c r="Y117" i="18"/>
  <c r="Y144" i="18" s="1"/>
  <c r="AQ150" i="18"/>
  <c r="T113" i="18"/>
  <c r="T140" i="18" s="1"/>
  <c r="AI113" i="18"/>
  <c r="AI140" i="18" s="1"/>
  <c r="BH155" i="18"/>
  <c r="AD155" i="18"/>
  <c r="E127" i="18"/>
  <c r="E154" i="18" s="1"/>
  <c r="M150" i="18"/>
  <c r="AA55" i="13"/>
  <c r="Z69" i="13"/>
  <c r="Z70" i="13" s="1"/>
  <c r="AQ115" i="11"/>
  <c r="AQ96" i="11"/>
  <c r="AT64" i="11"/>
  <c r="AU64" i="11" s="1"/>
  <c r="M151" i="18"/>
  <c r="AN117" i="18"/>
  <c r="AN144" i="18" s="1"/>
  <c r="J118" i="18"/>
  <c r="J145" i="18" s="1"/>
  <c r="Y123" i="18"/>
  <c r="Y150" i="18" s="1"/>
  <c r="BC123" i="18"/>
  <c r="BC150" i="18" s="1"/>
  <c r="Y124" i="18"/>
  <c r="Y151" i="18" s="1"/>
  <c r="AN124" i="18"/>
  <c r="AN151" i="18" s="1"/>
  <c r="BC124" i="18"/>
  <c r="BC151" i="18" s="1"/>
  <c r="J124" i="18"/>
  <c r="J151" i="18" s="1"/>
  <c r="BC118" i="18"/>
  <c r="BC145" i="18" s="1"/>
  <c r="AN118" i="18"/>
  <c r="AN145" i="18" s="1"/>
  <c r="AN123" i="18"/>
  <c r="AN150" i="18" s="1"/>
  <c r="J123" i="18"/>
  <c r="J150" i="18" s="1"/>
  <c r="Y121" i="18"/>
  <c r="Y148" i="18" s="1"/>
  <c r="J120" i="18"/>
  <c r="BC121" i="18"/>
  <c r="BC148" i="18" s="1"/>
  <c r="J121" i="18"/>
  <c r="J148" i="18" s="1"/>
  <c r="Y120" i="18"/>
  <c r="AN121" i="18"/>
  <c r="AN148" i="18" s="1"/>
  <c r="Y116" i="18"/>
  <c r="Y143" i="18" s="1"/>
  <c r="BC122" i="18"/>
  <c r="BC116" i="18"/>
  <c r="BC143" i="18" s="1"/>
  <c r="J122" i="18"/>
  <c r="F159" i="18"/>
  <c r="J116" i="18"/>
  <c r="J143" i="18" s="1"/>
  <c r="AN116" i="18"/>
  <c r="AN143" i="18" s="1"/>
  <c r="AN37" i="18"/>
  <c r="AN147" i="18" s="1"/>
  <c r="BC120" i="18"/>
  <c r="AN39" i="18"/>
  <c r="Y149" i="18" s="1"/>
  <c r="AN122" i="18"/>
  <c r="F160" i="18"/>
  <c r="AJ76" i="25" s="1"/>
  <c r="AY160" i="18"/>
  <c r="AJ79" i="25" s="1"/>
  <c r="U160" i="18"/>
  <c r="AJ77" i="25" s="1"/>
  <c r="AJ159" i="18"/>
  <c r="BH150" i="18"/>
  <c r="AD140" i="18"/>
  <c r="AR144" i="18"/>
  <c r="AS150" i="18"/>
  <c r="AY159" i="18"/>
  <c r="AD150" i="18"/>
  <c r="O150" i="18"/>
  <c r="AJ160" i="18"/>
  <c r="AJ78" i="25" s="1"/>
  <c r="N152" i="18"/>
  <c r="U159" i="18"/>
  <c r="AL159" i="18"/>
  <c r="BH144" i="18"/>
  <c r="AD151" i="18"/>
  <c r="AS140" i="18"/>
  <c r="AM149" i="18"/>
  <c r="N153" i="18"/>
  <c r="AC152" i="18"/>
  <c r="BH154" i="18"/>
  <c r="AD148" i="18"/>
  <c r="AA72" i="25" s="1"/>
  <c r="AD72" i="25" s="1"/>
  <c r="BH149" i="18"/>
  <c r="BH148" i="18"/>
  <c r="AA76" i="25" s="1"/>
  <c r="AD76" i="25" s="1"/>
  <c r="BG153" i="18"/>
  <c r="O149" i="18"/>
  <c r="AC153" i="18"/>
  <c r="AS148" i="18"/>
  <c r="AA74" i="25" s="1"/>
  <c r="AD74" i="25" s="1"/>
  <c r="AD149" i="18"/>
  <c r="N141" i="18"/>
  <c r="AS146" i="18"/>
  <c r="O148" i="18"/>
  <c r="AA70" i="25" s="1"/>
  <c r="AD70" i="25" s="1"/>
  <c r="AL160" i="18"/>
  <c r="AL78" i="25" s="1"/>
  <c r="N148" i="18"/>
  <c r="O146" i="18"/>
  <c r="AD144" i="18"/>
  <c r="O140" i="18"/>
  <c r="BH140" i="18"/>
  <c r="O144" i="18"/>
  <c r="AS144" i="18"/>
  <c r="N144" i="18"/>
  <c r="BH152" i="18"/>
  <c r="X149" i="18"/>
  <c r="BH146" i="18"/>
  <c r="BG152" i="18"/>
  <c r="BB147" i="18"/>
  <c r="X143" i="18"/>
  <c r="BB149" i="18"/>
  <c r="I149" i="18"/>
  <c r="W160" i="18"/>
  <c r="AL77" i="25" s="1"/>
  <c r="AM150" i="18"/>
  <c r="O151" i="18"/>
  <c r="BA159" i="18"/>
  <c r="X150" i="18"/>
  <c r="AT60" i="11"/>
  <c r="AU60" i="11" s="1"/>
  <c r="I150" i="18"/>
  <c r="BA160" i="18"/>
  <c r="AL79" i="25" s="1"/>
  <c r="AC148" i="18"/>
  <c r="I143" i="18"/>
  <c r="BB150" i="18"/>
  <c r="H159" i="18"/>
  <c r="AD154" i="18"/>
  <c r="AR153" i="18"/>
  <c r="W159" i="18"/>
  <c r="X147" i="18"/>
  <c r="H160" i="18"/>
  <c r="AL76" i="25" s="1"/>
  <c r="AM147" i="18"/>
  <c r="AS154" i="18"/>
  <c r="AQ91" i="11"/>
  <c r="AM143" i="18"/>
  <c r="AR141" i="18"/>
  <c r="BG144" i="18"/>
  <c r="AD152" i="18"/>
  <c r="AS145" i="18"/>
  <c r="BH151" i="18"/>
  <c r="AD145" i="18"/>
  <c r="O145" i="18"/>
  <c r="BH145" i="18"/>
  <c r="O152" i="18"/>
  <c r="BG141" i="18"/>
  <c r="BB143" i="18"/>
  <c r="AV63" i="11"/>
  <c r="AW63" i="11" s="1"/>
  <c r="AR78" i="11" s="1"/>
  <c r="AT63" i="11"/>
  <c r="AU63" i="11" s="1"/>
  <c r="AI122" i="18"/>
  <c r="AI149" i="18" s="1"/>
  <c r="AQ88" i="11"/>
  <c r="AQ107" i="11"/>
  <c r="E122" i="18"/>
  <c r="E149" i="18" s="1"/>
  <c r="T126" i="18"/>
  <c r="T153" i="18" s="1"/>
  <c r="AT56" i="11"/>
  <c r="AU56" i="11" s="1"/>
  <c r="AX122" i="18"/>
  <c r="AX149" i="18" s="1"/>
  <c r="E126" i="18"/>
  <c r="E153" i="18" s="1"/>
  <c r="T122" i="18"/>
  <c r="T149" i="18" s="1"/>
  <c r="AI126" i="18"/>
  <c r="AI153" i="18" s="1"/>
  <c r="AI115" i="18"/>
  <c r="AI142" i="18" s="1"/>
  <c r="AI31" i="18"/>
  <c r="AI114" i="18"/>
  <c r="T114" i="18"/>
  <c r="E114" i="18"/>
  <c r="AX114" i="18"/>
  <c r="AI121" i="18"/>
  <c r="AI148" i="18" s="1"/>
  <c r="E116" i="18"/>
  <c r="E143" i="18" s="1"/>
  <c r="AI35" i="18"/>
  <c r="AI118" i="18"/>
  <c r="E118" i="18"/>
  <c r="AX118" i="18"/>
  <c r="T118" i="18"/>
  <c r="T119" i="18"/>
  <c r="AI36" i="18"/>
  <c r="AI119" i="18"/>
  <c r="E119" i="18"/>
  <c r="AX119" i="18"/>
  <c r="AI34" i="18"/>
  <c r="AX117" i="18"/>
  <c r="E117" i="18"/>
  <c r="T117" i="18"/>
  <c r="AI117" i="18"/>
  <c r="T121" i="18"/>
  <c r="T148" i="18" s="1"/>
  <c r="E115" i="18"/>
  <c r="E142" i="18" s="1"/>
  <c r="AX116" i="18"/>
  <c r="AX143" i="18" s="1"/>
  <c r="AI37" i="18"/>
  <c r="AX120" i="18"/>
  <c r="E120" i="18"/>
  <c r="AI120" i="18"/>
  <c r="T120" i="18"/>
  <c r="E121" i="18"/>
  <c r="E148" i="18" s="1"/>
  <c r="AX115" i="18"/>
  <c r="AX142" i="18" s="1"/>
  <c r="AI116" i="18"/>
  <c r="AI143" i="18" s="1"/>
  <c r="AI41" i="18"/>
  <c r="T124" i="18"/>
  <c r="AX124" i="18"/>
  <c r="E124" i="18"/>
  <c r="AI124" i="18"/>
  <c r="AI123" i="18"/>
  <c r="E123" i="18"/>
  <c r="T123" i="18"/>
  <c r="AX123" i="18"/>
  <c r="AI40" i="18"/>
  <c r="AI42" i="18"/>
  <c r="AI125" i="18"/>
  <c r="E125" i="18"/>
  <c r="T125" i="18"/>
  <c r="AX125" i="18"/>
  <c r="AX121" i="18"/>
  <c r="AX148" i="18" s="1"/>
  <c r="T115" i="18"/>
  <c r="T142" i="18" s="1"/>
  <c r="T116" i="18"/>
  <c r="T143" i="18" s="1"/>
  <c r="AQ106" i="11"/>
  <c r="AQ87" i="11"/>
  <c r="Q203" i="5"/>
  <c r="S203" i="5" s="1"/>
  <c r="BC130" i="11" s="1"/>
  <c r="BD130" i="11" s="1"/>
  <c r="AW159" i="18"/>
  <c r="AW160" i="18"/>
  <c r="AH79" i="25" s="1"/>
  <c r="D160" i="18"/>
  <c r="AH76" i="25" s="1"/>
  <c r="D159" i="18"/>
  <c r="V160" i="18"/>
  <c r="AK77" i="25" s="1"/>
  <c r="V159" i="18"/>
  <c r="U205" i="5"/>
  <c r="G159" i="18"/>
  <c r="G160" i="18"/>
  <c r="AK76" i="25" s="1"/>
  <c r="AH160" i="18"/>
  <c r="AH78" i="25" s="1"/>
  <c r="AH159" i="18"/>
  <c r="AK159" i="18"/>
  <c r="AK160" i="18"/>
  <c r="AK78" i="25" s="1"/>
  <c r="AQ116" i="11"/>
  <c r="AQ97" i="11"/>
  <c r="AQ111" i="11"/>
  <c r="AQ92" i="11"/>
  <c r="AZ159" i="18"/>
  <c r="AZ160" i="18"/>
  <c r="AK79" i="25" s="1"/>
  <c r="AA160" i="18"/>
  <c r="AP77" i="25" s="1"/>
  <c r="AQ109" i="11"/>
  <c r="AQ90" i="11"/>
  <c r="S160" i="18"/>
  <c r="AH77" i="25" s="1"/>
  <c r="S159" i="18"/>
  <c r="AA124" i="21" l="1"/>
  <c r="H124" i="21" s="1"/>
  <c r="Y153" i="18"/>
  <c r="Z122" i="20"/>
  <c r="Z123" i="20" s="1"/>
  <c r="AB112" i="20"/>
  <c r="I112" i="20" s="1"/>
  <c r="AA112" i="20"/>
  <c r="H112" i="20" s="1"/>
  <c r="Q68" i="20"/>
  <c r="T67" i="20"/>
  <c r="U67" i="20" s="1"/>
  <c r="R67" i="20"/>
  <c r="X104" i="25"/>
  <c r="AA104" i="25" s="1"/>
  <c r="H104" i="25" s="1"/>
  <c r="U106" i="25"/>
  <c r="U107" i="25" s="1"/>
  <c r="U108" i="25" s="1"/>
  <c r="U109" i="25" s="1"/>
  <c r="U110" i="25" s="1"/>
  <c r="U111" i="25" s="1"/>
  <c r="U112" i="25" s="1"/>
  <c r="U122" i="25" s="1"/>
  <c r="V105" i="25"/>
  <c r="R67" i="25"/>
  <c r="Q68" i="25"/>
  <c r="T67" i="25"/>
  <c r="U67" i="25" s="1"/>
  <c r="AA11" i="5"/>
  <c r="N10" i="5"/>
  <c r="I81" i="16" s="1"/>
  <c r="BE159" i="18"/>
  <c r="AE70" i="25"/>
  <c r="AE68" i="25" s="1"/>
  <c r="AL80" i="25"/>
  <c r="AL86" i="25" s="1"/>
  <c r="AB106" i="25"/>
  <c r="I106" i="25" s="1"/>
  <c r="AM123" i="25"/>
  <c r="AN87" i="25"/>
  <c r="AA107" i="25"/>
  <c r="H107" i="25" s="1"/>
  <c r="AJ80" i="25"/>
  <c r="AJ122" i="25" s="1"/>
  <c r="AH89" i="25"/>
  <c r="AM89" i="25"/>
  <c r="AQ89" i="25"/>
  <c r="AS89" i="25"/>
  <c r="AN89" i="25"/>
  <c r="AI89" i="25"/>
  <c r="AJ121" i="25"/>
  <c r="AO89" i="25"/>
  <c r="AR89" i="25"/>
  <c r="AL89" i="25"/>
  <c r="AK89" i="25"/>
  <c r="AJ89" i="25"/>
  <c r="AP89" i="25"/>
  <c r="AH80" i="25"/>
  <c r="AK80" i="25"/>
  <c r="AP160" i="18"/>
  <c r="AP78" i="25" s="1"/>
  <c r="AP80" i="25" s="1"/>
  <c r="L159" i="18"/>
  <c r="AO151" i="18"/>
  <c r="Z14" i="5"/>
  <c r="AA14" i="5" s="1"/>
  <c r="AA124" i="22"/>
  <c r="H124" i="22" s="1"/>
  <c r="AA125" i="22"/>
  <c r="H125" i="22" s="1"/>
  <c r="AN153" i="18"/>
  <c r="BC153" i="18"/>
  <c r="J153" i="18"/>
  <c r="AA161" i="20"/>
  <c r="H161" i="20" s="1"/>
  <c r="AB161" i="20"/>
  <c r="I161" i="20" s="1"/>
  <c r="AB125" i="20"/>
  <c r="I125" i="20" s="1"/>
  <c r="AA125" i="20"/>
  <c r="H125" i="20" s="1"/>
  <c r="AA124" i="20"/>
  <c r="H124" i="20" s="1"/>
  <c r="AB124" i="20"/>
  <c r="I124" i="20" s="1"/>
  <c r="AI150" i="18"/>
  <c r="AB122" i="20"/>
  <c r="I122" i="20" s="1"/>
  <c r="AT222" i="5"/>
  <c r="AU222" i="5" s="1"/>
  <c r="AV222" i="5" s="1"/>
  <c r="AK93" i="5"/>
  <c r="AU93" i="5"/>
  <c r="AL93" i="5"/>
  <c r="AN93" i="5"/>
  <c r="AP93" i="5"/>
  <c r="AR93" i="5"/>
  <c r="AT93" i="5"/>
  <c r="AM93" i="5"/>
  <c r="AO93" i="5"/>
  <c r="AL127" i="5"/>
  <c r="AU127" i="5" s="1"/>
  <c r="AS93" i="5"/>
  <c r="AQ93" i="5"/>
  <c r="AB140" i="21"/>
  <c r="I140" i="21" s="1"/>
  <c r="AA142" i="21"/>
  <c r="H142" i="21" s="1"/>
  <c r="AB159" i="21"/>
  <c r="I159" i="21" s="1"/>
  <c r="AA159" i="22"/>
  <c r="H159" i="22" s="1"/>
  <c r="AB107" i="22"/>
  <c r="I107" i="22" s="1"/>
  <c r="AA106" i="21"/>
  <c r="H106" i="21" s="1"/>
  <c r="AH121" i="24"/>
  <c r="AM121" i="24"/>
  <c r="AR121" i="24"/>
  <c r="AI121" i="24"/>
  <c r="AP121" i="24"/>
  <c r="AM87" i="22"/>
  <c r="AL123" i="22"/>
  <c r="AI121" i="22"/>
  <c r="AM121" i="22"/>
  <c r="AR121" i="22"/>
  <c r="AP121" i="22"/>
  <c r="AH121" i="22"/>
  <c r="AL123" i="23"/>
  <c r="AM87" i="23"/>
  <c r="AM121" i="23"/>
  <c r="AR121" i="23"/>
  <c r="AI121" i="23"/>
  <c r="AP121" i="23"/>
  <c r="AH121" i="23"/>
  <c r="AR121" i="21"/>
  <c r="AH121" i="21"/>
  <c r="AP121" i="21"/>
  <c r="AI121" i="21"/>
  <c r="AM121" i="21"/>
  <c r="AL123" i="21"/>
  <c r="AM87" i="21"/>
  <c r="AL123" i="24"/>
  <c r="AM87" i="24"/>
  <c r="AB158" i="22"/>
  <c r="I158" i="22" s="1"/>
  <c r="AB143" i="22"/>
  <c r="I143" i="22" s="1"/>
  <c r="AA141" i="22"/>
  <c r="H141" i="22" s="1"/>
  <c r="AA108" i="21"/>
  <c r="H108" i="21" s="1"/>
  <c r="AA109" i="21"/>
  <c r="H109" i="21" s="1"/>
  <c r="AN94" i="21"/>
  <c r="AN98" i="21" s="1"/>
  <c r="AN102" i="21" s="1"/>
  <c r="AM94" i="21"/>
  <c r="AM98" i="21" s="1"/>
  <c r="AM102" i="21" s="1"/>
  <c r="AO94" i="21"/>
  <c r="AO98" i="21" s="1"/>
  <c r="AO102" i="21" s="1"/>
  <c r="AP94" i="21"/>
  <c r="AP98" i="21" s="1"/>
  <c r="AP102" i="21" s="1"/>
  <c r="AQ94" i="21"/>
  <c r="AQ98" i="21" s="1"/>
  <c r="AQ102" i="21" s="1"/>
  <c r="AL94" i="21"/>
  <c r="AL98" i="21" s="1"/>
  <c r="AL102" i="21" s="1"/>
  <c r="AB142" i="22"/>
  <c r="I142" i="22" s="1"/>
  <c r="AB125" i="21"/>
  <c r="I125" i="21" s="1"/>
  <c r="AA140" i="22"/>
  <c r="H140" i="22" s="1"/>
  <c r="AA105" i="22"/>
  <c r="H105" i="22" s="1"/>
  <c r="AA158" i="21"/>
  <c r="H158" i="21" s="1"/>
  <c r="AA141" i="21"/>
  <c r="H141" i="21" s="1"/>
  <c r="AB122" i="22"/>
  <c r="I122" i="22" s="1"/>
  <c r="AS94" i="21"/>
  <c r="AS98" i="21" s="1"/>
  <c r="AS102" i="21" s="1"/>
  <c r="AK94" i="21"/>
  <c r="AK98" i="21" s="1"/>
  <c r="AK102" i="21" s="1"/>
  <c r="AI94" i="21"/>
  <c r="AI98" i="21" s="1"/>
  <c r="AI102" i="21" s="1"/>
  <c r="AJ94" i="21"/>
  <c r="AJ98" i="21" s="1"/>
  <c r="AJ102" i="21" s="1"/>
  <c r="AR94" i="21"/>
  <c r="AR98" i="21" s="1"/>
  <c r="AR102" i="21" s="1"/>
  <c r="AH94" i="21"/>
  <c r="AH98" i="21" s="1"/>
  <c r="AH102" i="21" s="1"/>
  <c r="Z44" i="21"/>
  <c r="AE44" i="21" s="1"/>
  <c r="AE42" i="21" s="1"/>
  <c r="AL94" i="22"/>
  <c r="AL98" i="22" s="1"/>
  <c r="AL102" i="22" s="1"/>
  <c r="AQ94" i="22"/>
  <c r="AQ98" i="22" s="1"/>
  <c r="AQ102" i="22" s="1"/>
  <c r="AM94" i="22"/>
  <c r="AM98" i="22" s="1"/>
  <c r="AM102" i="22" s="1"/>
  <c r="AO94" i="22"/>
  <c r="AO98" i="22" s="1"/>
  <c r="AO102" i="22" s="1"/>
  <c r="AP94" i="22"/>
  <c r="AP98" i="22" s="1"/>
  <c r="AP102" i="22" s="1"/>
  <c r="AN94" i="22"/>
  <c r="AN98" i="22" s="1"/>
  <c r="AN102" i="22" s="1"/>
  <c r="AA123" i="21"/>
  <c r="H123" i="21" s="1"/>
  <c r="AB107" i="21"/>
  <c r="I107" i="21" s="1"/>
  <c r="AM94" i="23"/>
  <c r="AM98" i="23" s="1"/>
  <c r="AM102" i="23" s="1"/>
  <c r="AP94" i="23"/>
  <c r="AP98" i="23" s="1"/>
  <c r="AP102" i="23" s="1"/>
  <c r="AL94" i="23"/>
  <c r="AL98" i="23" s="1"/>
  <c r="AL102" i="23" s="1"/>
  <c r="AO94" i="23"/>
  <c r="AO98" i="23" s="1"/>
  <c r="AO102" i="23" s="1"/>
  <c r="AQ94" i="23"/>
  <c r="AQ98" i="23" s="1"/>
  <c r="AQ102" i="23" s="1"/>
  <c r="AN94" i="23"/>
  <c r="AN98" i="23" s="1"/>
  <c r="AN102" i="23" s="1"/>
  <c r="AA106" i="22"/>
  <c r="H106" i="22" s="1"/>
  <c r="AA105" i="21"/>
  <c r="H105" i="21" s="1"/>
  <c r="AB122" i="21"/>
  <c r="I122" i="21" s="1"/>
  <c r="AB143" i="21"/>
  <c r="I143" i="21" s="1"/>
  <c r="AA104" i="21"/>
  <c r="H104" i="21" s="1"/>
  <c r="AA123" i="22"/>
  <c r="H123" i="22" s="1"/>
  <c r="AA104" i="22"/>
  <c r="H104" i="22" s="1"/>
  <c r="AP94" i="24"/>
  <c r="AP98" i="24" s="1"/>
  <c r="AP102" i="24" s="1"/>
  <c r="AL94" i="24"/>
  <c r="AL98" i="24" s="1"/>
  <c r="AL102" i="24" s="1"/>
  <c r="AO94" i="24"/>
  <c r="AO98" i="24" s="1"/>
  <c r="AO102" i="24" s="1"/>
  <c r="AQ94" i="24"/>
  <c r="AQ98" i="24" s="1"/>
  <c r="AQ102" i="24" s="1"/>
  <c r="AN94" i="24"/>
  <c r="AN98" i="24" s="1"/>
  <c r="AN102" i="24" s="1"/>
  <c r="AM94" i="24"/>
  <c r="AM98" i="24" s="1"/>
  <c r="AM102" i="24" s="1"/>
  <c r="AH94" i="22"/>
  <c r="AH98" i="22" s="1"/>
  <c r="AH102" i="22" s="1"/>
  <c r="AJ94" i="22"/>
  <c r="AJ98" i="22" s="1"/>
  <c r="AJ102" i="22" s="1"/>
  <c r="AR94" i="22"/>
  <c r="AR98" i="22" s="1"/>
  <c r="AR102" i="22" s="1"/>
  <c r="AK94" i="22"/>
  <c r="AK98" i="22" s="1"/>
  <c r="AK102" i="22" s="1"/>
  <c r="AS94" i="22"/>
  <c r="AS98" i="22" s="1"/>
  <c r="AS102" i="22" s="1"/>
  <c r="Z44" i="22"/>
  <c r="AE44" i="22" s="1"/>
  <c r="AE42" i="22" s="1"/>
  <c r="AI94" i="22"/>
  <c r="AI98" i="22" s="1"/>
  <c r="AI102" i="22" s="1"/>
  <c r="Z44" i="23"/>
  <c r="AE44" i="23" s="1"/>
  <c r="AE42" i="23" s="1"/>
  <c r="AJ94" i="23"/>
  <c r="AJ98" i="23" s="1"/>
  <c r="AJ102" i="23" s="1"/>
  <c r="AI94" i="23"/>
  <c r="AI98" i="23" s="1"/>
  <c r="AI102" i="23" s="1"/>
  <c r="AS94" i="23"/>
  <c r="AS98" i="23" s="1"/>
  <c r="AS102" i="23" s="1"/>
  <c r="AR94" i="23"/>
  <c r="AR98" i="23" s="1"/>
  <c r="AR102" i="23" s="1"/>
  <c r="AK94" i="23"/>
  <c r="AK98" i="23" s="1"/>
  <c r="AK102" i="23" s="1"/>
  <c r="AH94" i="23"/>
  <c r="AH98" i="23" s="1"/>
  <c r="AH102" i="23" s="1"/>
  <c r="AR94" i="24"/>
  <c r="AR98" i="24" s="1"/>
  <c r="AR102" i="24" s="1"/>
  <c r="Z44" i="24"/>
  <c r="AE44" i="24" s="1"/>
  <c r="AE42" i="24" s="1"/>
  <c r="AI94" i="24"/>
  <c r="AI98" i="24" s="1"/>
  <c r="AI102" i="24" s="1"/>
  <c r="AK94" i="24"/>
  <c r="AK98" i="24" s="1"/>
  <c r="AK102" i="24" s="1"/>
  <c r="AH94" i="24"/>
  <c r="AH98" i="24" s="1"/>
  <c r="AH102" i="24" s="1"/>
  <c r="AJ94" i="24"/>
  <c r="AJ98" i="24" s="1"/>
  <c r="AJ102" i="24" s="1"/>
  <c r="AS94" i="24"/>
  <c r="AS98" i="24" s="1"/>
  <c r="AS102" i="24" s="1"/>
  <c r="AK78" i="23"/>
  <c r="AK78" i="24"/>
  <c r="AK77" i="23"/>
  <c r="AK77" i="24"/>
  <c r="AA72" i="23"/>
  <c r="AD72" i="23" s="1"/>
  <c r="AA72" i="24"/>
  <c r="AD72" i="24" s="1"/>
  <c r="AK79" i="23"/>
  <c r="AK79" i="24"/>
  <c r="AP76" i="23"/>
  <c r="AP76" i="24"/>
  <c r="AH77" i="23"/>
  <c r="AH77" i="24"/>
  <c r="AP77" i="23"/>
  <c r="AP77" i="24"/>
  <c r="AH78" i="23"/>
  <c r="AH78" i="24"/>
  <c r="AH79" i="23"/>
  <c r="AH79" i="24"/>
  <c r="AJ78" i="23"/>
  <c r="AJ78" i="24"/>
  <c r="AK76" i="23"/>
  <c r="AK76" i="24"/>
  <c r="AP79" i="23"/>
  <c r="AP79" i="24"/>
  <c r="AL77" i="23"/>
  <c r="AL77" i="24"/>
  <c r="AL79" i="23"/>
  <c r="AL79" i="24"/>
  <c r="AL78" i="23"/>
  <c r="AL78" i="24"/>
  <c r="AJ79" i="23"/>
  <c r="AJ79" i="24"/>
  <c r="AL76" i="23"/>
  <c r="AL76" i="24"/>
  <c r="AJ77" i="23"/>
  <c r="AJ77" i="24"/>
  <c r="AH76" i="24"/>
  <c r="AJ80" i="5"/>
  <c r="AH76" i="23"/>
  <c r="AA70" i="23"/>
  <c r="AD70" i="23" s="1"/>
  <c r="AA70" i="24"/>
  <c r="AD70" i="24" s="1"/>
  <c r="AA74" i="23"/>
  <c r="AD74" i="23" s="1"/>
  <c r="AA74" i="24"/>
  <c r="AD74" i="24" s="1"/>
  <c r="AA76" i="23"/>
  <c r="AD76" i="23" s="1"/>
  <c r="AA76" i="24"/>
  <c r="AD76" i="24" s="1"/>
  <c r="AJ76" i="23"/>
  <c r="AJ76" i="24"/>
  <c r="AP77" i="21"/>
  <c r="AP77" i="22"/>
  <c r="AH79" i="21"/>
  <c r="AH79" i="22"/>
  <c r="AK78" i="21"/>
  <c r="AK78" i="22"/>
  <c r="AK76" i="21"/>
  <c r="AK76" i="22"/>
  <c r="AK77" i="21"/>
  <c r="AK77" i="22"/>
  <c r="AP79" i="21"/>
  <c r="AP79" i="22"/>
  <c r="AL76" i="21"/>
  <c r="AL76" i="22"/>
  <c r="AL77" i="21"/>
  <c r="AL77" i="22"/>
  <c r="AA72" i="21"/>
  <c r="AD72" i="21" s="1"/>
  <c r="AA72" i="22"/>
  <c r="AD72" i="22" s="1"/>
  <c r="AJ77" i="21"/>
  <c r="AJ77" i="22"/>
  <c r="AK79" i="21"/>
  <c r="AK79" i="22"/>
  <c r="AP76" i="21"/>
  <c r="AP76" i="22"/>
  <c r="AL79" i="21"/>
  <c r="AL79" i="22"/>
  <c r="AL78" i="21"/>
  <c r="AL78" i="22"/>
  <c r="AJ79" i="21"/>
  <c r="AJ79" i="22"/>
  <c r="AH77" i="22"/>
  <c r="AH77" i="21"/>
  <c r="AH78" i="22"/>
  <c r="AH78" i="21"/>
  <c r="AJ78" i="21"/>
  <c r="AJ78" i="22"/>
  <c r="AH76" i="22"/>
  <c r="AH76" i="21"/>
  <c r="AA70" i="21"/>
  <c r="AD70" i="21" s="1"/>
  <c r="AA70" i="22"/>
  <c r="AD70" i="22" s="1"/>
  <c r="AA74" i="21"/>
  <c r="AD74" i="21" s="1"/>
  <c r="AA74" i="22"/>
  <c r="AD74" i="22" s="1"/>
  <c r="AA76" i="21"/>
  <c r="AD76" i="21" s="1"/>
  <c r="AA76" i="22"/>
  <c r="AD76" i="22" s="1"/>
  <c r="AJ76" i="21"/>
  <c r="AJ76" i="22"/>
  <c r="AH77" i="20"/>
  <c r="AH78" i="20"/>
  <c r="AH79" i="20"/>
  <c r="AH76" i="20"/>
  <c r="BA12" i="5"/>
  <c r="AT224" i="5"/>
  <c r="AU224" i="5" s="1"/>
  <c r="AV224" i="5" s="1"/>
  <c r="AT216" i="5"/>
  <c r="AU216" i="5" s="1"/>
  <c r="AV216" i="5" s="1"/>
  <c r="AT214" i="5"/>
  <c r="AU214" i="5" s="1"/>
  <c r="AV214" i="5" s="1"/>
  <c r="AT223" i="5"/>
  <c r="AU223" i="5" s="1"/>
  <c r="AV223" i="5" s="1"/>
  <c r="AI121" i="20"/>
  <c r="AM121" i="20"/>
  <c r="AP121" i="20"/>
  <c r="AH121" i="20"/>
  <c r="AR121" i="20"/>
  <c r="AA142" i="20"/>
  <c r="H142" i="20" s="1"/>
  <c r="AB142" i="20"/>
  <c r="I142" i="20" s="1"/>
  <c r="AB146" i="20"/>
  <c r="I146" i="20" s="1"/>
  <c r="AA146" i="20"/>
  <c r="H146" i="20" s="1"/>
  <c r="AB143" i="20"/>
  <c r="I143" i="20" s="1"/>
  <c r="AA143" i="20"/>
  <c r="H143" i="20" s="1"/>
  <c r="AA145" i="20"/>
  <c r="H145" i="20" s="1"/>
  <c r="AB145" i="20"/>
  <c r="I145" i="20" s="1"/>
  <c r="AB144" i="20"/>
  <c r="I144" i="20" s="1"/>
  <c r="AA144" i="20"/>
  <c r="H144" i="20" s="1"/>
  <c r="AA147" i="20"/>
  <c r="H147" i="20" s="1"/>
  <c r="AT220" i="5"/>
  <c r="AU220" i="5" s="1"/>
  <c r="AV220" i="5" s="1"/>
  <c r="AT221" i="5"/>
  <c r="AU221" i="5" s="1"/>
  <c r="AV221" i="5" s="1"/>
  <c r="AT219" i="5"/>
  <c r="AU219" i="5" s="1"/>
  <c r="AV219" i="5" s="1"/>
  <c r="AT215" i="5"/>
  <c r="AU215" i="5" s="1"/>
  <c r="AV215" i="5" s="1"/>
  <c r="AT217" i="5"/>
  <c r="AU217" i="5" s="1"/>
  <c r="AV217" i="5" s="1"/>
  <c r="AM123" i="20"/>
  <c r="AN87" i="20"/>
  <c r="AK78" i="20"/>
  <c r="AK76" i="20"/>
  <c r="AK77" i="20"/>
  <c r="AP79" i="20"/>
  <c r="AB74" i="5"/>
  <c r="AE74" i="5" s="1"/>
  <c r="AA70" i="20"/>
  <c r="AD70" i="20" s="1"/>
  <c r="AB78" i="5"/>
  <c r="AE78" i="5" s="1"/>
  <c r="AA74" i="20"/>
  <c r="AD74" i="20" s="1"/>
  <c r="AB80" i="5"/>
  <c r="AE80" i="5" s="1"/>
  <c r="AA76" i="20"/>
  <c r="AD76" i="20" s="1"/>
  <c r="AJ77" i="20"/>
  <c r="AP76" i="20"/>
  <c r="AL76" i="20"/>
  <c r="AL77" i="20"/>
  <c r="AB76" i="5"/>
  <c r="AE76" i="5" s="1"/>
  <c r="AA72" i="20"/>
  <c r="AD72" i="20" s="1"/>
  <c r="AJ79" i="20"/>
  <c r="AK79" i="20"/>
  <c r="AP77" i="20"/>
  <c r="AL79" i="20"/>
  <c r="AL78" i="20"/>
  <c r="AJ78" i="20"/>
  <c r="AJ76" i="20"/>
  <c r="BD152" i="18"/>
  <c r="AO152" i="18"/>
  <c r="K152" i="18"/>
  <c r="K142" i="18"/>
  <c r="Z142" i="18"/>
  <c r="Z160" i="18" s="1"/>
  <c r="AO77" i="25" s="1"/>
  <c r="AO142" i="18"/>
  <c r="AR113" i="11"/>
  <c r="AS113" i="11" s="1"/>
  <c r="AT113" i="11" s="1"/>
  <c r="AU113" i="11" s="1"/>
  <c r="AV113" i="11" s="1"/>
  <c r="AW113" i="11" s="1"/>
  <c r="AX113" i="11" s="1"/>
  <c r="BD151" i="18"/>
  <c r="K151" i="18"/>
  <c r="AR94" i="11"/>
  <c r="AS94" i="11" s="1"/>
  <c r="AT94" i="11" s="1"/>
  <c r="AR115" i="11"/>
  <c r="AS115" i="11" s="1"/>
  <c r="AT115" i="11" s="1"/>
  <c r="AU96" i="11" s="1"/>
  <c r="AV96" i="11" s="1"/>
  <c r="AW96" i="11" s="1"/>
  <c r="AX96" i="11" s="1"/>
  <c r="AJ82" i="5"/>
  <c r="AA319" i="5"/>
  <c r="AJ83" i="5"/>
  <c r="AA328" i="5"/>
  <c r="AL83" i="5"/>
  <c r="AC328" i="5"/>
  <c r="AR83" i="5"/>
  <c r="AJ328" i="5"/>
  <c r="AN83" i="5"/>
  <c r="AE328" i="5"/>
  <c r="AL82" i="5"/>
  <c r="AC319" i="5"/>
  <c r="AM82" i="5"/>
  <c r="AD319" i="5"/>
  <c r="AM83" i="5"/>
  <c r="AD328" i="5"/>
  <c r="AN82" i="5"/>
  <c r="AE319" i="5"/>
  <c r="AR80" i="5"/>
  <c r="AJ301" i="5"/>
  <c r="AL81" i="5"/>
  <c r="AC310" i="5"/>
  <c r="AA301" i="5"/>
  <c r="AA302" i="5" s="1"/>
  <c r="AJ81" i="5"/>
  <c r="AA310" i="5"/>
  <c r="AR81" i="5"/>
  <c r="AJ310" i="5"/>
  <c r="AN80" i="5"/>
  <c r="AE301" i="5"/>
  <c r="AN81" i="5"/>
  <c r="AE310" i="5"/>
  <c r="AM80" i="5"/>
  <c r="AD301" i="5"/>
  <c r="AM81" i="5"/>
  <c r="AD310" i="5"/>
  <c r="AL80" i="5"/>
  <c r="AC301" i="5"/>
  <c r="AP91" i="5"/>
  <c r="AO129" i="5"/>
  <c r="AR110" i="11"/>
  <c r="AS110" i="11" s="1"/>
  <c r="AT110" i="11" s="1"/>
  <c r="AU91" i="11" s="1"/>
  <c r="AV91" i="11" s="1"/>
  <c r="AW91" i="11" s="1"/>
  <c r="AX91" i="11" s="1"/>
  <c r="AR98" i="11"/>
  <c r="AS98" i="11" s="1"/>
  <c r="AT98" i="11" s="1"/>
  <c r="AR92" i="11"/>
  <c r="AS92" i="11" s="1"/>
  <c r="AT92" i="11" s="1"/>
  <c r="AR108" i="11"/>
  <c r="AS108" i="11" s="1"/>
  <c r="AT108" i="11" s="1"/>
  <c r="AU108" i="11" s="1"/>
  <c r="AV108" i="11" s="1"/>
  <c r="AW108" i="11" s="1"/>
  <c r="AX108" i="11" s="1"/>
  <c r="AR97" i="11"/>
  <c r="AS97" i="11" s="1"/>
  <c r="AT97" i="11" s="1"/>
  <c r="AR112" i="11"/>
  <c r="AS112" i="11" s="1"/>
  <c r="AT112" i="11" s="1"/>
  <c r="AU93" i="11" s="1"/>
  <c r="AV93" i="11" s="1"/>
  <c r="AW93" i="11" s="1"/>
  <c r="AX93" i="11" s="1"/>
  <c r="AR87" i="11"/>
  <c r="AS87" i="11" s="1"/>
  <c r="AT87" i="11" s="1"/>
  <c r="AR111" i="11"/>
  <c r="AS111" i="11" s="1"/>
  <c r="AT111" i="11" s="1"/>
  <c r="AU92" i="11" s="1"/>
  <c r="AV92" i="11" s="1"/>
  <c r="AW92" i="11" s="1"/>
  <c r="AX92" i="11" s="1"/>
  <c r="AR106" i="11"/>
  <c r="AS106" i="11" s="1"/>
  <c r="AT106" i="11" s="1"/>
  <c r="AU106" i="11" s="1"/>
  <c r="AV106" i="11" s="1"/>
  <c r="AW106" i="11" s="1"/>
  <c r="AX106" i="11" s="1"/>
  <c r="AR90" i="11"/>
  <c r="AS90" i="11" s="1"/>
  <c r="AT90" i="11" s="1"/>
  <c r="AR88" i="11"/>
  <c r="AS88" i="11" s="1"/>
  <c r="AT88" i="11" s="1"/>
  <c r="AR109" i="11"/>
  <c r="AS109" i="11" s="1"/>
  <c r="AT109" i="11" s="1"/>
  <c r="AU90" i="11" s="1"/>
  <c r="AV90" i="11" s="1"/>
  <c r="AW90" i="11" s="1"/>
  <c r="AX90" i="11" s="1"/>
  <c r="AR116" i="11"/>
  <c r="AS116" i="11" s="1"/>
  <c r="AT116" i="11" s="1"/>
  <c r="AU97" i="11" s="1"/>
  <c r="AV97" i="11" s="1"/>
  <c r="AW97" i="11" s="1"/>
  <c r="AX97" i="11" s="1"/>
  <c r="AR91" i="11"/>
  <c r="AS91" i="11" s="1"/>
  <c r="AT91" i="11" s="1"/>
  <c r="AU98" i="11"/>
  <c r="AV98" i="11" s="1"/>
  <c r="AW98" i="11" s="1"/>
  <c r="AX98" i="11" s="1"/>
  <c r="AU117" i="11"/>
  <c r="AV117" i="11" s="1"/>
  <c r="AW117" i="11" s="1"/>
  <c r="AX117" i="11" s="1"/>
  <c r="AR107" i="11"/>
  <c r="AS107" i="11" s="1"/>
  <c r="AT107" i="11" s="1"/>
  <c r="AU88" i="11" s="1"/>
  <c r="AV88" i="11" s="1"/>
  <c r="AW88" i="11" s="1"/>
  <c r="AX88" i="11" s="1"/>
  <c r="AR96" i="11"/>
  <c r="AS96" i="11" s="1"/>
  <c r="AT96" i="11" s="1"/>
  <c r="AJ203" i="5"/>
  <c r="W203" i="5"/>
  <c r="T203" i="5"/>
  <c r="V203" i="5"/>
  <c r="AK202" i="5"/>
  <c r="AR202" i="5"/>
  <c r="AS202" i="5"/>
  <c r="AB159" i="18"/>
  <c r="BF160" i="18"/>
  <c r="AQ79" i="25" s="1"/>
  <c r="BF159" i="18"/>
  <c r="AB160" i="18"/>
  <c r="AQ77" i="25" s="1"/>
  <c r="AX141" i="18"/>
  <c r="T145" i="18"/>
  <c r="AQ160" i="18"/>
  <c r="AQ78" i="25" s="1"/>
  <c r="AQ159" i="18"/>
  <c r="AQ93" i="11"/>
  <c r="AR93" i="11" s="1"/>
  <c r="AS93" i="11" s="1"/>
  <c r="AT93" i="11" s="1"/>
  <c r="M160" i="18"/>
  <c r="AQ76" i="25" s="1"/>
  <c r="M159" i="18"/>
  <c r="AB55" i="13"/>
  <c r="AA69" i="13"/>
  <c r="AA70" i="13" s="1"/>
  <c r="BC149" i="18"/>
  <c r="T147" i="18"/>
  <c r="J147" i="18"/>
  <c r="J149" i="18"/>
  <c r="AN149" i="18"/>
  <c r="Y147" i="18"/>
  <c r="BC147" i="18"/>
  <c r="AX152" i="18"/>
  <c r="AI144" i="18"/>
  <c r="AC159" i="18"/>
  <c r="N159" i="18"/>
  <c r="AI151" i="18"/>
  <c r="N160" i="18"/>
  <c r="AR76" i="25" s="1"/>
  <c r="AC160" i="18"/>
  <c r="AR77" i="25" s="1"/>
  <c r="X159" i="18"/>
  <c r="AM160" i="18"/>
  <c r="AM78" i="25" s="1"/>
  <c r="I160" i="18"/>
  <c r="AM76" i="25" s="1"/>
  <c r="I159" i="18"/>
  <c r="AS159" i="18"/>
  <c r="X160" i="18"/>
  <c r="AM77" i="25" s="1"/>
  <c r="O159" i="18"/>
  <c r="AD160" i="18"/>
  <c r="AS77" i="25" s="1"/>
  <c r="O160" i="18"/>
  <c r="AS76" i="25" s="1"/>
  <c r="AD159" i="18"/>
  <c r="BG159" i="18"/>
  <c r="BB160" i="18"/>
  <c r="AM79" i="25" s="1"/>
  <c r="AS160" i="18"/>
  <c r="AS78" i="25" s="1"/>
  <c r="BG160" i="18"/>
  <c r="AR79" i="25" s="1"/>
  <c r="AR160" i="18"/>
  <c r="AR78" i="25" s="1"/>
  <c r="AM159" i="18"/>
  <c r="BH160" i="18"/>
  <c r="AS79" i="25" s="1"/>
  <c r="AR159" i="18"/>
  <c r="BH159" i="18"/>
  <c r="BB159" i="18"/>
  <c r="E145" i="18"/>
  <c r="AQ114" i="11"/>
  <c r="AR114" i="11" s="1"/>
  <c r="AS114" i="11" s="1"/>
  <c r="AT114" i="11" s="1"/>
  <c r="AQ95" i="11"/>
  <c r="AR95" i="11" s="1"/>
  <c r="AS95" i="11" s="1"/>
  <c r="AT95" i="11" s="1"/>
  <c r="T141" i="18"/>
  <c r="AI141" i="18"/>
  <c r="E141" i="18"/>
  <c r="AX151" i="18"/>
  <c r="AI145" i="18"/>
  <c r="T151" i="18"/>
  <c r="T152" i="18"/>
  <c r="AI147" i="18"/>
  <c r="T144" i="18"/>
  <c r="AX146" i="18"/>
  <c r="E150" i="18"/>
  <c r="T146" i="18"/>
  <c r="E152" i="18"/>
  <c r="AX150" i="18"/>
  <c r="E147" i="18"/>
  <c r="E144" i="18"/>
  <c r="E146" i="18"/>
  <c r="AI152" i="18"/>
  <c r="T150" i="18"/>
  <c r="E151" i="18"/>
  <c r="AX147" i="18"/>
  <c r="AX144" i="18"/>
  <c r="AI146" i="18"/>
  <c r="AX145" i="18"/>
  <c r="Q204" i="5"/>
  <c r="S204" i="5" s="1"/>
  <c r="BC131" i="11" s="1"/>
  <c r="BD131" i="11" s="1"/>
  <c r="AP78" i="23" l="1"/>
  <c r="AO159" i="18"/>
  <c r="Z124" i="20"/>
  <c r="Z125" i="20" s="1"/>
  <c r="Z126" i="20" s="1"/>
  <c r="Z127" i="20" s="1"/>
  <c r="Z128" i="20" s="1"/>
  <c r="Z129" i="20" s="1"/>
  <c r="Z130" i="20" s="1"/>
  <c r="Z140" i="20" s="1"/>
  <c r="AB123" i="20"/>
  <c r="I123" i="20" s="1"/>
  <c r="AA123" i="20"/>
  <c r="H123" i="20" s="1"/>
  <c r="AA122" i="20"/>
  <c r="H122" i="20" s="1"/>
  <c r="T68" i="20"/>
  <c r="U68" i="20" s="1"/>
  <c r="R68" i="20"/>
  <c r="Q69" i="20"/>
  <c r="AL90" i="25"/>
  <c r="AB104" i="25"/>
  <c r="I104" i="25" s="1"/>
  <c r="V122" i="25"/>
  <c r="X122" i="25" s="1"/>
  <c r="U123" i="25"/>
  <c r="Y105" i="25"/>
  <c r="X105" i="25"/>
  <c r="AA24" i="5"/>
  <c r="Z25" i="5" s="1"/>
  <c r="B32" i="5" s="1"/>
  <c r="Q69" i="25"/>
  <c r="R68" i="25"/>
  <c r="T68" i="25"/>
  <c r="U68" i="25" s="1"/>
  <c r="AL122" i="25"/>
  <c r="AJ86" i="25"/>
  <c r="AJ90" i="25" s="1"/>
  <c r="AN123" i="25"/>
  <c r="AO87" i="25"/>
  <c r="AQ80" i="25"/>
  <c r="AQ86" i="25" s="1"/>
  <c r="AN121" i="25"/>
  <c r="AQ121" i="25"/>
  <c r="AS121" i="25"/>
  <c r="AL121" i="25"/>
  <c r="AO121" i="25"/>
  <c r="AM80" i="25"/>
  <c r="AM86" i="25" s="1"/>
  <c r="AM90" i="25" s="1"/>
  <c r="AP86" i="25"/>
  <c r="AP122" i="25"/>
  <c r="AR80" i="25"/>
  <c r="AH86" i="25"/>
  <c r="AH90" i="25" s="1"/>
  <c r="AH122" i="25"/>
  <c r="AS80" i="25"/>
  <c r="AJ319" i="5"/>
  <c r="AJ321" i="5" s="1"/>
  <c r="AP78" i="20"/>
  <c r="AP80" i="20" s="1"/>
  <c r="AP78" i="22"/>
  <c r="AP80" i="22" s="1"/>
  <c r="AP86" i="22" s="1"/>
  <c r="AK122" i="25"/>
  <c r="AK86" i="25"/>
  <c r="AK90" i="25" s="1"/>
  <c r="AR82" i="5"/>
  <c r="AR84" i="5" s="1"/>
  <c r="AR90" i="5" s="1"/>
  <c r="AP78" i="21"/>
  <c r="AP80" i="21" s="1"/>
  <c r="AP122" i="21" s="1"/>
  <c r="AP78" i="24"/>
  <c r="AP80" i="24" s="1"/>
  <c r="AN159" i="18"/>
  <c r="N13" i="5"/>
  <c r="I87" i="16" s="1"/>
  <c r="AS127" i="5"/>
  <c r="AQ127" i="5"/>
  <c r="AN127" i="5"/>
  <c r="AP127" i="5"/>
  <c r="AN87" i="24"/>
  <c r="AM123" i="24"/>
  <c r="AJ121" i="22"/>
  <c r="AN89" i="22"/>
  <c r="AQ89" i="22"/>
  <c r="AP89" i="22"/>
  <c r="AR89" i="22"/>
  <c r="AI89" i="22"/>
  <c r="AK89" i="22"/>
  <c r="AL89" i="22"/>
  <c r="AM89" i="22"/>
  <c r="AO89" i="22"/>
  <c r="AH89" i="22"/>
  <c r="AS89" i="22"/>
  <c r="AJ89" i="22"/>
  <c r="AJ121" i="23"/>
  <c r="AQ89" i="23"/>
  <c r="AK89" i="23"/>
  <c r="AL89" i="23"/>
  <c r="AR89" i="23"/>
  <c r="AM89" i="23"/>
  <c r="AP89" i="23"/>
  <c r="AN89" i="23"/>
  <c r="AI89" i="23"/>
  <c r="AH89" i="23"/>
  <c r="AJ89" i="23"/>
  <c r="AS89" i="23"/>
  <c r="AO89" i="23"/>
  <c r="AM123" i="21"/>
  <c r="AN87" i="21"/>
  <c r="AM123" i="23"/>
  <c r="AN87" i="23"/>
  <c r="AN87" i="22"/>
  <c r="AM123" i="22"/>
  <c r="AP89" i="21"/>
  <c r="AS89" i="21"/>
  <c r="AR89" i="21"/>
  <c r="AL89" i="21"/>
  <c r="AN89" i="21"/>
  <c r="AM89" i="21"/>
  <c r="AH89" i="21"/>
  <c r="AI89" i="21"/>
  <c r="AJ89" i="21"/>
  <c r="AJ121" i="21"/>
  <c r="AQ89" i="21"/>
  <c r="AO89" i="21"/>
  <c r="AK89" i="21"/>
  <c r="AO89" i="24"/>
  <c r="AJ89" i="24"/>
  <c r="AP89" i="24"/>
  <c r="AK89" i="24"/>
  <c r="AL89" i="24"/>
  <c r="AH89" i="24"/>
  <c r="AJ121" i="24"/>
  <c r="AR89" i="24"/>
  <c r="AQ89" i="24"/>
  <c r="AM89" i="24"/>
  <c r="AS89" i="24"/>
  <c r="AN89" i="24"/>
  <c r="AI89" i="24"/>
  <c r="AJ80" i="23"/>
  <c r="AJ122" i="23" s="1"/>
  <c r="AH80" i="23"/>
  <c r="AH122" i="23" s="1"/>
  <c r="AL80" i="23"/>
  <c r="AL122" i="23" s="1"/>
  <c r="AK80" i="23"/>
  <c r="AK122" i="23" s="1"/>
  <c r="AP80" i="23"/>
  <c r="AP86" i="23" s="1"/>
  <c r="AE70" i="23"/>
  <c r="AE68" i="23" s="1"/>
  <c r="AE94" i="23" s="1"/>
  <c r="AW98" i="23" s="1"/>
  <c r="AM76" i="23"/>
  <c r="AM76" i="24"/>
  <c r="AR79" i="23"/>
  <c r="AR79" i="24"/>
  <c r="AM77" i="23"/>
  <c r="AM77" i="24"/>
  <c r="AM78" i="23"/>
  <c r="AM78" i="24"/>
  <c r="AE70" i="24"/>
  <c r="AE68" i="24" s="1"/>
  <c r="AE94" i="24" s="1"/>
  <c r="AW98" i="24" s="1"/>
  <c r="AH80" i="24"/>
  <c r="AR76" i="23"/>
  <c r="AR76" i="24"/>
  <c r="AS79" i="23"/>
  <c r="AS79" i="24"/>
  <c r="AS78" i="23"/>
  <c r="AS78" i="24"/>
  <c r="AS76" i="23"/>
  <c r="AS76" i="24"/>
  <c r="AQ77" i="23"/>
  <c r="AQ77" i="24"/>
  <c r="AL80" i="24"/>
  <c r="AK80" i="24"/>
  <c r="AR78" i="23"/>
  <c r="AR78" i="24"/>
  <c r="AQ76" i="23"/>
  <c r="AQ76" i="24"/>
  <c r="AQ79" i="23"/>
  <c r="AQ79" i="24"/>
  <c r="AO77" i="23"/>
  <c r="AO77" i="24"/>
  <c r="AM79" i="23"/>
  <c r="AM79" i="24"/>
  <c r="AS77" i="23"/>
  <c r="AS77" i="24"/>
  <c r="AR77" i="23"/>
  <c r="AR77" i="24"/>
  <c r="AQ78" i="23"/>
  <c r="AQ78" i="24"/>
  <c r="AJ80" i="24"/>
  <c r="AJ80" i="22"/>
  <c r="AJ86" i="22" s="1"/>
  <c r="AJ80" i="21"/>
  <c r="AJ122" i="21" s="1"/>
  <c r="AE70" i="21"/>
  <c r="AE68" i="21" s="1"/>
  <c r="AE94" i="21" s="1"/>
  <c r="AW98" i="21" s="1"/>
  <c r="AK80" i="21"/>
  <c r="AK86" i="21" s="1"/>
  <c r="AL80" i="21"/>
  <c r="AL86" i="21" s="1"/>
  <c r="AH80" i="20"/>
  <c r="AH86" i="20" s="1"/>
  <c r="AK80" i="22"/>
  <c r="AK122" i="22" s="1"/>
  <c r="AR78" i="21"/>
  <c r="AR78" i="22"/>
  <c r="AM76" i="21"/>
  <c r="AM76" i="22"/>
  <c r="AR79" i="21"/>
  <c r="AR79" i="22"/>
  <c r="AM77" i="21"/>
  <c r="AM77" i="22"/>
  <c r="AM78" i="21"/>
  <c r="AM78" i="22"/>
  <c r="AO77" i="21"/>
  <c r="AO77" i="22"/>
  <c r="AH80" i="22"/>
  <c r="AR76" i="21"/>
  <c r="AR76" i="22"/>
  <c r="AQ76" i="21"/>
  <c r="AQ76" i="22"/>
  <c r="AS79" i="21"/>
  <c r="AS79" i="22"/>
  <c r="AS78" i="21"/>
  <c r="AS78" i="22"/>
  <c r="AS76" i="21"/>
  <c r="AS76" i="22"/>
  <c r="AQ77" i="21"/>
  <c r="AQ77" i="22"/>
  <c r="AE70" i="22"/>
  <c r="AE68" i="22" s="1"/>
  <c r="AE94" i="22" s="1"/>
  <c r="AW98" i="22" s="1"/>
  <c r="AL80" i="22"/>
  <c r="AQ79" i="21"/>
  <c r="AQ79" i="22"/>
  <c r="AM79" i="21"/>
  <c r="AM79" i="22"/>
  <c r="AS77" i="21"/>
  <c r="AS77" i="22"/>
  <c r="AR77" i="21"/>
  <c r="AR77" i="22"/>
  <c r="AQ78" i="21"/>
  <c r="AQ78" i="22"/>
  <c r="AH80" i="21"/>
  <c r="AH122" i="21" s="1"/>
  <c r="AS89" i="20"/>
  <c r="AM89" i="20"/>
  <c r="AR89" i="20"/>
  <c r="AJ121" i="20"/>
  <c r="AN89" i="20"/>
  <c r="AO89" i="20"/>
  <c r="AK89" i="20"/>
  <c r="AI89" i="20"/>
  <c r="AJ89" i="20"/>
  <c r="AQ89" i="20"/>
  <c r="AP89" i="20"/>
  <c r="AL89" i="20"/>
  <c r="AH89" i="20"/>
  <c r="AW214" i="5"/>
  <c r="AX214" i="5" s="1"/>
  <c r="AY220" i="5" s="1"/>
  <c r="GT58" i="19" s="1"/>
  <c r="AO87" i="20"/>
  <c r="AN123" i="20"/>
  <c r="AG74" i="5"/>
  <c r="AG72" i="5" s="1"/>
  <c r="AG98" i="5" s="1"/>
  <c r="AY104" i="5" s="1"/>
  <c r="AK80" i="20"/>
  <c r="AK122" i="20" s="1"/>
  <c r="AL80" i="20"/>
  <c r="AL86" i="20" s="1"/>
  <c r="AR78" i="20"/>
  <c r="AS79" i="20"/>
  <c r="AS76" i="20"/>
  <c r="AM76" i="20"/>
  <c r="AQ78" i="20"/>
  <c r="AS78" i="20"/>
  <c r="AO77" i="20"/>
  <c r="AM79" i="20"/>
  <c r="AS77" i="20"/>
  <c r="AR77" i="20"/>
  <c r="AQ77" i="20"/>
  <c r="AJ80" i="20"/>
  <c r="AR76" i="20"/>
  <c r="AE70" i="20"/>
  <c r="AE68" i="20" s="1"/>
  <c r="AR79" i="20"/>
  <c r="AM77" i="20"/>
  <c r="AM78" i="20"/>
  <c r="AQ76" i="20"/>
  <c r="AQ79" i="20"/>
  <c r="AU94" i="11"/>
  <c r="AV94" i="11" s="1"/>
  <c r="AW94" i="11" s="1"/>
  <c r="AX94" i="11" s="1"/>
  <c r="BD160" i="18"/>
  <c r="AO79" i="25" s="1"/>
  <c r="BD159" i="18"/>
  <c r="Z159" i="18"/>
  <c r="K159" i="18"/>
  <c r="AO160" i="18"/>
  <c r="AO78" i="25" s="1"/>
  <c r="K160" i="18"/>
  <c r="AO76" i="25" s="1"/>
  <c r="AU115" i="11"/>
  <c r="AV115" i="11" s="1"/>
  <c r="AW115" i="11" s="1"/>
  <c r="AX115" i="11" s="1"/>
  <c r="AM84" i="5"/>
  <c r="AM90" i="5" s="1"/>
  <c r="AM94" i="5" s="1"/>
  <c r="AN84" i="5"/>
  <c r="AN90" i="5" s="1"/>
  <c r="AN94" i="5" s="1"/>
  <c r="AJ84" i="5"/>
  <c r="AJ90" i="5" s="1"/>
  <c r="AJ94" i="5" s="1"/>
  <c r="AL84" i="5"/>
  <c r="AL90" i="5" s="1"/>
  <c r="AL94" i="5" s="1"/>
  <c r="AD314" i="5"/>
  <c r="AD315" i="5"/>
  <c r="AD311" i="5"/>
  <c r="AD312" i="5"/>
  <c r="AD313" i="5"/>
  <c r="AE315" i="5"/>
  <c r="AE314" i="5"/>
  <c r="AE312" i="5"/>
  <c r="AE311" i="5"/>
  <c r="AE313" i="5"/>
  <c r="AJ315" i="5"/>
  <c r="AJ314" i="5"/>
  <c r="AJ312" i="5"/>
  <c r="AJ311" i="5"/>
  <c r="AJ313" i="5"/>
  <c r="AD332" i="5"/>
  <c r="AD333" i="5"/>
  <c r="AD330" i="5"/>
  <c r="AD331" i="5"/>
  <c r="AD329" i="5"/>
  <c r="AC321" i="5"/>
  <c r="AC322" i="5"/>
  <c r="AC323" i="5"/>
  <c r="AC320" i="5"/>
  <c r="AC324" i="5"/>
  <c r="AJ329" i="5"/>
  <c r="AJ333" i="5"/>
  <c r="AJ331" i="5"/>
  <c r="AJ332" i="5"/>
  <c r="AJ330" i="5"/>
  <c r="AA332" i="5"/>
  <c r="AA333" i="5"/>
  <c r="AA331" i="5"/>
  <c r="AA330" i="5"/>
  <c r="AA329" i="5"/>
  <c r="AA315" i="5"/>
  <c r="AA311" i="5"/>
  <c r="AA313" i="5"/>
  <c r="AA312" i="5"/>
  <c r="AA314" i="5"/>
  <c r="AC313" i="5"/>
  <c r="AC314" i="5"/>
  <c r="AC311" i="5"/>
  <c r="AC312" i="5"/>
  <c r="AC315" i="5"/>
  <c r="AE323" i="5"/>
  <c r="AE320" i="5"/>
  <c r="AE322" i="5"/>
  <c r="AE324" i="5"/>
  <c r="AE321" i="5"/>
  <c r="AD322" i="5"/>
  <c r="AD321" i="5"/>
  <c r="AD320" i="5"/>
  <c r="AD323" i="5"/>
  <c r="AD324" i="5"/>
  <c r="AE329" i="5"/>
  <c r="AE333" i="5"/>
  <c r="AE332" i="5"/>
  <c r="AE330" i="5"/>
  <c r="AE331" i="5"/>
  <c r="AC333" i="5"/>
  <c r="AC331" i="5"/>
  <c r="AC329" i="5"/>
  <c r="AC330" i="5"/>
  <c r="AC332" i="5"/>
  <c r="AA320" i="5"/>
  <c r="AA324" i="5"/>
  <c r="AA323" i="5"/>
  <c r="AA321" i="5"/>
  <c r="AA322" i="5"/>
  <c r="AD305" i="5"/>
  <c r="AD306" i="5"/>
  <c r="AD304" i="5"/>
  <c r="AD303" i="5"/>
  <c r="AD302" i="5"/>
  <c r="AA306" i="5"/>
  <c r="AA304" i="5"/>
  <c r="AA303" i="5"/>
  <c r="AA305" i="5"/>
  <c r="AJ306" i="5"/>
  <c r="AJ303" i="5"/>
  <c r="AJ305" i="5"/>
  <c r="AJ304" i="5"/>
  <c r="AJ302" i="5"/>
  <c r="AC304" i="5"/>
  <c r="AC306" i="5"/>
  <c r="AC305" i="5"/>
  <c r="AC303" i="5"/>
  <c r="AC302" i="5"/>
  <c r="AE306" i="5"/>
  <c r="AE304" i="5"/>
  <c r="AE303" i="5"/>
  <c r="AE305" i="5"/>
  <c r="AE302" i="5"/>
  <c r="AS82" i="5"/>
  <c r="AK319" i="5"/>
  <c r="AT82" i="5"/>
  <c r="AL319" i="5"/>
  <c r="AS83" i="5"/>
  <c r="AK328" i="5"/>
  <c r="AO83" i="5"/>
  <c r="AG328" i="5"/>
  <c r="AT83" i="5"/>
  <c r="AL328" i="5"/>
  <c r="AU83" i="5"/>
  <c r="AM328" i="5"/>
  <c r="AU82" i="5"/>
  <c r="AM319" i="5"/>
  <c r="AO82" i="5"/>
  <c r="AG319" i="5"/>
  <c r="AO81" i="5"/>
  <c r="AG310" i="5"/>
  <c r="AQ81" i="5"/>
  <c r="AI310" i="5"/>
  <c r="AO80" i="5"/>
  <c r="AG301" i="5"/>
  <c r="AU80" i="5"/>
  <c r="AM301" i="5"/>
  <c r="AT81" i="5"/>
  <c r="AL310" i="5"/>
  <c r="AS81" i="5"/>
  <c r="AK310" i="5"/>
  <c r="AU81" i="5"/>
  <c r="AM310" i="5"/>
  <c r="AT80" i="5"/>
  <c r="AL301" i="5"/>
  <c r="AS80" i="5"/>
  <c r="AK301" i="5"/>
  <c r="AU110" i="11"/>
  <c r="AV110" i="11" s="1"/>
  <c r="AW110" i="11" s="1"/>
  <c r="AX110" i="11" s="1"/>
  <c r="AQ91" i="5"/>
  <c r="AP129" i="5"/>
  <c r="AU89" i="11"/>
  <c r="AV89" i="11" s="1"/>
  <c r="AW89" i="11" s="1"/>
  <c r="AX89" i="11" s="1"/>
  <c r="AU112" i="11"/>
  <c r="AV112" i="11" s="1"/>
  <c r="AW112" i="11" s="1"/>
  <c r="AX112" i="11" s="1"/>
  <c r="AU111" i="11"/>
  <c r="AV111" i="11" s="1"/>
  <c r="AW111" i="11" s="1"/>
  <c r="AX111" i="11" s="1"/>
  <c r="AU109" i="11"/>
  <c r="AV109" i="11" s="1"/>
  <c r="AW109" i="11" s="1"/>
  <c r="AX109" i="11" s="1"/>
  <c r="AU87" i="11"/>
  <c r="AV87" i="11" s="1"/>
  <c r="AW87" i="11" s="1"/>
  <c r="AX87" i="11" s="1"/>
  <c r="AU116" i="11"/>
  <c r="AV116" i="11" s="1"/>
  <c r="AW116" i="11" s="1"/>
  <c r="AX116" i="11" s="1"/>
  <c r="AU107" i="11"/>
  <c r="AV107" i="11" s="1"/>
  <c r="AW107" i="11" s="1"/>
  <c r="AX107" i="11" s="1"/>
  <c r="V204" i="5"/>
  <c r="AJ204" i="5"/>
  <c r="W204" i="5"/>
  <c r="T204" i="5"/>
  <c r="AK203" i="5"/>
  <c r="AR203" i="5"/>
  <c r="AS203" i="5"/>
  <c r="AC55" i="13"/>
  <c r="AB69" i="13"/>
  <c r="AB70" i="13" s="1"/>
  <c r="AN160" i="18"/>
  <c r="AN78" i="25" s="1"/>
  <c r="Y159" i="18"/>
  <c r="Y160" i="18"/>
  <c r="AN77" i="25" s="1"/>
  <c r="BC159" i="18"/>
  <c r="BC160" i="18"/>
  <c r="AN79" i="25" s="1"/>
  <c r="J159" i="18"/>
  <c r="J160" i="18"/>
  <c r="AN76" i="25" s="1"/>
  <c r="AU95" i="11"/>
  <c r="AV95" i="11" s="1"/>
  <c r="AW95" i="11" s="1"/>
  <c r="AU114" i="11"/>
  <c r="AV114" i="11" s="1"/>
  <c r="AW114" i="11" s="1"/>
  <c r="E160" i="18"/>
  <c r="AI76" i="25" s="1"/>
  <c r="T159" i="18"/>
  <c r="AX159" i="18"/>
  <c r="E159" i="18"/>
  <c r="AI160" i="18"/>
  <c r="AI78" i="25" s="1"/>
  <c r="T160" i="18"/>
  <c r="AI77" i="25" s="1"/>
  <c r="AX160" i="18"/>
  <c r="AI79" i="25" s="1"/>
  <c r="AI159" i="18"/>
  <c r="Q205" i="5"/>
  <c r="S205" i="5" s="1"/>
  <c r="Z198" i="5" s="1"/>
  <c r="BC132" i="11" l="1"/>
  <c r="BD132" i="11" s="1"/>
  <c r="BD133" i="11" s="1"/>
  <c r="BD134" i="11" s="1"/>
  <c r="Z141" i="20"/>
  <c r="AA140" i="20"/>
  <c r="H140" i="20" s="1"/>
  <c r="AB140" i="20"/>
  <c r="I140" i="20" s="1"/>
  <c r="R69" i="20"/>
  <c r="S69" i="20" s="1"/>
  <c r="T69" i="20"/>
  <c r="U69" i="20" s="1"/>
  <c r="V69" i="20" s="1"/>
  <c r="Q70" i="20"/>
  <c r="Y122" i="25"/>
  <c r="AJ320" i="5"/>
  <c r="U124" i="25"/>
  <c r="U125" i="25" s="1"/>
  <c r="U126" i="25" s="1"/>
  <c r="U127" i="25" s="1"/>
  <c r="U128" i="25" s="1"/>
  <c r="U129" i="25" s="1"/>
  <c r="U130" i="25" s="1"/>
  <c r="U140" i="25" s="1"/>
  <c r="V123" i="25"/>
  <c r="AA122" i="25"/>
  <c r="H122" i="25" s="1"/>
  <c r="AB122" i="25"/>
  <c r="I122" i="25" s="1"/>
  <c r="AB105" i="25"/>
  <c r="I105" i="25" s="1"/>
  <c r="AA105" i="25"/>
  <c r="H105" i="25" s="1"/>
  <c r="Q70" i="25"/>
  <c r="T69" i="25"/>
  <c r="U69" i="25" s="1"/>
  <c r="R69" i="25"/>
  <c r="AJ322" i="5"/>
  <c r="AJ324" i="5"/>
  <c r="AJ323" i="5"/>
  <c r="AQ122" i="25"/>
  <c r="AM122" i="25"/>
  <c r="AP87" i="25"/>
  <c r="AO123" i="25"/>
  <c r="AX95" i="11"/>
  <c r="AX99" i="11" s="1"/>
  <c r="AX100" i="11" s="1"/>
  <c r="AG250" i="5" s="1"/>
  <c r="AX114" i="11"/>
  <c r="AX118" i="11" s="1"/>
  <c r="AX119" i="11" s="1"/>
  <c r="AK250" i="5" s="1"/>
  <c r="AL250" i="5" s="1"/>
  <c r="AO237" i="5" s="1"/>
  <c r="AO80" i="25"/>
  <c r="AO86" i="25" s="1"/>
  <c r="AO90" i="25" s="1"/>
  <c r="AN80" i="25"/>
  <c r="AR122" i="25"/>
  <c r="AR86" i="25"/>
  <c r="AI80" i="25"/>
  <c r="AS122" i="25"/>
  <c r="AS86" i="25"/>
  <c r="AU36" i="5"/>
  <c r="GP36" i="19" s="1"/>
  <c r="BA32" i="5"/>
  <c r="AK90" i="21"/>
  <c r="AK104" i="21" s="1"/>
  <c r="AK105" i="21" s="1"/>
  <c r="AK107" i="21" s="1"/>
  <c r="AJ90" i="22"/>
  <c r="AJ104" i="22" s="1"/>
  <c r="AJ105" i="22" s="1"/>
  <c r="AJ106" i="22" s="1"/>
  <c r="AH86" i="23"/>
  <c r="AH90" i="23" s="1"/>
  <c r="AH104" i="23" s="1"/>
  <c r="AH105" i="23" s="1"/>
  <c r="AH106" i="23" s="1"/>
  <c r="AH90" i="20"/>
  <c r="AO121" i="21"/>
  <c r="AS121" i="21"/>
  <c r="AQ121" i="21"/>
  <c r="AN121" i="21"/>
  <c r="AL121" i="21"/>
  <c r="AN123" i="23"/>
  <c r="AO87" i="23"/>
  <c r="AS121" i="23"/>
  <c r="AO121" i="23"/>
  <c r="AQ121" i="23"/>
  <c r="AN121" i="23"/>
  <c r="AL121" i="23"/>
  <c r="AL90" i="21"/>
  <c r="AL104" i="21" s="1"/>
  <c r="AL105" i="21" s="1"/>
  <c r="AL107" i="21" s="1"/>
  <c r="AS121" i="22"/>
  <c r="AQ121" i="22"/>
  <c r="AO121" i="22"/>
  <c r="AN121" i="22"/>
  <c r="AL121" i="22"/>
  <c r="AO121" i="24"/>
  <c r="AN121" i="24"/>
  <c r="AL121" i="24"/>
  <c r="AS121" i="24"/>
  <c r="AQ121" i="24"/>
  <c r="AN123" i="21"/>
  <c r="AO87" i="21"/>
  <c r="AP122" i="23"/>
  <c r="AN123" i="22"/>
  <c r="AO87" i="22"/>
  <c r="AN123" i="24"/>
  <c r="AO87" i="24"/>
  <c r="AL86" i="23"/>
  <c r="AL90" i="23" s="1"/>
  <c r="AL104" i="23" s="1"/>
  <c r="AL105" i="23" s="1"/>
  <c r="AL106" i="23" s="1"/>
  <c r="AJ86" i="23"/>
  <c r="AJ90" i="23" s="1"/>
  <c r="AJ104" i="23" s="1"/>
  <c r="AJ105" i="23" s="1"/>
  <c r="AJ106" i="23" s="1"/>
  <c r="AK86" i="23"/>
  <c r="AK90" i="23" s="1"/>
  <c r="AK104" i="23" s="1"/>
  <c r="AK105" i="23" s="1"/>
  <c r="AK106" i="23" s="1"/>
  <c r="AS80" i="23"/>
  <c r="AS122" i="23" s="1"/>
  <c r="AR80" i="23"/>
  <c r="AR122" i="23" s="1"/>
  <c r="AM80" i="23"/>
  <c r="AM86" i="23" s="1"/>
  <c r="AM90" i="23" s="1"/>
  <c r="AM104" i="23" s="1"/>
  <c r="AM105" i="23" s="1"/>
  <c r="AQ80" i="23"/>
  <c r="AQ86" i="23" s="1"/>
  <c r="AR80" i="24"/>
  <c r="AR122" i="24" s="1"/>
  <c r="AI79" i="23"/>
  <c r="AI79" i="24"/>
  <c r="AJ122" i="24"/>
  <c r="AJ86" i="24"/>
  <c r="AJ90" i="24" s="1"/>
  <c r="AJ104" i="24" s="1"/>
  <c r="AJ105" i="24" s="1"/>
  <c r="AI77" i="23"/>
  <c r="AI77" i="24"/>
  <c r="AN76" i="23"/>
  <c r="AN76" i="24"/>
  <c r="AN77" i="23"/>
  <c r="AN77" i="24"/>
  <c r="AQ80" i="24"/>
  <c r="AP122" i="24"/>
  <c r="AP86" i="24"/>
  <c r="AO76" i="23"/>
  <c r="AO76" i="24"/>
  <c r="AK86" i="24"/>
  <c r="AK90" i="24" s="1"/>
  <c r="AK104" i="24" s="1"/>
  <c r="AK105" i="24" s="1"/>
  <c r="AK122" i="24"/>
  <c r="AS80" i="24"/>
  <c r="AH122" i="24"/>
  <c r="AH86" i="24"/>
  <c r="AH90" i="24" s="1"/>
  <c r="AH104" i="24" s="1"/>
  <c r="AH105" i="24" s="1"/>
  <c r="AM80" i="24"/>
  <c r="AI78" i="23"/>
  <c r="AI78" i="24"/>
  <c r="AI76" i="23"/>
  <c r="AI76" i="24"/>
  <c r="AN79" i="23"/>
  <c r="AN79" i="24"/>
  <c r="AN78" i="23"/>
  <c r="AN78" i="24"/>
  <c r="AO78" i="23"/>
  <c r="AO78" i="24"/>
  <c r="AO79" i="23"/>
  <c r="AO79" i="24"/>
  <c r="AL122" i="24"/>
  <c r="AL86" i="24"/>
  <c r="AL90" i="24" s="1"/>
  <c r="AL104" i="24" s="1"/>
  <c r="AL105" i="24" s="1"/>
  <c r="AH122" i="20"/>
  <c r="AJ122" i="22"/>
  <c r="AP86" i="21"/>
  <c r="AP122" i="22"/>
  <c r="AK122" i="21"/>
  <c r="AJ86" i="21"/>
  <c r="AJ90" i="21" s="1"/>
  <c r="AJ104" i="21" s="1"/>
  <c r="AJ105" i="21" s="1"/>
  <c r="AJ107" i="21" s="1"/>
  <c r="AK86" i="22"/>
  <c r="AK90" i="22" s="1"/>
  <c r="AK104" i="22" s="1"/>
  <c r="AK105" i="22" s="1"/>
  <c r="AK107" i="22" s="1"/>
  <c r="AL122" i="21"/>
  <c r="AR80" i="21"/>
  <c r="AR122" i="21" s="1"/>
  <c r="AM80" i="21"/>
  <c r="AM122" i="21" s="1"/>
  <c r="AS80" i="21"/>
  <c r="AS86" i="21" s="1"/>
  <c r="AQ80" i="21"/>
  <c r="AQ86" i="21" s="1"/>
  <c r="AM80" i="22"/>
  <c r="AN76" i="21"/>
  <c r="AN76" i="22"/>
  <c r="AN77" i="21"/>
  <c r="AN77" i="22"/>
  <c r="AR80" i="22"/>
  <c r="AI79" i="21"/>
  <c r="AI79" i="22"/>
  <c r="AI78" i="21"/>
  <c r="AI78" i="22"/>
  <c r="AI76" i="21"/>
  <c r="AI76" i="22"/>
  <c r="AO76" i="21"/>
  <c r="AO76" i="22"/>
  <c r="AI77" i="21"/>
  <c r="AI77" i="22"/>
  <c r="AN79" i="21"/>
  <c r="AN79" i="22"/>
  <c r="AN78" i="21"/>
  <c r="AN78" i="22"/>
  <c r="AO78" i="21"/>
  <c r="AO78" i="22"/>
  <c r="AO79" i="21"/>
  <c r="AO79" i="22"/>
  <c r="AL122" i="22"/>
  <c r="AL86" i="22"/>
  <c r="AL90" i="22" s="1"/>
  <c r="AL104" i="22" s="1"/>
  <c r="AL105" i="22" s="1"/>
  <c r="AS80" i="22"/>
  <c r="AQ80" i="22"/>
  <c r="AH122" i="22"/>
  <c r="AH86" i="22"/>
  <c r="AH90" i="22" s="1"/>
  <c r="AH104" i="22" s="1"/>
  <c r="AH105" i="22" s="1"/>
  <c r="AH86" i="21"/>
  <c r="AH90" i="21" s="1"/>
  <c r="AH104" i="21" s="1"/>
  <c r="AH105" i="21" s="1"/>
  <c r="AH107" i="21" s="1"/>
  <c r="AL90" i="20"/>
  <c r="AI328" i="5"/>
  <c r="AI329" i="5" s="1"/>
  <c r="AL121" i="20"/>
  <c r="AN121" i="20"/>
  <c r="AS121" i="20"/>
  <c r="AO121" i="20"/>
  <c r="AQ121" i="20"/>
  <c r="AO123" i="20"/>
  <c r="AP87" i="20"/>
  <c r="AK86" i="20"/>
  <c r="AK90" i="20" s="1"/>
  <c r="AL122" i="20"/>
  <c r="AQ80" i="20"/>
  <c r="AM80" i="20"/>
  <c r="AI77" i="20"/>
  <c r="AN76" i="20"/>
  <c r="AN77" i="20"/>
  <c r="AI78" i="20"/>
  <c r="AI76" i="20"/>
  <c r="AI301" i="5"/>
  <c r="AI306" i="5" s="1"/>
  <c r="AO76" i="20"/>
  <c r="AP122" i="20"/>
  <c r="AP86" i="20"/>
  <c r="AJ122" i="20"/>
  <c r="AJ86" i="20"/>
  <c r="AJ90" i="20" s="1"/>
  <c r="AN78" i="20"/>
  <c r="AQ82" i="5"/>
  <c r="AO78" i="20"/>
  <c r="AR80" i="20"/>
  <c r="AS80" i="20"/>
  <c r="AN79" i="20"/>
  <c r="AO79" i="20"/>
  <c r="AI79" i="20"/>
  <c r="AQ83" i="5"/>
  <c r="AO84" i="5"/>
  <c r="AO90" i="5" s="1"/>
  <c r="AO94" i="5" s="1"/>
  <c r="AI319" i="5"/>
  <c r="AI322" i="5" s="1"/>
  <c r="AQ80" i="5"/>
  <c r="AJ128" i="5"/>
  <c r="AM128" i="5"/>
  <c r="AN128" i="5"/>
  <c r="AL128" i="5"/>
  <c r="AR128" i="5"/>
  <c r="AU84" i="5"/>
  <c r="AU128" i="5" s="1"/>
  <c r="AM314" i="5"/>
  <c r="AM312" i="5"/>
  <c r="AM313" i="5"/>
  <c r="AM315" i="5"/>
  <c r="AM311" i="5"/>
  <c r="AL314" i="5"/>
  <c r="AL313" i="5"/>
  <c r="AL315" i="5"/>
  <c r="AL312" i="5"/>
  <c r="AL311" i="5"/>
  <c r="AI314" i="5"/>
  <c r="AI315" i="5"/>
  <c r="AI311" i="5"/>
  <c r="AI313" i="5"/>
  <c r="AI312" i="5"/>
  <c r="AM322" i="5"/>
  <c r="AM324" i="5"/>
  <c r="AM320" i="5"/>
  <c r="AM321" i="5"/>
  <c r="AM323" i="5"/>
  <c r="AL331" i="5"/>
  <c r="AL330" i="5"/>
  <c r="AL329" i="5"/>
  <c r="AL332" i="5"/>
  <c r="AL333" i="5"/>
  <c r="AK330" i="5"/>
  <c r="AK331" i="5"/>
  <c r="AK332" i="5"/>
  <c r="AK329" i="5"/>
  <c r="AK333" i="5"/>
  <c r="AK320" i="5"/>
  <c r="AK324" i="5"/>
  <c r="AK323" i="5"/>
  <c r="AK321" i="5"/>
  <c r="AK322" i="5"/>
  <c r="AK312" i="5"/>
  <c r="AK313" i="5"/>
  <c r="AK311" i="5"/>
  <c r="AK314" i="5"/>
  <c r="AK315" i="5"/>
  <c r="AG312" i="5"/>
  <c r="AG314" i="5"/>
  <c r="AG315" i="5"/>
  <c r="AG313" i="5"/>
  <c r="AG311" i="5"/>
  <c r="AG324" i="5"/>
  <c r="AG320" i="5"/>
  <c r="AG323" i="5"/>
  <c r="AG321" i="5"/>
  <c r="AG322" i="5"/>
  <c r="AM332" i="5"/>
  <c r="AM329" i="5"/>
  <c r="AM333" i="5"/>
  <c r="AM330" i="5"/>
  <c r="AM331" i="5"/>
  <c r="AG330" i="5"/>
  <c r="AG333" i="5"/>
  <c r="AG329" i="5"/>
  <c r="AG331" i="5"/>
  <c r="AG332" i="5"/>
  <c r="AL321" i="5"/>
  <c r="AL320" i="5"/>
  <c r="AL322" i="5"/>
  <c r="AL324" i="5"/>
  <c r="AL323" i="5"/>
  <c r="AG303" i="5"/>
  <c r="AG304" i="5"/>
  <c r="AG306" i="5"/>
  <c r="AG305" i="5"/>
  <c r="AG302" i="5"/>
  <c r="AL304" i="5"/>
  <c r="AL306" i="5"/>
  <c r="AL305" i="5"/>
  <c r="AL303" i="5"/>
  <c r="AL302" i="5"/>
  <c r="AS84" i="5"/>
  <c r="AS90" i="5" s="1"/>
  <c r="AM305" i="5"/>
  <c r="AM303" i="5"/>
  <c r="AM306" i="5"/>
  <c r="AM304" i="5"/>
  <c r="AM302" i="5"/>
  <c r="AK303" i="5"/>
  <c r="AK305" i="5"/>
  <c r="AK304" i="5"/>
  <c r="AK306" i="5"/>
  <c r="AK302" i="5"/>
  <c r="AT84" i="5"/>
  <c r="AT128" i="5" s="1"/>
  <c r="AK83" i="5"/>
  <c r="AB328" i="5"/>
  <c r="AP83" i="5"/>
  <c r="AH328" i="5"/>
  <c r="AP82" i="5"/>
  <c r="AH319" i="5"/>
  <c r="AK82" i="5"/>
  <c r="AB319" i="5"/>
  <c r="AA335" i="5"/>
  <c r="AJ131" i="5" s="1"/>
  <c r="AD335" i="5"/>
  <c r="AM131" i="5" s="1"/>
  <c r="AC335" i="5"/>
  <c r="AL131" i="5" s="1"/>
  <c r="AE335" i="5"/>
  <c r="AN131" i="5" s="1"/>
  <c r="AK81" i="5"/>
  <c r="AB310" i="5"/>
  <c r="AP80" i="5"/>
  <c r="AH301" i="5"/>
  <c r="AP81" i="5"/>
  <c r="AH310" i="5"/>
  <c r="AK80" i="5"/>
  <c r="AB301" i="5"/>
  <c r="AR91" i="5"/>
  <c r="AQ129" i="5"/>
  <c r="V205" i="5"/>
  <c r="AD198" i="5" s="1"/>
  <c r="AJ205" i="5"/>
  <c r="AN198" i="5" s="1"/>
  <c r="T205" i="5"/>
  <c r="Z202" i="5" s="1"/>
  <c r="W205" i="5"/>
  <c r="AD202" i="5" s="1"/>
  <c r="AS204" i="5"/>
  <c r="AK204" i="5"/>
  <c r="AR204" i="5"/>
  <c r="AD55" i="13"/>
  <c r="AC69" i="13"/>
  <c r="AC70" i="13" s="1"/>
  <c r="GS60" i="19" l="1"/>
  <c r="GS83" i="19" s="1"/>
  <c r="GS73" i="19"/>
  <c r="AL106" i="21"/>
  <c r="AL108" i="21" s="1"/>
  <c r="AL114" i="21" s="1"/>
  <c r="AL115" i="21" s="1"/>
  <c r="AL136" i="21" s="1"/>
  <c r="AL143" i="21" s="1"/>
  <c r="Z142" i="20"/>
  <c r="Z143" i="20" s="1"/>
  <c r="Z144" i="20" s="1"/>
  <c r="Z145" i="20" s="1"/>
  <c r="Z146" i="20" s="1"/>
  <c r="Z147" i="20" s="1"/>
  <c r="Z148" i="20" s="1"/>
  <c r="Z158" i="20" s="1"/>
  <c r="AB141" i="20"/>
  <c r="I141" i="20" s="1"/>
  <c r="AA141" i="20"/>
  <c r="H141" i="20" s="1"/>
  <c r="Q76" i="20"/>
  <c r="T70" i="20"/>
  <c r="U70" i="20" s="1"/>
  <c r="R70" i="20"/>
  <c r="X123" i="25"/>
  <c r="Y123" i="25"/>
  <c r="U141" i="25"/>
  <c r="V140" i="25"/>
  <c r="Q76" i="25"/>
  <c r="R70" i="25"/>
  <c r="T70" i="25"/>
  <c r="U70" i="25" s="1"/>
  <c r="AJ335" i="5"/>
  <c r="AR131" i="5" s="1"/>
  <c r="AO122" i="25"/>
  <c r="AP123" i="25"/>
  <c r="AQ87" i="25"/>
  <c r="AP90" i="25"/>
  <c r="AI86" i="25"/>
  <c r="AI90" i="25" s="1"/>
  <c r="AI122" i="25"/>
  <c r="AN122" i="25"/>
  <c r="AN86" i="25"/>
  <c r="AN90" i="25" s="1"/>
  <c r="AK106" i="21"/>
  <c r="AK108" i="21" s="1"/>
  <c r="AJ107" i="22"/>
  <c r="AJ108" i="22" s="1"/>
  <c r="AH107" i="23"/>
  <c r="AH108" i="23" s="1"/>
  <c r="AK107" i="23"/>
  <c r="AK108" i="23" s="1"/>
  <c r="AK114" i="23" s="1"/>
  <c r="AK115" i="23" s="1"/>
  <c r="AL145" i="21"/>
  <c r="AO123" i="23"/>
  <c r="AP87" i="23"/>
  <c r="AO123" i="22"/>
  <c r="AP87" i="22"/>
  <c r="AO123" i="21"/>
  <c r="AP87" i="21"/>
  <c r="AO123" i="24"/>
  <c r="AP87" i="24"/>
  <c r="AM122" i="23"/>
  <c r="AJ107" i="23"/>
  <c r="AJ108" i="23" s="1"/>
  <c r="AL107" i="23"/>
  <c r="AL108" i="23" s="1"/>
  <c r="AL114" i="23" s="1"/>
  <c r="AL115" i="23" s="1"/>
  <c r="AL136" i="23" s="1"/>
  <c r="AL143" i="23" s="1"/>
  <c r="AQ122" i="23"/>
  <c r="AR86" i="23"/>
  <c r="AS86" i="23"/>
  <c r="AR86" i="24"/>
  <c r="AI80" i="24"/>
  <c r="AI122" i="24" s="1"/>
  <c r="AN80" i="23"/>
  <c r="AN122" i="23" s="1"/>
  <c r="AO80" i="23"/>
  <c r="AO86" i="23" s="1"/>
  <c r="AO90" i="23" s="1"/>
  <c r="AO104" i="23" s="1"/>
  <c r="AO105" i="23" s="1"/>
  <c r="AO107" i="23" s="1"/>
  <c r="AI80" i="23"/>
  <c r="AI122" i="23" s="1"/>
  <c r="AS86" i="24"/>
  <c r="AS122" i="24"/>
  <c r="AJ106" i="24"/>
  <c r="AJ107" i="24"/>
  <c r="AH106" i="24"/>
  <c r="AH107" i="24"/>
  <c r="AK107" i="24"/>
  <c r="AK106" i="24"/>
  <c r="AN80" i="24"/>
  <c r="AM122" i="24"/>
  <c r="AM86" i="24"/>
  <c r="AM90" i="24" s="1"/>
  <c r="AM104" i="24" s="1"/>
  <c r="AM105" i="24" s="1"/>
  <c r="AL106" i="24"/>
  <c r="AL107" i="24"/>
  <c r="AO80" i="24"/>
  <c r="AQ122" i="24"/>
  <c r="AQ86" i="24"/>
  <c r="AS122" i="21"/>
  <c r="AJ106" i="21"/>
  <c r="AJ108" i="21" s="1"/>
  <c r="AK106" i="22"/>
  <c r="AK108" i="22" s="1"/>
  <c r="AM86" i="21"/>
  <c r="AM90" i="21" s="1"/>
  <c r="AM104" i="21" s="1"/>
  <c r="AM105" i="21" s="1"/>
  <c r="AM106" i="21" s="1"/>
  <c r="AI333" i="5"/>
  <c r="AM107" i="23"/>
  <c r="AM106" i="23"/>
  <c r="AR86" i="21"/>
  <c r="AI80" i="21"/>
  <c r="AI86" i="21" s="1"/>
  <c r="AI90" i="21" s="1"/>
  <c r="AI104" i="21" s="1"/>
  <c r="AI105" i="21" s="1"/>
  <c r="AQ122" i="21"/>
  <c r="AN80" i="21"/>
  <c r="AN122" i="21" s="1"/>
  <c r="AO80" i="21"/>
  <c r="AO122" i="21" s="1"/>
  <c r="AI331" i="5"/>
  <c r="AH106" i="22"/>
  <c r="AH107" i="22"/>
  <c r="AL107" i="22"/>
  <c r="AL106" i="22"/>
  <c r="AQ122" i="22"/>
  <c r="AQ86" i="22"/>
  <c r="AI330" i="5"/>
  <c r="AI332" i="5"/>
  <c r="AI80" i="22"/>
  <c r="AN80" i="22"/>
  <c r="AS122" i="22"/>
  <c r="AS86" i="22"/>
  <c r="AO80" i="22"/>
  <c r="AR122" i="22"/>
  <c r="AR86" i="22"/>
  <c r="AM122" i="22"/>
  <c r="AM86" i="22"/>
  <c r="AM90" i="22" s="1"/>
  <c r="AM104" i="22" s="1"/>
  <c r="AM105" i="22" s="1"/>
  <c r="AH106" i="21"/>
  <c r="AH108" i="21" s="1"/>
  <c r="AP90" i="20"/>
  <c r="AI303" i="5"/>
  <c r="AI305" i="5"/>
  <c r="AI302" i="5"/>
  <c r="AI304" i="5"/>
  <c r="AI323" i="5"/>
  <c r="AP123" i="20"/>
  <c r="AQ87" i="20"/>
  <c r="AQ84" i="5"/>
  <c r="AQ128" i="5" s="1"/>
  <c r="AO80" i="20"/>
  <c r="AO122" i="20" s="1"/>
  <c r="AN80" i="20"/>
  <c r="AS122" i="20"/>
  <c r="AS86" i="20"/>
  <c r="AM122" i="20"/>
  <c r="AM86" i="20"/>
  <c r="AM90" i="20" s="1"/>
  <c r="AQ237" i="5"/>
  <c r="AY237" i="5" s="1"/>
  <c r="GT59" i="19" s="1"/>
  <c r="AR122" i="20"/>
  <c r="AR86" i="20"/>
  <c r="AI80" i="20"/>
  <c r="AQ122" i="20"/>
  <c r="AQ86" i="20"/>
  <c r="AI324" i="5"/>
  <c r="AI321" i="5"/>
  <c r="AI320" i="5"/>
  <c r="AO128" i="5"/>
  <c r="AT90" i="5"/>
  <c r="AS128" i="5"/>
  <c r="AU90" i="5"/>
  <c r="AH321" i="5"/>
  <c r="AH323" i="5"/>
  <c r="AH324" i="5"/>
  <c r="AH320" i="5"/>
  <c r="AH322" i="5"/>
  <c r="AB330" i="5"/>
  <c r="AB332" i="5"/>
  <c r="AB329" i="5"/>
  <c r="AB333" i="5"/>
  <c r="AB331" i="5"/>
  <c r="AB320" i="5"/>
  <c r="AB324" i="5"/>
  <c r="AB323" i="5"/>
  <c r="AB322" i="5"/>
  <c r="AB321" i="5"/>
  <c r="AH330" i="5"/>
  <c r="AH332" i="5"/>
  <c r="AH331" i="5"/>
  <c r="AH329" i="5"/>
  <c r="AH333" i="5"/>
  <c r="AH313" i="5"/>
  <c r="AH314" i="5"/>
  <c r="AH311" i="5"/>
  <c r="AH312" i="5"/>
  <c r="AH315" i="5"/>
  <c r="AB312" i="5"/>
  <c r="AB313" i="5"/>
  <c r="AB311" i="5"/>
  <c r="AB314" i="5"/>
  <c r="AB315" i="5"/>
  <c r="AK84" i="5"/>
  <c r="AK128" i="5" s="1"/>
  <c r="AP84" i="5"/>
  <c r="AP90" i="5" s="1"/>
  <c r="AP94" i="5" s="1"/>
  <c r="AB303" i="5"/>
  <c r="AB305" i="5"/>
  <c r="AB304" i="5"/>
  <c r="AB306" i="5"/>
  <c r="AB302" i="5"/>
  <c r="AH304" i="5"/>
  <c r="AH306" i="5"/>
  <c r="AH305" i="5"/>
  <c r="AH303" i="5"/>
  <c r="AH302" i="5"/>
  <c r="AL335" i="5"/>
  <c r="AT131" i="5" s="1"/>
  <c r="AG335" i="5"/>
  <c r="AO131" i="5" s="1"/>
  <c r="AK335" i="5"/>
  <c r="AS131" i="5" s="1"/>
  <c r="AM335" i="5"/>
  <c r="AU131" i="5" s="1"/>
  <c r="AS91" i="5"/>
  <c r="AR129" i="5"/>
  <c r="AR94" i="5"/>
  <c r="AK205" i="5"/>
  <c r="AN202" i="5" s="1"/>
  <c r="AR205" i="5"/>
  <c r="AU198" i="5" s="1"/>
  <c r="AS205" i="5"/>
  <c r="AE55" i="13"/>
  <c r="AD69" i="13"/>
  <c r="AD70" i="13" s="1"/>
  <c r="X16" i="16" l="1"/>
  <c r="Z159" i="20"/>
  <c r="AB158" i="20"/>
  <c r="I158" i="20" s="1"/>
  <c r="AA158" i="20"/>
  <c r="H158" i="20" s="1"/>
  <c r="T76" i="20"/>
  <c r="U76" i="20" s="1"/>
  <c r="V76" i="20" s="1"/>
  <c r="R76" i="20"/>
  <c r="S76" i="20" s="1"/>
  <c r="Q77" i="20"/>
  <c r="Y140" i="25"/>
  <c r="X140" i="25"/>
  <c r="U142" i="25"/>
  <c r="V141" i="25"/>
  <c r="AA123" i="25"/>
  <c r="H123" i="25" s="1"/>
  <c r="AB123" i="25"/>
  <c r="I123" i="25" s="1"/>
  <c r="Q77" i="25"/>
  <c r="T76" i="25"/>
  <c r="U76" i="25" s="1"/>
  <c r="V76" i="25" s="1"/>
  <c r="R76" i="25"/>
  <c r="S76" i="25" s="1"/>
  <c r="AQ123" i="25"/>
  <c r="AR87" i="25"/>
  <c r="AQ90" i="25"/>
  <c r="AU202" i="5"/>
  <c r="AU32" i="5"/>
  <c r="GQ24" i="19" s="1"/>
  <c r="AL118" i="21"/>
  <c r="AL132" i="21" s="1"/>
  <c r="AX237" i="5"/>
  <c r="GT68" i="19" s="1"/>
  <c r="AQ90" i="5"/>
  <c r="AQ94" i="5" s="1"/>
  <c r="AQ87" i="24"/>
  <c r="AP123" i="24"/>
  <c r="AP123" i="22"/>
  <c r="AQ87" i="22"/>
  <c r="AQ90" i="22" s="1"/>
  <c r="AQ104" i="22" s="1"/>
  <c r="AQ105" i="22" s="1"/>
  <c r="AP90" i="22"/>
  <c r="AP104" i="22" s="1"/>
  <c r="AP105" i="22" s="1"/>
  <c r="AP123" i="23"/>
  <c r="AQ87" i="23"/>
  <c r="AP90" i="23"/>
  <c r="AP104" i="23" s="1"/>
  <c r="AP105" i="23" s="1"/>
  <c r="AP123" i="21"/>
  <c r="AQ87" i="21"/>
  <c r="AP90" i="21"/>
  <c r="AP104" i="21" s="1"/>
  <c r="AP105" i="21" s="1"/>
  <c r="AP90" i="24"/>
  <c r="AP104" i="24" s="1"/>
  <c r="AP105" i="24" s="1"/>
  <c r="AL118" i="23"/>
  <c r="AI86" i="23"/>
  <c r="AI90" i="23" s="1"/>
  <c r="AI104" i="23" s="1"/>
  <c r="AI105" i="23" s="1"/>
  <c r="AI106" i="23" s="1"/>
  <c r="AI86" i="24"/>
  <c r="AI90" i="24" s="1"/>
  <c r="AI104" i="24" s="1"/>
  <c r="AI105" i="24" s="1"/>
  <c r="AI107" i="24" s="1"/>
  <c r="AO106" i="23"/>
  <c r="AO108" i="23" s="1"/>
  <c r="AO114" i="23" s="1"/>
  <c r="AO115" i="23" s="1"/>
  <c r="AO122" i="23"/>
  <c r="AL108" i="24"/>
  <c r="AL118" i="24" s="1"/>
  <c r="AN86" i="23"/>
  <c r="AN90" i="23" s="1"/>
  <c r="AN104" i="23" s="1"/>
  <c r="AN105" i="23" s="1"/>
  <c r="AN106" i="23" s="1"/>
  <c r="AK108" i="24"/>
  <c r="AK118" i="24" s="1"/>
  <c r="AJ108" i="24"/>
  <c r="AJ118" i="24" s="1"/>
  <c r="AH108" i="24"/>
  <c r="AH118" i="24" s="1"/>
  <c r="AH132" i="24" s="1"/>
  <c r="AM106" i="24"/>
  <c r="AM107" i="24"/>
  <c r="AN122" i="24"/>
  <c r="AN86" i="24"/>
  <c r="AN90" i="24" s="1"/>
  <c r="AN104" i="24" s="1"/>
  <c r="AN105" i="24" s="1"/>
  <c r="AO122" i="24"/>
  <c r="AO86" i="24"/>
  <c r="AO90" i="24" s="1"/>
  <c r="AO104" i="24" s="1"/>
  <c r="AO105" i="24" s="1"/>
  <c r="AM145" i="21"/>
  <c r="AM107" i="21"/>
  <c r="AM108" i="21" s="1"/>
  <c r="AK118" i="23"/>
  <c r="AK132" i="23" s="1"/>
  <c r="AM108" i="23"/>
  <c r="AM118" i="23" s="1"/>
  <c r="AJ118" i="22"/>
  <c r="AJ132" i="22" s="1"/>
  <c r="AJ114" i="22"/>
  <c r="AJ115" i="22" s="1"/>
  <c r="AO86" i="21"/>
  <c r="AO90" i="21" s="1"/>
  <c r="AO104" i="21" s="1"/>
  <c r="AO105" i="21" s="1"/>
  <c r="AO107" i="21" s="1"/>
  <c r="AH118" i="23"/>
  <c r="AH114" i="23"/>
  <c r="AH115" i="23" s="1"/>
  <c r="AJ118" i="23"/>
  <c r="AJ132" i="23" s="1"/>
  <c r="AJ114" i="23"/>
  <c r="AJ115" i="23" s="1"/>
  <c r="AJ118" i="21"/>
  <c r="AJ114" i="21"/>
  <c r="AJ115" i="21" s="1"/>
  <c r="AJ136" i="21" s="1"/>
  <c r="AJ143" i="21" s="1"/>
  <c r="AI122" i="21"/>
  <c r="AH118" i="21"/>
  <c r="AH114" i="21"/>
  <c r="AH115" i="21" s="1"/>
  <c r="AH136" i="21" s="1"/>
  <c r="AH143" i="21" s="1"/>
  <c r="AK136" i="23"/>
  <c r="AK143" i="23" s="1"/>
  <c r="AN86" i="21"/>
  <c r="AN90" i="21" s="1"/>
  <c r="AN104" i="21" s="1"/>
  <c r="AN105" i="21" s="1"/>
  <c r="AN145" i="21" s="1"/>
  <c r="AK118" i="22"/>
  <c r="AK132" i="22" s="1"/>
  <c r="AK114" i="22"/>
  <c r="AK115" i="22" s="1"/>
  <c r="AK118" i="21"/>
  <c r="AK114" i="21"/>
  <c r="AK115" i="21" s="1"/>
  <c r="AK136" i="21" s="1"/>
  <c r="AK143" i="21" s="1"/>
  <c r="AN86" i="22"/>
  <c r="AN90" i="22" s="1"/>
  <c r="AN104" i="22" s="1"/>
  <c r="AN105" i="22" s="1"/>
  <c r="AN122" i="22"/>
  <c r="AM145" i="22"/>
  <c r="AM107" i="22"/>
  <c r="AM106" i="22"/>
  <c r="AO122" i="22"/>
  <c r="AO86" i="22"/>
  <c r="AO90" i="22" s="1"/>
  <c r="AO104" i="22" s="1"/>
  <c r="AO105" i="22" s="1"/>
  <c r="AI122" i="22"/>
  <c r="AI86" i="22"/>
  <c r="AI90" i="22" s="1"/>
  <c r="AI104" i="22" s="1"/>
  <c r="AI105" i="22" s="1"/>
  <c r="AL108" i="22"/>
  <c r="AH108" i="22"/>
  <c r="AI106" i="21"/>
  <c r="AI107" i="21"/>
  <c r="AQ90" i="20"/>
  <c r="AQ123" i="20"/>
  <c r="AR87" i="20"/>
  <c r="AR90" i="20" s="1"/>
  <c r="AO86" i="20"/>
  <c r="AO90" i="20" s="1"/>
  <c r="AI122" i="20"/>
  <c r="AI86" i="20"/>
  <c r="AI90" i="20" s="1"/>
  <c r="AN122" i="20"/>
  <c r="AN86" i="20"/>
  <c r="AN90" i="20" s="1"/>
  <c r="AI335" i="5"/>
  <c r="AQ131" i="5" s="1"/>
  <c r="AK90" i="5"/>
  <c r="AK94" i="5" s="1"/>
  <c r="AP128" i="5"/>
  <c r="AB335" i="5"/>
  <c r="AK131" i="5" s="1"/>
  <c r="AH335" i="5"/>
  <c r="AP131" i="5" s="1"/>
  <c r="AT91" i="5"/>
  <c r="AS129" i="5"/>
  <c r="AS94" i="5"/>
  <c r="AF55" i="13"/>
  <c r="AE69" i="13"/>
  <c r="AE70" i="13" s="1"/>
  <c r="GR22" i="19" l="1"/>
  <c r="GT22" i="19"/>
  <c r="X18" i="16"/>
  <c r="AH114" i="24"/>
  <c r="AH115" i="24" s="1"/>
  <c r="AH136" i="24" s="1"/>
  <c r="AH143" i="24" s="1"/>
  <c r="Z160" i="20"/>
  <c r="Z161" i="20" s="1"/>
  <c r="Z162" i="20" s="1"/>
  <c r="Z163" i="20" s="1"/>
  <c r="Z164" i="20" s="1"/>
  <c r="Z165" i="20" s="1"/>
  <c r="Z166" i="20" s="1"/>
  <c r="AA159" i="20"/>
  <c r="H159" i="20" s="1"/>
  <c r="AB159" i="20"/>
  <c r="I159" i="20" s="1"/>
  <c r="R77" i="20"/>
  <c r="T77" i="20"/>
  <c r="U77" i="20" s="1"/>
  <c r="Q78" i="20"/>
  <c r="Y141" i="25"/>
  <c r="X141" i="25"/>
  <c r="U143" i="25"/>
  <c r="V142" i="25"/>
  <c r="AA140" i="25"/>
  <c r="H140" i="25" s="1"/>
  <c r="AB140" i="25"/>
  <c r="I140" i="25" s="1"/>
  <c r="Q78" i="25"/>
  <c r="T77" i="25"/>
  <c r="U77" i="25" s="1"/>
  <c r="R77" i="25"/>
  <c r="AM132" i="23"/>
  <c r="AM145" i="23"/>
  <c r="AS87" i="25"/>
  <c r="AR123" i="25"/>
  <c r="AR90" i="25"/>
  <c r="AL132" i="24"/>
  <c r="AL145" i="24" s="1"/>
  <c r="AL132" i="23"/>
  <c r="AL145" i="23" s="1"/>
  <c r="AJ114" i="24"/>
  <c r="AJ115" i="24" s="1"/>
  <c r="AJ136" i="24" s="1"/>
  <c r="AJ143" i="24" s="1"/>
  <c r="AJ132" i="21"/>
  <c r="AJ145" i="21" s="1"/>
  <c r="AH132" i="21"/>
  <c r="AH145" i="21" s="1"/>
  <c r="AK132" i="21"/>
  <c r="AK145" i="21" s="1"/>
  <c r="AQ106" i="22"/>
  <c r="AQ107" i="22"/>
  <c r="AP107" i="21"/>
  <c r="AP106" i="21"/>
  <c r="AP107" i="22"/>
  <c r="AP106" i="22"/>
  <c r="AR87" i="24"/>
  <c r="AQ123" i="24"/>
  <c r="AQ90" i="24"/>
  <c r="AQ104" i="24" s="1"/>
  <c r="AQ105" i="24" s="1"/>
  <c r="AQ123" i="21"/>
  <c r="AR87" i="21"/>
  <c r="AQ90" i="21"/>
  <c r="AQ104" i="21" s="1"/>
  <c r="AQ105" i="21" s="1"/>
  <c r="AP106" i="23"/>
  <c r="AP107" i="23"/>
  <c r="AQ123" i="22"/>
  <c r="AR87" i="22"/>
  <c r="AR87" i="23"/>
  <c r="AQ123" i="23"/>
  <c r="AQ90" i="23"/>
  <c r="AQ104" i="23" s="1"/>
  <c r="AQ105" i="23" s="1"/>
  <c r="AP106" i="24"/>
  <c r="AP107" i="24"/>
  <c r="AL114" i="24"/>
  <c r="AL115" i="24" s="1"/>
  <c r="AL136" i="24" s="1"/>
  <c r="AL143" i="24" s="1"/>
  <c r="AI107" i="23"/>
  <c r="AI108" i="23" s="1"/>
  <c r="AI118" i="23" s="1"/>
  <c r="AI132" i="23" s="1"/>
  <c r="AK114" i="24"/>
  <c r="AK115" i="24" s="1"/>
  <c r="AK136" i="24" s="1"/>
  <c r="AK143" i="24" s="1"/>
  <c r="AM114" i="23"/>
  <c r="AM115" i="23" s="1"/>
  <c r="AM136" i="23" s="1"/>
  <c r="AM143" i="23" s="1"/>
  <c r="AI106" i="24"/>
  <c r="AI108" i="24" s="1"/>
  <c r="AI118" i="24" s="1"/>
  <c r="AN107" i="23"/>
  <c r="AN108" i="23" s="1"/>
  <c r="AN114" i="23" s="1"/>
  <c r="AN115" i="23" s="1"/>
  <c r="AK132" i="24"/>
  <c r="AK145" i="24" s="1"/>
  <c r="AK145" i="23"/>
  <c r="AH145" i="24"/>
  <c r="AJ132" i="24"/>
  <c r="AJ145" i="24" s="1"/>
  <c r="AM108" i="24"/>
  <c r="AM118" i="24" s="1"/>
  <c r="AN106" i="24"/>
  <c r="AN107" i="24"/>
  <c r="AO107" i="24"/>
  <c r="AO106" i="24"/>
  <c r="AH132" i="23"/>
  <c r="AH145" i="23" s="1"/>
  <c r="AO118" i="23"/>
  <c r="AO106" i="21"/>
  <c r="AO108" i="21" s="1"/>
  <c r="AO114" i="21" s="1"/>
  <c r="AO115" i="21" s="1"/>
  <c r="AO136" i="21" s="1"/>
  <c r="AO143" i="21" s="1"/>
  <c r="AO145" i="21"/>
  <c r="AJ136" i="23"/>
  <c r="AJ143" i="23" s="1"/>
  <c r="AJ145" i="23"/>
  <c r="AJ136" i="22"/>
  <c r="AJ143" i="22" s="1"/>
  <c r="AJ145" i="22"/>
  <c r="AH118" i="22"/>
  <c r="AH132" i="22" s="1"/>
  <c r="AH114" i="22"/>
  <c r="AH115" i="22" s="1"/>
  <c r="AH136" i="23"/>
  <c r="AH143" i="23" s="1"/>
  <c r="AO136" i="23"/>
  <c r="AO143" i="23" s="1"/>
  <c r="AK136" i="22"/>
  <c r="AK143" i="22" s="1"/>
  <c r="AK145" i="22"/>
  <c r="AN107" i="21"/>
  <c r="AN106" i="21"/>
  <c r="AL114" i="22"/>
  <c r="AL115" i="22" s="1"/>
  <c r="AL118" i="22"/>
  <c r="AL132" i="22" s="1"/>
  <c r="AI107" i="22"/>
  <c r="AI106" i="22"/>
  <c r="AM108" i="22"/>
  <c r="AN145" i="22"/>
  <c r="AN106" i="22"/>
  <c r="AN107" i="22"/>
  <c r="AO145" i="22"/>
  <c r="AO106" i="22"/>
  <c r="AO107" i="22"/>
  <c r="AM114" i="21"/>
  <c r="AM115" i="21" s="1"/>
  <c r="AM136" i="21" s="1"/>
  <c r="AM143" i="21" s="1"/>
  <c r="AM118" i="21"/>
  <c r="AM132" i="21" s="1"/>
  <c r="AI108" i="21"/>
  <c r="AR123" i="20"/>
  <c r="AS87" i="20"/>
  <c r="AU91" i="5"/>
  <c r="AT129" i="5"/>
  <c r="AT94" i="5"/>
  <c r="AG55" i="13"/>
  <c r="AG69" i="13" s="1"/>
  <c r="AG70" i="13" s="1"/>
  <c r="AF69" i="13"/>
  <c r="AF70" i="13" s="1"/>
  <c r="GU22" i="19" l="1"/>
  <c r="T78" i="20"/>
  <c r="U78" i="20" s="1"/>
  <c r="R78" i="20"/>
  <c r="Q79" i="20"/>
  <c r="Y142" i="25"/>
  <c r="X142" i="25"/>
  <c r="U144" i="25"/>
  <c r="U145" i="25" s="1"/>
  <c r="U146" i="25" s="1"/>
  <c r="U147" i="25" s="1"/>
  <c r="U148" i="25" s="1"/>
  <c r="U158" i="25" s="1"/>
  <c r="V143" i="25"/>
  <c r="AA141" i="25"/>
  <c r="H141" i="25" s="1"/>
  <c r="AB141" i="25"/>
  <c r="I141" i="25" s="1"/>
  <c r="T78" i="25"/>
  <c r="U78" i="25" s="1"/>
  <c r="R78" i="25"/>
  <c r="Q79" i="25"/>
  <c r="AM132" i="24"/>
  <c r="AM145" i="24"/>
  <c r="AS123" i="25"/>
  <c r="AS90" i="25"/>
  <c r="AI114" i="24"/>
  <c r="AI115" i="24" s="1"/>
  <c r="AI136" i="24" s="1"/>
  <c r="AI143" i="24" s="1"/>
  <c r="AQ108" i="22"/>
  <c r="AQ114" i="22" s="1"/>
  <c r="AQ115" i="22" s="1"/>
  <c r="AQ136" i="22" s="1"/>
  <c r="AQ143" i="22" s="1"/>
  <c r="AP108" i="21"/>
  <c r="AP118" i="21" s="1"/>
  <c r="AP108" i="22"/>
  <c r="AP118" i="22" s="1"/>
  <c r="AP108" i="24"/>
  <c r="AP118" i="24" s="1"/>
  <c r="AP132" i="24" s="1"/>
  <c r="AP145" i="24" s="1"/>
  <c r="AQ106" i="21"/>
  <c r="AQ107" i="21"/>
  <c r="AR123" i="23"/>
  <c r="AS87" i="23"/>
  <c r="AR90" i="23"/>
  <c r="AR104" i="23" s="1"/>
  <c r="AR105" i="23" s="1"/>
  <c r="AP108" i="23"/>
  <c r="AQ107" i="24"/>
  <c r="AQ106" i="24"/>
  <c r="AR123" i="22"/>
  <c r="AS87" i="22"/>
  <c r="AR90" i="22"/>
  <c r="AR104" i="22" s="1"/>
  <c r="AR105" i="22" s="1"/>
  <c r="AQ107" i="23"/>
  <c r="AQ106" i="23"/>
  <c r="AS87" i="21"/>
  <c r="AR123" i="21"/>
  <c r="AR90" i="21"/>
  <c r="AR104" i="21" s="1"/>
  <c r="AR105" i="21" s="1"/>
  <c r="AR123" i="24"/>
  <c r="AS87" i="24"/>
  <c r="AR90" i="24"/>
  <c r="AR104" i="24" s="1"/>
  <c r="AR105" i="24" s="1"/>
  <c r="AN118" i="23"/>
  <c r="AO132" i="23"/>
  <c r="AO145" i="23" s="1"/>
  <c r="AI132" i="24"/>
  <c r="AI145" i="24" s="1"/>
  <c r="AM114" i="24"/>
  <c r="AM115" i="24" s="1"/>
  <c r="AM136" i="24" s="1"/>
  <c r="AM143" i="24" s="1"/>
  <c r="AO108" i="24"/>
  <c r="AO114" i="24" s="1"/>
  <c r="AO115" i="24" s="1"/>
  <c r="AO136" i="24" s="1"/>
  <c r="AO143" i="24" s="1"/>
  <c r="AN108" i="24"/>
  <c r="AN114" i="24" s="1"/>
  <c r="AN115" i="24" s="1"/>
  <c r="AN136" i="24" s="1"/>
  <c r="AN143" i="24" s="1"/>
  <c r="AO118" i="21"/>
  <c r="AO132" i="21" s="1"/>
  <c r="AN108" i="21"/>
  <c r="AN118" i="21" s="1"/>
  <c r="AN132" i="21" s="1"/>
  <c r="AI114" i="23"/>
  <c r="AI115" i="23" s="1"/>
  <c r="AI145" i="23" s="1"/>
  <c r="AI118" i="21"/>
  <c r="AI114" i="21"/>
  <c r="AI115" i="21" s="1"/>
  <c r="AI136" i="21" s="1"/>
  <c r="AI143" i="21" s="1"/>
  <c r="AH136" i="22"/>
  <c r="AH143" i="22" s="1"/>
  <c r="AH145" i="22"/>
  <c r="AN136" i="23"/>
  <c r="AN143" i="23" s="1"/>
  <c r="AL136" i="22"/>
  <c r="AL143" i="22" s="1"/>
  <c r="AL145" i="22"/>
  <c r="AI108" i="22"/>
  <c r="AO108" i="22"/>
  <c r="AN108" i="22"/>
  <c r="AM114" i="22"/>
  <c r="AM115" i="22" s="1"/>
  <c r="AM118" i="22"/>
  <c r="AM132" i="22" s="1"/>
  <c r="AS123" i="20"/>
  <c r="AS90" i="20"/>
  <c r="AU129" i="5"/>
  <c r="AU94" i="5"/>
  <c r="AH70" i="13"/>
  <c r="AO65" i="13" s="1"/>
  <c r="GT78" i="19" s="1"/>
  <c r="GT38" i="19" l="1"/>
  <c r="T79" i="20"/>
  <c r="U79" i="20" s="1"/>
  <c r="V79" i="20" s="1"/>
  <c r="R79" i="20"/>
  <c r="S79" i="20" s="1"/>
  <c r="Q80" i="20"/>
  <c r="X143" i="25"/>
  <c r="Y143" i="25"/>
  <c r="U159" i="25"/>
  <c r="V158" i="25"/>
  <c r="AA142" i="25"/>
  <c r="H142" i="25" s="1"/>
  <c r="AB142" i="25"/>
  <c r="I142" i="25" s="1"/>
  <c r="T79" i="25"/>
  <c r="U79" i="25" s="1"/>
  <c r="R79" i="25"/>
  <c r="Q80" i="25"/>
  <c r="AP70" i="13"/>
  <c r="AQ14" i="13" s="1"/>
  <c r="AN132" i="23"/>
  <c r="AN145" i="23"/>
  <c r="AP132" i="22"/>
  <c r="AP145" i="22" s="1"/>
  <c r="AQ118" i="22"/>
  <c r="AQ132" i="22" s="1"/>
  <c r="AI132" i="21"/>
  <c r="AI145" i="21" s="1"/>
  <c r="AP132" i="21"/>
  <c r="AP145" i="21" s="1"/>
  <c r="AP114" i="21"/>
  <c r="AP115" i="21" s="1"/>
  <c r="AP136" i="21" s="1"/>
  <c r="AP143" i="21" s="1"/>
  <c r="AP114" i="22"/>
  <c r="AP115" i="22" s="1"/>
  <c r="AP136" i="22" s="1"/>
  <c r="AP143" i="22" s="1"/>
  <c r="AQ108" i="24"/>
  <c r="AP114" i="24"/>
  <c r="AP115" i="24" s="1"/>
  <c r="AP136" i="24" s="1"/>
  <c r="AP143" i="24" s="1"/>
  <c r="AR107" i="24"/>
  <c r="AR106" i="24"/>
  <c r="AR107" i="23"/>
  <c r="AR106" i="23"/>
  <c r="AS123" i="24"/>
  <c r="AS90" i="24"/>
  <c r="AS104" i="24" s="1"/>
  <c r="AS105" i="24" s="1"/>
  <c r="AS123" i="21"/>
  <c r="AS90" i="21"/>
  <c r="AS104" i="21" s="1"/>
  <c r="AS105" i="21" s="1"/>
  <c r="AS123" i="23"/>
  <c r="AS90" i="23"/>
  <c r="AS104" i="23" s="1"/>
  <c r="AS105" i="23" s="1"/>
  <c r="AQ108" i="21"/>
  <c r="AQ108" i="23"/>
  <c r="AR106" i="22"/>
  <c r="AR107" i="22"/>
  <c r="AR107" i="21"/>
  <c r="AR106" i="21"/>
  <c r="AS123" i="22"/>
  <c r="AS90" i="22"/>
  <c r="AS104" i="22" s="1"/>
  <c r="AS105" i="22" s="1"/>
  <c r="AP118" i="23"/>
  <c r="AP132" i="23" s="1"/>
  <c r="AP145" i="23" s="1"/>
  <c r="AP114" i="23"/>
  <c r="AP115" i="23" s="1"/>
  <c r="AP136" i="23" s="1"/>
  <c r="AP143" i="23" s="1"/>
  <c r="AO118" i="24"/>
  <c r="AN118" i="24"/>
  <c r="AN114" i="21"/>
  <c r="AN115" i="21" s="1"/>
  <c r="AN136" i="21" s="1"/>
  <c r="AN143" i="21" s="1"/>
  <c r="AI136" i="23"/>
  <c r="AI143" i="23" s="1"/>
  <c r="AI118" i="22"/>
  <c r="AI132" i="22" s="1"/>
  <c r="AI114" i="22"/>
  <c r="AI115" i="22" s="1"/>
  <c r="AM136" i="22"/>
  <c r="AM143" i="22" s="1"/>
  <c r="AN114" i="22"/>
  <c r="AN115" i="22" s="1"/>
  <c r="AN118" i="22"/>
  <c r="AN132" i="22" s="1"/>
  <c r="AO114" i="22"/>
  <c r="AO115" i="22" s="1"/>
  <c r="AO118" i="22"/>
  <c r="AO132" i="22" s="1"/>
  <c r="AR64" i="13"/>
  <c r="GT64" i="19" s="1"/>
  <c r="GT86" i="19" s="1"/>
  <c r="AQ70" i="13"/>
  <c r="AR23" i="13" s="1"/>
  <c r="GT63" i="19" s="1"/>
  <c r="GR63" i="19" s="1"/>
  <c r="GP46" i="19" s="1"/>
  <c r="AV7" i="13" l="1"/>
  <c r="GT62" i="19"/>
  <c r="X26" i="16" s="1"/>
  <c r="Q86" i="20"/>
  <c r="T80" i="20"/>
  <c r="U80" i="20" s="1"/>
  <c r="R80" i="20"/>
  <c r="X158" i="25"/>
  <c r="Y158" i="25"/>
  <c r="U160" i="25"/>
  <c r="U161" i="25" s="1"/>
  <c r="U162" i="25" s="1"/>
  <c r="U163" i="25" s="1"/>
  <c r="U164" i="25" s="1"/>
  <c r="U165" i="25" s="1"/>
  <c r="U166" i="25" s="1"/>
  <c r="V159" i="25"/>
  <c r="AB143" i="25"/>
  <c r="I143" i="25" s="1"/>
  <c r="AA143" i="25"/>
  <c r="H143" i="25" s="1"/>
  <c r="Q86" i="25"/>
  <c r="R80" i="25"/>
  <c r="T80" i="25"/>
  <c r="U80" i="25" s="1"/>
  <c r="AN132" i="24"/>
  <c r="AN145" i="24"/>
  <c r="AO132" i="24"/>
  <c r="AO145" i="24" s="1"/>
  <c r="AQ145" i="22"/>
  <c r="AR4" i="13"/>
  <c r="GO46" i="19" s="1"/>
  <c r="AR108" i="21"/>
  <c r="AR108" i="23"/>
  <c r="AR108" i="24"/>
  <c r="AQ118" i="24"/>
  <c r="AQ132" i="24" s="1"/>
  <c r="AQ145" i="24" s="1"/>
  <c r="AQ114" i="24"/>
  <c r="AQ115" i="24" s="1"/>
  <c r="AQ136" i="24" s="1"/>
  <c r="AQ143" i="24" s="1"/>
  <c r="AQ118" i="21"/>
  <c r="AQ114" i="21"/>
  <c r="AQ115" i="21" s="1"/>
  <c r="AQ136" i="21" s="1"/>
  <c r="AQ143" i="21" s="1"/>
  <c r="AS107" i="22"/>
  <c r="AS106" i="22"/>
  <c r="AS106" i="23"/>
  <c r="AS107" i="23"/>
  <c r="AS107" i="24"/>
  <c r="AS106" i="24"/>
  <c r="AR108" i="22"/>
  <c r="AQ118" i="23"/>
  <c r="AQ114" i="23"/>
  <c r="AQ115" i="23" s="1"/>
  <c r="AQ136" i="23" s="1"/>
  <c r="AQ143" i="23" s="1"/>
  <c r="AS107" i="21"/>
  <c r="AS106" i="21"/>
  <c r="AI136" i="22"/>
  <c r="AI143" i="22" s="1"/>
  <c r="AI145" i="22"/>
  <c r="AO136" i="22"/>
  <c r="AO143" i="22" s="1"/>
  <c r="AN136" i="22"/>
  <c r="AN143" i="22" s="1"/>
  <c r="X29" i="16"/>
  <c r="GR46" i="19" l="1"/>
  <c r="GS46" i="19" s="1"/>
  <c r="GV46" i="19"/>
  <c r="GP38" i="19"/>
  <c r="GQ32" i="19" s="1"/>
  <c r="GU34" i="19" s="1"/>
  <c r="I12" i="16"/>
  <c r="R86" i="20"/>
  <c r="S86" i="20" s="1"/>
  <c r="Q87" i="20"/>
  <c r="T86" i="20"/>
  <c r="U86" i="20" s="1"/>
  <c r="V86" i="20" s="1"/>
  <c r="Y159" i="25"/>
  <c r="X159" i="25"/>
  <c r="AB158" i="25"/>
  <c r="I158" i="25" s="1"/>
  <c r="AA158" i="25"/>
  <c r="H158" i="25" s="1"/>
  <c r="Q87" i="25"/>
  <c r="R86" i="25"/>
  <c r="S86" i="25" s="1"/>
  <c r="AW88" i="25" s="1"/>
  <c r="T86" i="25"/>
  <c r="U86" i="25" s="1"/>
  <c r="V86" i="25" s="1"/>
  <c r="AW90" i="25" s="1"/>
  <c r="AX2" i="13"/>
  <c r="AR118" i="22"/>
  <c r="AR132" i="22" s="1"/>
  <c r="AR145" i="22" s="1"/>
  <c r="AR114" i="22"/>
  <c r="AR115" i="22" s="1"/>
  <c r="AR136" i="22" s="1"/>
  <c r="AR143" i="22" s="1"/>
  <c r="AR118" i="23"/>
  <c r="AR132" i="23" s="1"/>
  <c r="AR145" i="23" s="1"/>
  <c r="AR114" i="23"/>
  <c r="AR115" i="23" s="1"/>
  <c r="AR136" i="23" s="1"/>
  <c r="AR143" i="23" s="1"/>
  <c r="AR118" i="24"/>
  <c r="AR132" i="24" s="1"/>
  <c r="AR145" i="24" s="1"/>
  <c r="AR114" i="24"/>
  <c r="AR115" i="24" s="1"/>
  <c r="AR136" i="24" s="1"/>
  <c r="AR143" i="24" s="1"/>
  <c r="AR118" i="21"/>
  <c r="AR132" i="21" s="1"/>
  <c r="AR145" i="21" s="1"/>
  <c r="AR114" i="21"/>
  <c r="AR115" i="21" s="1"/>
  <c r="AR136" i="21" s="1"/>
  <c r="AR143" i="21" s="1"/>
  <c r="AQ132" i="21"/>
  <c r="AQ145" i="21" s="1"/>
  <c r="AS108" i="24"/>
  <c r="AS108" i="23"/>
  <c r="AQ132" i="23"/>
  <c r="AQ145" i="23" s="1"/>
  <c r="AS108" i="21"/>
  <c r="AS108" i="22"/>
  <c r="X79" i="16" l="1"/>
  <c r="AD81" i="16"/>
  <c r="GX46" i="19"/>
  <c r="GW46" i="19"/>
  <c r="Q88" i="20"/>
  <c r="T87" i="20"/>
  <c r="U87" i="20" s="1"/>
  <c r="R87" i="20"/>
  <c r="AA159" i="25"/>
  <c r="H159" i="25" s="1"/>
  <c r="AB159" i="25"/>
  <c r="I159" i="25" s="1"/>
  <c r="AQ94" i="25"/>
  <c r="AQ98" i="25" s="1"/>
  <c r="AM94" i="25"/>
  <c r="AM98" i="25" s="1"/>
  <c r="AL94" i="25"/>
  <c r="AL98" i="25" s="1"/>
  <c r="AN94" i="25"/>
  <c r="AN98" i="25" s="1"/>
  <c r="AR94" i="25"/>
  <c r="AR98" i="25" s="1"/>
  <c r="AK94" i="25"/>
  <c r="AK98" i="25" s="1"/>
  <c r="AP94" i="25"/>
  <c r="AP98" i="25" s="1"/>
  <c r="AW96" i="25"/>
  <c r="AJ94" i="25"/>
  <c r="AJ98" i="25" s="1"/>
  <c r="AO94" i="25"/>
  <c r="AO98" i="25" s="1"/>
  <c r="Z44" i="25"/>
  <c r="AE44" i="25" s="1"/>
  <c r="AE42" i="25" s="1"/>
  <c r="AE94" i="25" s="1"/>
  <c r="AW98" i="25" s="1"/>
  <c r="AH132" i="25"/>
  <c r="AL132" i="25"/>
  <c r="AI132" i="25"/>
  <c r="AS94" i="25"/>
  <c r="AS98" i="25" s="1"/>
  <c r="AN132" i="25"/>
  <c r="AM132" i="25"/>
  <c r="AI94" i="25"/>
  <c r="AI98" i="25" s="1"/>
  <c r="AO132" i="25"/>
  <c r="AS132" i="25"/>
  <c r="AK132" i="25"/>
  <c r="AJ132" i="25"/>
  <c r="AQ132" i="25"/>
  <c r="AR132" i="25"/>
  <c r="AP132" i="25"/>
  <c r="AH94" i="25"/>
  <c r="AH98" i="25" s="1"/>
  <c r="T87" i="25"/>
  <c r="U87" i="25" s="1"/>
  <c r="Q88" i="25"/>
  <c r="R87" i="25"/>
  <c r="AS118" i="23"/>
  <c r="AS132" i="23" s="1"/>
  <c r="AS145" i="23" s="1"/>
  <c r="AT145" i="23" s="1"/>
  <c r="FH8" i="19" s="1"/>
  <c r="AS114" i="23"/>
  <c r="AS115" i="23" s="1"/>
  <c r="AS136" i="23" s="1"/>
  <c r="AS143" i="23" s="1"/>
  <c r="AT143" i="23" s="1"/>
  <c r="FI8" i="19" s="1"/>
  <c r="AS118" i="24"/>
  <c r="AS132" i="24" s="1"/>
  <c r="AS145" i="24" s="1"/>
  <c r="AT145" i="24" s="1"/>
  <c r="FH9" i="19" s="1"/>
  <c r="AS114" i="24"/>
  <c r="AS115" i="24" s="1"/>
  <c r="AS136" i="24" s="1"/>
  <c r="AS143" i="24" s="1"/>
  <c r="AT143" i="24" s="1"/>
  <c r="FI9" i="19" s="1"/>
  <c r="AS118" i="21"/>
  <c r="AS132" i="21" s="1"/>
  <c r="AS145" i="21" s="1"/>
  <c r="AT145" i="21" s="1"/>
  <c r="FH6" i="19" s="1"/>
  <c r="AS114" i="21"/>
  <c r="AS115" i="21" s="1"/>
  <c r="AS136" i="21" s="1"/>
  <c r="AS143" i="21" s="1"/>
  <c r="AT143" i="21" s="1"/>
  <c r="FI6" i="19" s="1"/>
  <c r="AS118" i="22"/>
  <c r="AS132" i="22" s="1"/>
  <c r="AS145" i="22" s="1"/>
  <c r="AT145" i="22" s="1"/>
  <c r="FH7" i="19" s="1"/>
  <c r="AS114" i="22"/>
  <c r="AS115" i="22" s="1"/>
  <c r="AS136" i="22" s="1"/>
  <c r="AS143" i="22" s="1"/>
  <c r="AT143" i="22" s="1"/>
  <c r="FI7" i="19" s="1"/>
  <c r="AV4" i="13" l="1"/>
  <c r="BD2" i="13" s="1"/>
  <c r="BE2" i="13" s="1"/>
  <c r="Q89" i="20"/>
  <c r="T88" i="20"/>
  <c r="U88" i="20" s="1"/>
  <c r="R88" i="20"/>
  <c r="AP102" i="25"/>
  <c r="AP104" i="25" s="1"/>
  <c r="AP105" i="25" s="1"/>
  <c r="AL102" i="25"/>
  <c r="AL104" i="25" s="1"/>
  <c r="AL105" i="25" s="1"/>
  <c r="AH102" i="25"/>
  <c r="AH104" i="25" s="1"/>
  <c r="AH105" i="25" s="1"/>
  <c r="AO102" i="25"/>
  <c r="AO104" i="25" s="1"/>
  <c r="AO105" i="25" s="1"/>
  <c r="AK102" i="25"/>
  <c r="AK104" i="25" s="1"/>
  <c r="AK105" i="25" s="1"/>
  <c r="AM102" i="25"/>
  <c r="AM104" i="25" s="1"/>
  <c r="AM105" i="25" s="1"/>
  <c r="AN102" i="25"/>
  <c r="AN104" i="25" s="1"/>
  <c r="AN105" i="25" s="1"/>
  <c r="AS102" i="25"/>
  <c r="AS104" i="25" s="1"/>
  <c r="AS105" i="25" s="1"/>
  <c r="AI102" i="25"/>
  <c r="AI104" i="25" s="1"/>
  <c r="AI105" i="25" s="1"/>
  <c r="T88" i="25"/>
  <c r="U88" i="25" s="1"/>
  <c r="Q89" i="25"/>
  <c r="R88" i="25"/>
  <c r="AJ102" i="25"/>
  <c r="AJ104" i="25" s="1"/>
  <c r="AJ105" i="25" s="1"/>
  <c r="AR102" i="25"/>
  <c r="AR104" i="25" s="1"/>
  <c r="AR105" i="25" s="1"/>
  <c r="AQ102" i="25"/>
  <c r="AQ104" i="25" s="1"/>
  <c r="AQ105" i="25" s="1"/>
  <c r="AJ108" i="5"/>
  <c r="AJ110" i="5" s="1"/>
  <c r="AJ111" i="5" s="1"/>
  <c r="AK106" i="5"/>
  <c r="AK108" i="5" s="1"/>
  <c r="AK110" i="5" s="1"/>
  <c r="AK111" i="5" s="1"/>
  <c r="Q90" i="20" l="1"/>
  <c r="T89" i="20"/>
  <c r="U89" i="20" s="1"/>
  <c r="V89" i="20" s="1"/>
  <c r="AW90" i="20" s="1"/>
  <c r="R89" i="20"/>
  <c r="S89" i="20" s="1"/>
  <c r="AW88" i="20" s="1"/>
  <c r="AJ106" i="25"/>
  <c r="AJ107" i="25"/>
  <c r="AI106" i="25"/>
  <c r="AI107" i="25"/>
  <c r="AR106" i="25"/>
  <c r="AR107" i="25"/>
  <c r="R89" i="25"/>
  <c r="Q90" i="25"/>
  <c r="T89" i="25"/>
  <c r="U89" i="25" s="1"/>
  <c r="AQ145" i="25"/>
  <c r="AQ107" i="25"/>
  <c r="AQ106" i="25"/>
  <c r="AN106" i="25"/>
  <c r="AN145" i="25"/>
  <c r="AN107" i="25"/>
  <c r="AK106" i="25"/>
  <c r="AK107" i="25"/>
  <c r="AK145" i="25"/>
  <c r="AS107" i="25"/>
  <c r="AS106" i="25"/>
  <c r="AM145" i="25"/>
  <c r="AM107" i="25"/>
  <c r="AM106" i="25"/>
  <c r="AO145" i="25"/>
  <c r="AO107" i="25"/>
  <c r="AO106" i="25"/>
  <c r="AL106" i="25"/>
  <c r="AL145" i="25"/>
  <c r="AL107" i="25"/>
  <c r="AH106" i="25"/>
  <c r="AH107" i="25"/>
  <c r="AP145" i="25"/>
  <c r="AP107" i="25"/>
  <c r="AP106" i="25"/>
  <c r="AJ113" i="5"/>
  <c r="AK113" i="5"/>
  <c r="AJ112" i="5"/>
  <c r="AK112" i="5"/>
  <c r="AL106" i="5"/>
  <c r="AQ94" i="20" l="1"/>
  <c r="AL94" i="20"/>
  <c r="AO94" i="20"/>
  <c r="AW96" i="20"/>
  <c r="AR94" i="20"/>
  <c r="AK94" i="20"/>
  <c r="AN94" i="20"/>
  <c r="AM94" i="20"/>
  <c r="AP94" i="20"/>
  <c r="AJ94" i="20"/>
  <c r="AR132" i="20"/>
  <c r="AQ132" i="20"/>
  <c r="AN132" i="20"/>
  <c r="AI94" i="20"/>
  <c r="AH94" i="20"/>
  <c r="AJ132" i="20"/>
  <c r="AS132" i="20"/>
  <c r="AS94" i="20"/>
  <c r="AL132" i="20"/>
  <c r="AI132" i="20"/>
  <c r="AM132" i="20"/>
  <c r="AH132" i="20"/>
  <c r="AO132" i="20"/>
  <c r="AP132" i="20"/>
  <c r="AK132" i="20"/>
  <c r="Z44" i="20"/>
  <c r="AE44" i="20" s="1"/>
  <c r="AE42" i="20" s="1"/>
  <c r="AE94" i="20" s="1"/>
  <c r="AW98" i="20" s="1"/>
  <c r="R90" i="20"/>
  <c r="T90" i="20"/>
  <c r="U90" i="20" s="1"/>
  <c r="AL108" i="25"/>
  <c r="AL114" i="25" s="1"/>
  <c r="AL115" i="25" s="1"/>
  <c r="AL136" i="25" s="1"/>
  <c r="AL143" i="25" s="1"/>
  <c r="AR108" i="25"/>
  <c r="AR118" i="25" s="1"/>
  <c r="AR145" i="25" s="1"/>
  <c r="AS108" i="25"/>
  <c r="AQ108" i="25"/>
  <c r="AQ114" i="25" s="1"/>
  <c r="AQ115" i="25" s="1"/>
  <c r="AQ136" i="25" s="1"/>
  <c r="AQ143" i="25" s="1"/>
  <c r="AP108" i="25"/>
  <c r="AP118" i="25" s="1"/>
  <c r="AH108" i="25"/>
  <c r="AN108" i="25"/>
  <c r="AN114" i="25" s="1"/>
  <c r="AN115" i="25" s="1"/>
  <c r="AN136" i="25" s="1"/>
  <c r="AN143" i="25" s="1"/>
  <c r="AK108" i="25"/>
  <c r="T90" i="25"/>
  <c r="U90" i="25" s="1"/>
  <c r="R90" i="25"/>
  <c r="AM108" i="25"/>
  <c r="AI108" i="25"/>
  <c r="AP114" i="25"/>
  <c r="AP115" i="25" s="1"/>
  <c r="AP136" i="25" s="1"/>
  <c r="AP143" i="25" s="1"/>
  <c r="AO108" i="25"/>
  <c r="AJ108" i="25"/>
  <c r="AJ114" i="5"/>
  <c r="AJ120" i="5" s="1"/>
  <c r="AK114" i="5"/>
  <c r="AK124" i="5" s="1"/>
  <c r="AL108" i="5"/>
  <c r="AL110" i="5" s="1"/>
  <c r="AL111" i="5" s="1"/>
  <c r="AM106" i="5"/>
  <c r="AI118" i="25" l="1"/>
  <c r="AI145" i="25" s="1"/>
  <c r="AI114" i="25"/>
  <c r="AI115" i="25" s="1"/>
  <c r="AI136" i="25" s="1"/>
  <c r="AI143" i="25" s="1"/>
  <c r="AS118" i="25"/>
  <c r="AS145" i="25" s="1"/>
  <c r="AS114" i="25"/>
  <c r="AS115" i="25" s="1"/>
  <c r="AS136" i="25" s="1"/>
  <c r="AS143" i="25" s="1"/>
  <c r="AH118" i="25"/>
  <c r="AH145" i="25" s="1"/>
  <c r="AH114" i="25"/>
  <c r="AH115" i="25" s="1"/>
  <c r="AH136" i="25" s="1"/>
  <c r="AH143" i="25" s="1"/>
  <c r="AR114" i="25"/>
  <c r="AR115" i="25" s="1"/>
  <c r="AR136" i="25" s="1"/>
  <c r="AR143" i="25" s="1"/>
  <c r="AL118" i="25"/>
  <c r="AN118" i="25"/>
  <c r="AQ118" i="25"/>
  <c r="AJ114" i="25"/>
  <c r="AJ115" i="25" s="1"/>
  <c r="AJ136" i="25" s="1"/>
  <c r="AJ143" i="25" s="1"/>
  <c r="AJ118" i="25"/>
  <c r="AJ145" i="25" s="1"/>
  <c r="AO114" i="25"/>
  <c r="AO115" i="25" s="1"/>
  <c r="AO136" i="25" s="1"/>
  <c r="AO143" i="25" s="1"/>
  <c r="AO118" i="25"/>
  <c r="AM114" i="25"/>
  <c r="AM115" i="25" s="1"/>
  <c r="AM136" i="25" s="1"/>
  <c r="AM143" i="25" s="1"/>
  <c r="AM118" i="25"/>
  <c r="AK114" i="25"/>
  <c r="AK115" i="25" s="1"/>
  <c r="AK136" i="25" s="1"/>
  <c r="AK143" i="25" s="1"/>
  <c r="AK118" i="25"/>
  <c r="AK138" i="5"/>
  <c r="AJ124" i="5"/>
  <c r="AJ121" i="5"/>
  <c r="AJ142" i="5" s="1"/>
  <c r="AJ149" i="5" s="1"/>
  <c r="AK120" i="5"/>
  <c r="AK121" i="5" s="1"/>
  <c r="AM108" i="5"/>
  <c r="AM110" i="5" s="1"/>
  <c r="AM111" i="5" s="1"/>
  <c r="AM151" i="5" s="1"/>
  <c r="AN106" i="5"/>
  <c r="AL112" i="5"/>
  <c r="AL113" i="5"/>
  <c r="AT145" i="25" l="1"/>
  <c r="AK190" i="25" s="1"/>
  <c r="AK194" i="25" s="1"/>
  <c r="AK198" i="25" s="1"/>
  <c r="GR57" i="19" s="1"/>
  <c r="AT143" i="25"/>
  <c r="AD190" i="25" s="1"/>
  <c r="AD194" i="25" s="1"/>
  <c r="AK151" i="5"/>
  <c r="AK152" i="5" s="1"/>
  <c r="AK153" i="5" s="1"/>
  <c r="AJ138" i="5"/>
  <c r="AJ151" i="5" s="1"/>
  <c r="AK142" i="5"/>
  <c r="AK149" i="5" s="1"/>
  <c r="AY55" i="11"/>
  <c r="AZ55" i="11" s="1"/>
  <c r="BP138" i="5"/>
  <c r="AL114" i="5"/>
  <c r="AL124" i="5" s="1"/>
  <c r="AO106" i="5"/>
  <c r="AN108" i="5"/>
  <c r="AN110" i="5" s="1"/>
  <c r="AN111" i="5" s="1"/>
  <c r="AN151" i="5" s="1"/>
  <c r="AM113" i="5"/>
  <c r="AM112" i="5"/>
  <c r="AN190" i="25" l="1"/>
  <c r="AD198" i="25"/>
  <c r="GR56" i="19" s="1"/>
  <c r="AD200" i="25"/>
  <c r="AO190" i="25" s="1"/>
  <c r="BQ140" i="5"/>
  <c r="BP140" i="5"/>
  <c r="AY56" i="11"/>
  <c r="AZ56" i="11" s="1"/>
  <c r="BB56" i="11" s="1"/>
  <c r="BQ138" i="5"/>
  <c r="BB55" i="11"/>
  <c r="AL138" i="5"/>
  <c r="AL151" i="5" s="1"/>
  <c r="AL120" i="5"/>
  <c r="AL121" i="5" s="1"/>
  <c r="AM114" i="5"/>
  <c r="AM124" i="5" s="1"/>
  <c r="AN113" i="5"/>
  <c r="AN112" i="5"/>
  <c r="AP106" i="5"/>
  <c r="AO108" i="5"/>
  <c r="AO110" i="5" s="1"/>
  <c r="AO111" i="5" s="1"/>
  <c r="GP48" i="19" l="1"/>
  <c r="GR72" i="19" s="1"/>
  <c r="HG8" i="26" s="1"/>
  <c r="GR67" i="19"/>
  <c r="X41" i="16" s="1"/>
  <c r="AO192" i="25"/>
  <c r="O13" i="25" s="1"/>
  <c r="GP45" i="19" s="1"/>
  <c r="AJ152" i="5"/>
  <c r="AJ153" i="5" s="1"/>
  <c r="AL152" i="5"/>
  <c r="AL153" i="5" s="1"/>
  <c r="AO151" i="5"/>
  <c r="AO152" i="5" s="1"/>
  <c r="AO153" i="5" s="1"/>
  <c r="AM138" i="5"/>
  <c r="AL142" i="5"/>
  <c r="AL149" i="5" s="1"/>
  <c r="AP123" i="11"/>
  <c r="AQ123" i="11"/>
  <c r="AP124" i="11"/>
  <c r="AQ124" i="11"/>
  <c r="BR140" i="5"/>
  <c r="AM120" i="5"/>
  <c r="AM121" i="5" s="1"/>
  <c r="AM142" i="5" s="1"/>
  <c r="AM149" i="5" s="1"/>
  <c r="AN114" i="5"/>
  <c r="AN124" i="5" s="1"/>
  <c r="AO112" i="5"/>
  <c r="AO113" i="5"/>
  <c r="AP108" i="5"/>
  <c r="AP110" i="5" s="1"/>
  <c r="AP111" i="5" s="1"/>
  <c r="AQ106" i="5"/>
  <c r="GR71" i="19" l="1"/>
  <c r="HG7" i="26" s="1"/>
  <c r="GP47" i="19"/>
  <c r="BU140" i="5"/>
  <c r="AP151" i="5"/>
  <c r="AP152" i="5" s="1"/>
  <c r="AP153" i="5" s="1"/>
  <c r="AN138" i="5"/>
  <c r="AM152" i="5"/>
  <c r="AM153" i="5" s="1"/>
  <c r="BS140" i="5"/>
  <c r="BR138" i="5"/>
  <c r="AY57" i="11"/>
  <c r="AZ57" i="11" s="1"/>
  <c r="BB57" i="11" s="1"/>
  <c r="AR124" i="11"/>
  <c r="AS124" i="11" s="1"/>
  <c r="AT124" i="11" s="1"/>
  <c r="AU124" i="11" s="1"/>
  <c r="AV124" i="11" s="1"/>
  <c r="AW124" i="11" s="1"/>
  <c r="AX124" i="11" s="1"/>
  <c r="AY124" i="11" s="1"/>
  <c r="AZ124" i="11" s="1"/>
  <c r="AR123" i="11"/>
  <c r="AS123" i="11" s="1"/>
  <c r="AT123" i="11" s="1"/>
  <c r="AU123" i="11" s="1"/>
  <c r="AV123" i="11" s="1"/>
  <c r="AW123" i="11" s="1"/>
  <c r="AX123" i="11" s="1"/>
  <c r="AY123" i="11" s="1"/>
  <c r="AZ123" i="11" s="1"/>
  <c r="AN120" i="5"/>
  <c r="AN121" i="5" s="1"/>
  <c r="AN142" i="5" s="1"/>
  <c r="AN149" i="5" s="1"/>
  <c r="AP113" i="5"/>
  <c r="AP112" i="5"/>
  <c r="AQ108" i="5"/>
  <c r="AQ110" i="5" s="1"/>
  <c r="AQ111" i="5" s="1"/>
  <c r="AQ151" i="5" s="1"/>
  <c r="AR106" i="5"/>
  <c r="AO114" i="5"/>
  <c r="BV140" i="5" l="1"/>
  <c r="AN152" i="5"/>
  <c r="AN153" i="5" s="1"/>
  <c r="BT140" i="5"/>
  <c r="AY58" i="11"/>
  <c r="AZ58" i="11" s="1"/>
  <c r="BB58" i="11" s="1"/>
  <c r="BS138" i="5"/>
  <c r="AP125" i="11"/>
  <c r="AQ125" i="11"/>
  <c r="AO120" i="5"/>
  <c r="AO124" i="5"/>
  <c r="AO138" i="5" s="1"/>
  <c r="AP114" i="5"/>
  <c r="AP124" i="5" s="1"/>
  <c r="AP138" i="5" s="1"/>
  <c r="AQ112" i="5"/>
  <c r="AQ113" i="5"/>
  <c r="AR108" i="5"/>
  <c r="AR110" i="5" s="1"/>
  <c r="AR111" i="5" s="1"/>
  <c r="AR151" i="5" s="1"/>
  <c r="AS106" i="5"/>
  <c r="BT138" i="5" l="1"/>
  <c r="AY59" i="11"/>
  <c r="AZ59" i="11" s="1"/>
  <c r="BB59" i="11" s="1"/>
  <c r="AR125" i="11"/>
  <c r="AS125" i="11" s="1"/>
  <c r="AT125" i="11" s="1"/>
  <c r="AU125" i="11" s="1"/>
  <c r="AV125" i="11" s="1"/>
  <c r="AW125" i="11" s="1"/>
  <c r="AX125" i="11" s="1"/>
  <c r="AY125" i="11" s="1"/>
  <c r="AZ125" i="11" s="1"/>
  <c r="AP126" i="11"/>
  <c r="AQ126" i="11"/>
  <c r="AO121" i="5"/>
  <c r="AO142" i="5" s="1"/>
  <c r="AO149" i="5" s="1"/>
  <c r="AP120" i="5"/>
  <c r="AP121" i="5" s="1"/>
  <c r="AP142" i="5" s="1"/>
  <c r="AP149" i="5" s="1"/>
  <c r="AR113" i="5"/>
  <c r="AR112" i="5"/>
  <c r="AS108" i="5"/>
  <c r="AS110" i="5" s="1"/>
  <c r="AS111" i="5" s="1"/>
  <c r="AT106" i="5"/>
  <c r="AQ114" i="5"/>
  <c r="BU138" i="5" l="1"/>
  <c r="AR126" i="11"/>
  <c r="AS126" i="11" s="1"/>
  <c r="AT126" i="11" s="1"/>
  <c r="AU126" i="11" s="1"/>
  <c r="AV126" i="11" s="1"/>
  <c r="AW126" i="11" s="1"/>
  <c r="AX126" i="11" s="1"/>
  <c r="AY126" i="11" s="1"/>
  <c r="AZ126" i="11" s="1"/>
  <c r="AP127" i="11"/>
  <c r="AQ127" i="11"/>
  <c r="AQ120" i="5"/>
  <c r="AQ124" i="5"/>
  <c r="AS113" i="5"/>
  <c r="AS112" i="5"/>
  <c r="AR114" i="5"/>
  <c r="AU106" i="5"/>
  <c r="AU108" i="5" s="1"/>
  <c r="AU110" i="5" s="1"/>
  <c r="AU111" i="5" s="1"/>
  <c r="AT108" i="5"/>
  <c r="AT110" i="5" s="1"/>
  <c r="AT111" i="5" s="1"/>
  <c r="AQ138" i="5" l="1"/>
  <c r="BV138" i="5"/>
  <c r="AY61" i="11"/>
  <c r="AZ61" i="11" s="1"/>
  <c r="BB61" i="11" s="1"/>
  <c r="AR127" i="11"/>
  <c r="AS127" i="11" s="1"/>
  <c r="AT127" i="11" s="1"/>
  <c r="AU127" i="11" s="1"/>
  <c r="AV127" i="11" s="1"/>
  <c r="AW127" i="11" s="1"/>
  <c r="AX127" i="11" s="1"/>
  <c r="AY127" i="11" s="1"/>
  <c r="AZ127" i="11" s="1"/>
  <c r="AY60" i="11"/>
  <c r="AZ60" i="11" s="1"/>
  <c r="AQ121" i="5"/>
  <c r="AQ142" i="5" s="1"/>
  <c r="AQ149" i="5" s="1"/>
  <c r="AR120" i="5"/>
  <c r="AR124" i="5"/>
  <c r="AS114" i="5"/>
  <c r="AT113" i="5"/>
  <c r="AT112" i="5"/>
  <c r="AU112" i="5"/>
  <c r="AU113" i="5"/>
  <c r="AQ152" i="5" l="1"/>
  <c r="AQ153" i="5" s="1"/>
  <c r="BW140" i="5"/>
  <c r="AR138" i="5"/>
  <c r="BW138" i="5"/>
  <c r="BB60" i="11"/>
  <c r="AP129" i="11"/>
  <c r="AQ129" i="11"/>
  <c r="AR121" i="5"/>
  <c r="AR142" i="5" s="1"/>
  <c r="AR149" i="5" s="1"/>
  <c r="AS120" i="5"/>
  <c r="AS124" i="5"/>
  <c r="AT114" i="5"/>
  <c r="AU114" i="5"/>
  <c r="AU124" i="5" s="1"/>
  <c r="AR152" i="5" l="1"/>
  <c r="AR153" i="5" s="1"/>
  <c r="BX140" i="5"/>
  <c r="BX138" i="5"/>
  <c r="AP128" i="11"/>
  <c r="AQ128" i="11"/>
  <c r="AR129" i="11"/>
  <c r="AS129" i="11" s="1"/>
  <c r="AT129" i="11" s="1"/>
  <c r="AU129" i="11" s="1"/>
  <c r="AV129" i="11" s="1"/>
  <c r="AW129" i="11" s="1"/>
  <c r="AX129" i="11" s="1"/>
  <c r="AY129" i="11" s="1"/>
  <c r="AZ129" i="11" s="1"/>
  <c r="AU138" i="5"/>
  <c r="AS138" i="5"/>
  <c r="AY62" i="11"/>
  <c r="AZ62" i="11" s="1"/>
  <c r="AS121" i="5"/>
  <c r="AS142" i="5" s="1"/>
  <c r="AS149" i="5" s="1"/>
  <c r="AT124" i="5"/>
  <c r="AT120" i="5"/>
  <c r="AU120" i="5"/>
  <c r="AU121" i="5" s="1"/>
  <c r="AS151" i="5" l="1"/>
  <c r="AS152" i="5" s="1"/>
  <c r="AS153" i="5" s="1"/>
  <c r="AU151" i="5"/>
  <c r="AU152" i="5" s="1"/>
  <c r="AU153" i="5" s="1"/>
  <c r="AU142" i="5"/>
  <c r="AU149" i="5" s="1"/>
  <c r="BY138" i="5"/>
  <c r="AR128" i="11"/>
  <c r="AS128" i="11" s="1"/>
  <c r="AT128" i="11" s="1"/>
  <c r="AU128" i="11" s="1"/>
  <c r="AV128" i="11" s="1"/>
  <c r="AW128" i="11" s="1"/>
  <c r="AX128" i="11" s="1"/>
  <c r="AY128" i="11" s="1"/>
  <c r="AZ128" i="11" s="1"/>
  <c r="BB62" i="11"/>
  <c r="AT138" i="5"/>
  <c r="AT151" i="5" s="1"/>
  <c r="AY63" i="11"/>
  <c r="AZ63" i="11" s="1"/>
  <c r="AT121" i="5"/>
  <c r="BY140" i="5" l="1"/>
  <c r="CA140" i="5"/>
  <c r="AV151" i="5"/>
  <c r="AT152" i="5"/>
  <c r="AT153" i="5" s="1"/>
  <c r="AV153" i="5" s="1"/>
  <c r="AT207" i="5" s="1"/>
  <c r="AV207" i="5" s="1"/>
  <c r="CA138" i="5"/>
  <c r="AY66" i="11"/>
  <c r="AZ66" i="11" s="1"/>
  <c r="BB66" i="11" s="1"/>
  <c r="AT142" i="5"/>
  <c r="AT149" i="5" s="1"/>
  <c r="AQ130" i="11"/>
  <c r="AP130" i="11"/>
  <c r="BB63" i="11"/>
  <c r="BZ140" i="5"/>
  <c r="AY64" i="11"/>
  <c r="AZ64" i="11" s="1"/>
  <c r="AU195" i="5" l="1"/>
  <c r="AU199" i="5" s="1"/>
  <c r="AJ79" i="16"/>
  <c r="AV149" i="5"/>
  <c r="AJ77" i="16" s="1"/>
  <c r="AY65" i="11"/>
  <c r="AZ65" i="11" s="1"/>
  <c r="BB65" i="11" s="1"/>
  <c r="AP134" i="11"/>
  <c r="AQ134" i="11"/>
  <c r="BB64" i="11"/>
  <c r="AP131" i="11"/>
  <c r="AQ131" i="11"/>
  <c r="AR130" i="11"/>
  <c r="AS130" i="11" s="1"/>
  <c r="AT130" i="11" s="1"/>
  <c r="AU130" i="11" s="1"/>
  <c r="AV130" i="11" s="1"/>
  <c r="AW130" i="11" s="1"/>
  <c r="AX130" i="11" s="1"/>
  <c r="AY130" i="11" s="1"/>
  <c r="AZ130" i="11" s="1"/>
  <c r="BZ138" i="5"/>
  <c r="AN195" i="5" l="1"/>
  <c r="AN199" i="5" s="1"/>
  <c r="AN205" i="5" s="1"/>
  <c r="AY195" i="5" s="1"/>
  <c r="GT67" i="19" s="1"/>
  <c r="AU203" i="5"/>
  <c r="GT57" i="19" s="1"/>
  <c r="AR131" i="11"/>
  <c r="AS131" i="11" s="1"/>
  <c r="AT131" i="11" s="1"/>
  <c r="AU131" i="11" s="1"/>
  <c r="AV131" i="11" s="1"/>
  <c r="AW131" i="11" s="1"/>
  <c r="AX131" i="11" s="1"/>
  <c r="AY131" i="11" s="1"/>
  <c r="AR134" i="11"/>
  <c r="AS134" i="11" s="1"/>
  <c r="AT134" i="11" s="1"/>
  <c r="AU134" i="11" s="1"/>
  <c r="AV134" i="11" s="1"/>
  <c r="AW134" i="11" s="1"/>
  <c r="AX134" i="11" s="1"/>
  <c r="AY134" i="11" s="1"/>
  <c r="AZ134" i="11" s="1"/>
  <c r="AP132" i="11"/>
  <c r="AQ132" i="11"/>
  <c r="AP133" i="11"/>
  <c r="AQ133" i="11"/>
  <c r="AZ131" i="11" l="1"/>
  <c r="AN203" i="5"/>
  <c r="AR133" i="11"/>
  <c r="AS133" i="11" s="1"/>
  <c r="AT133" i="11" s="1"/>
  <c r="AU133" i="11" s="1"/>
  <c r="AV133" i="11" s="1"/>
  <c r="AW133" i="11" s="1"/>
  <c r="AX133" i="11" s="1"/>
  <c r="AY133" i="11" s="1"/>
  <c r="AZ133" i="11" s="1"/>
  <c r="AR132" i="11"/>
  <c r="AS132" i="11" s="1"/>
  <c r="AT132" i="11" s="1"/>
  <c r="AU132" i="11" s="1"/>
  <c r="AV132" i="11" s="1"/>
  <c r="AW132" i="11" s="1"/>
  <c r="AX132" i="11" s="1"/>
  <c r="AY132" i="11" s="1"/>
  <c r="AZ132" i="11" s="1"/>
  <c r="AY197" i="5" l="1"/>
  <c r="GT56" i="19"/>
  <c r="X12" i="16" s="1"/>
  <c r="X14" i="16"/>
  <c r="AX195" i="5"/>
  <c r="AZ135" i="11"/>
  <c r="AZ136" i="11" s="1"/>
  <c r="AK251" i="5" s="1"/>
  <c r="AW250" i="5" s="1"/>
  <c r="AY250" i="5" s="1"/>
  <c r="GT73" i="19" l="1"/>
  <c r="GT60" i="19"/>
  <c r="GT83" i="19" s="1"/>
  <c r="AY4" i="5"/>
  <c r="GO45" i="19" s="1"/>
  <c r="AW4" i="5"/>
  <c r="GO48" i="19" s="1"/>
  <c r="GR45" i="19" l="1"/>
  <c r="GS45" i="19" s="1"/>
  <c r="GR48" i="19"/>
  <c r="AD79" i="16"/>
  <c r="GT72" i="19"/>
  <c r="HI8" i="26" s="1"/>
  <c r="GO47" i="19"/>
  <c r="GO50" i="19" s="1"/>
  <c r="GT85" i="19"/>
  <c r="GT71" i="19"/>
  <c r="HI7" i="26" s="1"/>
  <c r="I10" i="16"/>
  <c r="BF2" i="5"/>
  <c r="GR47" i="19" l="1"/>
  <c r="GS47" i="19" s="1"/>
  <c r="X77" i="16"/>
  <c r="AD77" i="16"/>
  <c r="X59" i="16"/>
  <c r="AH54" i="20"/>
  <c r="AH96" i="20" s="1"/>
  <c r="AH98" i="20" s="1"/>
  <c r="I14" i="16" l="1"/>
  <c r="X81" i="16" s="1"/>
  <c r="X61" i="16"/>
  <c r="AI96" i="20"/>
  <c r="AI98" i="20" s="1"/>
  <c r="AH102" i="20"/>
  <c r="AH104" i="20" s="1"/>
  <c r="AH105" i="20" s="1"/>
  <c r="AJ96" i="20" l="1"/>
  <c r="AJ98" i="20" s="1"/>
  <c r="AH106" i="20"/>
  <c r="AH107" i="20"/>
  <c r="AI102" i="20"/>
  <c r="AI104" i="20" s="1"/>
  <c r="AI105" i="20" s="1"/>
  <c r="AK96" i="20" l="1"/>
  <c r="AK98" i="20" s="1"/>
  <c r="AH108" i="20"/>
  <c r="AJ102" i="20"/>
  <c r="AJ104" i="20" s="1"/>
  <c r="AJ105" i="20" s="1"/>
  <c r="AI106" i="20"/>
  <c r="AI107" i="20"/>
  <c r="AL96" i="20" l="1"/>
  <c r="AM96" i="20" s="1"/>
  <c r="AH118" i="20"/>
  <c r="AH145" i="20" s="1"/>
  <c r="AH114" i="20"/>
  <c r="AH115" i="20" s="1"/>
  <c r="AH136" i="20" s="1"/>
  <c r="AH143" i="20" s="1"/>
  <c r="AK102" i="20"/>
  <c r="AK104" i="20" s="1"/>
  <c r="AK105" i="20" s="1"/>
  <c r="AI108" i="20"/>
  <c r="AJ107" i="20"/>
  <c r="AJ106" i="20"/>
  <c r="AL98" i="20" l="1"/>
  <c r="AL102" i="20" s="1"/>
  <c r="AL104" i="20" s="1"/>
  <c r="AL105" i="20" s="1"/>
  <c r="AI118" i="20"/>
  <c r="AI145" i="20" s="1"/>
  <c r="AI114" i="20"/>
  <c r="AI115" i="20" s="1"/>
  <c r="AI136" i="20" s="1"/>
  <c r="AI143" i="20" s="1"/>
  <c r="AJ108" i="20"/>
  <c r="AN96" i="20"/>
  <c r="AM98" i="20"/>
  <c r="AK107" i="20"/>
  <c r="AK106" i="20"/>
  <c r="AK108" i="20" l="1"/>
  <c r="AK118" i="20" s="1"/>
  <c r="AK145" i="20" s="1"/>
  <c r="AJ118" i="20"/>
  <c r="AJ145" i="20" s="1"/>
  <c r="AJ114" i="20"/>
  <c r="AJ115" i="20" s="1"/>
  <c r="AJ136" i="20" s="1"/>
  <c r="AJ143" i="20" s="1"/>
  <c r="AL106" i="20"/>
  <c r="AL145" i="20"/>
  <c r="AL107" i="20"/>
  <c r="AM102" i="20"/>
  <c r="AM104" i="20" s="1"/>
  <c r="AM105" i="20" s="1"/>
  <c r="AO96" i="20"/>
  <c r="AN98" i="20"/>
  <c r="AK114" i="20" l="1"/>
  <c r="AK115" i="20" s="1"/>
  <c r="AK136" i="20" s="1"/>
  <c r="AK143" i="20" s="1"/>
  <c r="AN102" i="20"/>
  <c r="AN104" i="20" s="1"/>
  <c r="AN105" i="20" s="1"/>
  <c r="AO98" i="20"/>
  <c r="AP96" i="20"/>
  <c r="AM107" i="20"/>
  <c r="AM106" i="20"/>
  <c r="AM145" i="20"/>
  <c r="AL108" i="20"/>
  <c r="AL118" i="20" l="1"/>
  <c r="AL114" i="20"/>
  <c r="AL115" i="20" s="1"/>
  <c r="AL136" i="20" s="1"/>
  <c r="AL143" i="20" s="1"/>
  <c r="AM108" i="20"/>
  <c r="AM118" i="20" s="1"/>
  <c r="AP98" i="20"/>
  <c r="AQ96" i="20"/>
  <c r="AO102" i="20"/>
  <c r="AO104" i="20" s="1"/>
  <c r="AO105" i="20" s="1"/>
  <c r="AN107" i="20"/>
  <c r="AN145" i="20"/>
  <c r="AN106" i="20"/>
  <c r="AN108" i="20" l="1"/>
  <c r="AN118" i="20" s="1"/>
  <c r="AM114" i="20"/>
  <c r="AM115" i="20" s="1"/>
  <c r="AM136" i="20" s="1"/>
  <c r="AM143" i="20" s="1"/>
  <c r="AO145" i="20"/>
  <c r="AO107" i="20"/>
  <c r="AO106" i="20"/>
  <c r="AQ98" i="20"/>
  <c r="AR96" i="20"/>
  <c r="AP102" i="20"/>
  <c r="AP104" i="20" s="1"/>
  <c r="AP105" i="20" s="1"/>
  <c r="AO108" i="20" l="1"/>
  <c r="AO118" i="20" s="1"/>
  <c r="AN114" i="20"/>
  <c r="AN115" i="20" s="1"/>
  <c r="AN136" i="20" s="1"/>
  <c r="AN143" i="20" s="1"/>
  <c r="AP107" i="20"/>
  <c r="AP106" i="20"/>
  <c r="AR98" i="20"/>
  <c r="AS96" i="20"/>
  <c r="AS98" i="20" s="1"/>
  <c r="AQ102" i="20"/>
  <c r="AQ104" i="20" s="1"/>
  <c r="AQ105" i="20" s="1"/>
  <c r="AO114" i="20" l="1"/>
  <c r="AO115" i="20" s="1"/>
  <c r="AO136" i="20" s="1"/>
  <c r="AO143" i="20" s="1"/>
  <c r="AP108" i="20"/>
  <c r="AP118" i="20" s="1"/>
  <c r="AP145" i="20" s="1"/>
  <c r="AR102" i="20"/>
  <c r="AR104" i="20" s="1"/>
  <c r="AR105" i="20" s="1"/>
  <c r="AQ107" i="20"/>
  <c r="AQ106" i="20"/>
  <c r="AS102" i="20"/>
  <c r="AS104" i="20" s="1"/>
  <c r="AS105" i="20" s="1"/>
  <c r="AP114" i="20" l="1"/>
  <c r="AP115" i="20" s="1"/>
  <c r="AP136" i="20" s="1"/>
  <c r="AP143" i="20" s="1"/>
  <c r="AS107" i="20"/>
  <c r="AS106" i="20"/>
  <c r="AQ108" i="20"/>
  <c r="AR106" i="20"/>
  <c r="AR107" i="20"/>
  <c r="AQ118" i="20" l="1"/>
  <c r="AQ145" i="20" s="1"/>
  <c r="AQ114" i="20"/>
  <c r="AQ115" i="20" s="1"/>
  <c r="AQ136" i="20" s="1"/>
  <c r="AQ143" i="20" s="1"/>
  <c r="AS108" i="20"/>
  <c r="AR108" i="20"/>
  <c r="AR118" i="20" l="1"/>
  <c r="AR145" i="20" s="1"/>
  <c r="AR114" i="20"/>
  <c r="AR115" i="20" s="1"/>
  <c r="AR136" i="20" s="1"/>
  <c r="AR143" i="20" s="1"/>
  <c r="AS118" i="20"/>
  <c r="AS145" i="20" s="1"/>
  <c r="AS114" i="20"/>
  <c r="AS115" i="20" s="1"/>
  <c r="AS136" i="20" s="1"/>
  <c r="AS143" i="20" s="1"/>
  <c r="AT143" i="20" l="1"/>
  <c r="AT145" i="20"/>
  <c r="FH4" i="19" l="1"/>
  <c r="FI4" i="19"/>
  <c r="FI5" i="19" l="1"/>
  <c r="Z195" i="5" s="1"/>
  <c r="Z199" i="5" s="1"/>
  <c r="FH5" i="19"/>
  <c r="AD195" i="5" s="1"/>
  <c r="AD199" i="5" s="1"/>
  <c r="AD203" i="5" s="1"/>
  <c r="GS57" i="19" s="1"/>
  <c r="Z203" i="5" l="1"/>
  <c r="GS56" i="19" s="1"/>
  <c r="Z205" i="5"/>
  <c r="AF195" i="5" s="1"/>
  <c r="GS67" i="19" s="1"/>
  <c r="AD4" i="5" l="1"/>
  <c r="GT48" i="19" s="1"/>
  <c r="GV48" i="19" s="1"/>
  <c r="AF197" i="5"/>
  <c r="AG4" i="5" s="1"/>
  <c r="BB7" i="5" l="1"/>
  <c r="GT45" i="19"/>
  <c r="GS72" i="19"/>
  <c r="HH8" i="26" s="1"/>
  <c r="GV45" i="19" l="1"/>
  <c r="GT47" i="19"/>
  <c r="GS85" i="19"/>
  <c r="GS71" i="19"/>
  <c r="HH7" i="26" s="1"/>
  <c r="GV47" i="19" l="1"/>
  <c r="GX47" i="19" s="1"/>
  <c r="GP50" i="19"/>
  <c r="GR50" i="19" s="1"/>
  <c r="I16" i="16" s="1"/>
  <c r="GW45" i="19"/>
  <c r="GX45" i="19"/>
  <c r="BB4" i="5"/>
  <c r="BL2" i="5" s="1"/>
  <c r="BM2" i="5" s="1"/>
  <c r="AB4" i="15" l="1"/>
  <c r="AI2" i="15" s="1"/>
  <c r="AJ2" i="15" s="1"/>
  <c r="GW47" i="19"/>
  <c r="GX49" i="19"/>
  <c r="GY45" i="19" s="1"/>
  <c r="GU36" i="19" s="1"/>
  <c r="I8" i="16" s="1"/>
</calcChain>
</file>

<file path=xl/sharedStrings.xml><?xml version="1.0" encoding="utf-8"?>
<sst xmlns="http://schemas.openxmlformats.org/spreadsheetml/2006/main" count="8749" uniqueCount="2148">
  <si>
    <t>Ciudad:</t>
  </si>
  <si>
    <t>Provincia:</t>
  </si>
  <si>
    <t>Email:</t>
  </si>
  <si>
    <t>Nombre de la unidad:</t>
  </si>
  <si>
    <t>Tipo:</t>
  </si>
  <si>
    <t>Cantidad de Dormitorios:</t>
  </si>
  <si>
    <t>Si</t>
  </si>
  <si>
    <t>No</t>
  </si>
  <si>
    <t>Otros</t>
  </si>
  <si>
    <t>Localidad:</t>
  </si>
  <si>
    <t>Latitud:</t>
  </si>
  <si>
    <t>ASNM</t>
  </si>
  <si>
    <t>Zona</t>
  </si>
  <si>
    <t>Tmnd</t>
  </si>
  <si>
    <t>Viento</t>
  </si>
  <si>
    <t>TDTMX</t>
  </si>
  <si>
    <t>HR</t>
  </si>
  <si>
    <t xml:space="preserve"> </t>
  </si>
  <si>
    <t>m</t>
  </si>
  <si>
    <t>ºC</t>
  </si>
  <si>
    <t>°C</t>
  </si>
  <si>
    <t>%</t>
  </si>
  <si>
    <t>PINAMAR</t>
  </si>
  <si>
    <t>IIIB</t>
  </si>
  <si>
    <t>BAC</t>
  </si>
  <si>
    <t>AEROPARQUE</t>
  </si>
  <si>
    <t>BUENOS AIRES</t>
  </si>
  <si>
    <t>BAP</t>
  </si>
  <si>
    <t>CASTELAR</t>
  </si>
  <si>
    <t>GBA</t>
  </si>
  <si>
    <t>DON TORCUATO</t>
  </si>
  <si>
    <t>EL PALOMAR</t>
  </si>
  <si>
    <t>EZEIZA</t>
  </si>
  <si>
    <t>LOMAS DE ZAMORA</t>
  </si>
  <si>
    <t>SAN MIGUEL</t>
  </si>
  <si>
    <t>LA PLATA AERO</t>
  </si>
  <si>
    <t>LA PLATA OBS</t>
  </si>
  <si>
    <t>ARGERICH</t>
  </si>
  <si>
    <t>IVC</t>
  </si>
  <si>
    <t>AZUL</t>
  </si>
  <si>
    <t>BALCARCE</t>
  </si>
  <si>
    <t>BARROW</t>
  </si>
  <si>
    <t>IIIA</t>
  </si>
  <si>
    <t>BORDENAVE</t>
  </si>
  <si>
    <t>COMANDANTE ESPORA</t>
  </si>
  <si>
    <t>CORONEL SUAREZ</t>
  </si>
  <si>
    <t>DOLORES</t>
  </si>
  <si>
    <t>IVD</t>
  </si>
  <si>
    <t>HILARIO ASCASUBI</t>
  </si>
  <si>
    <t>LAPRIDA</t>
  </si>
  <si>
    <t>LAS FLORES</t>
  </si>
  <si>
    <t>MAR DEL PLATA AERO</t>
  </si>
  <si>
    <t>MAR DEL PLATA</t>
  </si>
  <si>
    <t>MERCEDES</t>
  </si>
  <si>
    <t>NECOCHEA</t>
  </si>
  <si>
    <t>NUEVE DE JULIO</t>
  </si>
  <si>
    <t>PEHUAJO</t>
  </si>
  <si>
    <t>PERGAMINO</t>
  </si>
  <si>
    <t>PIGUE</t>
  </si>
  <si>
    <t>PUNTA INDIO</t>
  </si>
  <si>
    <t>SAN CLEMENTE</t>
  </si>
  <si>
    <t>IVB</t>
  </si>
  <si>
    <t>SAN PEDRO</t>
  </si>
  <si>
    <t>SIERRA DE LA VENTANA</t>
  </si>
  <si>
    <t>TANDIL</t>
  </si>
  <si>
    <t>TRENQUE LAUQUEN</t>
  </si>
  <si>
    <t>TRES ARROYOS</t>
  </si>
  <si>
    <t>CA</t>
  </si>
  <si>
    <t>CATAMARCA</t>
  </si>
  <si>
    <t>IIA</t>
  </si>
  <si>
    <t>CATAMARCA INTA</t>
  </si>
  <si>
    <t>TINOGASTA</t>
  </si>
  <si>
    <t>IVA</t>
  </si>
  <si>
    <t>CD</t>
  </si>
  <si>
    <t>BELL VILLE</t>
  </si>
  <si>
    <t>DIQUE CRUZ DEL EJE</t>
  </si>
  <si>
    <t>DIQUE LA VIÑA</t>
  </si>
  <si>
    <t>DIQUE PISCO HUASI</t>
  </si>
  <si>
    <t>IIB</t>
  </si>
  <si>
    <t>EMBALSE</t>
  </si>
  <si>
    <t>HUERTA GRANDE</t>
  </si>
  <si>
    <t>LABOULAYE</t>
  </si>
  <si>
    <t>MIRAMAR</t>
  </si>
  <si>
    <t>PILAR</t>
  </si>
  <si>
    <t>RIO CUARTO</t>
  </si>
  <si>
    <t>VILLA DOLORES</t>
  </si>
  <si>
    <t>CR</t>
  </si>
  <si>
    <t>BELLAVISTA</t>
  </si>
  <si>
    <t>IB</t>
  </si>
  <si>
    <t>CORRIENTES AERO</t>
  </si>
  <si>
    <t>CORRIENTES</t>
  </si>
  <si>
    <t>GENERAL PAZ</t>
  </si>
  <si>
    <t>GOYA</t>
  </si>
  <si>
    <t>ITUZAINGO</t>
  </si>
  <si>
    <t>MONTE CASEROS</t>
  </si>
  <si>
    <t>PASO DE LOS LIBRES</t>
  </si>
  <si>
    <t>CHC</t>
  </si>
  <si>
    <t>COLONIA CASTELLI</t>
  </si>
  <si>
    <t>IA</t>
  </si>
  <si>
    <t>LAS BREÑAS</t>
  </si>
  <si>
    <t>PRESIDENCIA R S PEÑA</t>
  </si>
  <si>
    <t>RESISTENCIA</t>
  </si>
  <si>
    <t>RESISTENCIA AEROCLUB</t>
  </si>
  <si>
    <t>VILLA ANGELA</t>
  </si>
  <si>
    <t>CHB</t>
  </si>
  <si>
    <t>COMODORO RIVADAVIA</t>
  </si>
  <si>
    <t>V</t>
  </si>
  <si>
    <t>ESQUEL</t>
  </si>
  <si>
    <t>VI</t>
  </si>
  <si>
    <t>GOBERNADOR COSTA</t>
  </si>
  <si>
    <t>TRELEW</t>
  </si>
  <si>
    <t>ER</t>
  </si>
  <si>
    <t>CONCORDIA</t>
  </si>
  <si>
    <t>MAZARUCA</t>
  </si>
  <si>
    <t>SALTO GRANDE</t>
  </si>
  <si>
    <t>VICTORIA</t>
  </si>
  <si>
    <t>VILLAGUAY</t>
  </si>
  <si>
    <t>FM</t>
  </si>
  <si>
    <t>FORMOSA</t>
  </si>
  <si>
    <t>LAS LOMITAS</t>
  </si>
  <si>
    <t>SAN FRANCISCO</t>
  </si>
  <si>
    <t>TACAAGLE</t>
  </si>
  <si>
    <t>JJ</t>
  </si>
  <si>
    <t>ALTO DEL COMEDERO</t>
  </si>
  <si>
    <t>HUMAHUACA</t>
  </si>
  <si>
    <t>JUJUY</t>
  </si>
  <si>
    <t>JUJUY EL CADILLAL</t>
  </si>
  <si>
    <t>LA QUIACA</t>
  </si>
  <si>
    <t>LP</t>
  </si>
  <si>
    <t>GENERAL PICO</t>
  </si>
  <si>
    <t>GUATRACHE</t>
  </si>
  <si>
    <t>MACACHIN</t>
  </si>
  <si>
    <t>PUELCHES</t>
  </si>
  <si>
    <t>QUEMU QUEMU</t>
  </si>
  <si>
    <t>SANTA ROSA</t>
  </si>
  <si>
    <t>LR</t>
  </si>
  <si>
    <t>CHAMICAL</t>
  </si>
  <si>
    <t>CHEPES</t>
  </si>
  <si>
    <t>CHILECITO</t>
  </si>
  <si>
    <t>LA RIOJA</t>
  </si>
  <si>
    <t>MZ</t>
  </si>
  <si>
    <t>BARDAS BLANCAS</t>
  </si>
  <si>
    <t>COLONIA ALVEAR</t>
  </si>
  <si>
    <t>CRISTO REDENTOR</t>
  </si>
  <si>
    <t>CHACRAS DE CORIA</t>
  </si>
  <si>
    <t>ING DAGOBERT SARDINA</t>
  </si>
  <si>
    <t>MALARGUE</t>
  </si>
  <si>
    <t>MENDOZA AERO</t>
  </si>
  <si>
    <t>MENDOZA</t>
  </si>
  <si>
    <t>PUENTE DEL INCA</t>
  </si>
  <si>
    <t>SAN CARLOS</t>
  </si>
  <si>
    <t>SAN MARTIN</t>
  </si>
  <si>
    <t>SAN RAFAEL</t>
  </si>
  <si>
    <t>MS</t>
  </si>
  <si>
    <t>CERRO AZUL</t>
  </si>
  <si>
    <t>LORETO</t>
  </si>
  <si>
    <t>OBERA</t>
  </si>
  <si>
    <t>POSADAS</t>
  </si>
  <si>
    <t>NQ</t>
  </si>
  <si>
    <t>CUTRAL CO</t>
  </si>
  <si>
    <t>LAS LAJAS</t>
  </si>
  <si>
    <t>RN</t>
  </si>
  <si>
    <t>ALTO VALLE</t>
  </si>
  <si>
    <t>BARILOCHE</t>
  </si>
  <si>
    <t>CATEDRAL 2000</t>
  </si>
  <si>
    <t>CIPOLLETTI</t>
  </si>
  <si>
    <t>CHOELE CHOEL</t>
  </si>
  <si>
    <t>MAQUINCHAO</t>
  </si>
  <si>
    <t>RIO COLORADO</t>
  </si>
  <si>
    <t>SAN ANTONIO OESTE</t>
  </si>
  <si>
    <t>SIERRA COLORADA</t>
  </si>
  <si>
    <t>VILLA REGINA</t>
  </si>
  <si>
    <t>ST</t>
  </si>
  <si>
    <t>ORAN</t>
  </si>
  <si>
    <t>SALTA</t>
  </si>
  <si>
    <t>SJ</t>
  </si>
  <si>
    <t>EL BALDE</t>
  </si>
  <si>
    <t>JACHAL</t>
  </si>
  <si>
    <t>SAN JUAN AERO</t>
  </si>
  <si>
    <t>SAN JUAN</t>
  </si>
  <si>
    <t>VALLE FERTIL</t>
  </si>
  <si>
    <t>SL</t>
  </si>
  <si>
    <t>SAN LUIS</t>
  </si>
  <si>
    <t>VILLA REYNOLDS</t>
  </si>
  <si>
    <t>SC</t>
  </si>
  <si>
    <t>LAGO ARGENTINO</t>
  </si>
  <si>
    <t>PUERTO DESEADO</t>
  </si>
  <si>
    <t>RIO GALLEGOS</t>
  </si>
  <si>
    <t>SF</t>
  </si>
  <si>
    <t>CERES</t>
  </si>
  <si>
    <t>ESPERANZA</t>
  </si>
  <si>
    <t>OLIVEROS</t>
  </si>
  <si>
    <t>RAFAELA</t>
  </si>
  <si>
    <t>RECONQUISTA</t>
  </si>
  <si>
    <t>ROSARIO</t>
  </si>
  <si>
    <t>SAUCE VIEJO</t>
  </si>
  <si>
    <t>SE</t>
  </si>
  <si>
    <t>LA BANDA</t>
  </si>
  <si>
    <t>MONTE QUEMADO</t>
  </si>
  <si>
    <t>SANTIAGO DEL ESTERO</t>
  </si>
  <si>
    <t>TC</t>
  </si>
  <si>
    <t>VILLA NOGUES</t>
  </si>
  <si>
    <t>TF</t>
  </si>
  <si>
    <t>BASE ESPERANZA</t>
  </si>
  <si>
    <t>ISLAS ORCADAS</t>
  </si>
  <si>
    <t>USHUAIA</t>
  </si>
  <si>
    <t>RIO GRANDE</t>
  </si>
  <si>
    <t>Longitud:</t>
  </si>
  <si>
    <t>Zona Bioambiental</t>
  </si>
  <si>
    <t>Norte</t>
  </si>
  <si>
    <t>Noreste</t>
  </si>
  <si>
    <t>Noroeste</t>
  </si>
  <si>
    <t>Sudeste</t>
  </si>
  <si>
    <t>Sur</t>
  </si>
  <si>
    <t>Oeste</t>
  </si>
  <si>
    <t>Incoloro 4mm</t>
  </si>
  <si>
    <t>Incoloro 6mm</t>
  </si>
  <si>
    <t>TECHOS</t>
  </si>
  <si>
    <t>Techo</t>
  </si>
  <si>
    <t>Muros</t>
  </si>
  <si>
    <t>EFICIENCIA ENERGÉTICA</t>
  </si>
  <si>
    <t>Cantidad de usuarios:</t>
  </si>
  <si>
    <t>Material</t>
  </si>
  <si>
    <t>Pared Exterior 1:</t>
  </si>
  <si>
    <t>Pared Exterior 2:</t>
  </si>
  <si>
    <t>Ventanas tipo 1:</t>
  </si>
  <si>
    <t>Ventanas tipo 2:</t>
  </si>
  <si>
    <t>Cantidad</t>
  </si>
  <si>
    <t>Techo 1:</t>
  </si>
  <si>
    <t>Techo 2:</t>
  </si>
  <si>
    <t>Alternativas constructivas  de medianera</t>
  </si>
  <si>
    <t xml:space="preserve">K </t>
  </si>
  <si>
    <t>Alternativas constructivas  de techos</t>
  </si>
  <si>
    <t>Invierno</t>
  </si>
  <si>
    <t>K</t>
  </si>
  <si>
    <t>Verano</t>
  </si>
  <si>
    <t>Pared con 25mm de aislación</t>
  </si>
  <si>
    <t>Pared con 50mm de aislación</t>
  </si>
  <si>
    <t>Techo liviano (tejas)</t>
  </si>
  <si>
    <t>Pared con 75mm de aislación</t>
  </si>
  <si>
    <t>Otro</t>
  </si>
  <si>
    <t xml:space="preserve">  Alternativas constructivas  de muros exteriores</t>
  </si>
  <si>
    <t>Bloque de hormigón mejorado 20</t>
  </si>
  <si>
    <t>Descripción del Elemento</t>
  </si>
  <si>
    <t>Insertar Detalle Constructivo del elemento</t>
  </si>
  <si>
    <t>Nº capa</t>
  </si>
  <si>
    <t>Capa del elemento constructivo</t>
  </si>
  <si>
    <t>Espesor (m)</t>
  </si>
  <si>
    <t>Polietileno 0,2</t>
  </si>
  <si>
    <t>3 Bloque Ho. d=1900 e=19,5cm</t>
  </si>
  <si>
    <t xml:space="preserve">Resistencia Total (RT): </t>
  </si>
  <si>
    <t>Transmitancia Térmica  - 1/RT = K (W/m2.K.)</t>
  </si>
  <si>
    <t xml:space="preserve">Mortero </t>
  </si>
  <si>
    <t>Morteros de revoque y juntas ext.  d=1900</t>
  </si>
  <si>
    <t>Ladrillos ceram macizos d=1600</t>
  </si>
  <si>
    <t>Poliestireno expand planchas d=20</t>
  </si>
  <si>
    <t>Morteros de revoque y juntas interior  d=1900</t>
  </si>
  <si>
    <t>Capa</t>
  </si>
  <si>
    <t>Densidad</t>
  </si>
  <si>
    <t>Conductividad</t>
  </si>
  <si>
    <t>Resistencia</t>
  </si>
  <si>
    <t>Transmit. Térmica K</t>
  </si>
  <si>
    <t>Roca</t>
  </si>
  <si>
    <t>Roca piedra toba  d=1200</t>
  </si>
  <si>
    <t>Roca piedra toba   d=1400</t>
  </si>
  <si>
    <t>Roca granito en placa o bloques  d=2600</t>
  </si>
  <si>
    <t>Roca cuarcita en placa o bloques   d=2800</t>
  </si>
  <si>
    <t>Roca basalto en placa o bloques    d=2900</t>
  </si>
  <si>
    <t>Suelo</t>
  </si>
  <si>
    <t>Arcilla   d=1200</t>
  </si>
  <si>
    <t>Suelo natural seco liviano  d=1600</t>
  </si>
  <si>
    <t>Suelo natural mediano  d=1750</t>
  </si>
  <si>
    <t>Arena seca  d=1500</t>
  </si>
  <si>
    <t>Arena del rio humedad 2%  d=1500</t>
  </si>
  <si>
    <t>Arena del rio humedad 10%  d=1500</t>
  </si>
  <si>
    <t>Arena del rio humedad 20%  d=1500</t>
  </si>
  <si>
    <t>Arena del rio saturada  d=1500</t>
  </si>
  <si>
    <t>Arena del mar seca   d=1500</t>
  </si>
  <si>
    <t>Arena del mar humedad 10%   d=1500</t>
  </si>
  <si>
    <t>Arena del mar humedad 20%   d=1500</t>
  </si>
  <si>
    <t>Arena del mar saturada  d=1500</t>
  </si>
  <si>
    <t>Arenisca  d=2200</t>
  </si>
  <si>
    <t>Arenisca  d=2400</t>
  </si>
  <si>
    <t>Hielo  d=917</t>
  </si>
  <si>
    <t>Nieve  d=150</t>
  </si>
  <si>
    <t>Nieve  d=300</t>
  </si>
  <si>
    <t>Nieve  d=500</t>
  </si>
  <si>
    <t>Mortero de cemento y arena 1:3 hum 0%   d=1900</t>
  </si>
  <si>
    <t>Mortero de cemento y arena 1:3 hum 6%   d=2000</t>
  </si>
  <si>
    <t>Mortero de cemento y arena 1:3 hum 10%  d=2100</t>
  </si>
  <si>
    <t>Mortero de cemento y arena 1:4 hum 0%   d=1950</t>
  </si>
  <si>
    <t>Mortero de cemento y arena 1:4 hum 5%   d=2000</t>
  </si>
  <si>
    <t>Mortero con perlita  d=600</t>
  </si>
  <si>
    <t>Mortero de yeso y arena  d=1500</t>
  </si>
  <si>
    <t>Mortero de cal y yeso  d=1400</t>
  </si>
  <si>
    <t>Yeso</t>
  </si>
  <si>
    <t>Enlucido de yeso  d=800</t>
  </si>
  <si>
    <t>Enlucido de yeso  d=1000</t>
  </si>
  <si>
    <t>Enlucido de yeso  d=1200</t>
  </si>
  <si>
    <t>Placas de yeso  d=600</t>
  </si>
  <si>
    <t>Placas de yeso  d=800</t>
  </si>
  <si>
    <t xml:space="preserve">Placas de yeso  d=1000              </t>
  </si>
  <si>
    <t>Placas de yeso  d=1200</t>
  </si>
  <si>
    <t>Horm de ladrillo triturado  d=1600</t>
  </si>
  <si>
    <t>Horm de ladrillo triturado  d=1800</t>
  </si>
  <si>
    <t>Horm normal c/ escoria de alto horno   d=2300</t>
  </si>
  <si>
    <t>Horm liviano c/ arcilla exp  d=700</t>
  </si>
  <si>
    <t>Horm liviano c/ arcilla exp   d=800</t>
  </si>
  <si>
    <t>Horm liviano c arcilla exp    d=900</t>
  </si>
  <si>
    <t>Horm liviano c/ arcilla exp   d=1000</t>
  </si>
  <si>
    <t>Horm liviano c/ arcilla exp   d=1400</t>
  </si>
  <si>
    <t>Horm liviano c/ arcilla exp   d=1600</t>
  </si>
  <si>
    <t>Horm c/ vermiculita  d=500</t>
  </si>
  <si>
    <t>Horm c/ vermiculita  d=600</t>
  </si>
  <si>
    <t>Horm celular d=600</t>
  </si>
  <si>
    <t>Horm celular d=800</t>
  </si>
  <si>
    <t>Horm celular d=1000</t>
  </si>
  <si>
    <t>Horm celular d=1200</t>
  </si>
  <si>
    <t>Horm celular d=1400</t>
  </si>
  <si>
    <t>Horm c/ cascara de arroz d=1100</t>
  </si>
  <si>
    <t>Horm c/ cascara de arroz d=1300</t>
  </si>
  <si>
    <t>Horm c/ cascara de arroz d=1600</t>
  </si>
  <si>
    <t>Horm c/ cascara de arroz d=2000</t>
  </si>
  <si>
    <t>Horm c/ poliest expand d=300</t>
  </si>
  <si>
    <t>Horm c/ poliest expand d=500</t>
  </si>
  <si>
    <t>Horm c/ poliest expand d=1000</t>
  </si>
  <si>
    <t>Horm c/ poliest expand  d=1300</t>
  </si>
  <si>
    <t>Horm c/ viruta de madera d=400</t>
  </si>
  <si>
    <t>Horm c/ viruta de madera d=500</t>
  </si>
  <si>
    <t>Placas de fibro cemento d=600</t>
  </si>
  <si>
    <t>Placas de fibro cemento d=700</t>
  </si>
  <si>
    <t>Placas de fibro cemento d=800</t>
  </si>
  <si>
    <t>Placas de fibro cemento d=1200</t>
  </si>
  <si>
    <t>Placas de fibro cemento d=1300</t>
  </si>
  <si>
    <t>Placas de fibro cemento d=1400</t>
  </si>
  <si>
    <t>Placas de fibro cemento d=1500</t>
  </si>
  <si>
    <t>Placas de fibro cemento d=1700</t>
  </si>
  <si>
    <t>Placas de fibro cemento d=1800</t>
  </si>
  <si>
    <t>Placas de fibro cemento d=1950</t>
  </si>
  <si>
    <t>Polietileno en planchas baja densidad</t>
  </si>
  <si>
    <t>Polietileno en planchas alta densidad</t>
  </si>
  <si>
    <t>Poliestireno en planchas</t>
  </si>
  <si>
    <t xml:space="preserve">Vidrios </t>
  </si>
  <si>
    <t>Vidrios para ventanas d=2400</t>
  </si>
  <si>
    <t>Vidrios para ventanas d=2800</t>
  </si>
  <si>
    <t>Vidrios para ventanas d=3200</t>
  </si>
  <si>
    <t>Vidrio resistente a calor</t>
  </si>
  <si>
    <t>Metales</t>
  </si>
  <si>
    <t>Hierro fundido</t>
  </si>
  <si>
    <t>Aluminio</t>
  </si>
  <si>
    <t>Cobre</t>
  </si>
  <si>
    <t>Latón</t>
  </si>
  <si>
    <t>Bronce</t>
  </si>
  <si>
    <t>Acero inoxidable d=8100</t>
  </si>
  <si>
    <t>Acero inoxidable d=8450</t>
  </si>
  <si>
    <t>Acero inoxidable d=900</t>
  </si>
  <si>
    <t>Maderas</t>
  </si>
  <si>
    <t>Madera, fresno paralelo a fibras</t>
  </si>
  <si>
    <t>Madera, fresno perpend a fibras</t>
  </si>
  <si>
    <t>Madera, haya paralelo a fibras</t>
  </si>
  <si>
    <t>Madera, haya perpend a fibras</t>
  </si>
  <si>
    <t>Madera, abedul perpend a fibras</t>
  </si>
  <si>
    <t>Madera, alerce perpend a fibras</t>
  </si>
  <si>
    <t>Madera balsa perpend a fibras</t>
  </si>
  <si>
    <t>Madera balsa, perpend a fibras</t>
  </si>
  <si>
    <t>Madera, Caoba. Paralela a fibras</t>
  </si>
  <si>
    <t>Madera caoba, perpend a fibras</t>
  </si>
  <si>
    <t>Madera arce, paralela a fibras</t>
  </si>
  <si>
    <t>Madera arce, perpend</t>
  </si>
  <si>
    <t xml:space="preserve">Madera roble, </t>
  </si>
  <si>
    <t>Pino spruce abeto, paralela a fibras</t>
  </si>
  <si>
    <t>Pino spruce abeto, perpend a fibras</t>
  </si>
  <si>
    <t>Madera nogal paralela a fibras</t>
  </si>
  <si>
    <t>Madera dura</t>
  </si>
  <si>
    <t>Madera terciada</t>
  </si>
  <si>
    <t>Madera enchapada</t>
  </si>
  <si>
    <t>Tableros</t>
  </si>
  <si>
    <t>Tableros de partic aglomer d=200</t>
  </si>
  <si>
    <t>Tableros de partic aglomer d=300</t>
  </si>
  <si>
    <t>Tableros de partic aglomer d=400</t>
  </si>
  <si>
    <t>Tableros de partic aglomer d=500</t>
  </si>
  <si>
    <t>Tableros de partic aglomer d=600</t>
  </si>
  <si>
    <t>Tableros de partic aglomer d=700</t>
  </si>
  <si>
    <t>Tableros de partic aglomer d=800</t>
  </si>
  <si>
    <t>Tableros de partic aglomer d=900</t>
  </si>
  <si>
    <t>Tableros de partic aglomer d=1000</t>
  </si>
  <si>
    <t>Tablero partic aglomer de lino d=300</t>
  </si>
  <si>
    <t>Tablero partic aglomer de lino d=400</t>
  </si>
  <si>
    <t>Tablero partic aglomer de lino d=500</t>
  </si>
  <si>
    <t>Tablero partic aglomer de lino d=600</t>
  </si>
  <si>
    <t>Tablero partic aglomer de lino d=700</t>
  </si>
  <si>
    <t>Tablero fibras madera aglom d=200</t>
  </si>
  <si>
    <t>Tablero fibras madera aglom d=300</t>
  </si>
  <si>
    <t>Tablero fibras madera aglom d=350</t>
  </si>
  <si>
    <t>Piso caucho d=800</t>
  </si>
  <si>
    <t>Piso caucho d=1300</t>
  </si>
  <si>
    <t>Piso caucho d=1500</t>
  </si>
  <si>
    <t>Piso parquet d=500</t>
  </si>
  <si>
    <t>Piso parquet d=700</t>
  </si>
  <si>
    <t>Tejas curvas</t>
  </si>
  <si>
    <t>Tejas planas</t>
  </si>
  <si>
    <t>Techado y fieltro asfaltico</t>
  </si>
  <si>
    <t>Tyvek, barrera respirable</t>
  </si>
  <si>
    <t>Ruberiod con junta sin sellar</t>
  </si>
  <si>
    <t>Chapa de fibrocemento, 6 mm</t>
  </si>
  <si>
    <t>Lana de vidrio d=9</t>
  </si>
  <si>
    <t>Lana de vidrio d=12</t>
  </si>
  <si>
    <t>Lana de vidrio d=17</t>
  </si>
  <si>
    <t>Lana de vidrio d=25</t>
  </si>
  <si>
    <t>Lana de vidrio d=35</t>
  </si>
  <si>
    <t>Lana de vidrio d=60</t>
  </si>
  <si>
    <t>Lana mineral densidad 30-50 kg/m3</t>
  </si>
  <si>
    <t>Lana mineral densidad 51-70 kg/m3</t>
  </si>
  <si>
    <t>Lana mineral densidad 71-150 kg/m3</t>
  </si>
  <si>
    <t>Mortero de perlita con yeso d=400</t>
  </si>
  <si>
    <t>Mortero de perlita con yeso d=500</t>
  </si>
  <si>
    <t>Mortero de perlita con yeso d=600</t>
  </si>
  <si>
    <t>Mortero de perlita con yeso d=700</t>
  </si>
  <si>
    <t>Mortero de perlita c/ cemento d=300</t>
  </si>
  <si>
    <t>Mortero de perlita c/ cemento d=400</t>
  </si>
  <si>
    <t>Mortero de perlita c/ cemento d=500</t>
  </si>
  <si>
    <t>Mortero de perlita c/ cemento d=600</t>
  </si>
  <si>
    <t>Mortero de perlita c/ cemento d=700</t>
  </si>
  <si>
    <t>Poliestireno expand planchas d=15</t>
  </si>
  <si>
    <t>Poliestireno expand planchas d=25</t>
  </si>
  <si>
    <t>Poliestireno expand planchas d=30</t>
  </si>
  <si>
    <t>Poliuretano (entre chapas) d=30</t>
  </si>
  <si>
    <t>Poliuretano (entre chapas) d=60</t>
  </si>
  <si>
    <t>Poliuretano en placas</t>
  </si>
  <si>
    <t>Poliuretano proyectado +barrera de vapor</t>
  </si>
  <si>
    <t>Poliuretano proyectada +freno de vapor</t>
  </si>
  <si>
    <t>Revoque termoaislante</t>
  </si>
  <si>
    <t>Aislantes</t>
  </si>
  <si>
    <t>Vermiculita suelta</t>
  </si>
  <si>
    <t>Vermiculita con cemento d=400</t>
  </si>
  <si>
    <t>Vermiculita con cemento d=500</t>
  </si>
  <si>
    <t>Vermiculita con cemento d=600</t>
  </si>
  <si>
    <t>Vermiculita con cemento d=700</t>
  </si>
  <si>
    <t>Vermiculita con cemento d=800</t>
  </si>
  <si>
    <t>Vermic + yeso (placas o revoques) d=200</t>
  </si>
  <si>
    <t>Vermic + yeso (placas o revoques) d=400</t>
  </si>
  <si>
    <t>Vermic + yeso (placas o revoques) d=500</t>
  </si>
  <si>
    <t>Vermic + yeso (placas o revoques) d=600</t>
  </si>
  <si>
    <t>Vermic + yeso (placas o revoques) d=700</t>
  </si>
  <si>
    <t>Vermic + yeso (placas o revoques) d=800</t>
  </si>
  <si>
    <t>Vermic + yeso (placas o revoques) 900</t>
  </si>
  <si>
    <t>Vermic + yeso (placas o revoques) d=1000</t>
  </si>
  <si>
    <t>Pinturas</t>
  </si>
  <si>
    <t>Pintura a la cal</t>
  </si>
  <si>
    <t>Pintura tipo epoxi</t>
  </si>
  <si>
    <t>Pintura a base de siliconas</t>
  </si>
  <si>
    <t>Pintura esmalte sobre enlucido</t>
  </si>
  <si>
    <t>Resina acrílica de  vinil-tolueno</t>
  </si>
  <si>
    <t>Resina acrílica</t>
  </si>
  <si>
    <t xml:space="preserve">Resina acrílica de estireno </t>
  </si>
  <si>
    <t xml:space="preserve">Copolímero de cloruro de vinilo </t>
  </si>
  <si>
    <t>Resinas de poliuretano</t>
  </si>
  <si>
    <t>Ladrillos ceram macizos d=1800</t>
  </si>
  <si>
    <t>Ladrillos ceram macizos d=2000</t>
  </si>
  <si>
    <t>Bloques de suelo cemento macizos</t>
  </si>
  <si>
    <t>Adobe</t>
  </si>
  <si>
    <t>1 Ladrillo ceram 2x3 camaras, 8*15*25 cm</t>
  </si>
  <si>
    <t>2 Ladrillo ceram 2x3 camaras, 8*18*25 cm</t>
  </si>
  <si>
    <t>3 Ladrillo ceram  3x2 camaras,18*8*25 cm</t>
  </si>
  <si>
    <t>4 Ladrillo ceram 3x2 camaras, 20*18*40 cm</t>
  </si>
  <si>
    <t>5 Ladrillo ceram 3x3 camaras, 12*18*25/33 cm</t>
  </si>
  <si>
    <t>6 Ladrillo ceram 3x3 camaras, 15*18*33 cm</t>
  </si>
  <si>
    <t>7 Ladrillo ceram 3x3 camaras, 18*18*25/33 cm</t>
  </si>
  <si>
    <t>8 Ladrillo ceram 3x3 camaras, 18*18*40 cm</t>
  </si>
  <si>
    <t>9 Ladrillo ceram 3x3 camaras, 20*18*40 cm</t>
  </si>
  <si>
    <t>10 Ladrillo ceram 3x3 hexagonal, 13*18*25 cm</t>
  </si>
  <si>
    <t>11 Ladrillo ceram 4x2 camaras,18*8*25 cm</t>
  </si>
  <si>
    <t>12 Ladrillo ceram 4x2 camaras, 20*12*25 cm</t>
  </si>
  <si>
    <t>13 Ladrillo ceram 4x3 camaras, 20*18*25/33 cm</t>
  </si>
  <si>
    <t>14 Ladrillo ceram 4x4 camaras, 18*25/33 cm</t>
  </si>
  <si>
    <t>15 Bloque ceram, 3 cam, 12*18*40 cm</t>
  </si>
  <si>
    <t>16 Bloque ceram, 3 cam, 12*19*33/40 cm</t>
  </si>
  <si>
    <t>17 Bloque ceram, 3 cam, 18*19*33 cm</t>
  </si>
  <si>
    <t>18 Bloque ceram, 4 cam, 18*19*40 cm</t>
  </si>
  <si>
    <t>19 Bloque ceram, 4 cam, 18*19*33 cm</t>
  </si>
  <si>
    <t>20 Bloque ceram, 4 cam, 18*19*40 cm</t>
  </si>
  <si>
    <t>21 Bloque ceram, 4 cam, 12*18*25 cm</t>
  </si>
  <si>
    <t xml:space="preserve">22 Bloque ceram 3 cam trabado 18*18*25 cm </t>
  </si>
  <si>
    <t>23 Bloque ceram 5 cam trabado 20*18*40 cm</t>
  </si>
  <si>
    <t>24 Bloque ceram 5 cam trabado 18*18*33 cm</t>
  </si>
  <si>
    <t>25 Bloque ceram 4 cam trabado 18*18*25 cm</t>
  </si>
  <si>
    <t>1 Bloque Ho.de arcilla expand, 14,2cm</t>
  </si>
  <si>
    <t>2 Bloque Ho. d=2223 e=10cm</t>
  </si>
  <si>
    <t>4 Bloque Ho. d=1750 e=19cm</t>
  </si>
  <si>
    <t>7 Bloque Ho. Liviano 17,4*64*75</t>
  </si>
  <si>
    <t>8 Bloque Ho c/granulado volcánico 18,5*20*40</t>
  </si>
  <si>
    <t>9 Bloque Ho. d=2200 14*19*39cm</t>
  </si>
  <si>
    <t>10 Bloque Ho. d=1400 19*20*40 cm</t>
  </si>
  <si>
    <t>11 Bloque Ho. d=2400 19*19*39 cm</t>
  </si>
  <si>
    <t>12 Bloque Ho. relleno con vermiculita 19*19*39</t>
  </si>
  <si>
    <t xml:space="preserve">1 Forjados 12 x 50 </t>
  </si>
  <si>
    <t>2 Forjados 16 x 50</t>
  </si>
  <si>
    <t>3 Forjados 20 x 50</t>
  </si>
  <si>
    <t>4 Forjados 25 x 50</t>
  </si>
  <si>
    <t>5 Forjados 20 x 50</t>
  </si>
  <si>
    <t>6 Forjados 20 x 60</t>
  </si>
  <si>
    <t>7 Forjados 25 x 50</t>
  </si>
  <si>
    <t>8 Forjados 25 x 70</t>
  </si>
  <si>
    <t>Forjados</t>
  </si>
  <si>
    <t>Vigueta c/70cm + ladrillo EPS s/capa compr. H=0.20m</t>
  </si>
  <si>
    <t xml:space="preserve">Hoja de aluminio </t>
  </si>
  <si>
    <t>Hoja de aluminio</t>
  </si>
  <si>
    <t>Polietileno 0,05</t>
  </si>
  <si>
    <t>Polietileno 0,1</t>
  </si>
  <si>
    <t>Polietileno 0,15</t>
  </si>
  <si>
    <t>Polietileno 0,25</t>
  </si>
  <si>
    <t>Barrera no plastificada</t>
  </si>
  <si>
    <t>Barrera plastificada</t>
  </si>
  <si>
    <t>Papel Kraft y láminas de asfalto reforzado</t>
  </si>
  <si>
    <t>Papel Kraft (500gr/m2)</t>
  </si>
  <si>
    <t>Papel embreado y revestido</t>
  </si>
  <si>
    <t xml:space="preserve">Película plástica tipo ¨MYLAR¨ </t>
  </si>
  <si>
    <t>Hule</t>
  </si>
  <si>
    <t>Fieltro alquitranado</t>
  </si>
  <si>
    <t>Fieltro asfáltico</t>
  </si>
  <si>
    <t>Fieltro saturado y revestido en rollos</t>
  </si>
  <si>
    <t>Fieltro bituminado con hoja de aluminio</t>
  </si>
  <si>
    <t xml:space="preserve">Cámara normal 5mm flujo horizontal </t>
  </si>
  <si>
    <t xml:space="preserve">Cámara normal 10mm flujo horizontal </t>
  </si>
  <si>
    <t xml:space="preserve">Cámara normal 20mm flujo horizontal </t>
  </si>
  <si>
    <t>Cámara normal 50mm flujo horizontal</t>
  </si>
  <si>
    <t>Cámara normal 100mm flujo horizontal</t>
  </si>
  <si>
    <t>Cámara normal 5mm flujo vertical ascendente</t>
  </si>
  <si>
    <t>Cámara normal 10mm flujo vertical ascendente</t>
  </si>
  <si>
    <t>Cámara normal 20mm flujo vertical ascendente</t>
  </si>
  <si>
    <t>Cámara normal 50mm flujo vertical ascendente</t>
  </si>
  <si>
    <t>Cámara normal 100mm flujo vertical ascendente</t>
  </si>
  <si>
    <t xml:space="preserve">Cámara reflejante 5mm flujo horizontal </t>
  </si>
  <si>
    <t>Cámara reflejante 10mm flujo horizontal</t>
  </si>
  <si>
    <t>Cámara reflejante 20mm flujo horizontal</t>
  </si>
  <si>
    <t>Cámara reflejante 50mm flujo horizontal</t>
  </si>
  <si>
    <t>Cámara reflejante 100mm flujo horizontal</t>
  </si>
  <si>
    <t>Cámara reflejante 5mm flujo vertical</t>
  </si>
  <si>
    <t>Cámara reflejante 10mm flujo vertical</t>
  </si>
  <si>
    <t>Cámara reflejante 20mm flujo vertical</t>
  </si>
  <si>
    <t>Cámara reflejante 50mm flujo vertical</t>
  </si>
  <si>
    <t>Cámara reflejante 100mm flujo vertical</t>
  </si>
  <si>
    <t>ISOLRAP 250kg</t>
  </si>
  <si>
    <t>ISOLRAP 300kg</t>
  </si>
  <si>
    <t>ISOLRAP 350kg</t>
  </si>
  <si>
    <t>Terminación interior</t>
  </si>
  <si>
    <t>Suelo Natural</t>
  </si>
  <si>
    <t>Capas</t>
  </si>
  <si>
    <t>Long.</t>
  </si>
  <si>
    <t>Conductividad térmica  λ(m.K.W)</t>
  </si>
  <si>
    <t>Transmitancia Térmica  - 1/RT = K (W/m2.K.):</t>
  </si>
  <si>
    <t>Marca</t>
  </si>
  <si>
    <t>Modelo</t>
  </si>
  <si>
    <t>Nor-noreste</t>
  </si>
  <si>
    <t>Este-noreste</t>
  </si>
  <si>
    <t xml:space="preserve">Este </t>
  </si>
  <si>
    <t>Este-sudesde</t>
  </si>
  <si>
    <t>Sur-sudeste</t>
  </si>
  <si>
    <t>Sur-suroeste</t>
  </si>
  <si>
    <t>Suroeste</t>
  </si>
  <si>
    <t>Oeste-suroeste</t>
  </si>
  <si>
    <t>Oeste-noroeste</t>
  </si>
  <si>
    <t>Nor-noroeste</t>
  </si>
  <si>
    <t>Usuarios Permanentes:</t>
  </si>
  <si>
    <t>Usuarios Transitorios:</t>
  </si>
  <si>
    <t>Caudal</t>
  </si>
  <si>
    <t>Lavadero</t>
  </si>
  <si>
    <t>HR Inv</t>
  </si>
  <si>
    <t>HR Ver</t>
  </si>
  <si>
    <t>Prec. (mm)</t>
  </si>
  <si>
    <t>Uso final del sistema:</t>
  </si>
  <si>
    <t>Inodoros</t>
  </si>
  <si>
    <t>Cocina</t>
  </si>
  <si>
    <t>Cantidad de Pisos:</t>
  </si>
  <si>
    <t>Dormitorio 1</t>
  </si>
  <si>
    <t>Dormitorio 2</t>
  </si>
  <si>
    <t>Dormitorio 3</t>
  </si>
  <si>
    <t>Dormitorio 4</t>
  </si>
  <si>
    <t>Dormitorio 5</t>
  </si>
  <si>
    <t>Estar/Comedor</t>
  </si>
  <si>
    <t>Baño con Bañera</t>
  </si>
  <si>
    <t>Baño sin Bañera</t>
  </si>
  <si>
    <t>Toilette</t>
  </si>
  <si>
    <t>Corredores</t>
  </si>
  <si>
    <t>Balcones</t>
  </si>
  <si>
    <t>ORIENTACIÓN</t>
  </si>
  <si>
    <t>Lateral Derecho:</t>
  </si>
  <si>
    <t>Posterior:</t>
  </si>
  <si>
    <t>Lateral Izquierdo:</t>
  </si>
  <si>
    <t>Orientación</t>
  </si>
  <si>
    <t>Principal:</t>
  </si>
  <si>
    <t>Sup. Total Aberturas (m2)</t>
  </si>
  <si>
    <t>ENVOLVENTE</t>
  </si>
  <si>
    <t>Piso</t>
  </si>
  <si>
    <t>Sup. (m2)</t>
  </si>
  <si>
    <t>Losa:</t>
  </si>
  <si>
    <t>Sup. Total Fachada (m2)</t>
  </si>
  <si>
    <t>Ventanas tipo 3:</t>
  </si>
  <si>
    <t>Espacio</t>
  </si>
  <si>
    <t>Ventilación Cruzada</t>
  </si>
  <si>
    <t>Ventilación Localizada</t>
  </si>
  <si>
    <t>VENTILACIÓN</t>
  </si>
  <si>
    <t>ILUMINACIÓN</t>
  </si>
  <si>
    <t>Tipo de Luminaria</t>
  </si>
  <si>
    <t>Consumo (W)</t>
  </si>
  <si>
    <t>LED</t>
  </si>
  <si>
    <t>Halógenas</t>
  </si>
  <si>
    <t>Fluorescentes</t>
  </si>
  <si>
    <t>Interior</t>
  </si>
  <si>
    <t>Exterior</t>
  </si>
  <si>
    <t>Fachada</t>
  </si>
  <si>
    <t>Baños</t>
  </si>
  <si>
    <t>Control</t>
  </si>
  <si>
    <t>Ocupación</t>
  </si>
  <si>
    <t>Fotocelda</t>
  </si>
  <si>
    <t>Sin Control</t>
  </si>
  <si>
    <t>Interruptor de Tiempo</t>
  </si>
  <si>
    <t>EQUIPAMIENTO</t>
  </si>
  <si>
    <t>Agua Caliente</t>
  </si>
  <si>
    <t>Heladera</t>
  </si>
  <si>
    <t>Lavarropa</t>
  </si>
  <si>
    <t>Etiqueta Energética</t>
  </si>
  <si>
    <t>Clase A</t>
  </si>
  <si>
    <t>Tipo</t>
  </si>
  <si>
    <t>Gas</t>
  </si>
  <si>
    <t>Frontal</t>
  </si>
  <si>
    <t>Superior</t>
  </si>
  <si>
    <t>ENERGÍAS RENOVABLES</t>
  </si>
  <si>
    <t>Sistema Solar Térmico para Agua Caliente Sanitaria - SST</t>
  </si>
  <si>
    <t>Sistema Solar Fotovoltaico - SSF</t>
  </si>
  <si>
    <t>C.P.:</t>
  </si>
  <si>
    <t>Personalizado 3:</t>
  </si>
  <si>
    <t>Personalizado 2:</t>
  </si>
  <si>
    <t>Pisos</t>
  </si>
  <si>
    <t>LOSAS</t>
  </si>
  <si>
    <t>MUROS</t>
  </si>
  <si>
    <t>Baño</t>
  </si>
  <si>
    <t>Clase B</t>
  </si>
  <si>
    <t>Clase C</t>
  </si>
  <si>
    <t>Clase D</t>
  </si>
  <si>
    <t>Clase E</t>
  </si>
  <si>
    <t>Clase F</t>
  </si>
  <si>
    <t>Clase G</t>
  </si>
  <si>
    <t>Clase H</t>
  </si>
  <si>
    <t>Color</t>
  </si>
  <si>
    <t>ABERTURAS / PROTECCIÓN SOLAR</t>
  </si>
  <si>
    <t>Capacidad del Tanque (Litros):</t>
  </si>
  <si>
    <t>Dispone de SST:</t>
  </si>
  <si>
    <t>Tipo de SST:</t>
  </si>
  <si>
    <t>Colectores Planos</t>
  </si>
  <si>
    <t>Calefacción</t>
  </si>
  <si>
    <t>Calefacción y Agua Caliente</t>
  </si>
  <si>
    <t>Sistema al que sirve:</t>
  </si>
  <si>
    <t>Dispone de SSF:</t>
  </si>
  <si>
    <t>Conectado a la Red:</t>
  </si>
  <si>
    <t>Téc. Diagnosticador Sustentable:</t>
  </si>
  <si>
    <t>Tipo de Sistema:</t>
  </si>
  <si>
    <t>Biomasa</t>
  </si>
  <si>
    <t>Geotérmica</t>
  </si>
  <si>
    <t>Hidroelectricidad</t>
  </si>
  <si>
    <t>ACONDICIONAMIENTO TÉRMICO</t>
  </si>
  <si>
    <t>Tipo de Refrigeración</t>
  </si>
  <si>
    <t>Tipo de Calefacción</t>
  </si>
  <si>
    <t>ARTEFACTOS SANITARIOS</t>
  </si>
  <si>
    <t>Inodoros de Doble Descarga (lpd):</t>
  </si>
  <si>
    <t>Duchas (lpm):</t>
  </si>
  <si>
    <t>Griferías de Cocina (lpm):</t>
  </si>
  <si>
    <t>Grifería Lavatorio (lpm):</t>
  </si>
  <si>
    <t>Grifería Lavadero (lpm):</t>
  </si>
  <si>
    <t>Canilla Exterior (lpm):</t>
  </si>
  <si>
    <t>Lavarropas (lpc):</t>
  </si>
  <si>
    <t>Área de Captación (m2):</t>
  </si>
  <si>
    <t>Capacidad del Tanque (m3):</t>
  </si>
  <si>
    <t>SISTEMA DE TRATAMIENTO DE AGUAS GRISES</t>
  </si>
  <si>
    <t>Gas Natural</t>
  </si>
  <si>
    <t>Electricidad</t>
  </si>
  <si>
    <t>Asfalto</t>
  </si>
  <si>
    <t>Mejorado</t>
  </si>
  <si>
    <t>Tierra</t>
  </si>
  <si>
    <t>Nacional</t>
  </si>
  <si>
    <t>Provincial</t>
  </si>
  <si>
    <t>Junto al Proyecto</t>
  </si>
  <si>
    <t>1 a 5 Cuadras</t>
  </si>
  <si>
    <t>Buena</t>
  </si>
  <si>
    <t>Regular</t>
  </si>
  <si>
    <t>Mala</t>
  </si>
  <si>
    <t>2 a 5 Cuadras</t>
  </si>
  <si>
    <t>Frente al Proyecto</t>
  </si>
  <si>
    <t>Equipamiento</t>
  </si>
  <si>
    <t>Cloacas</t>
  </si>
  <si>
    <t>Bio Digestores</t>
  </si>
  <si>
    <t>Pozo Ciego</t>
  </si>
  <si>
    <t>Red de Agua</t>
  </si>
  <si>
    <t>Tanque Común</t>
  </si>
  <si>
    <t>Pozo Individual</t>
  </si>
  <si>
    <t>&lt; 5 Cuadras</t>
  </si>
  <si>
    <t>20 a 30 Cuadras</t>
  </si>
  <si>
    <t>&lt; 10 Cuadras</t>
  </si>
  <si>
    <t>&lt; 20 Cuadras</t>
  </si>
  <si>
    <t>10 a 20 Cuadras</t>
  </si>
  <si>
    <t>&gt; 20 Cuadras</t>
  </si>
  <si>
    <t>&gt; 30 Cuadras</t>
  </si>
  <si>
    <t>&gt; 10 Cuadras</t>
  </si>
  <si>
    <t>&gt; 5 Cuadras</t>
  </si>
  <si>
    <t>Desc. Completa</t>
  </si>
  <si>
    <t>Desc. Parcial</t>
  </si>
  <si>
    <t>Exteriores</t>
  </si>
  <si>
    <t>Inodoros y Exteriores</t>
  </si>
  <si>
    <t>¿Capta y Reutiliza el agua de lluvia?</t>
  </si>
  <si>
    <t>¿Cuenta con Tratamiento de Aguas Grises?</t>
  </si>
  <si>
    <t>Recupera el Agua de:</t>
  </si>
  <si>
    <t>PAISAJISMO</t>
  </si>
  <si>
    <t>Área de Vegetación (m2):</t>
  </si>
  <si>
    <t>Sistema de Riego:</t>
  </si>
  <si>
    <t>Goteo</t>
  </si>
  <si>
    <t>Aspersión</t>
  </si>
  <si>
    <t>Manguera</t>
  </si>
  <si>
    <t>E. Energética</t>
  </si>
  <si>
    <t>Inclinación (º):</t>
  </si>
  <si>
    <t>ZONAS BIOAMBIENTALES</t>
  </si>
  <si>
    <t>COLORES</t>
  </si>
  <si>
    <t>ZONA</t>
  </si>
  <si>
    <t>PAREDES</t>
  </si>
  <si>
    <t>Claro</t>
  </si>
  <si>
    <t>Todas</t>
  </si>
  <si>
    <t>Este</t>
  </si>
  <si>
    <t>Oscuro</t>
  </si>
  <si>
    <t>Coeficiente de absorción de radiación solar</t>
  </si>
  <si>
    <t>Mediano</t>
  </si>
  <si>
    <t>Sri</t>
  </si>
  <si>
    <t>No Requiere</t>
  </si>
  <si>
    <t>Nivel K</t>
  </si>
  <si>
    <t>ORIENTACIONES</t>
  </si>
  <si>
    <t>TRATAR DE NO PONER ABERTURAS</t>
  </si>
  <si>
    <t>VIDRIO DVH</t>
  </si>
  <si>
    <t>VENT. CRUZADA</t>
  </si>
  <si>
    <t>ORIENTACIONES CON PROT.</t>
  </si>
  <si>
    <t>NIVEL A</t>
  </si>
  <si>
    <t>NIVEL B</t>
  </si>
  <si>
    <t>NIVEL C</t>
  </si>
  <si>
    <t>Tdmn</t>
  </si>
  <si>
    <t>Muro</t>
  </si>
  <si>
    <t>VERANO</t>
  </si>
  <si>
    <t>Según Tablas 2 y 3 de la Norma IRAM 11.605:1996</t>
  </si>
  <si>
    <t>Nivel A</t>
  </si>
  <si>
    <t>Nivel B</t>
  </si>
  <si>
    <t>Invierno según temperatura media ext.</t>
  </si>
  <si>
    <t>TECHO</t>
  </si>
  <si>
    <t>MURO</t>
  </si>
  <si>
    <t>K Invierno</t>
  </si>
  <si>
    <t>K Verano</t>
  </si>
  <si>
    <t>PVC</t>
  </si>
  <si>
    <t>Baja</t>
  </si>
  <si>
    <t>Media</t>
  </si>
  <si>
    <t>Alta</t>
  </si>
  <si>
    <t>kWh/Año</t>
  </si>
  <si>
    <t>AR$/Año</t>
  </si>
  <si>
    <t>Refrigeración</t>
  </si>
  <si>
    <t>Prec. Invierno (mm):</t>
  </si>
  <si>
    <t>m3/Año</t>
  </si>
  <si>
    <t>Iluminación</t>
  </si>
  <si>
    <t>Energías Renovables</t>
  </si>
  <si>
    <t>Artefactos</t>
  </si>
  <si>
    <t>Paisajismo</t>
  </si>
  <si>
    <t>Buenos Aires</t>
  </si>
  <si>
    <t>Vivienda Unifamiliar</t>
  </si>
  <si>
    <t>Conjunto Habitacional</t>
  </si>
  <si>
    <t>No Cumple</t>
  </si>
  <si>
    <t>Puertas:</t>
  </si>
  <si>
    <t>DESPLEGABLES</t>
  </si>
  <si>
    <t>BASE DE DATOS: MATERIALES</t>
  </si>
  <si>
    <t>BASE DE DATOS: SISTEMAS CONSTRUCTIVOS</t>
  </si>
  <si>
    <t>Otros Sistemas de Generación Eléctrica</t>
  </si>
  <si>
    <t>SISTEMA DE CAPTACIÓN Y REUTILIZACIÓN DE AGUA DE LLUVIA</t>
  </si>
  <si>
    <t>Teléfono:</t>
  </si>
  <si>
    <t>Área (U. Funcional):</t>
  </si>
  <si>
    <t>Área (m2)</t>
  </si>
  <si>
    <t>Eléctrico</t>
  </si>
  <si>
    <t>Tubos al vacío</t>
  </si>
  <si>
    <t>Línea Base</t>
  </si>
  <si>
    <t>TUCUMÁN AERO</t>
  </si>
  <si>
    <t>TUCUMÁN</t>
  </si>
  <si>
    <t>Piso baldosa de hormigón</t>
  </si>
  <si>
    <t>Asfalto y membrana asfáltica &gt;7mm</t>
  </si>
  <si>
    <t>Chapa fibrocemento, cámara ventilada</t>
  </si>
  <si>
    <t>ESTACIÓN</t>
  </si>
  <si>
    <t>Inclinación colectores</t>
  </si>
  <si>
    <t>Diésel</t>
  </si>
  <si>
    <t>Inferior</t>
  </si>
  <si>
    <t>Centrada</t>
  </si>
  <si>
    <t>Tipo de Abertura</t>
  </si>
  <si>
    <t>Oscilante</t>
  </si>
  <si>
    <t>Guillotina</t>
  </si>
  <si>
    <t>SISTEMA DE MONITOREO Y MEDICIÓN</t>
  </si>
  <si>
    <t>¿Cuenta la unidad habitacional con medidor para el ingreso de agua primaria?</t>
  </si>
  <si>
    <t>¿Cuenta la unidad habitacional con submedidores para subsistemas?</t>
  </si>
  <si>
    <t>Duchas:</t>
  </si>
  <si>
    <t>Griferías de Cocina:</t>
  </si>
  <si>
    <t>Grifería Lavatorio:</t>
  </si>
  <si>
    <t>Grifería Lavadero:</t>
  </si>
  <si>
    <t>Canilla Exterior:</t>
  </si>
  <si>
    <t>Lavarropas:</t>
  </si>
  <si>
    <t>Usos Perm.</t>
  </si>
  <si>
    <t>Usos Trans.</t>
  </si>
  <si>
    <t>Consumo (Litros/Año)</t>
  </si>
  <si>
    <t>I. Descarga Completa:</t>
  </si>
  <si>
    <t>I. Descarga Parcial:</t>
  </si>
  <si>
    <t>Consumo anual de Artefactos Sanitarios:</t>
  </si>
  <si>
    <t>Litros/Años</t>
  </si>
  <si>
    <t>Consumo Total (KWh/Año)</t>
  </si>
  <si>
    <t>Consumo Total (Wh/Año)</t>
  </si>
  <si>
    <t>Consumo (Wh/Año)</t>
  </si>
  <si>
    <t>Consumo (Wh)</t>
  </si>
  <si>
    <t>Iluminación Natural</t>
  </si>
  <si>
    <t>Latitud</t>
  </si>
  <si>
    <t>Iluminación Natural horas al ano</t>
  </si>
  <si>
    <t>Consumo Con I.N (Wh/Año)</t>
  </si>
  <si>
    <t>Consumo Con C (Wh/Año)</t>
  </si>
  <si>
    <t>Horas TT (al 50%)</t>
  </si>
  <si>
    <t>Temperatura del Aire</t>
  </si>
  <si>
    <t>TMED</t>
  </si>
  <si>
    <t>Celsius</t>
  </si>
  <si>
    <t>FC de Sombras</t>
  </si>
  <si>
    <t>Enero</t>
  </si>
  <si>
    <t>Febrero</t>
  </si>
  <si>
    <t>Marzo</t>
  </si>
  <si>
    <t>Abril</t>
  </si>
  <si>
    <t>Mayo</t>
  </si>
  <si>
    <t>Junio</t>
  </si>
  <si>
    <t>Julio</t>
  </si>
  <si>
    <t>Agosto</t>
  </si>
  <si>
    <t>Septiembre</t>
  </si>
  <si>
    <t>Octubre</t>
  </si>
  <si>
    <t>Noviembre</t>
  </si>
  <si>
    <t>Diciembre</t>
  </si>
  <si>
    <t>Rad Solar</t>
  </si>
  <si>
    <t>HT kWh/m2</t>
  </si>
  <si>
    <t>Final</t>
  </si>
  <si>
    <t>Ene</t>
  </si>
  <si>
    <t>Feb</t>
  </si>
  <si>
    <t>Mar</t>
  </si>
  <si>
    <t>Abr</t>
  </si>
  <si>
    <t>Ago</t>
  </si>
  <si>
    <t>Sept</t>
  </si>
  <si>
    <t>Oct</t>
  </si>
  <si>
    <t>Dic</t>
  </si>
  <si>
    <t>º</t>
  </si>
  <si>
    <t>Mes</t>
  </si>
  <si>
    <t>MES</t>
  </si>
  <si>
    <t>K Inv</t>
  </si>
  <si>
    <t>W/K Inv</t>
  </si>
  <si>
    <t>K Ver</t>
  </si>
  <si>
    <t>J</t>
  </si>
  <si>
    <t>Incorporar vegetación para generar espacios exteriores en sombra y disminuir la incidencia de la radiación directa sobre muros y ventanas.</t>
  </si>
  <si>
    <t>Ht,h (A Usar)</t>
  </si>
  <si>
    <t>HT</t>
  </si>
  <si>
    <t>J/m2 mes</t>
  </si>
  <si>
    <t>Q perdido</t>
  </si>
  <si>
    <t>Q abs</t>
  </si>
  <si>
    <t>FC ACS Prima</t>
  </si>
  <si>
    <t>Superficie total de colectores (m2):</t>
  </si>
  <si>
    <t>Por defecto</t>
  </si>
  <si>
    <t>Elegido</t>
  </si>
  <si>
    <t>FRp/Fr</t>
  </si>
  <si>
    <t>Ta/Tan</t>
  </si>
  <si>
    <t>ACS</t>
  </si>
  <si>
    <t>J/mes</t>
  </si>
  <si>
    <t>X</t>
  </si>
  <si>
    <t>Y</t>
  </si>
  <si>
    <t>fp</t>
  </si>
  <si>
    <t>fp corr</t>
  </si>
  <si>
    <t>f</t>
  </si>
  <si>
    <t>Qsol disp</t>
  </si>
  <si>
    <t>Qsol/QACS</t>
  </si>
  <si>
    <t>% Qsol ACS</t>
  </si>
  <si>
    <t>Qsol ACS</t>
  </si>
  <si>
    <t>May</t>
  </si>
  <si>
    <t>Jun</t>
  </si>
  <si>
    <t>Jul</t>
  </si>
  <si>
    <t>Sep</t>
  </si>
  <si>
    <t>Nov</t>
  </si>
  <si>
    <t>f cor</t>
  </si>
  <si>
    <t>Qsol disp total</t>
  </si>
  <si>
    <t>Q sol disp calefa</t>
  </si>
  <si>
    <t>Q sol dip cal corr</t>
  </si>
  <si>
    <t>Qsol/Qcalefa</t>
  </si>
  <si>
    <t>On Grid</t>
  </si>
  <si>
    <t>Eficiencia del inversor</t>
  </si>
  <si>
    <t>Temp Interior Invierno (ºC):</t>
  </si>
  <si>
    <t>Temp Interior Verano (ºC):</t>
  </si>
  <si>
    <t>Vol. Calefaccionado:</t>
  </si>
  <si>
    <t>W/K Ver</t>
  </si>
  <si>
    <t>Invierno:</t>
  </si>
  <si>
    <t>Verano:</t>
  </si>
  <si>
    <t>CARGA TERMICA POR FUENTES EXTERNAS</t>
  </si>
  <si>
    <t>Delta T</t>
  </si>
  <si>
    <t>Total</t>
  </si>
  <si>
    <t>Carga</t>
  </si>
  <si>
    <t>Parcial</t>
  </si>
  <si>
    <t>Datos locales</t>
  </si>
  <si>
    <t>Datos del objeto</t>
  </si>
  <si>
    <t xml:space="preserve">Orientación de la superficie : </t>
  </si>
  <si>
    <t>Longitud</t>
  </si>
  <si>
    <t xml:space="preserve">Inclinación de la superficie : </t>
  </si>
  <si>
    <t>Horiz=0</t>
  </si>
  <si>
    <t>Vert=90</t>
  </si>
  <si>
    <t>Altitud s/nm</t>
  </si>
  <si>
    <t>Día del mes</t>
  </si>
  <si>
    <t>Nubosidad</t>
  </si>
  <si>
    <t>Conversión ángulos</t>
  </si>
  <si>
    <t>Albedo</t>
  </si>
  <si>
    <t>º a rad =</t>
  </si>
  <si>
    <t xml:space="preserve">Cielo </t>
  </si>
  <si>
    <t>2/8</t>
  </si>
  <si>
    <t xml:space="preserve"> Cubierto  (7/8)  a  Límpido (1/8)</t>
  </si>
  <si>
    <t>rad a º =</t>
  </si>
  <si>
    <t>Ind Amstron verano</t>
  </si>
  <si>
    <t>Ind Amstron invier</t>
  </si>
  <si>
    <t>Kt</t>
  </si>
  <si>
    <t>Heliofanía</t>
  </si>
  <si>
    <t>Temp Mínima promedio</t>
  </si>
  <si>
    <t>Temp Máxima promedio</t>
  </si>
  <si>
    <t>Humedad relativa</t>
  </si>
  <si>
    <t>Presión atmosférica</t>
  </si>
  <si>
    <t>Hora solar en º</t>
  </si>
  <si>
    <t>Altura solar en º</t>
  </si>
  <si>
    <t>Hora solar en rad</t>
  </si>
  <si>
    <t>Altura solar en rad     (Alt s)</t>
  </si>
  <si>
    <t>Radiación difusa  en  w</t>
  </si>
  <si>
    <t>Cielo:</t>
  </si>
  <si>
    <t>Azimut solar en º</t>
  </si>
  <si>
    <t>Azimut solar en rad</t>
  </si>
  <si>
    <t>Radiación reflejada  en   w</t>
  </si>
  <si>
    <t>Angulo de incidencia en º</t>
  </si>
  <si>
    <t xml:space="preserve">Valores Kt </t>
  </si>
  <si>
    <t>Kt por índices</t>
  </si>
  <si>
    <t>Coef</t>
  </si>
  <si>
    <t>a</t>
  </si>
  <si>
    <t>Declinación en rad</t>
  </si>
  <si>
    <t>b</t>
  </si>
  <si>
    <t>Cielos claros</t>
  </si>
  <si>
    <t>Angulo de salida y puesta</t>
  </si>
  <si>
    <t>Ht     Rad Media</t>
  </si>
  <si>
    <t>salida en rad</t>
  </si>
  <si>
    <t>Kd   verif</t>
  </si>
  <si>
    <t xml:space="preserve">Kd' </t>
  </si>
  <si>
    <t>puesta en rad</t>
  </si>
  <si>
    <t>Hd    Comp Difusa</t>
  </si>
  <si>
    <t>Hs 1/2 Día</t>
  </si>
  <si>
    <t>Kt    Nuboso</t>
  </si>
  <si>
    <t>Ht'     Rad Media</t>
  </si>
  <si>
    <t>Día 1º</t>
  </si>
  <si>
    <t>Kd'   Nuboso</t>
  </si>
  <si>
    <t>Día Cálculo</t>
  </si>
  <si>
    <t>Hd'    Comp Difusa</t>
  </si>
  <si>
    <t>Kt    Nuboso Total</t>
  </si>
  <si>
    <t>Declinación en º</t>
  </si>
  <si>
    <t>Kd' nuboso Total</t>
  </si>
  <si>
    <t>Boland</t>
  </si>
  <si>
    <t>salida º</t>
  </si>
  <si>
    <t>Cielo</t>
  </si>
  <si>
    <t>puesta º</t>
  </si>
  <si>
    <t>Kd'</t>
  </si>
  <si>
    <t>Hs Día</t>
  </si>
  <si>
    <t>Coseno Angulo de incidencia   (cos i)         orientación principal</t>
  </si>
  <si>
    <t>Coseno Angulo de incidencia   (cos i)   lateral derecho</t>
  </si>
  <si>
    <t>Coseno Angulo de incidencia   (cos i)   lateral izquierdo</t>
  </si>
  <si>
    <t>Radiación directa  en  w</t>
  </si>
  <si>
    <t>Radiación TOTAL en w</t>
  </si>
  <si>
    <t>Promedio</t>
  </si>
  <si>
    <t>N</t>
  </si>
  <si>
    <t>N-NE</t>
  </si>
  <si>
    <t>NE</t>
  </si>
  <si>
    <t>E-NE</t>
  </si>
  <si>
    <t xml:space="preserve">E </t>
  </si>
  <si>
    <t>E-SE</t>
  </si>
  <si>
    <t>S-SE</t>
  </si>
  <si>
    <t xml:space="preserve">S </t>
  </si>
  <si>
    <t>S-SO</t>
  </si>
  <si>
    <t>SO</t>
  </si>
  <si>
    <t>O-SO</t>
  </si>
  <si>
    <t>O</t>
  </si>
  <si>
    <t>O-NO</t>
  </si>
  <si>
    <t>NO</t>
  </si>
  <si>
    <t>N-NO</t>
  </si>
  <si>
    <t>KT:</t>
  </si>
  <si>
    <t>Coeficiente sol:</t>
  </si>
  <si>
    <t>Entorno:</t>
  </si>
  <si>
    <t>Alta densidad</t>
  </si>
  <si>
    <t>Media densidad</t>
  </si>
  <si>
    <t>Sin Obstáculos</t>
  </si>
  <si>
    <t>Personas</t>
  </si>
  <si>
    <t>PERSONAS</t>
  </si>
  <si>
    <t>CT</t>
  </si>
  <si>
    <t>ARTEFACTOS</t>
  </si>
  <si>
    <t>Canridad</t>
  </si>
  <si>
    <t>Calor Sensible</t>
  </si>
  <si>
    <t>Coef. De Uso</t>
  </si>
  <si>
    <t>Calor</t>
  </si>
  <si>
    <t>Q (w):</t>
  </si>
  <si>
    <t>CARGA TERMICA POR FUENTES INTERNAS (Calor Sensible)</t>
  </si>
  <si>
    <t>CARGA TERMICA POR FUENTES INTERNAS (Calor Latente)</t>
  </si>
  <si>
    <t>Temperatura actual:</t>
  </si>
  <si>
    <t>PV:</t>
  </si>
  <si>
    <t>hPa</t>
  </si>
  <si>
    <t>gr/kg</t>
  </si>
  <si>
    <t>Porcentaje:</t>
  </si>
  <si>
    <t>Hum abs:</t>
  </si>
  <si>
    <t>gr/m3</t>
  </si>
  <si>
    <t>Temperatura actual</t>
  </si>
  <si>
    <t>Porcentaje</t>
  </si>
  <si>
    <t>Sup. Ven. (m2)</t>
  </si>
  <si>
    <t>TDTM</t>
  </si>
  <si>
    <t>Temp Media Exterior (ºC):</t>
  </si>
  <si>
    <t>Temp Max Exterior (ºC):</t>
  </si>
  <si>
    <t>Temperatura Interior (ºC):</t>
  </si>
  <si>
    <t>Delta Temperatura (ºC):</t>
  </si>
  <si>
    <t>FES</t>
  </si>
  <si>
    <t>Humedad Int. (%):</t>
  </si>
  <si>
    <t>Humedad Ext.(%):</t>
  </si>
  <si>
    <t>Delta Hum. Abs. (%):</t>
  </si>
  <si>
    <t>Hum. Abs Ext. (%):</t>
  </si>
  <si>
    <t>Hum. Abs Int (%):</t>
  </si>
  <si>
    <t>Total (w)</t>
  </si>
  <si>
    <t>PERDIDAS TOTALES (W/ºC)</t>
  </si>
  <si>
    <t>NORMA IRAM 11.604 (w/m3ªC)</t>
  </si>
  <si>
    <t>DEMANDA INVERNAL</t>
  </si>
  <si>
    <t>DEMANDA ESTIVAL</t>
  </si>
  <si>
    <t>Humedad</t>
  </si>
  <si>
    <t>Presión vapor</t>
  </si>
  <si>
    <t>Humedad absol ext</t>
  </si>
  <si>
    <t>Delta humedad</t>
  </si>
  <si>
    <t>Total Rad Prom</t>
  </si>
  <si>
    <t>Solar</t>
  </si>
  <si>
    <t>Ventilación</t>
  </si>
  <si>
    <t>Temp. Promedio</t>
  </si>
  <si>
    <t>LOS HORNOS</t>
  </si>
  <si>
    <t>PARQUE PEREYRA</t>
  </si>
  <si>
    <t>CABO RASO</t>
  </si>
  <si>
    <t>CALCULO SUBALTERNOS</t>
  </si>
  <si>
    <t>TEMPERATURAS MENSUALES</t>
  </si>
  <si>
    <t>kWh/m2</t>
  </si>
  <si>
    <t>Valores de Transmitancia térmica K Muros (IRAM 11605)</t>
  </si>
  <si>
    <t>Invierno según Temperatura Media Ext.</t>
  </si>
  <si>
    <t>Verano según Zona Bioambiental</t>
  </si>
  <si>
    <t>Etapa:</t>
  </si>
  <si>
    <t>PUERTAS</t>
  </si>
  <si>
    <t>Madera Solida</t>
  </si>
  <si>
    <t>Madera Solida con hasta 50% zona vidriada</t>
  </si>
  <si>
    <t>Madera Solida con hasta 100% zona vidriada</t>
  </si>
  <si>
    <t>Madera Liviana</t>
  </si>
  <si>
    <t>Madera Liviana con hasta 50% zona vidriada</t>
  </si>
  <si>
    <t>Madera Liviana con hasta 100% zona vidriada</t>
  </si>
  <si>
    <t>CARGA TERMICA TOTAL PARA GANANCIAS SOLARES</t>
  </si>
  <si>
    <t>CARGA TERMICA TOTAL POR PERDIDAS</t>
  </si>
  <si>
    <t>Lux por m2</t>
  </si>
  <si>
    <t>Sup. M2</t>
  </si>
  <si>
    <t>Q ilum</t>
  </si>
  <si>
    <t>Q luminaria</t>
  </si>
  <si>
    <t>VIDRIOS</t>
  </si>
  <si>
    <t>Según Zona</t>
  </si>
  <si>
    <t>MARCOS DE VENTANA</t>
  </si>
  <si>
    <t>Metal sin Ruptura de Puente Térmico</t>
  </si>
  <si>
    <t>Metal con Ruptura de Puente Térmico</t>
  </si>
  <si>
    <t>K Vidrio</t>
  </si>
  <si>
    <t>DEMANDA (kWh/Mes)</t>
  </si>
  <si>
    <t>KT</t>
  </si>
  <si>
    <t>Controlar el uso de ventanas en orientaciones Este y Oeste respetando un máximo de 15% de apertura en esas fachadas.</t>
  </si>
  <si>
    <t>Ventilación Cruzada: proyectar amplios espacios exteriores abiertos entre volúmenes construidos, reduciendo o evitando obstáculos para el flujo natural del aire a través de la vivienda y optimizando la ventilación cruzada para sala de estar, comedor y cocina.</t>
  </si>
  <si>
    <t>Ventilación natural para todas las habitaciones, lavaderos y baños.</t>
  </si>
  <si>
    <t>Incorporar aberturas: EFICIENCIA NIVEL C SEGÚN IRAM 11.507-6</t>
  </si>
  <si>
    <t>Utilizar colores claros en techos.</t>
  </si>
  <si>
    <t>Utilizar colores claros en paredes externas.</t>
  </si>
  <si>
    <t>Incorporar aberturas: EFICIENCIA NIVEL B SEGÚN IRAM 11.507-6</t>
  </si>
  <si>
    <t>Controlar el tamaño de las aberturas para reducir pérdidas de calor, excepto en orientaciones al Norte.</t>
  </si>
  <si>
    <t>INERCIA TERMICA: Incorporar materiales con gran inercia térmica.</t>
  </si>
  <si>
    <t>HALL INTERMEDIO: Incorporar “hall frío” como instancia de transición entre el exterior y el interior de la vivienda.</t>
  </si>
  <si>
    <t>Templado Frio</t>
  </si>
  <si>
    <t>Frio</t>
  </si>
  <si>
    <t>Muy Frio</t>
  </si>
  <si>
    <t>-</t>
  </si>
  <si>
    <t>Consumo Gas (m3/h)</t>
  </si>
  <si>
    <t>Consumo GAS m3/año</t>
  </si>
  <si>
    <t>Motor de Calculo para los Lineamientos</t>
  </si>
  <si>
    <t>Lineamiento 1: Colores en techos</t>
  </si>
  <si>
    <t>Lineamiento 3: WWR</t>
  </si>
  <si>
    <t>Sistema si o no</t>
  </si>
  <si>
    <t>Irradiación Global - Ig'  =  rt * H</t>
  </si>
  <si>
    <t xml:space="preserve">Irradiación Difusa - Id' = rd * Hd'  </t>
  </si>
  <si>
    <t>Ht,i</t>
  </si>
  <si>
    <t>Factor</t>
  </si>
  <si>
    <t>kWh/Mes</t>
  </si>
  <si>
    <t>J/Mes</t>
  </si>
  <si>
    <t>Demanda de ACS</t>
  </si>
  <si>
    <t>Q</t>
  </si>
  <si>
    <t>Tipo de Sistema</t>
  </si>
  <si>
    <t>Q Total</t>
  </si>
  <si>
    <t>Temp. Media</t>
  </si>
  <si>
    <t>% Qsol calefa</t>
  </si>
  <si>
    <t>Q sol calefa</t>
  </si>
  <si>
    <t>Horas de uso, para Gas</t>
  </si>
  <si>
    <t>CARGA TERMICA SOLAR en Ventanas</t>
  </si>
  <si>
    <t>Lineamiento 2: Colores paredes externas</t>
  </si>
  <si>
    <t>SR Techos</t>
  </si>
  <si>
    <t>SR Paredes Externas</t>
  </si>
  <si>
    <t>Lineamiento 9</t>
  </si>
  <si>
    <t>Aberturas 1</t>
  </si>
  <si>
    <t>Aberturas 2</t>
  </si>
  <si>
    <t>Espacios</t>
  </si>
  <si>
    <t>Agrupamiento</t>
  </si>
  <si>
    <t>Lineamiento 12: Paisajismo</t>
  </si>
  <si>
    <t>Fecha aprox. De inicio de obra:</t>
  </si>
  <si>
    <t>Fecha aprox. De fin de obra:</t>
  </si>
  <si>
    <t>Lineamiento 1: Reflectividad en el Techo</t>
  </si>
  <si>
    <t>La Zona Bioambiental no especifica lineamiento.</t>
  </si>
  <si>
    <t>Lineamiento 2: Reflectividad en las Paredes Ext.</t>
  </si>
  <si>
    <t>Lineamiento 4: Tipo de Aberturas 1</t>
  </si>
  <si>
    <t>Lineamiento 5: Tipo de Aberturas 2</t>
  </si>
  <si>
    <t>Lineamiento 6: Ventilación Natural</t>
  </si>
  <si>
    <t>Cantidad de Usuarios</t>
  </si>
  <si>
    <t>Calor Metabólico</t>
  </si>
  <si>
    <t>Núm. Días</t>
  </si>
  <si>
    <t>Ancho Protección. (m)</t>
  </si>
  <si>
    <t>Consumo Total ILUMINACIÓN (kWh/Año)</t>
  </si>
  <si>
    <t>Horas de uso al día</t>
  </si>
  <si>
    <t>Horas de uso al día al ano</t>
  </si>
  <si>
    <t>Termo tanque</t>
  </si>
  <si>
    <t>Calefón</t>
  </si>
  <si>
    <t>Consumo Energético kWh/año</t>
  </si>
  <si>
    <t>Línea Propuesta</t>
  </si>
  <si>
    <t>ESTRATEGIAS BIOCLIMÁTICAS</t>
  </si>
  <si>
    <t>Lineamiento 6 y 7: Ventilación</t>
  </si>
  <si>
    <t>Lineamiento 3: Relación Ventana-Pared</t>
  </si>
  <si>
    <t>Relación Ventana-Pared</t>
  </si>
  <si>
    <t>Ventilación Natural</t>
  </si>
  <si>
    <t>Lineamiento 7: Tipo de Ventilación</t>
  </si>
  <si>
    <t>Protección Solar</t>
  </si>
  <si>
    <t>Inercia TERMICA</t>
  </si>
  <si>
    <t>Lineamiento 11: Espacios Bioclimáticos</t>
  </si>
  <si>
    <t>CARGA TERMICA POR CONDUCCIÓN</t>
  </si>
  <si>
    <t>Carga TERMICA (W/ºC)</t>
  </si>
  <si>
    <t>Lineamiento 8: Protección Solar</t>
  </si>
  <si>
    <t>Proyectar sistemas de protección solar para las orientaciones Suroeste, Oeste, Noroeste, Norte, Noreste, Este y Sureste.</t>
  </si>
  <si>
    <t>Dimensionar los espacios exteriores de modo de optimizar el asoleamiento en invierno.</t>
  </si>
  <si>
    <t>Plantear formas y agrupamientos compactos, que posibiliten un correcto asoleamiento y protección de los vientos característicos de la región.</t>
  </si>
  <si>
    <t>Lineamiento 10: Agrupamiento</t>
  </si>
  <si>
    <t>Espacios Exteriores</t>
  </si>
  <si>
    <t>Sin Ventilación</t>
  </si>
  <si>
    <t>nc / COP</t>
  </si>
  <si>
    <t>BASE DE DATOS: ACONDICIONAMIENTO</t>
  </si>
  <si>
    <t>Tipo de calefactor</t>
  </si>
  <si>
    <t>Calefacción Central con Radiadores en Pared (Gas)</t>
  </si>
  <si>
    <t>Calefacción Central con Radiadores en Pared, circulación forzada (Gas)</t>
  </si>
  <si>
    <t>Calefacción Central con Losa Radiante (Gas)</t>
  </si>
  <si>
    <t>Estufa Convencional (Gas)</t>
  </si>
  <si>
    <t>Estufa de Tiro Balanceado - Etiqueta A (Gas)</t>
  </si>
  <si>
    <t>Aire Acondicionado - Clase A - Tipo Split</t>
  </si>
  <si>
    <t>Estufa de Tiro Balanceado - Etiqueta B (Gas)</t>
  </si>
  <si>
    <t>Estufa de Tiro Balanceado - Etiqueta C (Gas)</t>
  </si>
  <si>
    <t>Estufa de Tiro Balanceado - Etiqueta D (Gas)</t>
  </si>
  <si>
    <t>Estufa de Tiro Balanceado - Etiqueta E (Gas)</t>
  </si>
  <si>
    <t>Aire Acondicionado - Clase B - Tipo Split</t>
  </si>
  <si>
    <t>Demanda Invernal Anual</t>
  </si>
  <si>
    <t>nc / COP Promedio</t>
  </si>
  <si>
    <t>Es;I</t>
  </si>
  <si>
    <t>Ep;I</t>
  </si>
  <si>
    <t>f p</t>
  </si>
  <si>
    <t>f p Promedio</t>
  </si>
  <si>
    <t>Demanda Estival</t>
  </si>
  <si>
    <t>nr / EER</t>
  </si>
  <si>
    <t>Aire Acondicionado - Clase A - Tipo Compacto</t>
  </si>
  <si>
    <t>Aire Acondicionado - Clase C - Tipo Split</t>
  </si>
  <si>
    <t>Aire Acondicionado - Clase D - Tipo Split</t>
  </si>
  <si>
    <t>Aire Acondicionado - Clase E - Tipo Split</t>
  </si>
  <si>
    <t>Aire Acondicionado - Clase F - Tipo Split</t>
  </si>
  <si>
    <t>Aire Acondicionado - Clase G - Tipo Split</t>
  </si>
  <si>
    <t>Aire Acondicionado - Clase B - Tipo Compacto</t>
  </si>
  <si>
    <t>Aire Acondicionado - Clase C - Tipo Compacto</t>
  </si>
  <si>
    <t>Aire Acondicionado - Clase D - Tipo Compacto</t>
  </si>
  <si>
    <t>Aire Acondicionado - Clase E - Tipo Compacto</t>
  </si>
  <si>
    <t>Consumo GAS</t>
  </si>
  <si>
    <t>Relación Muro-Ventana</t>
  </si>
  <si>
    <t>Consumo Parcial Gas (m3/Año)</t>
  </si>
  <si>
    <t>Usuarios</t>
  </si>
  <si>
    <t>Vidrio</t>
  </si>
  <si>
    <t>Alto (m)</t>
  </si>
  <si>
    <t>Ancho (m)</t>
  </si>
  <si>
    <t>m2</t>
  </si>
  <si>
    <t>Marco</t>
  </si>
  <si>
    <t>Espesor</t>
  </si>
  <si>
    <t>Perim. Vidrio</t>
  </si>
  <si>
    <t>K Marco</t>
  </si>
  <si>
    <t>K Sistema</t>
  </si>
  <si>
    <t>Tipo de abertura</t>
  </si>
  <si>
    <t>Fija</t>
  </si>
  <si>
    <t>Batiente</t>
  </si>
  <si>
    <t>Basculante</t>
  </si>
  <si>
    <t>Corrediza</t>
  </si>
  <si>
    <t>Hermeticidad</t>
  </si>
  <si>
    <t>av</t>
  </si>
  <si>
    <t>Al</t>
  </si>
  <si>
    <t>E ref</t>
  </si>
  <si>
    <t>E cal</t>
  </si>
  <si>
    <t>IRAM 11.507-6</t>
  </si>
  <si>
    <t>Tipo de Puerta</t>
  </si>
  <si>
    <t>I ref</t>
  </si>
  <si>
    <t>GH cal</t>
  </si>
  <si>
    <t>GH ref</t>
  </si>
  <si>
    <t>kK.h</t>
  </si>
  <si>
    <t>I cal</t>
  </si>
  <si>
    <t>FS ve</t>
  </si>
  <si>
    <t>FV</t>
  </si>
  <si>
    <t>Insertar Etiqueta IRAM si la tuviera</t>
  </si>
  <si>
    <t>Factor Solar</t>
  </si>
  <si>
    <t>Tramitancia Lineal</t>
  </si>
  <si>
    <t>A</t>
  </si>
  <si>
    <t>B</t>
  </si>
  <si>
    <t>C</t>
  </si>
  <si>
    <t>D</t>
  </si>
  <si>
    <t>E</t>
  </si>
  <si>
    <t>F</t>
  </si>
  <si>
    <t>G</t>
  </si>
  <si>
    <t>Ventanas tipo 4:</t>
  </si>
  <si>
    <t>Ventanas tipo 5:</t>
  </si>
  <si>
    <t>Ventanas tipo 6:</t>
  </si>
  <si>
    <t>Ventanas tipo 7:</t>
  </si>
  <si>
    <t>Ventanas tipo 8:</t>
  </si>
  <si>
    <t>Personalizado 9:</t>
  </si>
  <si>
    <t>Personalizado 10:</t>
  </si>
  <si>
    <t>Lineamiento 4 y 5</t>
  </si>
  <si>
    <t>¿Cuenta con Sistema de Refrigeración?</t>
  </si>
  <si>
    <t>¿Cuenta con Sistema de Calefacción?</t>
  </si>
  <si>
    <t>Resistencia superficial exterior (Rse) - inv. y ver -  flujo ascendente y descendente</t>
  </si>
  <si>
    <t xml:space="preserve">Resistencia superficial exterior (Rse) - Inv. Ver. - flujo horiz.: </t>
  </si>
  <si>
    <t xml:space="preserve">Resistencia superficial interior (Rsi) - Inv. Ver.. - flujo horiz.: </t>
  </si>
  <si>
    <t>Tramitancia térmica del vidrio</t>
  </si>
  <si>
    <t>Tramitancia térmica del perfil</t>
  </si>
  <si>
    <t>Infiltración Aire</t>
  </si>
  <si>
    <t>Resistencia superficial exterior (Rse) - Inv. y ver -  flujo ascendente y descendente</t>
  </si>
  <si>
    <t>PANELES SOLARES - Radiación Solar</t>
  </si>
  <si>
    <t>N días</t>
  </si>
  <si>
    <t>Vía Comunal</t>
  </si>
  <si>
    <t>Aporte Solar Máximo</t>
  </si>
  <si>
    <t>5 a 10 Cuadras</t>
  </si>
  <si>
    <t>Sistema de Termo tanque Solar</t>
  </si>
  <si>
    <t>Área Neta</t>
  </si>
  <si>
    <t>Rend. Óptico</t>
  </si>
  <si>
    <t>Cef. De perdidas térmicas</t>
  </si>
  <si>
    <t>Relación área neta / área bruta</t>
  </si>
  <si>
    <t>Factor de uso en calefacción</t>
  </si>
  <si>
    <t>Radiación solar</t>
  </si>
  <si>
    <t>J/m2 día</t>
  </si>
  <si>
    <t>Factor de corrección</t>
  </si>
  <si>
    <t>Demanda de Calefacción</t>
  </si>
  <si>
    <t>CALEFACCIÓN</t>
  </si>
  <si>
    <t>VENTILACIÓN SELECTIVA: Lograr refrescamiento por la noche en climas de gran amplitud térmica. Ventilación selectiva por efecto chimenea, ingreso de aire exterior fresco para reemplazar el aire interior de mayor temperatura.</t>
  </si>
  <si>
    <t>Incorporar semicubierto con orientación Norte, como galerías, pérgolas o toldos, en patios y terrazas u otros espacios exteriores, como protección de la radiación solar.</t>
  </si>
  <si>
    <t>Radiador Eléctrico</t>
  </si>
  <si>
    <t>BAHÍA BLANCA</t>
  </si>
  <si>
    <t>BOLÍVAR</t>
  </si>
  <si>
    <t>ISLA MARTIN GARCÍA</t>
  </si>
  <si>
    <t>JUNÍN</t>
  </si>
  <si>
    <t>LÓPEZ JUÁREZ</t>
  </si>
  <si>
    <t>MORÓN</t>
  </si>
  <si>
    <t>CÓRDOBA AERO</t>
  </si>
  <si>
    <t>CÓRDOBA</t>
  </si>
  <si>
    <t>MARCOS JUÁREZ</t>
  </si>
  <si>
    <t>VILLA MARÍA</t>
  </si>
  <si>
    <t>GUALEGUAYCHÚ</t>
  </si>
  <si>
    <t>GUALEGUAYCHÚ AERO</t>
  </si>
  <si>
    <t>PARANÁ AERO</t>
  </si>
  <si>
    <t>PARANÁ</t>
  </si>
  <si>
    <t>IGUAZÚ</t>
  </si>
  <si>
    <t>NEUQUÉN</t>
  </si>
  <si>
    <t>EL BOLSÓN</t>
  </si>
  <si>
    <t>UNIÓN</t>
  </si>
  <si>
    <t>ÁNGEL GALLARDO</t>
  </si>
  <si>
    <t>ROQUE SÁENZ PENA</t>
  </si>
  <si>
    <t>COLONIA BENÍTEZ</t>
  </si>
  <si>
    <t>DATOS BIOCLIMÁTICOS: NORMA IRAM 11.603</t>
  </si>
  <si>
    <t>Radiación Solar por Mes</t>
  </si>
  <si>
    <t>Datos Bioclimáticos Resumen</t>
  </si>
  <si>
    <t>LINEAMIENTOS BIOCLIMÁTICOS IRAM 11603</t>
  </si>
  <si>
    <t>BASE DE DATOS: CARPINTERÍAS</t>
  </si>
  <si>
    <t>Tipo de Equipo de Refrigeración</t>
  </si>
  <si>
    <t>Prov.</t>
  </si>
  <si>
    <t>Lat.</t>
  </si>
  <si>
    <t>Zona Bioclimática</t>
  </si>
  <si>
    <t>Estación</t>
  </si>
  <si>
    <t>Muy Cálido</t>
  </si>
  <si>
    <t>Cálido</t>
  </si>
  <si>
    <t>Templado Cálido</t>
  </si>
  <si>
    <t>Calefacción Central con Radiadores en Pared (Eléctrico)</t>
  </si>
  <si>
    <t>Minimizar superficies al Oeste, respetando un máximo de 15% en esa orientación.</t>
  </si>
  <si>
    <t>Calefacción Central con Losa Radiante (Eléctrico)</t>
  </si>
  <si>
    <t>MODELO  DE  RADIACIÓN  SOLAR</t>
  </si>
  <si>
    <t>Datos para Subcálculos</t>
  </si>
  <si>
    <t>Cobertura  Nubosa :</t>
  </si>
  <si>
    <t>Presión Atmosférica :</t>
  </si>
  <si>
    <t>Horas día al mes</t>
  </si>
  <si>
    <t>Coseno Angulo de incidencia   (cos i)   contra frente</t>
  </si>
  <si>
    <t>Kt Max  Claro</t>
  </si>
  <si>
    <t>TT (Horas al Año)</t>
  </si>
  <si>
    <t>ARQUITECTURA PASIVA</t>
  </si>
  <si>
    <t>¿Cuenta la unidad con Muro Trombe?</t>
  </si>
  <si>
    <t>Consumo Total Gas (m3/Año)</t>
  </si>
  <si>
    <t>¿Cuenta la unidad con Hall de Transición?</t>
  </si>
  <si>
    <t>Áreas</t>
  </si>
  <si>
    <t>Servicios Públicos</t>
  </si>
  <si>
    <t>Nombre del Proyecto</t>
  </si>
  <si>
    <t>Dirección:</t>
  </si>
  <si>
    <t>Chapa, Cámara de aire, Aislación 150mm, Cielorraso</t>
  </si>
  <si>
    <t>Chapa, Cámara de aire, Aislación 200mm, Cielorraso</t>
  </si>
  <si>
    <t>Placa Yeso, Cámara de aire 10mm, Techo liviano (tejas)</t>
  </si>
  <si>
    <t>Placa Yeso, Aislante 10mm, Cámara de aire 90mm, Techo liviano (tejas)</t>
  </si>
  <si>
    <t>Placa Yeso, Aislante 25mm, Cámara de aire 75mm, Techo liviano (tejas)</t>
  </si>
  <si>
    <t>Placa Yeso, Aislante 50mm, cámara de aire 50mm, Techo liviano (tejas)</t>
  </si>
  <si>
    <t>Placa Yeso, Aislante 100mm, Techo liviano (tejas)</t>
  </si>
  <si>
    <t>Losa, Contrapiso de leca, Terminación</t>
  </si>
  <si>
    <t>Losa, Aislación 50mm, Contrapiso de leca, Terminación</t>
  </si>
  <si>
    <t>Losa, Aislación 100mm, Contrapiso de leca, Terminación</t>
  </si>
  <si>
    <t>Losa, Aislación 150mm, Contrapiso de leca, Terminación</t>
  </si>
  <si>
    <t>Ladrillo 12cm, Cámara de aire 40mm, Ladrillo 12cm</t>
  </si>
  <si>
    <t>Ladrillo de 12cm , Cámara de aire, Ladrillo de 12cm, Revoque interior 2cm</t>
  </si>
  <si>
    <t>Ladrillo cerámicos portante 18cm, Revocado</t>
  </si>
  <si>
    <t>Ladrillo de 15cm , Aislación de 50mm,Lladrillo de 15cm con revoque</t>
  </si>
  <si>
    <t>Ladrillo cerámico portante 12cm, Revocado</t>
  </si>
  <si>
    <t>Revestimiento exterior 2cm, Ladrillo común 12cm, Aislante 20mm, Ladrillo común 12cm, Revestimiento Interior 2cm</t>
  </si>
  <si>
    <t>Ladrillo cerámicos 18cm, Revocado</t>
  </si>
  <si>
    <t>Revoque Exterior 2cm, Bloque cerámico hueco 18cm, Revestimiento Interior 2cm</t>
  </si>
  <si>
    <t>Ladrillo cerámico 12cm, Revocado</t>
  </si>
  <si>
    <t>Revoque Exterior 2cm, Bloque cerámico hueco 12cm, Revestimiento Interior 2cm</t>
  </si>
  <si>
    <t>Bloque hueco de H° 20cm, Revocado</t>
  </si>
  <si>
    <t>Bloque de hormigón 20cm visto</t>
  </si>
  <si>
    <t xml:space="preserve">Bloque hueco con inserto de PEX </t>
  </si>
  <si>
    <t>Ladrillo macizo 12cm, cámara de aire 40mm, Ladrillo hueco 8cm, Revoque 2</t>
  </si>
  <si>
    <t xml:space="preserve">Revoque, Bloque hueco hormigón 20 cm, Revoque  </t>
  </si>
  <si>
    <t xml:space="preserve">Revoque, Bloque hormigón 20 cm, Revoque, Inserto de PEX </t>
  </si>
  <si>
    <t>Madera 2cm, Cámara de aire 10mm, Placa yeso 1cm</t>
  </si>
  <si>
    <t xml:space="preserve">Ladrillo visto 12cm, Aislante 25mm, Ladrillo cerámico 8cm, Revestimiento Interior 2cm </t>
  </si>
  <si>
    <t xml:space="preserve">Ladrillo visto 12cm, Aislante 50mm, Ladrillo cerámico 8cm, Revestimiento Interior 2cm </t>
  </si>
  <si>
    <t xml:space="preserve">Ladrillo visto 12cm, Aislante 100mm, Ladrillo cerámico 8cm, Revestimiento Interior 2cm </t>
  </si>
  <si>
    <t>Madera 2cm, Cámara de aire 75mm, Aislación 25mm, Placa yeso 1cm</t>
  </si>
  <si>
    <t>Panel de hormigón 25mm, Aislación 20mm, Panel de hormigón 25mm</t>
  </si>
  <si>
    <t>Rev exterior 2cm, Mampostería ladrillo común 12cm, Revestimiento Interior 2cm</t>
  </si>
  <si>
    <t>Losa, Contacto con suelo, Aislación perimetral 50 mm</t>
  </si>
  <si>
    <t>Losa, Contacto con suelo, Aislación total 50mm</t>
  </si>
  <si>
    <t>Losa, Contacto con suelo, s/Aislación</t>
  </si>
  <si>
    <t>MUY CÁLIDO</t>
  </si>
  <si>
    <t>CÁLIDO</t>
  </si>
  <si>
    <t>TEMPLADO CÁLIDO</t>
  </si>
  <si>
    <t>TEMPLADO FRÍO</t>
  </si>
  <si>
    <t>FRÍO</t>
  </si>
  <si>
    <t>MUY FRÍO</t>
  </si>
  <si>
    <t>b tr</t>
  </si>
  <si>
    <t>Al exterior</t>
  </si>
  <si>
    <t>Condición</t>
  </si>
  <si>
    <t>W/K Inv Corregido</t>
  </si>
  <si>
    <t>Muros al Exterior</t>
  </si>
  <si>
    <t>W/K Ver Corregido</t>
  </si>
  <si>
    <t>En contacto con el suelo</t>
  </si>
  <si>
    <t>Factor de Especies (Ks)</t>
  </si>
  <si>
    <t>Factor Microclima (Kmc)</t>
  </si>
  <si>
    <t>BASE DE DATOS: PAISAJISMO</t>
  </si>
  <si>
    <t>¿Dispone de Control Horario?</t>
  </si>
  <si>
    <t>Tipo de Vegetación</t>
  </si>
  <si>
    <t>Especies</t>
  </si>
  <si>
    <t>Factor de Microclima</t>
  </si>
  <si>
    <t>Densidad de Vegetación</t>
  </si>
  <si>
    <t>Árboles</t>
  </si>
  <si>
    <t>Arbustos</t>
  </si>
  <si>
    <t>Vegetación cercana al suelo</t>
  </si>
  <si>
    <t>Árboles, Arbustos y Vegetación cercana al suelo</t>
  </si>
  <si>
    <t>Factor de Densidad (Kd)</t>
  </si>
  <si>
    <t>Área de Vegetación sobre terreno (m2)</t>
  </si>
  <si>
    <t>Área de Techo Verde (m2)</t>
  </si>
  <si>
    <t>Ks</t>
  </si>
  <si>
    <t>Kd</t>
  </si>
  <si>
    <t>Kmc</t>
  </si>
  <si>
    <t>KL</t>
  </si>
  <si>
    <t>ET0</t>
  </si>
  <si>
    <t>ETL</t>
  </si>
  <si>
    <t>Coef. Riego</t>
  </si>
  <si>
    <t>Coef.</t>
  </si>
  <si>
    <t>Control de Tiempo</t>
  </si>
  <si>
    <t>ENERO</t>
  </si>
  <si>
    <t>Potencia Nominal del Panel (Wp):</t>
  </si>
  <si>
    <t>Eficiencia del inversor:</t>
  </si>
  <si>
    <t>Renovaciones de Aire</t>
  </si>
  <si>
    <t>Totales</t>
  </si>
  <si>
    <t>Qve Verano</t>
  </si>
  <si>
    <t>H ve</t>
  </si>
  <si>
    <t>q ve Verano</t>
  </si>
  <si>
    <t>q inf</t>
  </si>
  <si>
    <t>Qve Invierno</t>
  </si>
  <si>
    <t>Potencia Nominal del Panel (Wp)</t>
  </si>
  <si>
    <t>PANELES SOLARES - Radiación Solar - Luminaria 1</t>
  </si>
  <si>
    <t>PANELES SOLARES - Radiación Solar - Luminaria 2</t>
  </si>
  <si>
    <t>PANELES SOLARES - Radiación Solar - Luminaria 3</t>
  </si>
  <si>
    <t>PANELES SOLARES - Radiación Solar - Luminaria 4</t>
  </si>
  <si>
    <t>Consumo Corregido (kWh/Año)</t>
  </si>
  <si>
    <t>Ncal</t>
  </si>
  <si>
    <t>Nref</t>
  </si>
  <si>
    <t>K inf ref</t>
  </si>
  <si>
    <t>K inf cal</t>
  </si>
  <si>
    <t>N ref</t>
  </si>
  <si>
    <t>N cal</t>
  </si>
  <si>
    <t>Recuperación de Agua</t>
  </si>
  <si>
    <t>mm/mes</t>
  </si>
  <si>
    <t>PRECIPITACIONES MENSUALES</t>
  </si>
  <si>
    <t>mm</t>
  </si>
  <si>
    <t>Lluvia Anual (mm/Anual):</t>
  </si>
  <si>
    <t>Coef. Cant. Agua</t>
  </si>
  <si>
    <t>Duchas</t>
  </si>
  <si>
    <t>Lavarropas</t>
  </si>
  <si>
    <t>Aguas Grises (kL/Año)</t>
  </si>
  <si>
    <t>SISTEMA DE CAPTACIÓN Y REUTILIZACIÓN DE AGUA DE CONDENSADO</t>
  </si>
  <si>
    <t>¿Cuenta con Sist. De Captación de Agua de Condensado?</t>
  </si>
  <si>
    <t>Presión de Vapor (Pa):</t>
  </si>
  <si>
    <t>Temp. Exterior:</t>
  </si>
  <si>
    <t>WVSP</t>
  </si>
  <si>
    <t>Pa</t>
  </si>
  <si>
    <t>Ratio de Humedad (g/kg):</t>
  </si>
  <si>
    <t>C.I. Peso Aire (kg/m3):</t>
  </si>
  <si>
    <t>Peso Aire Ext: (kg/h):</t>
  </si>
  <si>
    <t>Volumen de agua (l/h):</t>
  </si>
  <si>
    <t>Ratio Hum. Int (g/kg):</t>
  </si>
  <si>
    <t>Delta Ratio Hum. (g/kg):</t>
  </si>
  <si>
    <t>Agua Condensada Verano</t>
  </si>
  <si>
    <t>kL/mes</t>
  </si>
  <si>
    <t>Agua Condensada Invierno</t>
  </si>
  <si>
    <t>Flujo de Aire</t>
  </si>
  <si>
    <t>Caudal de Aire del Sistema (m3/h):</t>
  </si>
  <si>
    <t>Total (kL/año):</t>
  </si>
  <si>
    <t>Agua de lluvia capturada (kL/año):</t>
  </si>
  <si>
    <t>Resumen</t>
  </si>
  <si>
    <t>Capacidad del Tanque para lluvia (kL):</t>
  </si>
  <si>
    <t>Volumen Anual de Lluvia Capturada (kL):</t>
  </si>
  <si>
    <t>Volumen Anual de Agua Condensada (kL):</t>
  </si>
  <si>
    <t>Capacidad del para A. Grises (kL):</t>
  </si>
  <si>
    <t>Capacidad del para A. Condensada (kL):</t>
  </si>
  <si>
    <t>Cumple el sistema de Agua:</t>
  </si>
  <si>
    <t>Cumple el sistema de Aguas Grises:</t>
  </si>
  <si>
    <t>kL:</t>
  </si>
  <si>
    <t>Cumple el sistema de Agua Condensada:</t>
  </si>
  <si>
    <t>Destino</t>
  </si>
  <si>
    <t>Consumo m3/Año</t>
  </si>
  <si>
    <t>Agua de lluvia capturada (m3/Año):</t>
  </si>
  <si>
    <t>Aguas Grises (m3/Año):</t>
  </si>
  <si>
    <t>Agua Condensada (m3/Año):</t>
  </si>
  <si>
    <t>kgCO2/Año</t>
  </si>
  <si>
    <t xml:space="preserve">Evapotranspiracion potencial </t>
  </si>
  <si>
    <t>MM</t>
  </si>
  <si>
    <t>Indice</t>
  </si>
  <si>
    <t>Inodoro</t>
  </si>
  <si>
    <t>Muro Trombe</t>
  </si>
  <si>
    <t>k Aire</t>
  </si>
  <si>
    <t>K FINAL</t>
  </si>
  <si>
    <t>Temp. Ext.</t>
  </si>
  <si>
    <r>
      <t>Resistencia Térmica R(m</t>
    </r>
    <r>
      <rPr>
        <vertAlign val="superscript"/>
        <sz val="12"/>
        <color theme="1"/>
        <rFont val="Times New Roman"/>
        <family val="1"/>
      </rPr>
      <t>2</t>
    </r>
    <r>
      <rPr>
        <sz val="12"/>
        <color theme="1"/>
        <rFont val="Times New Roman"/>
        <family val="1"/>
      </rPr>
      <t>.K.W)</t>
    </r>
  </si>
  <si>
    <r>
      <t xml:space="preserve">Radiación extraterrestre    </t>
    </r>
    <r>
      <rPr>
        <b/>
        <sz val="12"/>
        <rFont val="Times New Roman"/>
        <family val="1"/>
      </rPr>
      <t xml:space="preserve">Ho </t>
    </r>
    <r>
      <rPr>
        <sz val="12"/>
        <rFont val="Times New Roman"/>
        <family val="1"/>
      </rPr>
      <t xml:space="preserve">      en w/m2</t>
    </r>
  </si>
  <si>
    <t>La capacidad minima de litros aceptada es de 200.</t>
  </si>
  <si>
    <t>Hormigones_Normales_y_Livianos</t>
  </si>
  <si>
    <t>Hormigones_Especiales</t>
  </si>
  <si>
    <t>Placas_y_Planchas</t>
  </si>
  <si>
    <t>Aislantes_Lanas_y_Perlita</t>
  </si>
  <si>
    <t>Aislantes_Plasticos</t>
  </si>
  <si>
    <t>Ladrillos_y_Bloques_Macizos</t>
  </si>
  <si>
    <t>Ladrillos_Ceramicos</t>
  </si>
  <si>
    <t xml:space="preserve">Bloques_Hormigon </t>
  </si>
  <si>
    <t>Forjados_Vigueta_Ladrillo_Sapo_Capa_Comp</t>
  </si>
  <si>
    <t>Barreras_Vapor</t>
  </si>
  <si>
    <t>Camaras</t>
  </si>
  <si>
    <t>Contrapiso_Ultraliviano</t>
  </si>
  <si>
    <t>Recuperación de Aguas Residuales</t>
  </si>
  <si>
    <t>INSTRUCCIONES</t>
  </si>
  <si>
    <t>Es requisito la utilización de luminarias LED en todos los casos.</t>
  </si>
  <si>
    <t>Terminaciones</t>
  </si>
  <si>
    <t>Baldosa cerámica</t>
  </si>
  <si>
    <t>Baldosa de corcho</t>
  </si>
  <si>
    <t>Baldosa de plástico</t>
  </si>
  <si>
    <t>Consumo Final m3/año</t>
  </si>
  <si>
    <t>No se encuentran Techos Ingresados en el Sistema.</t>
  </si>
  <si>
    <t>No se encuentran Muros Ingresados en el Sistema.</t>
  </si>
  <si>
    <t>MOTOR DE CALCULO</t>
  </si>
  <si>
    <t>GANANCIAS SOLARES</t>
  </si>
  <si>
    <t>Coef. SR</t>
  </si>
  <si>
    <t>Transmisión horaria promedio (w/ºc)</t>
  </si>
  <si>
    <t>Adultos</t>
  </si>
  <si>
    <t>Menores de 14</t>
  </si>
  <si>
    <t>Basura</t>
  </si>
  <si>
    <t>Frecuencia</t>
  </si>
  <si>
    <t>Transporte</t>
  </si>
  <si>
    <t>Adoles.</t>
  </si>
  <si>
    <t>Menores</t>
  </si>
  <si>
    <t>Caminar</t>
  </si>
  <si>
    <t>Auto</t>
  </si>
  <si>
    <t>Movilidad</t>
  </si>
  <si>
    <t>Moto</t>
  </si>
  <si>
    <t>km</t>
  </si>
  <si>
    <t>Espacio Adyacente</t>
  </si>
  <si>
    <t>DATOS</t>
  </si>
  <si>
    <t>SERVICIOS</t>
  </si>
  <si>
    <t>BASE DE DATOS: CO2</t>
  </si>
  <si>
    <t>kgCO2/Año/km</t>
  </si>
  <si>
    <t>Semanal</t>
  </si>
  <si>
    <t>Rutas</t>
  </si>
  <si>
    <t>Trabajo</t>
  </si>
  <si>
    <t>CO2</t>
  </si>
  <si>
    <t>Distancia</t>
  </si>
  <si>
    <t>Anual</t>
  </si>
  <si>
    <t>RESIDUOS</t>
  </si>
  <si>
    <t>Gases de Efecto Invernadero (kgCO2/Año)</t>
  </si>
  <si>
    <t>Compostaje in situ</t>
  </si>
  <si>
    <t>Reciclaje</t>
  </si>
  <si>
    <t>Biodigestores</t>
  </si>
  <si>
    <t>Pared Exterior 3:</t>
  </si>
  <si>
    <t>Personalizado 1:</t>
  </si>
  <si>
    <t>Calor Sensible Total W</t>
  </si>
  <si>
    <t>Calor Latente</t>
  </si>
  <si>
    <t>Mensual</t>
  </si>
  <si>
    <t>Ganancias Internas (w/ºc)</t>
  </si>
  <si>
    <t>Paredes Exteriores</t>
  </si>
  <si>
    <t>SR</t>
  </si>
  <si>
    <t>Muros Total</t>
  </si>
  <si>
    <t>TOTAL</t>
  </si>
  <si>
    <t>TEMPERATURA INTERIOR</t>
  </si>
  <si>
    <t>Delta Temp. Prom</t>
  </si>
  <si>
    <t>Coef. Muros al exterior</t>
  </si>
  <si>
    <t>Delta TEMP. VERANO</t>
  </si>
  <si>
    <t>Delta TEMP. INVIERNO</t>
  </si>
  <si>
    <t>Hospital (m)</t>
  </si>
  <si>
    <t>Distancia (m)</t>
  </si>
  <si>
    <t>Centro de Salud (m)</t>
  </si>
  <si>
    <t>Primaria y Secundaria (m)</t>
  </si>
  <si>
    <t>Polideportivo / Centro de Deportes (m)</t>
  </si>
  <si>
    <t>Edificio para desarrollo de Actividades Culturales (m)</t>
  </si>
  <si>
    <t>Comercio Minorista Barrial (m)</t>
  </si>
  <si>
    <t>Centro Comercial Planificado (m)</t>
  </si>
  <si>
    <t>Centro Urbano (m)</t>
  </si>
  <si>
    <t>GDR Diarios</t>
  </si>
  <si>
    <t>GDR Diarios 24ºC</t>
  </si>
  <si>
    <t>Cargas</t>
  </si>
  <si>
    <t>Total KWh a 24ª</t>
  </si>
  <si>
    <t>Gr D</t>
  </si>
  <si>
    <t>GDR Diarios 18ºC</t>
  </si>
  <si>
    <t>BASE DE DATOS: SITIO</t>
  </si>
  <si>
    <t>C1: + 200</t>
  </si>
  <si>
    <t>IC</t>
  </si>
  <si>
    <t>IM</t>
  </si>
  <si>
    <t>II</t>
  </si>
  <si>
    <t>IG</t>
  </si>
  <si>
    <t>C2: 50 a 200</t>
  </si>
  <si>
    <t>C3: 10 a 50</t>
  </si>
  <si>
    <t>C4: Hasta 10</t>
  </si>
  <si>
    <t>Ciudad/Habitantes de la Ciudad (En Miles)</t>
  </si>
  <si>
    <t>Escala del Proyecto</t>
  </si>
  <si>
    <t>Actual</t>
  </si>
  <si>
    <t>KWh Monto Fijo</t>
  </si>
  <si>
    <t>Hall de Transición</t>
  </si>
  <si>
    <t>Agua</t>
  </si>
  <si>
    <t>Costo de Electricidad (AR$) Costo Fijo $/mes</t>
  </si>
  <si>
    <t>SEGÚN LA ESCALA</t>
  </si>
  <si>
    <t>Cantidad de Unidades Totales</t>
  </si>
  <si>
    <t>C.A.T. Nº3195 - AIRBLOCK (Zona I a IV)</t>
  </si>
  <si>
    <t>C.A.T. Nº3098 - DIMARBO (Zona I a IV)</t>
  </si>
  <si>
    <t>C.A.T. Nº3213 - PANEL PREFABRICADO PS 120 (Zona I a IV)</t>
  </si>
  <si>
    <t>C.A.T. Nº3173 - ISOPANEL T (Zona I a IV)</t>
  </si>
  <si>
    <t>C.A.T. Nº3187 - ISOBLOCK (Zona I a IV)</t>
  </si>
  <si>
    <t>C.A.T. Nº3183 - ISOLBRICK 125 (Zona I a VI)</t>
  </si>
  <si>
    <t>C.A.T. Nº3184 - ISOLBRICK 187 (Zona I a VI)</t>
  </si>
  <si>
    <t>C.A.T. Nº318 - ISOLBRICK 250 (Zona I a VI)</t>
  </si>
  <si>
    <t>C.A.T. Nº3199 - EXACTA 250 (Zona I a IV)</t>
  </si>
  <si>
    <t>C.A.T. Nº3198 - EXACTA 187 (Zona I a IV)</t>
  </si>
  <si>
    <t>C.A.T. Nº3197 - EXACTA 125 (Zona I a IV)</t>
  </si>
  <si>
    <t>cielorraso</t>
  </si>
  <si>
    <t>enconfrado</t>
  </si>
  <si>
    <t>bloque de poliestiereno</t>
  </si>
  <si>
    <t>panel tipo sandwiche</t>
  </si>
  <si>
    <t>C.A.T. Nº3215 - HCCA RETAK (Zona I a IV)</t>
  </si>
  <si>
    <t>mampuesto</t>
  </si>
  <si>
    <t>C.A.T. Nº3186 - CIELORRASO CIELOTEX (Zona I a IV)</t>
  </si>
  <si>
    <t>C.A.T. Nº3172 - JORGE MARTINEZ CASAS (Zona I a IV)</t>
  </si>
  <si>
    <t>C.A.T. Nº3134 - PREMOLD (Zona I a IV)</t>
  </si>
  <si>
    <t>C.A.T. Nº3194 - VELOX (Zona I a IV)</t>
  </si>
  <si>
    <t>C.A.T. Nº3079 - VIDHA (Zona I a IV)</t>
  </si>
  <si>
    <t>C.A.T. Nº3176 - CASSAFORMA (Zona I a IV)</t>
  </si>
  <si>
    <t>C.A.T. Nº3210 - ECO WALLS (Zona I a IV)</t>
  </si>
  <si>
    <t>C.A.T. Nº3211 - BENO (Zona I a IV)</t>
  </si>
  <si>
    <t>C.A.T. Nº3141 - VIVIENDA MODULAR CASSINA I (Zona I a IV)</t>
  </si>
  <si>
    <t>C.A.T. Nº3202 - BME (Zona I a IV)</t>
  </si>
  <si>
    <t>C.A.T. Nº3188 - MURO SIPANEL (Zona I a VI)</t>
  </si>
  <si>
    <t>bloque s de madera</t>
  </si>
  <si>
    <t>C.A.T. Nº3188 - TECHO SIPANEL (Zona I a VI)</t>
  </si>
  <si>
    <t>C.A.T. Nº3207 - IMPERIO (Zona VI)</t>
  </si>
  <si>
    <t>C.A.T. Nº3187 - SIPANEL (Zona I a VI)</t>
  </si>
  <si>
    <t>C.A.T. Nº3186 - SIPS (Zona I a VI)</t>
  </si>
  <si>
    <t>C.A.T. Nº3181 - KEY HOMES (Zona I a IV)</t>
  </si>
  <si>
    <t>C.A.T. Nº3143 - VIPAR (Zona I a IV)</t>
  </si>
  <si>
    <t>C.A.T. Nº3127 - MURO VILLAGE (Zona I a IV)</t>
  </si>
  <si>
    <t>C.A.T. Nº3127 - TECHO VILLAGE (Zona I a IV)</t>
  </si>
  <si>
    <t>Panel de cerramiento exterior</t>
  </si>
  <si>
    <t>C.A.T. Nº3206 - CASARELLA STEEL (Zona I a IV)</t>
  </si>
  <si>
    <t>C.A.T. Nº3196 - SMI ECOSAN (Zona I a IV)</t>
  </si>
  <si>
    <t>C.A.T. Nº3157 - THERMA HOUSE (Zona I a IV)</t>
  </si>
  <si>
    <t>C.A.T. Nº3214 - VIVIENDAS TECNOHOUSE (Zona I a IV)</t>
  </si>
  <si>
    <t>C.A.T. Nº3205 - SISTEMA EN PANELES (Zona I a VI)</t>
  </si>
  <si>
    <t>C.A.T. Nº3165 - LOG HOME (Zona I a IV)</t>
  </si>
  <si>
    <t>C.A.T. Nº3169 - VIVIENDAS PREFABRICADAS DE H.A. (Zona I a III)</t>
  </si>
  <si>
    <t>C.A.T. Nº3179 - EMHM 1+3 (Zona I a III)</t>
  </si>
  <si>
    <t>C.A.T. Nº3182 - GAUROS (Zona I a VI)</t>
  </si>
  <si>
    <t>C.A.T. Nº3192 - EL PICAPALO (Zona I a III)</t>
  </si>
  <si>
    <t>C.A.T. Nº3204 - TECNOPANEL FC (Zona I a VI)</t>
  </si>
  <si>
    <t>C.A.T. Nº3131 - LOSA PRENOVA (Zona I a IV)</t>
  </si>
  <si>
    <t>losa</t>
  </si>
  <si>
    <t>C.A.T. Nº3174 - TEJA DE CAUCHO Y PLASTICO RECICLADOS (Zona I a VI)</t>
  </si>
  <si>
    <t xml:space="preserve">C.A.T. Nº3209 - PLACA ECOLOGICA T - PLAK </t>
  </si>
  <si>
    <t>C.A.T. Nº3212 - MAMPUESTO ELABORADO CON PET RECICLADO Y CEMENTO (Zona I a VI)</t>
  </si>
  <si>
    <t>C.A.T. Nº3216 - LADRILLO DE HCCA BRIMAX (Zona I a IV)</t>
  </si>
  <si>
    <t>cubierta de techo</t>
  </si>
  <si>
    <t>Por Conducc. M. T.</t>
  </si>
  <si>
    <t>Total GDR kWh</t>
  </si>
  <si>
    <t>Vertical</t>
  </si>
  <si>
    <t>Horizontal</t>
  </si>
  <si>
    <t>FACTOR SOLAR</t>
  </si>
  <si>
    <t>Ancho</t>
  </si>
  <si>
    <t>Combinada</t>
  </si>
  <si>
    <t>Toldo</t>
  </si>
  <si>
    <t>Invernadero</t>
  </si>
  <si>
    <t>Presenta Invernadero</t>
  </si>
  <si>
    <t>Largo (m)</t>
  </si>
  <si>
    <t>Metal Normal</t>
  </si>
  <si>
    <t>PVC (Tres Camaras)</t>
  </si>
  <si>
    <t>PVC (Dos Camaras)</t>
  </si>
  <si>
    <t>Madera Dura</t>
  </si>
  <si>
    <t>Madera Blanda</t>
  </si>
  <si>
    <t>DVH Incoloro 4+6+4</t>
  </si>
  <si>
    <t>DVH Incoloro 4+9+4</t>
  </si>
  <si>
    <t>DVH Incoloro 4+12+4</t>
  </si>
  <si>
    <t>Es requerimiento mínimo para la zona Bioambiental, que la unidad cuente con refrigeración.</t>
  </si>
  <si>
    <t>Es requerimiento mínimo para la zona Bioambiental, que la unidad cuente con calefacción.</t>
  </si>
  <si>
    <t>Es requerimiento mínimo que la unidad tenga un artefacto de cocina.</t>
  </si>
  <si>
    <t>Costo de Electricidad (AR$) Costo Variable $/kWh</t>
  </si>
  <si>
    <t>Emisiones Totales Línea Base</t>
  </si>
  <si>
    <t>Emisiones Totales Línea Mejorada</t>
  </si>
  <si>
    <t>Adolescentes</t>
  </si>
  <si>
    <t>Según Zona, distancia limite para caminata viable</t>
  </si>
  <si>
    <t>Frecuencia de recolección por semana</t>
  </si>
  <si>
    <t>Guardería y Preescolar (m)</t>
  </si>
  <si>
    <t>Este lineamiento es obligatorio para esta Zona Bioclimática.</t>
  </si>
  <si>
    <t>CARGAS TÉRMICAS</t>
  </si>
  <si>
    <t>Área Vidriada</t>
  </si>
  <si>
    <t>Área Marco</t>
  </si>
  <si>
    <t>Área de Fuga</t>
  </si>
  <si>
    <t>Área Total Ventana</t>
  </si>
  <si>
    <t>PVC (Tres Cámaras)</t>
  </si>
  <si>
    <t>Por Conducción</t>
  </si>
  <si>
    <t>ENERGÍA TERMICA</t>
  </si>
  <si>
    <t>ENERGÍA SECUNDARIA</t>
  </si>
  <si>
    <t>ENERGÍA PRIMARIA</t>
  </si>
  <si>
    <t>Sin Iluminación</t>
  </si>
  <si>
    <t>Descuento Fotovoltaico</t>
  </si>
  <si>
    <t>Esta medida es obligatoria para su aprobación.</t>
  </si>
  <si>
    <t>Cantidad de módulos:</t>
  </si>
  <si>
    <t>¿Presenta agrupamiento volumétrico?</t>
  </si>
  <si>
    <t>Área:</t>
  </si>
  <si>
    <t>Coef. Relación</t>
  </si>
  <si>
    <t>Alto de la Pérgola / Galería</t>
  </si>
  <si>
    <t>Tipo de protección</t>
  </si>
  <si>
    <t>Vegetación</t>
  </si>
  <si>
    <t>Cámara de Aire (m)</t>
  </si>
  <si>
    <t>Área</t>
  </si>
  <si>
    <t>Total Por Conducción</t>
  </si>
  <si>
    <t>Grifería Lavadero</t>
  </si>
  <si>
    <t>Canilla Exterior</t>
  </si>
  <si>
    <t>Ratio de Evo transpiración (ET0) (mm):</t>
  </si>
  <si>
    <t>No coinciden las Áreas.</t>
  </si>
  <si>
    <t>Área de Techo Verde (m2):</t>
  </si>
  <si>
    <t>Consumo de Agua (L/Día)</t>
  </si>
  <si>
    <t>SISTEMAS DE CAPTACIÓN Y REUTILIZACIÓN DE AGUA</t>
  </si>
  <si>
    <t>Griferías de Cocina</t>
  </si>
  <si>
    <t>Método por Ocupación (m3/h):</t>
  </si>
  <si>
    <t>Griferías de Lavatorio</t>
  </si>
  <si>
    <t>Método por Renovación de aire (m3/h):</t>
  </si>
  <si>
    <t>Presión Atm.:</t>
  </si>
  <si>
    <t>Método por Área (m3/h):</t>
  </si>
  <si>
    <t>Volumen de agua (l/día):</t>
  </si>
  <si>
    <t>Volumen Anual de Aguas Grises (kL):</t>
  </si>
  <si>
    <t>No puedes seleccionar esta medida, ya que, no estas presentando acond. térmico.</t>
  </si>
  <si>
    <t>Volumen Anual (m3/Año):</t>
  </si>
  <si>
    <t>LÍNEA BASE</t>
  </si>
  <si>
    <t>Prec. Verano (mm):</t>
  </si>
  <si>
    <t>Grifería de Cocina</t>
  </si>
  <si>
    <t>Grifería Lavatorio</t>
  </si>
  <si>
    <t>bloque de hormigón</t>
  </si>
  <si>
    <t>panel térmico de techo</t>
  </si>
  <si>
    <t>Chapa s/cámara ventilada, EPS 5cm, Placa TYVEK</t>
  </si>
  <si>
    <t>Revestimiento exterior 2cm, Mampostería ladrillo común 24cm, Revestimiento interior 2cm</t>
  </si>
  <si>
    <t>Roca mármol d=2600</t>
  </si>
  <si>
    <t>Chapa, cámara de aire, 50mm aislación, cielorraso</t>
  </si>
  <si>
    <t>Roca Ónix en placas o bloques    d=2600</t>
  </si>
  <si>
    <t>Chapa, Cámara de aire, Aislación 100mm, Cielorraso</t>
  </si>
  <si>
    <t>Roca piedra pómez   d=800</t>
  </si>
  <si>
    <t>Roca piedra pómez  d=1000</t>
  </si>
  <si>
    <t>Roca piedra pómez  d=1400</t>
  </si>
  <si>
    <t>Roca piedra pómez  d=600</t>
  </si>
  <si>
    <t>Chapa, Cámara de aire, Aislación 75mm, Cielorraso</t>
  </si>
  <si>
    <t>Chapa, Cámara de aire, Cielorraso</t>
  </si>
  <si>
    <t xml:space="preserve">Ladrillo visto 12cm, Cámara de aire 25mm, Ladrillo cerámico 8cm, Revestimiento Interior 2cm </t>
  </si>
  <si>
    <t>Chapa, Entablonada, Cámara de aire, Aislación 25mm, Cielorraso</t>
  </si>
  <si>
    <t xml:space="preserve">Machimbre, Fenólico, Cámara de aire, Aislación 100mm, Placa de yeso </t>
  </si>
  <si>
    <t>Cielorraso suspendido 2cm,  Cámara de aire 75mm,  Aislante 25mm, H°A° 10cm, Contrapiso 8cm, Carpeta nivelación 4cm</t>
  </si>
  <si>
    <t xml:space="preserve">Machimbre, Fenólico, Cámara, Aislación 75mm, Placa de yeso </t>
  </si>
  <si>
    <t>Cielorraso suspendido 2cm, Cámara de aire 10mm, H°A° 10cm, Contrapiso 8cm, Carpeta nivelación 4cm</t>
  </si>
  <si>
    <t>Madera 2cm, Aislación 100mm, Placa yeso 1cm</t>
  </si>
  <si>
    <t>Revoque Exterior 2cm, Mampostería ladrillo común 24cm, Revestimiento Interior 2cm</t>
  </si>
  <si>
    <t>Madera 2cm, Cámara de aire 50mm, Aislación 50mm, Placa yeso 1cm</t>
  </si>
  <si>
    <t>C.A.T. Nº3080 - NUEVA GENERACIÓN (Zona I a IV)</t>
  </si>
  <si>
    <t>C.A.T. Nº3094 - VIVIENDAS NEUQUÉN (Zona I a IV)</t>
  </si>
  <si>
    <t>Revestimiento Interior 2cm, Losa cerámico 16cm, Aislación 100mm, Carpeta Terminación 4cm</t>
  </si>
  <si>
    <t>Revestimiento Interior 2cm, Losa cerámico 16cm, Aislación 10mm, Carpeta Terminación 4cm</t>
  </si>
  <si>
    <t>Protección</t>
  </si>
  <si>
    <t>Revestimiento Interior 2cm, Losa cerámico 16cm, Aislación 25mm, Carpeta Terminación 4cm</t>
  </si>
  <si>
    <t>Revestimiento Interior 2cm, Losa cerámico 16cm, Aislación 50mm, Carpeta Terminación 4cm</t>
  </si>
  <si>
    <t>Suelo natural húmedo denso  d=1900</t>
  </si>
  <si>
    <t>Revestimiento Interior 2cm, Losa cerámico 16cm, Contrapiso liviano 8cm, Carpeta Terminación 4cm</t>
  </si>
  <si>
    <t>Revestimiento interior 2cm, Losa H°A° 10cm, Aislante 100mm, Carpeta Terminación 4cm</t>
  </si>
  <si>
    <t>Revestimiento interior 2cm, Losa H°A° 10cm, Aislante 10mm, Carpeta Terminación 4cm</t>
  </si>
  <si>
    <t>Revestimiento interior 2cm, Losa H°A° 10cm, Aislante 25mm, Carpeta Terminación 4cm</t>
  </si>
  <si>
    <t>Revestimiento interior 2cm, Losa H°A° 10cm, Aislante 50mm, Carpeta Terminación 4cm</t>
  </si>
  <si>
    <t>Revestimiento Interior 2cm, Losa hormigón 10cm, Contrapiso liviano 8cm</t>
  </si>
  <si>
    <t>Revestimiento, Losa cerámico, Capa compresora, Aislante 50mm, Terminación</t>
  </si>
  <si>
    <t>C.A.T. Nº3193 - CASAS CONTEMPORÁNEAS (Zona I a IV)</t>
  </si>
  <si>
    <t>Horm. C/ agregado pétreo  d=1800</t>
  </si>
  <si>
    <t>Horm.c/ agregado petreo  d=1900</t>
  </si>
  <si>
    <t>Horm.c/ agregado petreo  d=2000</t>
  </si>
  <si>
    <t>Horm. C/ agregado petreo  d=2200</t>
  </si>
  <si>
    <t>Horm c/ agregado petreo  d=2400</t>
  </si>
  <si>
    <t>Horm c/ agregado petreo  d=2500</t>
  </si>
  <si>
    <t>Sin Protección</t>
  </si>
  <si>
    <t>Protección Vertical</t>
  </si>
  <si>
    <t>Protección Horizontal</t>
  </si>
  <si>
    <t>Protección Combinada</t>
  </si>
  <si>
    <t>Horm c/ fibras celulósicas d=300</t>
  </si>
  <si>
    <t>Horm c/ fibras celulósicas d=400</t>
  </si>
  <si>
    <t>Hormigón con carbón</t>
  </si>
  <si>
    <t>Hormigón con fibras de vidrio resistentes</t>
  </si>
  <si>
    <t>Hormigón refractario</t>
  </si>
  <si>
    <t>PVC (Dos Cámaras)</t>
  </si>
  <si>
    <t>Policarbonato rígido en planchas</t>
  </si>
  <si>
    <t>Poli cloruro de vinilo rígido (PVC)</t>
  </si>
  <si>
    <t xml:space="preserve">Polipropileno rígido </t>
  </si>
  <si>
    <t>Resina acrílica en planchas</t>
  </si>
  <si>
    <t>Vidrio armado con malla metálica</t>
  </si>
  <si>
    <t>Acero de construcción</t>
  </si>
  <si>
    <t>Chapa sobre cámara ventilada</t>
  </si>
  <si>
    <t>Entablonada pino  amachimbrado</t>
  </si>
  <si>
    <t>Calefacción por agua</t>
  </si>
  <si>
    <t>Tableros c/ laminado plástico 1 cara</t>
  </si>
  <si>
    <t>Tableros c/ laminado plástico 2 caras</t>
  </si>
  <si>
    <t>Tableros ligncelulosicos de partes aglom</t>
  </si>
  <si>
    <t>Perlita suelta granulado volcánico exp.</t>
  </si>
  <si>
    <t xml:space="preserve">Polisocianato más poliéster </t>
  </si>
  <si>
    <t xml:space="preserve">Terpolímero de acetato, cloruro y laurato de vinilo  </t>
  </si>
  <si>
    <t>5 Bloque Ho. c/enrejado de cartón 19*19*39</t>
  </si>
  <si>
    <t>6 Bloque Ho.relleno c/poliéster. expand. 19*19*39</t>
  </si>
  <si>
    <t>Poliéster</t>
  </si>
  <si>
    <t>BASE DE DATOS: FACTOR DE CORRECCIÓN INTERCAMBIO TÉRMICO</t>
  </si>
  <si>
    <t>Césped</t>
  </si>
  <si>
    <t>Generación Eléctrica (kWh/Año):</t>
  </si>
  <si>
    <t>Color Bronce 3mm</t>
  </si>
  <si>
    <t>Color Bronce 6mm</t>
  </si>
  <si>
    <t>DVH Incoloro 3+12+3</t>
  </si>
  <si>
    <t>DVH Incoloro 6+12+6</t>
  </si>
  <si>
    <t>DVH Bronce + LowE 3+12+3</t>
  </si>
  <si>
    <t>DVH Bronce + LowE 6+12+6</t>
  </si>
  <si>
    <t>DVH Reflectivo Incoloro + LowE 6+12+6</t>
  </si>
  <si>
    <t>DVH Reflectivo Bronce + LowE 6+12+6</t>
  </si>
  <si>
    <t>DVH Incoloro + LowE 3+12+3</t>
  </si>
  <si>
    <t>DVH Incoloro + LowE 6+12+6</t>
  </si>
  <si>
    <t>DVH Incoloro + LowE 4+6+4</t>
  </si>
  <si>
    <t>DVH Incoloro + LowE 4+9+4</t>
  </si>
  <si>
    <t>DVH Incoloro + LowE 4+12+4</t>
  </si>
  <si>
    <t>Ventilación Selectiva</t>
  </si>
  <si>
    <t>Ventilación Inv</t>
  </si>
  <si>
    <t>Ventilación Ver</t>
  </si>
  <si>
    <t>,</t>
  </si>
  <si>
    <t>Balcones (m2)</t>
  </si>
  <si>
    <t>IRAM 11.605</t>
  </si>
  <si>
    <t>MUY CALIDO</t>
  </si>
  <si>
    <t>ZONAS I y II</t>
  </si>
  <si>
    <t>Agrupamiento NO</t>
  </si>
  <si>
    <t>ORIENTACION</t>
  </si>
  <si>
    <t>SEGÚN LINEA BASE BIOCLIMATICA</t>
  </si>
  <si>
    <t>Lineamiento 8: Protección Solar 2</t>
  </si>
  <si>
    <t>WWR</t>
  </si>
  <si>
    <t>PROTECCION VIDRIO</t>
  </si>
  <si>
    <t>GALERIAS</t>
  </si>
  <si>
    <t>ZONA BIO. 1 Y 2</t>
  </si>
  <si>
    <t>ZONA BIO. 3</t>
  </si>
  <si>
    <t>ZONA BIO. 4</t>
  </si>
  <si>
    <t>ZONA BIO. 5</t>
  </si>
  <si>
    <t>ZONA BIO. 6</t>
  </si>
  <si>
    <t>Lineamiento 9: Agrupamiento Volumétrico</t>
  </si>
  <si>
    <t>Lineamiento 10: Espacios Bioclimáticos</t>
  </si>
  <si>
    <t>Lineamiento 11: Paisajismo</t>
  </si>
  <si>
    <t>Lineamiento 12: Inercia TERMICA</t>
  </si>
  <si>
    <t>BASE DE DATOS: LINEA BASE</t>
  </si>
  <si>
    <t>ZONAS III</t>
  </si>
  <si>
    <t>TEMPLADO CALIDO</t>
  </si>
  <si>
    <t>¿Cuenta la unidad con Galería / Pérgola?</t>
  </si>
  <si>
    <t>LINEA BASE: RESULTADOS</t>
  </si>
  <si>
    <t>REFIGERACION</t>
  </si>
  <si>
    <t>CALFEACCION</t>
  </si>
  <si>
    <t>ZONAS IV</t>
  </si>
  <si>
    <t>TEMPLADO FRIO</t>
  </si>
  <si>
    <t>Agrupamiento SI</t>
  </si>
  <si>
    <t>ZONAS V</t>
  </si>
  <si>
    <t>FRIO</t>
  </si>
  <si>
    <t>MUY FRIO</t>
  </si>
  <si>
    <t>SITIO</t>
  </si>
  <si>
    <t>100°</t>
  </si>
  <si>
    <t>95°</t>
  </si>
  <si>
    <t>90°</t>
  </si>
  <si>
    <t>85°</t>
  </si>
  <si>
    <t>80°</t>
  </si>
  <si>
    <t>75°</t>
  </si>
  <si>
    <t>70°</t>
  </si>
  <si>
    <t>INCLINACION</t>
  </si>
  <si>
    <t>MIN</t>
  </si>
  <si>
    <t>MAX</t>
  </si>
  <si>
    <t>CATARARMA</t>
  </si>
  <si>
    <t>CORDOBA</t>
  </si>
  <si>
    <t>CHACO</t>
  </si>
  <si>
    <t>CHUBUT</t>
  </si>
  <si>
    <t>ENTRE RIOS</t>
  </si>
  <si>
    <t>LA PAMPA</t>
  </si>
  <si>
    <t>MISIONES</t>
  </si>
  <si>
    <t>NEUQUEN</t>
  </si>
  <si>
    <t>RIO NEGRO</t>
  </si>
  <si>
    <t>SANTA CRUZ</t>
  </si>
  <si>
    <t>SANTA FE</t>
  </si>
  <si>
    <t>TIERRA DEL FUEGO</t>
  </si>
  <si>
    <t>TUCUMAN</t>
  </si>
  <si>
    <t>BASE DE DATOS: INCLINACION RADIACION</t>
  </si>
  <si>
    <t>Inclinacion 100 ef.</t>
  </si>
  <si>
    <t>Inclinacion 95 ef.</t>
  </si>
  <si>
    <t>Inclinacion 85 ef.</t>
  </si>
  <si>
    <t>Efectividad</t>
  </si>
  <si>
    <t>Inclinacion 90 ef.</t>
  </si>
  <si>
    <t>En caso de que no sea independiente, ¿Con que sistema comparte el tanque?</t>
  </si>
  <si>
    <t>Agua de Lluvia</t>
  </si>
  <si>
    <t>Aguas Grises</t>
  </si>
  <si>
    <t>Costo de Gas Natural (AR$) Costo Fijo $/KWh</t>
  </si>
  <si>
    <t>Costo de Gas Natural (AR$) Costo Variable $/kWh</t>
  </si>
  <si>
    <t>DEMANDA DE ACONDICIONAMIENTO TÉRMICO MENSUAL (kWh)</t>
  </si>
  <si>
    <t>Catamarca</t>
  </si>
  <si>
    <t>Chaco</t>
  </si>
  <si>
    <t>Chubut</t>
  </si>
  <si>
    <t>Cordoba</t>
  </si>
  <si>
    <t>Corrientes</t>
  </si>
  <si>
    <t>Entre Rios</t>
  </si>
  <si>
    <t>Formosa</t>
  </si>
  <si>
    <t>Jujuy</t>
  </si>
  <si>
    <t>La Pampa</t>
  </si>
  <si>
    <t>La Rioja</t>
  </si>
  <si>
    <t>Mendoza</t>
  </si>
  <si>
    <t>Misiones</t>
  </si>
  <si>
    <t>Neuquen</t>
  </si>
  <si>
    <t>Rio Negro</t>
  </si>
  <si>
    <t>Salta</t>
  </si>
  <si>
    <t>San Juan</t>
  </si>
  <si>
    <t>San Luis</t>
  </si>
  <si>
    <t>Santa Cruz</t>
  </si>
  <si>
    <t>Santa Fe</t>
  </si>
  <si>
    <t>Santiago del Estero</t>
  </si>
  <si>
    <t>Tierra del Fuego</t>
  </si>
  <si>
    <t>Tucuman</t>
  </si>
  <si>
    <t>Cantidad:</t>
  </si>
  <si>
    <t>Consumo (W):</t>
  </si>
  <si>
    <t>Ventiladores</t>
  </si>
  <si>
    <t>Consumo(W):</t>
  </si>
  <si>
    <t>W Totales:</t>
  </si>
  <si>
    <t>Horas al dia de uso:</t>
  </si>
  <si>
    <t>Wh/Año:</t>
  </si>
  <si>
    <t>kWh/Año:</t>
  </si>
  <si>
    <t>Vivienda Proyectada</t>
  </si>
  <si>
    <t>Vivienda Nueva</t>
  </si>
  <si>
    <t>Vivienda Existente</t>
  </si>
  <si>
    <t>Clase B o C</t>
  </si>
  <si>
    <t>Salamandra a Leña</t>
  </si>
  <si>
    <t>Salamandra a Pellets</t>
  </si>
  <si>
    <t>Hogar a Leña</t>
  </si>
  <si>
    <t>Hogar a Pellets</t>
  </si>
  <si>
    <t>EMISIONES</t>
  </si>
  <si>
    <t>EMISIONES DE CO2</t>
  </si>
  <si>
    <t>¿Cuenta la unidad con Invernadero adosado a la Vivienda?</t>
  </si>
  <si>
    <t>La conformación de los espacios exteriores deberá lograr buen asoleamiento invernal y protección de los vientos fuertes y persistentes.</t>
  </si>
  <si>
    <t>* ESCALA URBANA</t>
  </si>
  <si>
    <t>* EQUIPAMIENTO</t>
  </si>
  <si>
    <t>* ORIENTACIÓN</t>
  </si>
  <si>
    <t>¿Será entregada o tiene instalada Iluminación Interior?</t>
  </si>
  <si>
    <t>¿Será entregada o tiene instalada Iluminación Exterior?</t>
  </si>
  <si>
    <t>¿Será entregada o tiene instalada una Cocina?</t>
  </si>
  <si>
    <t>¿Será entregada o tiene instalada un Lavarropas?</t>
  </si>
  <si>
    <t>¿Será entregada o tiene instalada una Heladera?</t>
  </si>
  <si>
    <t>* DATOS GENERALES DEL PROYECTO</t>
  </si>
  <si>
    <t>* DATOS DE LA UNIDAD HABITACIONAL</t>
  </si>
  <si>
    <t>* Áreas</t>
  </si>
  <si>
    <t>* Espacios Exteriores</t>
  </si>
  <si>
    <t>Losa, Aislación perimetral 50 mm</t>
  </si>
  <si>
    <t>Losa, Aislación total 50mm</t>
  </si>
  <si>
    <t>Losa, s/Aislación</t>
  </si>
  <si>
    <t>* ENVOLVENTE</t>
  </si>
  <si>
    <t>PISO</t>
  </si>
  <si>
    <t>* ABERTURAS / PROTECCIÓN SOLAR</t>
  </si>
  <si>
    <t>* VENTILACIÓN</t>
  </si>
  <si>
    <t>Luz Solar</t>
  </si>
  <si>
    <t>Orientación:</t>
  </si>
  <si>
    <t>Dispone de Otro Sistema:</t>
  </si>
  <si>
    <t>* ENERGÍAS RENOVABLES</t>
  </si>
  <si>
    <t>Sin Agrupamiento</t>
  </si>
  <si>
    <t>Dispersa</t>
  </si>
  <si>
    <t>Compacta</t>
  </si>
  <si>
    <t>Continua</t>
  </si>
  <si>
    <t>Espacios Semicubiertos</t>
  </si>
  <si>
    <t>Lamas</t>
  </si>
  <si>
    <t>Extensión de Techo</t>
  </si>
  <si>
    <t>Planos Vidriados</t>
  </si>
  <si>
    <t>¿El tanque es independiente?</t>
  </si>
  <si>
    <t>Espesor del Sustrato (cm):</t>
  </si>
  <si>
    <t>Extensivo</t>
  </si>
  <si>
    <t>Intensivo</t>
  </si>
  <si>
    <t>Afectacion ORIENTACION</t>
  </si>
  <si>
    <t xml:space="preserve">Todo campo a completar con asterisco (*) es de completado obligatorio por el operador de la herramienta. </t>
  </si>
  <si>
    <t>Todo campo a completar sin asterisco es optativo para el operador de la herramienta.</t>
  </si>
  <si>
    <t xml:space="preserve">Todo campo en color amarrillo claro debe ser completado por el operador de la herramienta. </t>
  </si>
  <si>
    <t xml:space="preserve">Todo campo en color amarrillo oscuro son listado de desplegables que deberá completar el usuario. </t>
  </si>
  <si>
    <t>NO APROBADA</t>
  </si>
  <si>
    <t>No se encuentran Pisos Ingresados en el Sistema.</t>
  </si>
  <si>
    <r>
      <rPr>
        <b/>
        <sz val="12"/>
        <color theme="0"/>
        <rFont val="Times New Roman"/>
        <family val="1"/>
      </rPr>
      <t>NORMA IRAM 11.601 - CÁLCULO DE TRANSMITANCIA TÉRMICA</t>
    </r>
    <r>
      <rPr>
        <sz val="12"/>
        <color theme="0"/>
        <rFont val="Times New Roman"/>
        <family val="1"/>
      </rPr>
      <t>, para INVIERNO y VERANO</t>
    </r>
  </si>
  <si>
    <t>WH</t>
  </si>
  <si>
    <t>Material Personalizado:</t>
  </si>
  <si>
    <t>Material Personalizado Techo</t>
  </si>
  <si>
    <t>Material Personalizado Pared Exterior</t>
  </si>
  <si>
    <t>Material Personalizado Piso</t>
  </si>
  <si>
    <t>Material Personalizado Ventana</t>
  </si>
  <si>
    <t>Costo de Agua Corriente Variable (AR$) Valor M3</t>
  </si>
  <si>
    <t>MATERIALES PERSONALIZADOS</t>
  </si>
  <si>
    <t>Costo del Gas Envasado (AR$)</t>
  </si>
  <si>
    <t>¿La unidad funcional se encuentra conectada a la red de Gas Natural?</t>
  </si>
  <si>
    <t>FALTAN DATOS</t>
  </si>
  <si>
    <t>Ingresar la Provincia y la Localidad del Proyecto para poder continuar</t>
  </si>
  <si>
    <t>No se encuentran las Orientaciones Ingresadas en el Sistema.</t>
  </si>
  <si>
    <t>Ingresar Datos sobre el Entorno</t>
  </si>
  <si>
    <t>Iluminación:</t>
  </si>
  <si>
    <t>Sistema de Ventilación:</t>
  </si>
  <si>
    <t>Acondicionamiento Termico:</t>
  </si>
  <si>
    <t>SISTEMA DE CONTROL CENTRALIZADO</t>
  </si>
  <si>
    <t>¿Cuenta la vivienda con Sistema de Control Centralizado?</t>
  </si>
  <si>
    <t>Tipo de Circulación:</t>
  </si>
  <si>
    <t>Natural</t>
  </si>
  <si>
    <t>Forzada</t>
  </si>
  <si>
    <t>Localidad</t>
  </si>
  <si>
    <t>Areas</t>
  </si>
  <si>
    <t>Altura</t>
  </si>
  <si>
    <t>No permite Nada</t>
  </si>
  <si>
    <t>No permite Energia y Agua</t>
  </si>
  <si>
    <t>Locales</t>
  </si>
  <si>
    <t>Tipo de Vivienda</t>
  </si>
  <si>
    <t>No permite Resultados</t>
  </si>
  <si>
    <t>Energia</t>
  </si>
  <si>
    <t>No permite parte de Energia, a partir de acondicionamiento</t>
  </si>
  <si>
    <t>VERIFICACION</t>
  </si>
  <si>
    <t>Orientaciones</t>
  </si>
  <si>
    <t>Entorno</t>
  </si>
  <si>
    <t>Aberturas</t>
  </si>
  <si>
    <t>ventilacion</t>
  </si>
  <si>
    <t>Hasta aca: NO DEJAR VER RESULTADOS</t>
  </si>
  <si>
    <t>Envolvente</t>
  </si>
  <si>
    <t>Refigeracion</t>
  </si>
  <si>
    <t>Calefaccion</t>
  </si>
  <si>
    <t>Iluminacion</t>
  </si>
  <si>
    <t>PORCENTAJE FALTAN DATOS</t>
  </si>
  <si>
    <t>SST</t>
  </si>
  <si>
    <t>NO APRUEBA</t>
  </si>
  <si>
    <t>Sitio</t>
  </si>
  <si>
    <t>BIOCLIMATICO</t>
  </si>
  <si>
    <t>NO CUMPLE CON LAS ESTRATEGIAS BIOCLIMÁTICAS MÍNIMAS DEL SELLO</t>
  </si>
  <si>
    <t>Bioclimatica</t>
  </si>
  <si>
    <t>Ilu</t>
  </si>
  <si>
    <t>GAS</t>
  </si>
  <si>
    <t>Siempre</t>
  </si>
  <si>
    <t>PLUS</t>
  </si>
  <si>
    <t>Plus da 3</t>
  </si>
  <si>
    <t>Si es igual a 0</t>
  </si>
  <si>
    <t>Sitiio</t>
  </si>
  <si>
    <t>Pared 1:</t>
  </si>
  <si>
    <t>Pared 2:</t>
  </si>
  <si>
    <t>Pared 3:</t>
  </si>
  <si>
    <t>PRE - APROBADA</t>
  </si>
  <si>
    <t>PRE - APROBADA +</t>
  </si>
  <si>
    <t>Recorridos Disponibles</t>
  </si>
  <si>
    <t>Lineamientos</t>
  </si>
  <si>
    <t>Base</t>
  </si>
  <si>
    <t>Incorporar aberturas: EFICIENCIA NIVEL G SEGÚN IRAM 11.507-6</t>
  </si>
  <si>
    <t>Incorporar aberturas: EFICIENCIA NIVEL D SEGÚN IRAM 11.507-6</t>
  </si>
  <si>
    <t>Tilde</t>
  </si>
  <si>
    <t>Cruz</t>
  </si>
  <si>
    <t>SI es 1, esta mal</t>
  </si>
  <si>
    <t>1 mal</t>
  </si>
  <si>
    <t>1 bien</t>
  </si>
  <si>
    <t>Recolección de Residuos</t>
  </si>
  <si>
    <t>2 es que es correcto</t>
  </si>
  <si>
    <t>1 es correcto</t>
  </si>
  <si>
    <t>Hall / Galeria</t>
  </si>
  <si>
    <t>1 es corrtecto</t>
  </si>
  <si>
    <t>El área minima requerida es de 27m2.</t>
  </si>
  <si>
    <t>Si es 0, esta mal</t>
  </si>
  <si>
    <t>Lineamiento 12: INERCIA TERMICA</t>
  </si>
  <si>
    <t>Cantidad de Unidades:</t>
  </si>
  <si>
    <t>Altura Promedio:</t>
  </si>
  <si>
    <t>Fecha de Ocupación:</t>
  </si>
  <si>
    <t>Costo de Agua Corriente Fijo (AR$) Valor M2</t>
  </si>
  <si>
    <t>* La Unidad Funcional</t>
  </si>
  <si>
    <t>¿Cuenta con Transporte Publico cercano?</t>
  </si>
  <si>
    <t>¿Cuenta con Recolección de Residuos Domiciliarios?</t>
  </si>
  <si>
    <t>¿Posee la Unidad Habitacional Ventiladores de Techo?</t>
  </si>
  <si>
    <t>La distancia máxima para considerar el Transporte Público es de 1500m.</t>
  </si>
  <si>
    <t>C.A.T. Nº3160 - CONCREHAUS (Zona I a IV)</t>
  </si>
  <si>
    <t>Piso 1:</t>
  </si>
  <si>
    <t>Piso 2:</t>
  </si>
  <si>
    <t>Áreas de circulación sin paredes externas y sin ventilación adicional</t>
  </si>
  <si>
    <t>Áreas de circulación libremente ventiladas</t>
  </si>
  <si>
    <t>Cortinas de Enrollar</t>
  </si>
  <si>
    <t>Piso 3:</t>
  </si>
  <si>
    <t>Persianas</t>
  </si>
  <si>
    <t>CAT</t>
  </si>
  <si>
    <t>COSTOS</t>
  </si>
  <si>
    <t>Sin Equipamiento</t>
  </si>
  <si>
    <t>SUPERA LA LINEA BASE EN CONSUMO DE GRIFERIAS</t>
  </si>
  <si>
    <t>ENERGÍA</t>
  </si>
  <si>
    <t>AGUA</t>
  </si>
  <si>
    <t>Nivrl C</t>
  </si>
  <si>
    <t>Nivel C</t>
  </si>
  <si>
    <t>Comlpeta según la linea base por zona</t>
  </si>
  <si>
    <t>Completa linea base mala</t>
  </si>
  <si>
    <t>LINEA BASE MALA</t>
  </si>
  <si>
    <t>RESULTADOS</t>
  </si>
  <si>
    <t>ENERGIA</t>
  </si>
  <si>
    <t>LINEA BASE BUENA</t>
  </si>
  <si>
    <t>Ahorro</t>
  </si>
  <si>
    <t>VIVIENDA</t>
  </si>
  <si>
    <t>Si es 0</t>
  </si>
  <si>
    <t>CARTEL VIVIENDA EVALUADA</t>
  </si>
  <si>
    <t>Artefactos Sanitarios</t>
  </si>
  <si>
    <t>Sistema Solar Térmico - SST</t>
  </si>
  <si>
    <t>Sistema de Captación y Reutilización de Agua Lluvia</t>
  </si>
  <si>
    <t>Sistema de Tratamiento de Aguas Grises</t>
  </si>
  <si>
    <t>Sistema de Captación y Reutilización de Agua de Condensado</t>
  </si>
  <si>
    <t>Arquitectura Pasiva</t>
  </si>
  <si>
    <t>www.selloviviendasustentable.com.ar</t>
  </si>
  <si>
    <t>Porcentaje no</t>
  </si>
  <si>
    <t>LINEA BASE 2007</t>
  </si>
  <si>
    <t>Nivel</t>
  </si>
  <si>
    <t>ABERTURAS</t>
  </si>
  <si>
    <t>ACONDICIONAMIENTO TERMICO</t>
  </si>
  <si>
    <t>ILUMINACION</t>
  </si>
  <si>
    <t>Consumo</t>
  </si>
  <si>
    <t>Iluminacion Natural</t>
  </si>
  <si>
    <t>Consumo si es a Gas</t>
  </si>
  <si>
    <t>Consumo si es Electrico</t>
  </si>
  <si>
    <t>Consumo de Gas</t>
  </si>
  <si>
    <t>Inodoros (lpd):</t>
  </si>
  <si>
    <t>LINEA BASE 2019</t>
  </si>
  <si>
    <t>ESTO ESTA DADO POR LAS LINEAS BASE DE LAS ZONAS BIOCLIMATICAS</t>
  </si>
  <si>
    <t>Inodoros 1 (lpd):</t>
  </si>
  <si>
    <t>Inodoros 2 (lpd):</t>
  </si>
  <si>
    <t>Sistema Solar Termico</t>
  </si>
  <si>
    <t>CONSUMO DE GAS</t>
  </si>
  <si>
    <t>LINEA BASE ZONA BIOCLIMATICA 1 y 2</t>
  </si>
  <si>
    <t>VENTILACION</t>
  </si>
  <si>
    <t>LINEA BASE ZONA BIOCLIMATICA 3</t>
  </si>
  <si>
    <t>AGRUPAMIENTO</t>
  </si>
  <si>
    <t>LINEA BASE ZONA BIOCLIMATICA 4</t>
  </si>
  <si>
    <t>LINEA BASE ZONA BIOCLIMATICA 5</t>
  </si>
  <si>
    <t>LINEA BASE ZONA BIOCLIMATICA 6</t>
  </si>
  <si>
    <t>SE PUEDE CARGAR HASTA AQUÍ</t>
  </si>
  <si>
    <t>LOCALIDADES POR PROVINCIAS</t>
  </si>
  <si>
    <t>SUPERA LA LINEA BASE</t>
  </si>
  <si>
    <t>acondicionamiento</t>
  </si>
  <si>
    <t>PERMITE O NO EL CALCULO DE LOS COSTOS</t>
  </si>
  <si>
    <t>BLOQUEOS DE LA HERRAMIENTO, VISUALES</t>
  </si>
  <si>
    <t>Vivienda Evaluada</t>
  </si>
  <si>
    <t>EMISIONES GEI</t>
  </si>
  <si>
    <t>Refigeración</t>
  </si>
  <si>
    <t>Energía Eléctrica</t>
  </si>
  <si>
    <t>Lineamiento 4: Tipo de Aberturas</t>
  </si>
  <si>
    <t>Lineamiento 5: Tipo de Aberturas (Nivel Mejorado)</t>
  </si>
  <si>
    <t>Lineamiento 12: Inercia Térmica</t>
  </si>
  <si>
    <t>¿Desea obtener los resultados de Servicios Públcos en Costos (AR$)?</t>
  </si>
  <si>
    <t>IRAM 11.900 (2017) Etiquetado de Vivienda</t>
  </si>
  <si>
    <t>¿Cuenta la vivienda con Etiquetado Enérgetico IRAM 11.900?</t>
  </si>
  <si>
    <t>Detalle de Requerimiento de Energía Secundaria</t>
  </si>
  <si>
    <t>Generación de Agua Caliente Sanitaria</t>
  </si>
  <si>
    <t>Gas (m3/Año)</t>
  </si>
  <si>
    <t>Electricidad  (kWh/Año)</t>
  </si>
  <si>
    <t>ETIQUETADO</t>
  </si>
  <si>
    <t>SELLO DE VIVIENDA SUSTENTABLE</t>
  </si>
  <si>
    <t>RESULTADOS DE LA EVALUACIÓN</t>
  </si>
  <si>
    <t>ESTADO</t>
  </si>
  <si>
    <t>CONSUMO DE ENERGÍA</t>
  </si>
  <si>
    <t>CONSUMO DE AGUA</t>
  </si>
  <si>
    <t>DATOS DEL TÉCNICO DIAGNOSTICADOR SUSTENTABLE</t>
  </si>
  <si>
    <t>NOMBRE</t>
  </si>
  <si>
    <t>Nº DE CREDENCIAL</t>
  </si>
  <si>
    <t>TELÉFONO</t>
  </si>
  <si>
    <t>CORREO</t>
  </si>
  <si>
    <t>DATOS DE LA VIVIENDA EVALUADA</t>
  </si>
  <si>
    <t>NOMBRE DEL PROYECTO</t>
  </si>
  <si>
    <t>NOMBRE DE LA UNIDAD</t>
  </si>
  <si>
    <t>ETAPA</t>
  </si>
  <si>
    <t>ZONA BIOCLIMÁTICA</t>
  </si>
  <si>
    <t>TIPO DE CLIMA</t>
  </si>
  <si>
    <t>PROVINCIA</t>
  </si>
  <si>
    <t>LOCALIDAD DE REFERENCIA</t>
  </si>
  <si>
    <t>RESULTADOS DE LA EVALUACIÓN DE LA VIVIENDA</t>
  </si>
  <si>
    <t>CONSUMO DE ELECTRICIDAD</t>
  </si>
  <si>
    <t>ESTRATEGIAS BIOCLIMÁTICAS IMPLEMENTADAS</t>
  </si>
  <si>
    <t>PORCENTAJES DE AHORRO SOBRE LA LÍNEA BASE</t>
  </si>
  <si>
    <t>Nº de Credencial:</t>
  </si>
  <si>
    <t>CONSUMO GLOBAL</t>
  </si>
  <si>
    <t>COSTOS ASOCIADOS AL CONSUMO GLOBAL</t>
  </si>
  <si>
    <t>DEMANDA PARA ACONDICIONAMIENTO</t>
  </si>
  <si>
    <t>Los gráficos representan el desempeño de la Vivienda Evaluada, comparado con una vivienda con estándares 2007 (sin medidas de EE, ER y DB) y una vivienda con estándares 2019 (con medidas de EE, ER y DB).</t>
  </si>
  <si>
    <t>Los datos de clima, corresponden a la localidad más cercana según la Norma IRAM 11.603 (1996), definida como LOCALIDAD DE REFERENCIA.</t>
  </si>
  <si>
    <t>Los resultados arrojados por la Herramienta son estimados. Los resultados finales dependerán de la operación de la vivienda. Los datos de emisiones de GEI provienen de la evaluación de Sitio, Energía y Agua.</t>
  </si>
  <si>
    <t>TIPOLOGÍA</t>
  </si>
  <si>
    <t>LOCALIDAD DEL PROYECTO</t>
  </si>
  <si>
    <t>LÍNEA BASE 2007</t>
  </si>
  <si>
    <t>LÍNEA BASE 2019</t>
  </si>
  <si>
    <t>COMPARATIVA DEL DESEMPEÑO SEGÚN DIFERENTES LÍNEAS BASE</t>
  </si>
  <si>
    <t>Línea Base 2007</t>
  </si>
  <si>
    <t>Línea Base 2019</t>
  </si>
  <si>
    <t>IRAM 11.900</t>
  </si>
  <si>
    <t>REDUCCIONES GLOBALES GEI</t>
  </si>
  <si>
    <t xml:space="preserve">   SITIO</t>
  </si>
  <si>
    <t>Ingresar el Etiquetado IRAM 11.507-6 (https://etiquetadoventanas.energia.gob.ar)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</si>
</sst>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00000"/>
    <numFmt numFmtId="166" formatCode="0.000"/>
    <numFmt numFmtId="167" formatCode="0.0E+00"/>
    <numFmt numFmtId="168" formatCode="0.0000"/>
    <numFmt numFmtId="169" formatCode="dd/mm/yyyy;@"/>
  </numFmts>
  <fonts count="64">
    <font>
      <sz val="11"/>
      <color theme="1"/>
      <name val="Calibri"/>
      <family val="2"/>
      <scheme val="minor"/>
    </font>
    <font>
      <sz val="10"/>
      <name val="Arial"/>
      <family val="2"/>
    </font>
    <font>
      <sz val="11"/>
      <name val="Arial"/>
      <family val="2"/>
    </font>
    <font>
      <sz val="8"/>
      <name val="Calibri"/>
      <family val="2"/>
      <scheme val="minor"/>
    </font>
    <font>
      <b/>
      <sz val="12"/>
      <color theme="1"/>
      <name val="Times New Roman"/>
      <family val="1"/>
    </font>
    <font>
      <sz val="12"/>
      <color theme="1"/>
      <name val="Times New Roman"/>
      <family val="1"/>
    </font>
    <font>
      <sz val="12"/>
      <name val="Times New Roman"/>
      <family val="1"/>
    </font>
    <font>
      <sz val="12"/>
      <color rgb="FFFF0000"/>
      <name val="Times New Roman"/>
      <family val="1"/>
    </font>
    <font>
      <b/>
      <sz val="12"/>
      <name val="Times New Roman"/>
      <family val="1"/>
    </font>
    <font>
      <sz val="12"/>
      <color theme="1"/>
      <name val="Arial"/>
      <family val="2"/>
    </font>
    <font>
      <b/>
      <sz val="12"/>
      <color theme="1"/>
      <name val="Arial"/>
      <family val="2"/>
    </font>
    <font>
      <sz val="12"/>
      <color theme="0"/>
      <name val="Arial"/>
      <family val="2"/>
    </font>
    <font>
      <sz val="12"/>
      <name val="Arial"/>
      <family val="2"/>
    </font>
    <font>
      <sz val="12"/>
      <color rgb="FFFF0000"/>
      <name val="Arial"/>
      <family val="2"/>
    </font>
    <font>
      <sz val="12"/>
      <color theme="0" tint="-4.9989318521683403E-2"/>
      <name val="Arial"/>
      <family val="2"/>
    </font>
    <font>
      <b/>
      <sz val="12"/>
      <name val="Arial"/>
      <family val="2"/>
    </font>
    <font>
      <b/>
      <sz val="12"/>
      <color rgb="FF000000"/>
      <name val="Arial"/>
      <family val="2"/>
    </font>
    <font>
      <sz val="12"/>
      <color rgb="FF000000"/>
      <name val="Arial"/>
      <family val="2"/>
    </font>
    <font>
      <b/>
      <sz val="12"/>
      <color theme="0"/>
      <name val="Arial"/>
      <family val="2"/>
    </font>
    <font>
      <b/>
      <sz val="12"/>
      <color theme="0" tint="-4.9989318521683403E-2"/>
      <name val="Arial"/>
      <family val="2"/>
    </font>
    <font>
      <b/>
      <sz val="12"/>
      <color rgb="FFFF0000"/>
      <name val="Times New Roman"/>
      <family val="1"/>
    </font>
    <font>
      <sz val="12"/>
      <color theme="0" tint="-4.9989318521683403E-2"/>
      <name val="Times New Roman"/>
      <family val="1"/>
    </font>
    <font>
      <vertAlign val="superscript"/>
      <sz val="12"/>
      <color theme="1"/>
      <name val="Times New Roman"/>
      <family val="1"/>
    </font>
    <font>
      <b/>
      <sz val="12"/>
      <color theme="0" tint="-4.9989318521683403E-2"/>
      <name val="Times New Roman"/>
      <family val="1"/>
    </font>
    <font>
      <sz val="12"/>
      <color theme="0"/>
      <name val="Times New Roman"/>
      <family val="1"/>
    </font>
    <font>
      <b/>
      <sz val="24"/>
      <color theme="1"/>
      <name val="Arial"/>
      <family val="2"/>
    </font>
    <font>
      <b/>
      <sz val="24"/>
      <color theme="1"/>
      <name val="Times New Roman"/>
      <family val="1"/>
    </font>
    <font>
      <b/>
      <sz val="24"/>
      <name val="Times New Roman"/>
      <family val="1"/>
    </font>
    <font>
      <sz val="16"/>
      <name val="Arial"/>
      <family val="2"/>
    </font>
    <font>
      <b/>
      <sz val="12"/>
      <color theme="0"/>
      <name val="Times New Roman"/>
      <family val="1"/>
    </font>
    <font>
      <sz val="12"/>
      <color theme="3"/>
      <name val="Playbill"/>
      <family val="1"/>
    </font>
    <font>
      <b/>
      <sz val="14"/>
      <name val="Arial"/>
      <family val="2"/>
    </font>
    <font>
      <sz val="12"/>
      <color theme="0" tint="-0.34998626667073579"/>
      <name val="Times New Roman"/>
      <family val="1"/>
    </font>
    <font>
      <u/>
      <sz val="11"/>
      <color theme="10"/>
      <name val="Calibri"/>
      <family val="2"/>
      <scheme val="minor"/>
    </font>
    <font>
      <b/>
      <sz val="16"/>
      <color theme="0"/>
      <name val="Arial"/>
      <family val="2"/>
    </font>
    <font>
      <sz val="16"/>
      <color theme="0"/>
      <name val="Arial"/>
      <family val="2"/>
    </font>
    <font>
      <sz val="11"/>
      <color theme="0"/>
      <name val="Calibri"/>
      <family val="2"/>
      <scheme val="minor"/>
    </font>
    <font>
      <sz val="11"/>
      <color theme="0"/>
      <name val="Arial"/>
      <family val="2"/>
    </font>
    <font>
      <b/>
      <sz val="11"/>
      <color theme="0"/>
      <name val="Calibri"/>
      <family val="2"/>
      <scheme val="minor"/>
    </font>
    <font>
      <b/>
      <sz val="14"/>
      <color theme="0"/>
      <name val="Calibri"/>
      <family val="2"/>
      <scheme val="minor"/>
    </font>
    <font>
      <b/>
      <sz val="11"/>
      <color theme="0"/>
      <name val="Arial"/>
      <family val="2"/>
    </font>
    <font>
      <sz val="10"/>
      <color theme="0"/>
      <name val="Arial"/>
      <family val="2"/>
    </font>
    <font>
      <b/>
      <sz val="10"/>
      <color theme="0"/>
      <name val="Arial"/>
      <family val="2"/>
    </font>
    <font>
      <sz val="120"/>
      <color theme="0"/>
      <name val="Arial"/>
      <family val="2"/>
    </font>
    <font>
      <sz val="18"/>
      <color theme="0"/>
      <name val="Arial"/>
      <family val="2"/>
    </font>
    <font>
      <sz val="72"/>
      <color theme="0"/>
      <name val="Arial"/>
      <family val="2"/>
    </font>
    <font>
      <i/>
      <sz val="12"/>
      <color theme="0"/>
      <name val="Times New Roman"/>
      <family val="1"/>
    </font>
    <font>
      <b/>
      <sz val="14"/>
      <color theme="1"/>
      <name val="Arial"/>
      <family val="2"/>
    </font>
    <font>
      <b/>
      <sz val="12"/>
      <color theme="3"/>
      <name val="Arial"/>
      <family val="2"/>
    </font>
    <font>
      <b/>
      <sz val="14"/>
      <color theme="0"/>
      <name val="Arial"/>
      <family val="2"/>
    </font>
    <font>
      <b/>
      <u/>
      <sz val="11"/>
      <color theme="5"/>
      <name val="Arial"/>
      <family val="2"/>
    </font>
    <font>
      <sz val="14"/>
      <color theme="1"/>
      <name val="Arial"/>
      <family val="2"/>
    </font>
    <font>
      <b/>
      <sz val="12"/>
      <color rgb="FFFF0000"/>
      <name val="Arial"/>
      <family val="2"/>
    </font>
    <font>
      <sz val="10"/>
      <color theme="0" tint="-0.34998626667073579"/>
      <name val="Arial"/>
      <family val="2"/>
    </font>
    <font>
      <b/>
      <sz val="22"/>
      <color theme="6" tint="0.39997558519241921"/>
      <name val="Arial"/>
      <family val="2"/>
    </font>
    <font>
      <b/>
      <sz val="22"/>
      <color theme="5"/>
      <name val="Arial"/>
      <family val="2"/>
    </font>
    <font>
      <b/>
      <sz val="20"/>
      <color theme="5"/>
      <name val="Arial"/>
      <family val="2"/>
    </font>
    <font>
      <sz val="12"/>
      <color theme="0" tint="-0.14999847407452621"/>
      <name val="Arial"/>
      <family val="2"/>
    </font>
    <font>
      <b/>
      <sz val="20"/>
      <name val="Arial"/>
      <family val="2"/>
    </font>
    <font>
      <b/>
      <sz val="20"/>
      <color theme="0"/>
      <name val="Arial"/>
      <family val="2"/>
    </font>
    <font>
      <sz val="14"/>
      <color theme="0"/>
      <name val="Arial"/>
      <family val="2"/>
    </font>
    <font>
      <sz val="10"/>
      <color theme="0" tint="-4.9989318521683403E-2"/>
      <name val="Arial"/>
      <family val="2"/>
    </font>
    <font>
      <sz val="9"/>
      <color theme="0"/>
      <name val="Arial"/>
      <family val="2"/>
    </font>
    <font>
      <sz val="14"/>
      <color theme="0"/>
      <name val="Times New Roman"/>
      <family val="1"/>
    </font>
  </fonts>
  <fills count="2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2F2F2"/>
        <bgColor rgb="FF000000"/>
      </patternFill>
    </fill>
    <fill>
      <patternFill patternType="solid">
        <fgColor theme="5" tint="0.79998168889431442"/>
        <bgColor indexed="64"/>
      </patternFill>
    </fill>
    <fill>
      <patternFill patternType="solid">
        <fgColor rgb="FFFFC000"/>
        <bgColor indexed="64"/>
      </patternFill>
    </fill>
    <fill>
      <patternFill patternType="solid">
        <fgColor theme="2" tint="0.79998168889431442"/>
        <bgColor indexed="64"/>
      </patternFill>
    </fill>
    <fill>
      <patternFill patternType="solid">
        <fgColor theme="2" tint="0.39997558519241921"/>
        <bgColor indexed="64"/>
      </patternFill>
    </fill>
    <fill>
      <patternFill patternType="solid">
        <fgColor rgb="FFFF0000"/>
        <bgColor indexed="64"/>
      </patternFill>
    </fill>
    <fill>
      <patternFill patternType="solid">
        <fgColor theme="3"/>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2"/>
        <bgColor indexed="64"/>
      </patternFill>
    </fill>
    <fill>
      <patternFill patternType="solid">
        <fgColor rgb="FFFFFFFF"/>
        <bgColor rgb="FF000000"/>
      </patternFill>
    </fill>
    <fill>
      <patternFill patternType="solid">
        <fgColor theme="0"/>
        <bgColor rgb="FF000000"/>
      </patternFill>
    </fill>
    <fill>
      <patternFill patternType="solid">
        <fgColor theme="5"/>
        <bgColor indexed="64"/>
      </patternFill>
    </fill>
    <fill>
      <patternFill patternType="solid">
        <fgColor rgb="FF0094DC"/>
        <bgColor indexed="64"/>
      </patternFill>
    </fill>
    <fill>
      <patternFill patternType="solid">
        <fgColor rgb="FF0093DC"/>
        <bgColor indexed="64"/>
      </patternFill>
    </fill>
  </fills>
  <borders count="107">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auto="1"/>
      </left>
      <right style="thin">
        <color auto="1"/>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0"/>
      </left>
      <right style="thin">
        <color theme="0"/>
      </right>
      <top/>
      <bottom/>
      <diagonal/>
    </border>
    <border>
      <left style="thin">
        <color theme="0"/>
      </left>
      <right/>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top/>
      <bottom style="thin">
        <color theme="0"/>
      </bottom>
      <diagonal/>
    </border>
    <border>
      <left/>
      <right style="thin">
        <color theme="1"/>
      </right>
      <top style="thin">
        <color theme="1"/>
      </top>
      <bottom/>
      <diagonal/>
    </border>
    <border>
      <left style="thin">
        <color theme="1"/>
      </left>
      <right/>
      <top/>
      <bottom style="thin">
        <color theme="1"/>
      </bottom>
      <diagonal/>
    </border>
    <border>
      <left/>
      <right style="thin">
        <color theme="1"/>
      </right>
      <top/>
      <bottom style="thin">
        <color theme="1"/>
      </bottom>
      <diagonal/>
    </border>
    <border>
      <left style="thin">
        <color theme="1"/>
      </left>
      <right style="thin">
        <color theme="0"/>
      </right>
      <top style="thin">
        <color theme="1"/>
      </top>
      <bottom style="thin">
        <color theme="0"/>
      </bottom>
      <diagonal/>
    </border>
    <border>
      <left style="thin">
        <color theme="0"/>
      </left>
      <right style="thin">
        <color theme="0"/>
      </right>
      <top style="thin">
        <color theme="1"/>
      </top>
      <bottom style="thin">
        <color theme="0"/>
      </bottom>
      <diagonal/>
    </border>
    <border>
      <left style="thin">
        <color theme="0"/>
      </left>
      <right/>
      <top style="thin">
        <color theme="1"/>
      </top>
      <bottom/>
      <diagonal/>
    </border>
    <border>
      <left/>
      <right/>
      <top style="thin">
        <color theme="1"/>
      </top>
      <bottom/>
      <diagonal/>
    </border>
    <border>
      <left style="thin">
        <color theme="1"/>
      </left>
      <right style="thin">
        <color theme="0"/>
      </right>
      <top style="thin">
        <color theme="0"/>
      </top>
      <bottom style="thin">
        <color theme="0"/>
      </bottom>
      <diagonal/>
    </border>
    <border>
      <left/>
      <right style="thin">
        <color theme="1"/>
      </right>
      <top/>
      <bottom/>
      <diagonal/>
    </border>
    <border>
      <left style="thin">
        <color theme="1"/>
      </left>
      <right style="thin">
        <color theme="0"/>
      </right>
      <top style="thin">
        <color theme="0"/>
      </top>
      <bottom style="thin">
        <color theme="1"/>
      </bottom>
      <diagonal/>
    </border>
    <border>
      <left style="thin">
        <color theme="0"/>
      </left>
      <right style="thin">
        <color theme="0"/>
      </right>
      <top style="thin">
        <color theme="0"/>
      </top>
      <bottom style="thin">
        <color theme="1"/>
      </bottom>
      <diagonal/>
    </border>
    <border>
      <left style="thin">
        <color theme="0"/>
      </left>
      <right/>
      <top/>
      <bottom style="thin">
        <color theme="1"/>
      </bottom>
      <diagonal/>
    </border>
    <border>
      <left/>
      <right/>
      <top/>
      <bottom style="thin">
        <color theme="1"/>
      </bottom>
      <diagonal/>
    </border>
    <border>
      <left style="thin">
        <color theme="0"/>
      </left>
      <right style="thin">
        <color theme="1"/>
      </right>
      <top style="thin">
        <color theme="1"/>
      </top>
      <bottom style="thin">
        <color theme="0"/>
      </bottom>
      <diagonal/>
    </border>
    <border>
      <left style="thin">
        <color theme="0"/>
      </left>
      <right style="thin">
        <color theme="1"/>
      </right>
      <top style="thin">
        <color theme="0"/>
      </top>
      <bottom style="thin">
        <color theme="0"/>
      </bottom>
      <diagonal/>
    </border>
    <border>
      <left style="thin">
        <color theme="1"/>
      </left>
      <right/>
      <top style="thin">
        <color theme="1"/>
      </top>
      <bottom style="thin">
        <color theme="0"/>
      </bottom>
      <diagonal/>
    </border>
    <border>
      <left/>
      <right style="thin">
        <color theme="0"/>
      </right>
      <top style="thin">
        <color theme="1"/>
      </top>
      <bottom style="thin">
        <color theme="0"/>
      </bottom>
      <diagonal/>
    </border>
    <border>
      <left style="thin">
        <color theme="0"/>
      </left>
      <right/>
      <top style="thin">
        <color theme="1"/>
      </top>
      <bottom style="thin">
        <color theme="0"/>
      </bottom>
      <diagonal/>
    </border>
    <border>
      <left style="thin">
        <color theme="1"/>
      </left>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right/>
      <top style="thin">
        <color theme="0"/>
      </top>
      <bottom/>
      <diagonal/>
    </border>
    <border>
      <left/>
      <right style="thin">
        <color theme="0"/>
      </right>
      <top/>
      <bottom/>
      <diagonal/>
    </border>
    <border>
      <left style="medium">
        <color theme="0" tint="-0.249977111117893"/>
      </left>
      <right style="medium">
        <color theme="0" tint="-0.249977111117893"/>
      </right>
      <top style="medium">
        <color theme="0" tint="-0.249977111117893"/>
      </top>
      <bottom style="medium">
        <color theme="0" tint="-0.249977111117893"/>
      </bottom>
      <diagonal/>
    </border>
    <border>
      <left style="medium">
        <color theme="0" tint="-0.249977111117893"/>
      </left>
      <right/>
      <top style="medium">
        <color theme="0" tint="-0.249977111117893"/>
      </top>
      <bottom/>
      <diagonal/>
    </border>
    <border>
      <left style="thin">
        <color theme="0"/>
      </left>
      <right style="thin">
        <color theme="0"/>
      </right>
      <top style="medium">
        <color theme="0" tint="-0.249977111117893"/>
      </top>
      <bottom style="thin">
        <color theme="0"/>
      </bottom>
      <diagonal/>
    </border>
    <border>
      <left/>
      <right style="medium">
        <color theme="0" tint="-0.249977111117893"/>
      </right>
      <top style="medium">
        <color theme="0" tint="-0.249977111117893"/>
      </top>
      <bottom/>
      <diagonal/>
    </border>
    <border>
      <left style="medium">
        <color theme="0" tint="-0.249977111117893"/>
      </left>
      <right/>
      <top/>
      <bottom/>
      <diagonal/>
    </border>
    <border>
      <left/>
      <right style="medium">
        <color theme="0" tint="-0.249977111117893"/>
      </right>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right/>
      <top style="medium">
        <color theme="0" tint="-0.249977111117893"/>
      </top>
      <bottom/>
      <diagonal/>
    </border>
    <border>
      <left style="thin">
        <color theme="0"/>
      </left>
      <right style="medium">
        <color theme="0" tint="-0.249977111117893"/>
      </right>
      <top style="medium">
        <color theme="0" tint="-0.249977111117893"/>
      </top>
      <bottom style="thin">
        <color theme="0"/>
      </bottom>
      <diagonal/>
    </border>
    <border>
      <left style="medium">
        <color theme="0" tint="-0.249977111117893"/>
      </left>
      <right style="medium">
        <color theme="0" tint="-0.249977111117893"/>
      </right>
      <top style="medium">
        <color theme="0" tint="-0.249977111117893"/>
      </top>
      <bottom/>
      <diagonal/>
    </border>
    <border>
      <left style="medium">
        <color theme="0" tint="-0.249977111117893"/>
      </left>
      <right style="medium">
        <color theme="0" tint="-0.249977111117893"/>
      </right>
      <top/>
      <bottom/>
      <diagonal/>
    </border>
    <border>
      <left style="medium">
        <color theme="0" tint="-0.249977111117893"/>
      </left>
      <right style="medium">
        <color theme="0" tint="-0.249977111117893"/>
      </right>
      <top/>
      <bottom style="medium">
        <color theme="0" tint="-0.249977111117893"/>
      </bottom>
      <diagonal/>
    </border>
    <border>
      <left style="medium">
        <color theme="0" tint="-0.249977111117893"/>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diagonal/>
    </border>
    <border>
      <left/>
      <right style="medium">
        <color theme="0" tint="-0.34998626667073579"/>
      </right>
      <top/>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style="medium">
        <color theme="0"/>
      </top>
      <bottom/>
      <diagonal/>
    </border>
    <border>
      <left style="medium">
        <color theme="0"/>
      </left>
      <right/>
      <top/>
      <bottom style="medium">
        <color theme="0"/>
      </bottom>
      <diagonal/>
    </border>
    <border>
      <left/>
      <right style="medium">
        <color theme="0"/>
      </right>
      <top style="medium">
        <color theme="0"/>
      </top>
      <bottom/>
      <diagonal/>
    </border>
    <border>
      <left/>
      <right style="medium">
        <color theme="0"/>
      </right>
      <top/>
      <bottom style="medium">
        <color theme="0"/>
      </bottom>
      <diagonal/>
    </border>
    <border>
      <left/>
      <right/>
      <top style="medium">
        <color theme="0"/>
      </top>
      <bottom/>
      <diagonal/>
    </border>
    <border>
      <left style="medium">
        <color theme="0"/>
      </left>
      <right/>
      <top/>
      <bottom/>
      <diagonal/>
    </border>
    <border>
      <left/>
      <right style="medium">
        <color theme="0"/>
      </right>
      <top/>
      <bottom/>
      <diagonal/>
    </border>
    <border>
      <left/>
      <right/>
      <top/>
      <bottom style="medium">
        <color theme="0"/>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
      <left style="dotted">
        <color theme="0" tint="-0.499984740745262"/>
      </left>
      <right style="dotted">
        <color theme="0" tint="-0.499984740745262"/>
      </right>
      <top style="dotted">
        <color theme="0" tint="-0.499984740745262"/>
      </top>
      <bottom/>
      <diagonal/>
    </border>
    <border>
      <left style="dotted">
        <color theme="0" tint="-0.499984740745262"/>
      </left>
      <right/>
      <top style="dotted">
        <color theme="0" tint="-0.499984740745262"/>
      </top>
      <bottom/>
      <diagonal/>
    </border>
    <border>
      <left/>
      <right/>
      <top style="dotted">
        <color theme="0" tint="-0.499984740745262"/>
      </top>
      <bottom/>
      <diagonal/>
    </border>
    <border>
      <left/>
      <right style="dotted">
        <color theme="0" tint="-0.499984740745262"/>
      </right>
      <top style="dotted">
        <color theme="0" tint="-0.499984740745262"/>
      </top>
      <bottom/>
      <diagonal/>
    </border>
    <border>
      <left style="dotted">
        <color theme="0" tint="-0.499984740745262"/>
      </left>
      <right/>
      <top/>
      <bottom style="dotted">
        <color theme="0" tint="-0.499984740745262"/>
      </bottom>
      <diagonal/>
    </border>
    <border>
      <left/>
      <right/>
      <top/>
      <bottom style="dotted">
        <color theme="0" tint="-0.499984740745262"/>
      </bottom>
      <diagonal/>
    </border>
    <border>
      <left/>
      <right style="dotted">
        <color theme="0" tint="-0.499984740745262"/>
      </right>
      <top/>
      <bottom style="dotted">
        <color theme="0" tint="-0.499984740745262"/>
      </bottom>
      <diagonal/>
    </border>
    <border>
      <left style="dotted">
        <color theme="0" tint="-0.499984740745262"/>
      </left>
      <right style="dotted">
        <color theme="0" tint="-0.499984740745262"/>
      </right>
      <top/>
      <bottom/>
      <diagonal/>
    </border>
    <border>
      <left style="dotted">
        <color theme="0" tint="-0.499984740745262"/>
      </left>
      <right style="dotted">
        <color theme="0" tint="-0.499984740745262"/>
      </right>
      <top/>
      <bottom style="dotted">
        <color theme="0" tint="-0.499984740745262"/>
      </bottom>
      <diagonal/>
    </border>
    <border>
      <left/>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s>
  <cellStyleXfs count="3">
    <xf numFmtId="0" fontId="0" fillId="0" borderId="0"/>
    <xf numFmtId="0" fontId="1" fillId="0" borderId="0"/>
    <xf numFmtId="0" fontId="33" fillId="0" borderId="0" applyNumberFormat="0" applyFill="0" applyBorder="0" applyAlignment="0" applyProtection="0"/>
  </cellStyleXfs>
  <cellXfs count="1431">
    <xf numFmtId="0" fontId="0" fillId="0" borderId="0" xfId="0"/>
    <xf numFmtId="0" fontId="5" fillId="2" borderId="1" xfId="0" applyFont="1" applyFill="1" applyBorder="1" applyAlignment="1">
      <alignment horizontal="right" vertical="center"/>
    </xf>
    <xf numFmtId="0" fontId="5" fillId="2" borderId="1" xfId="0" applyFont="1" applyFill="1" applyBorder="1" applyAlignment="1">
      <alignment horizontal="center" vertical="center"/>
    </xf>
    <xf numFmtId="2" fontId="5" fillId="3" borderId="1" xfId="0" applyNumberFormat="1" applyFont="1" applyFill="1" applyBorder="1" applyAlignment="1">
      <alignment horizontal="center" vertical="center"/>
    </xf>
    <xf numFmtId="0" fontId="5" fillId="3" borderId="1"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1" xfId="0" applyFont="1" applyFill="1" applyBorder="1"/>
    <xf numFmtId="0" fontId="6" fillId="2" borderId="1" xfId="0" applyFont="1" applyFill="1" applyBorder="1" applyAlignment="1">
      <alignment horizontal="center" vertical="center"/>
    </xf>
    <xf numFmtId="2" fontId="9" fillId="3" borderId="1" xfId="0" applyNumberFormat="1" applyFont="1" applyFill="1" applyBorder="1" applyAlignment="1" applyProtection="1">
      <alignment horizontal="right" vertical="center"/>
    </xf>
    <xf numFmtId="0" fontId="6" fillId="3" borderId="1" xfId="0" applyFont="1" applyFill="1" applyBorder="1" applyAlignment="1">
      <alignment horizontal="center" vertical="center"/>
    </xf>
    <xf numFmtId="2" fontId="6" fillId="3" borderId="1" xfId="0" applyNumberFormat="1" applyFont="1" applyFill="1" applyBorder="1" applyAlignment="1">
      <alignment horizontal="center" vertical="center"/>
    </xf>
    <xf numFmtId="0" fontId="5" fillId="2" borderId="0" xfId="0" applyFont="1" applyFill="1" applyBorder="1" applyAlignment="1">
      <alignment horizontal="center" vertical="center"/>
    </xf>
    <xf numFmtId="0" fontId="5" fillId="10" borderId="1" xfId="0" applyFont="1" applyFill="1" applyBorder="1" applyAlignment="1">
      <alignment horizontal="center" vertical="center"/>
    </xf>
    <xf numFmtId="2" fontId="5" fillId="2" borderId="1" xfId="0" applyNumberFormat="1" applyFont="1" applyFill="1" applyBorder="1" applyAlignment="1">
      <alignment horizontal="center" vertical="center"/>
    </xf>
    <xf numFmtId="2" fontId="8" fillId="3" borderId="1" xfId="0" applyNumberFormat="1" applyFont="1" applyFill="1" applyBorder="1" applyAlignment="1">
      <alignment horizontal="center" vertical="center"/>
    </xf>
    <xf numFmtId="1" fontId="6" fillId="3" borderId="1" xfId="0" applyNumberFormat="1" applyFont="1" applyFill="1" applyBorder="1" applyAlignment="1">
      <alignment horizontal="center" vertical="center"/>
    </xf>
    <xf numFmtId="1" fontId="6" fillId="2" borderId="1" xfId="0" applyNumberFormat="1" applyFont="1" applyFill="1" applyBorder="1" applyAlignment="1">
      <alignment horizontal="center" vertical="center"/>
    </xf>
    <xf numFmtId="1" fontId="5" fillId="3" borderId="1" xfId="0" applyNumberFormat="1" applyFont="1" applyFill="1" applyBorder="1" applyAlignment="1">
      <alignment horizontal="center" vertical="center"/>
    </xf>
    <xf numFmtId="1" fontId="5" fillId="2" borderId="1" xfId="0" applyNumberFormat="1" applyFont="1" applyFill="1" applyBorder="1" applyAlignment="1">
      <alignment horizontal="center" vertical="center"/>
    </xf>
    <xf numFmtId="0" fontId="5" fillId="2" borderId="11"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0" xfId="0" applyFont="1" applyFill="1" applyBorder="1" applyAlignment="1" applyProtection="1">
      <alignment horizontal="center" vertical="center"/>
    </xf>
    <xf numFmtId="0" fontId="5" fillId="2" borderId="0" xfId="0" applyFont="1" applyFill="1"/>
    <xf numFmtId="0" fontId="5" fillId="0" borderId="0" xfId="0" applyFont="1"/>
    <xf numFmtId="0" fontId="5" fillId="2" borderId="3" xfId="0" applyFont="1" applyFill="1" applyBorder="1" applyAlignment="1">
      <alignment horizontal="center" vertical="center"/>
    </xf>
    <xf numFmtId="0" fontId="6" fillId="3" borderId="20" xfId="0" applyFont="1" applyFill="1" applyBorder="1" applyAlignment="1">
      <alignment horizontal="center" vertical="center"/>
    </xf>
    <xf numFmtId="0" fontId="6" fillId="3" borderId="21" xfId="0" applyFont="1" applyFill="1" applyBorder="1" applyAlignment="1">
      <alignment horizontal="center" vertical="center"/>
    </xf>
    <xf numFmtId="166" fontId="5" fillId="3" borderId="1" xfId="0" applyNumberFormat="1" applyFont="1" applyFill="1" applyBorder="1" applyAlignment="1">
      <alignment horizontal="center" vertical="center"/>
    </xf>
    <xf numFmtId="2" fontId="5" fillId="3" borderId="8" xfId="0" applyNumberFormat="1" applyFont="1" applyFill="1" applyBorder="1" applyAlignment="1">
      <alignment horizontal="center" vertical="center"/>
    </xf>
    <xf numFmtId="0" fontId="5" fillId="3" borderId="8" xfId="0" applyFont="1" applyFill="1" applyBorder="1" applyAlignment="1">
      <alignment horizontal="center" vertical="center"/>
    </xf>
    <xf numFmtId="0" fontId="6" fillId="3" borderId="8" xfId="0" applyFont="1" applyFill="1" applyBorder="1" applyAlignment="1">
      <alignment horizontal="center" vertical="center"/>
    </xf>
    <xf numFmtId="0" fontId="6" fillId="3" borderId="24" xfId="0" applyFont="1" applyFill="1" applyBorder="1" applyAlignment="1">
      <alignment horizontal="center" vertical="center"/>
    </xf>
    <xf numFmtId="166" fontId="8" fillId="2" borderId="1" xfId="0" applyNumberFormat="1" applyFont="1" applyFill="1" applyBorder="1" applyAlignment="1">
      <alignment horizontal="center" vertical="center"/>
    </xf>
    <xf numFmtId="166" fontId="8" fillId="3" borderId="1" xfId="0" applyNumberFormat="1" applyFont="1" applyFill="1" applyBorder="1" applyAlignment="1">
      <alignment horizontal="center" vertical="center"/>
    </xf>
    <xf numFmtId="0" fontId="8" fillId="3" borderId="1" xfId="0" applyFont="1" applyFill="1" applyBorder="1" applyAlignment="1">
      <alignment horizontal="center" vertical="center"/>
    </xf>
    <xf numFmtId="0" fontId="8" fillId="2" borderId="1" xfId="0" applyFont="1" applyFill="1" applyBorder="1" applyAlignment="1">
      <alignment horizontal="center" vertical="center"/>
    </xf>
    <xf numFmtId="0" fontId="8" fillId="2" borderId="2" xfId="0" applyFont="1" applyFill="1" applyBorder="1" applyAlignment="1">
      <alignment horizontal="center" vertical="center"/>
    </xf>
    <xf numFmtId="0" fontId="8" fillId="2" borderId="3" xfId="0" applyFont="1" applyFill="1" applyBorder="1" applyAlignment="1">
      <alignment horizontal="center" vertical="center"/>
    </xf>
    <xf numFmtId="165" fontId="5" fillId="3" borderId="1" xfId="0" applyNumberFormat="1" applyFont="1" applyFill="1" applyBorder="1" applyAlignment="1">
      <alignment horizontal="center" vertical="center"/>
    </xf>
    <xf numFmtId="168" fontId="5" fillId="3" borderId="1" xfId="0" applyNumberFormat="1" applyFont="1" applyFill="1" applyBorder="1" applyAlignment="1">
      <alignment horizontal="center" vertical="center"/>
    </xf>
    <xf numFmtId="164" fontId="5" fillId="3" borderId="1" xfId="0" applyNumberFormat="1" applyFont="1" applyFill="1" applyBorder="1" applyAlignment="1">
      <alignment horizontal="center" vertical="center"/>
    </xf>
    <xf numFmtId="0" fontId="6" fillId="3" borderId="26" xfId="0" applyFont="1" applyFill="1" applyBorder="1" applyAlignment="1">
      <alignment horizontal="center" vertical="center"/>
    </xf>
    <xf numFmtId="0" fontId="6" fillId="3" borderId="27" xfId="0" applyFont="1" applyFill="1" applyBorder="1" applyAlignment="1">
      <alignment horizontal="center" vertical="center"/>
    </xf>
    <xf numFmtId="164" fontId="6" fillId="3" borderId="1" xfId="0" applyNumberFormat="1" applyFont="1" applyFill="1" applyBorder="1" applyAlignment="1">
      <alignment horizontal="center" vertical="center"/>
    </xf>
    <xf numFmtId="166" fontId="5" fillId="2" borderId="1" xfId="0" applyNumberFormat="1" applyFont="1" applyFill="1" applyBorder="1" applyAlignment="1">
      <alignment horizontal="center" vertical="center"/>
    </xf>
    <xf numFmtId="0" fontId="4" fillId="3" borderId="1" xfId="0" applyFont="1" applyFill="1" applyBorder="1" applyAlignment="1">
      <alignment horizontal="center"/>
    </xf>
    <xf numFmtId="165" fontId="6" fillId="3" borderId="1" xfId="0" applyNumberFormat="1" applyFont="1" applyFill="1" applyBorder="1" applyAlignment="1">
      <alignment horizontal="center" vertical="center"/>
    </xf>
    <xf numFmtId="2" fontId="5" fillId="2" borderId="2" xfId="0" applyNumberFormat="1" applyFont="1" applyFill="1" applyBorder="1" applyAlignment="1">
      <alignment horizontal="center" vertical="center"/>
    </xf>
    <xf numFmtId="2" fontId="5" fillId="2" borderId="3" xfId="0" applyNumberFormat="1" applyFont="1" applyFill="1" applyBorder="1" applyAlignment="1">
      <alignment horizontal="center" vertical="center"/>
    </xf>
    <xf numFmtId="2" fontId="5" fillId="2" borderId="4" xfId="0" applyNumberFormat="1" applyFont="1" applyFill="1" applyBorder="1" applyAlignment="1">
      <alignment horizontal="center" vertical="center"/>
    </xf>
    <xf numFmtId="1" fontId="5" fillId="2" borderId="2" xfId="0" applyNumberFormat="1" applyFont="1" applyFill="1" applyBorder="1" applyAlignment="1">
      <alignment horizontal="center" vertical="center"/>
    </xf>
    <xf numFmtId="1" fontId="5" fillId="2" borderId="3" xfId="0" applyNumberFormat="1" applyFont="1" applyFill="1" applyBorder="1" applyAlignment="1">
      <alignment horizontal="center" vertical="center"/>
    </xf>
    <xf numFmtId="1" fontId="5" fillId="2" borderId="4" xfId="0" applyNumberFormat="1" applyFont="1" applyFill="1" applyBorder="1" applyAlignment="1">
      <alignment horizontal="center" vertical="center"/>
    </xf>
    <xf numFmtId="165" fontId="5" fillId="3" borderId="7" xfId="0" applyNumberFormat="1" applyFont="1" applyFill="1" applyBorder="1" applyAlignment="1">
      <alignment horizontal="center" vertical="center"/>
    </xf>
    <xf numFmtId="0" fontId="5" fillId="2" borderId="21" xfId="0" applyFont="1" applyFill="1" applyBorder="1" applyAlignment="1">
      <alignment horizontal="center" vertical="center"/>
    </xf>
    <xf numFmtId="0" fontId="5" fillId="3" borderId="24" xfId="0" applyFont="1" applyFill="1" applyBorder="1" applyAlignment="1">
      <alignment horizontal="center" vertical="center"/>
    </xf>
    <xf numFmtId="0" fontId="5" fillId="3" borderId="31" xfId="0" applyFont="1" applyFill="1" applyBorder="1" applyAlignment="1">
      <alignment horizontal="center" vertical="center"/>
    </xf>
    <xf numFmtId="168" fontId="5" fillId="2" borderId="1" xfId="0" applyNumberFormat="1" applyFont="1" applyFill="1" applyBorder="1" applyAlignment="1">
      <alignment horizontal="center" vertical="center"/>
    </xf>
    <xf numFmtId="0" fontId="6" fillId="3" borderId="1" xfId="0" applyNumberFormat="1" applyFont="1" applyFill="1" applyBorder="1" applyAlignment="1">
      <alignment horizontal="center" vertical="center"/>
    </xf>
    <xf numFmtId="0" fontId="5" fillId="2" borderId="24" xfId="0" applyFont="1" applyFill="1" applyBorder="1" applyAlignment="1">
      <alignment horizontal="center" vertical="center"/>
    </xf>
    <xf numFmtId="0" fontId="5" fillId="2" borderId="31" xfId="0" applyFont="1" applyFill="1" applyBorder="1" applyAlignment="1">
      <alignment horizontal="center" vertical="center"/>
    </xf>
    <xf numFmtId="0" fontId="5" fillId="2" borderId="35" xfId="0" applyFont="1" applyFill="1" applyBorder="1" applyAlignment="1">
      <alignment horizontal="center" vertical="center"/>
    </xf>
    <xf numFmtId="165" fontId="6" fillId="3" borderId="31" xfId="0" applyNumberFormat="1" applyFont="1" applyFill="1" applyBorder="1" applyAlignment="1">
      <alignment horizontal="center" vertical="center"/>
    </xf>
    <xf numFmtId="1" fontId="6" fillId="2" borderId="31" xfId="0" applyNumberFormat="1" applyFont="1" applyFill="1" applyBorder="1" applyAlignment="1">
      <alignment horizontal="center" vertical="center"/>
    </xf>
    <xf numFmtId="165" fontId="6" fillId="2" borderId="1" xfId="0" applyNumberFormat="1" applyFont="1" applyFill="1" applyBorder="1" applyAlignment="1">
      <alignment horizontal="center" vertical="center"/>
    </xf>
    <xf numFmtId="1" fontId="6" fillId="3" borderId="31" xfId="0" applyNumberFormat="1" applyFont="1" applyFill="1" applyBorder="1" applyAlignment="1">
      <alignment horizontal="center" vertical="center"/>
    </xf>
    <xf numFmtId="1" fontId="5" fillId="2" borderId="31" xfId="0" applyNumberFormat="1" applyFont="1" applyFill="1" applyBorder="1" applyAlignment="1">
      <alignment horizontal="center" vertical="center"/>
    </xf>
    <xf numFmtId="1" fontId="5" fillId="3" borderId="31" xfId="0" applyNumberFormat="1" applyFont="1" applyFill="1" applyBorder="1" applyAlignment="1">
      <alignment horizontal="center" vertical="center"/>
    </xf>
    <xf numFmtId="0" fontId="5" fillId="2" borderId="18" xfId="0" applyFont="1" applyFill="1" applyBorder="1" applyAlignment="1">
      <alignment horizontal="center" vertical="center"/>
    </xf>
    <xf numFmtId="0" fontId="5" fillId="2" borderId="29" xfId="0" applyFont="1" applyFill="1" applyBorder="1" applyAlignment="1">
      <alignment horizontal="center" vertical="center"/>
    </xf>
    <xf numFmtId="0" fontId="5" fillId="2" borderId="19" xfId="0" applyFont="1" applyFill="1" applyBorder="1" applyAlignment="1">
      <alignment horizontal="center" vertical="center"/>
    </xf>
    <xf numFmtId="0" fontId="5" fillId="2" borderId="1" xfId="0" applyFont="1" applyFill="1" applyBorder="1" applyAlignment="1" applyProtection="1">
      <alignment horizontal="center" vertical="center"/>
    </xf>
    <xf numFmtId="0" fontId="5" fillId="3" borderId="1" xfId="0" applyFont="1" applyFill="1" applyBorder="1" applyAlignment="1" applyProtection="1">
      <alignment horizontal="center" vertical="center" wrapText="1"/>
    </xf>
    <xf numFmtId="2" fontId="10" fillId="3" borderId="1" xfId="0" applyNumberFormat="1" applyFont="1" applyFill="1" applyBorder="1" applyAlignment="1" applyProtection="1">
      <alignment horizontal="right" vertical="center"/>
    </xf>
    <xf numFmtId="2" fontId="9" fillId="8" borderId="1" xfId="0" quotePrefix="1" applyNumberFormat="1" applyFont="1" applyFill="1" applyBorder="1" applyAlignment="1" applyProtection="1">
      <alignment horizontal="center" vertical="center"/>
    </xf>
    <xf numFmtId="0" fontId="5" fillId="0" borderId="3" xfId="0" applyFont="1" applyBorder="1" applyAlignment="1" applyProtection="1">
      <alignment horizontal="center" vertical="center"/>
    </xf>
    <xf numFmtId="2" fontId="4" fillId="3" borderId="1" xfId="0" applyNumberFormat="1" applyFont="1" applyFill="1" applyBorder="1" applyAlignment="1" applyProtection="1">
      <alignment horizontal="center" vertical="center"/>
    </xf>
    <xf numFmtId="0" fontId="5" fillId="2" borderId="2" xfId="0" applyFont="1" applyFill="1" applyBorder="1" applyAlignment="1" applyProtection="1">
      <alignment vertical="center"/>
    </xf>
    <xf numFmtId="0" fontId="5" fillId="3" borderId="0" xfId="0" applyFont="1" applyFill="1" applyBorder="1" applyAlignment="1" applyProtection="1">
      <alignment vertical="center"/>
    </xf>
    <xf numFmtId="0" fontId="5" fillId="2" borderId="4" xfId="0" applyFont="1" applyFill="1" applyBorder="1" applyAlignment="1" applyProtection="1">
      <alignment vertical="center"/>
    </xf>
    <xf numFmtId="0" fontId="5" fillId="2" borderId="1" xfId="0" applyFont="1" applyFill="1" applyBorder="1" applyAlignment="1" applyProtection="1">
      <alignment vertical="center"/>
    </xf>
    <xf numFmtId="0" fontId="4" fillId="3" borderId="0" xfId="0" applyFont="1" applyFill="1" applyBorder="1" applyAlignment="1" applyProtection="1">
      <alignment vertical="center"/>
    </xf>
    <xf numFmtId="0" fontId="4" fillId="2" borderId="4" xfId="0" applyFont="1" applyFill="1" applyBorder="1" applyAlignment="1" applyProtection="1">
      <alignment vertical="center"/>
    </xf>
    <xf numFmtId="0" fontId="4" fillId="2" borderId="1" xfId="0" applyFont="1" applyFill="1" applyBorder="1" applyAlignment="1" applyProtection="1">
      <alignment vertical="center"/>
    </xf>
    <xf numFmtId="0" fontId="21" fillId="3" borderId="0" xfId="0" applyFont="1" applyFill="1" applyBorder="1" applyAlignment="1" applyProtection="1">
      <alignment vertical="center"/>
    </xf>
    <xf numFmtId="0" fontId="23" fillId="3" borderId="0" xfId="0" applyFont="1" applyFill="1" applyBorder="1" applyAlignment="1" applyProtection="1">
      <alignment vertical="center"/>
    </xf>
    <xf numFmtId="0" fontId="8" fillId="2" borderId="4" xfId="0" applyFont="1" applyFill="1" applyBorder="1" applyAlignment="1" applyProtection="1">
      <alignment vertical="center"/>
    </xf>
    <xf numFmtId="0" fontId="8" fillId="2" borderId="1" xfId="0" applyFont="1" applyFill="1" applyBorder="1" applyAlignment="1" applyProtection="1">
      <alignment vertical="center"/>
    </xf>
    <xf numFmtId="0" fontId="6" fillId="2" borderId="4" xfId="0" applyFont="1" applyFill="1" applyBorder="1" applyAlignment="1" applyProtection="1">
      <alignment vertical="center"/>
    </xf>
    <xf numFmtId="0" fontId="6" fillId="2" borderId="1" xfId="0" applyFont="1" applyFill="1" applyBorder="1" applyAlignment="1" applyProtection="1">
      <alignment vertical="center"/>
    </xf>
    <xf numFmtId="1" fontId="6" fillId="2" borderId="1" xfId="0" applyNumberFormat="1" applyFont="1" applyFill="1" applyBorder="1" applyAlignment="1" applyProtection="1">
      <alignment vertical="center"/>
    </xf>
    <xf numFmtId="0" fontId="6" fillId="2" borderId="1" xfId="0" applyFont="1" applyFill="1" applyBorder="1" applyAlignment="1" applyProtection="1">
      <alignment horizontal="center" vertical="center"/>
    </xf>
    <xf numFmtId="0" fontId="5" fillId="2" borderId="1" xfId="0" applyFont="1" applyFill="1" applyBorder="1" applyAlignment="1" applyProtection="1">
      <alignment vertical="center" wrapText="1"/>
    </xf>
    <xf numFmtId="0" fontId="5" fillId="3" borderId="0" xfId="0" applyFont="1" applyFill="1" applyBorder="1" applyAlignment="1" applyProtection="1">
      <alignment vertical="center" wrapText="1"/>
    </xf>
    <xf numFmtId="0" fontId="6" fillId="2" borderId="4" xfId="0" applyFont="1" applyFill="1" applyBorder="1" applyAlignment="1" applyProtection="1">
      <alignment vertical="center" wrapText="1"/>
    </xf>
    <xf numFmtId="0" fontId="6" fillId="2" borderId="1" xfId="0" applyFont="1" applyFill="1" applyBorder="1" applyAlignment="1" applyProtection="1">
      <alignment vertical="center" wrapText="1"/>
    </xf>
    <xf numFmtId="0" fontId="24" fillId="2" borderId="1" xfId="0" applyFont="1" applyFill="1" applyBorder="1" applyAlignment="1" applyProtection="1">
      <alignment vertical="center"/>
    </xf>
    <xf numFmtId="0" fontId="9" fillId="2" borderId="1" xfId="0" applyFont="1" applyFill="1" applyBorder="1" applyAlignment="1" applyProtection="1">
      <alignment horizontal="center" vertical="center"/>
    </xf>
    <xf numFmtId="0" fontId="9" fillId="2" borderId="1" xfId="0" applyFont="1" applyFill="1" applyBorder="1" applyAlignment="1" applyProtection="1">
      <alignment vertical="center"/>
    </xf>
    <xf numFmtId="0" fontId="10" fillId="2" borderId="1" xfId="0" applyFont="1" applyFill="1" applyBorder="1" applyAlignment="1" applyProtection="1">
      <alignment vertical="center"/>
    </xf>
    <xf numFmtId="0" fontId="11" fillId="2" borderId="1" xfId="0" applyFont="1" applyFill="1" applyBorder="1" applyAlignment="1" applyProtection="1">
      <alignment vertical="center"/>
    </xf>
    <xf numFmtId="0" fontId="4" fillId="7" borderId="54" xfId="0" applyFont="1" applyFill="1" applyBorder="1" applyAlignment="1" applyProtection="1">
      <alignment vertical="center"/>
    </xf>
    <xf numFmtId="2" fontId="8" fillId="7" borderId="55" xfId="0" applyNumberFormat="1" applyFont="1" applyFill="1" applyBorder="1" applyAlignment="1" applyProtection="1">
      <alignment horizontal="center" vertical="center"/>
    </xf>
    <xf numFmtId="0" fontId="4" fillId="2" borderId="41" xfId="0" applyFont="1" applyFill="1" applyBorder="1" applyAlignment="1" applyProtection="1">
      <alignment vertical="center"/>
    </xf>
    <xf numFmtId="0" fontId="5" fillId="2" borderId="42" xfId="0" applyFont="1" applyFill="1" applyBorder="1" applyAlignment="1" applyProtection="1">
      <alignment vertical="center"/>
    </xf>
    <xf numFmtId="0" fontId="8" fillId="2" borderId="43" xfId="0" applyFont="1" applyFill="1" applyBorder="1" applyAlignment="1" applyProtection="1">
      <alignment vertical="center"/>
    </xf>
    <xf numFmtId="9" fontId="24" fillId="2" borderId="4" xfId="0" applyNumberFormat="1" applyFont="1" applyFill="1" applyBorder="1" applyAlignment="1" applyProtection="1">
      <alignment vertical="center"/>
    </xf>
    <xf numFmtId="9" fontId="24" fillId="2" borderId="1" xfId="0" applyNumberFormat="1" applyFont="1" applyFill="1" applyBorder="1" applyAlignment="1" applyProtection="1">
      <alignment vertical="center"/>
    </xf>
    <xf numFmtId="0" fontId="6" fillId="3" borderId="0" xfId="0" applyFont="1" applyFill="1" applyBorder="1" applyAlignment="1" applyProtection="1">
      <alignment vertical="center"/>
    </xf>
    <xf numFmtId="0" fontId="5" fillId="2" borderId="44" xfId="0" applyFont="1" applyFill="1" applyBorder="1" applyAlignment="1" applyProtection="1">
      <alignment vertical="center"/>
    </xf>
    <xf numFmtId="0" fontId="5" fillId="2" borderId="0" xfId="0" applyFont="1" applyFill="1" applyBorder="1" applyAlignment="1" applyProtection="1">
      <alignment vertical="center"/>
    </xf>
    <xf numFmtId="0" fontId="5" fillId="2" borderId="45" xfId="0" applyFont="1" applyFill="1" applyBorder="1" applyAlignment="1" applyProtection="1">
      <alignment vertical="center"/>
    </xf>
    <xf numFmtId="0" fontId="24" fillId="2" borderId="4" xfId="0" applyFont="1" applyFill="1" applyBorder="1" applyAlignment="1" applyProtection="1">
      <alignment vertical="center"/>
    </xf>
    <xf numFmtId="9" fontId="26" fillId="2" borderId="44" xfId="0" applyNumberFormat="1" applyFont="1" applyFill="1" applyBorder="1" applyAlignment="1" applyProtection="1">
      <alignment vertical="center"/>
    </xf>
    <xf numFmtId="9" fontId="26" fillId="2" borderId="0" xfId="0" applyNumberFormat="1" applyFont="1" applyFill="1" applyBorder="1" applyAlignment="1" applyProtection="1">
      <alignment vertical="center"/>
    </xf>
    <xf numFmtId="9" fontId="26" fillId="2" borderId="45" xfId="0" applyNumberFormat="1" applyFont="1" applyFill="1" applyBorder="1" applyAlignment="1" applyProtection="1">
      <alignment vertical="center"/>
    </xf>
    <xf numFmtId="9" fontId="26" fillId="2" borderId="46" xfId="0" applyNumberFormat="1" applyFont="1" applyFill="1" applyBorder="1" applyAlignment="1" applyProtection="1">
      <alignment vertical="center"/>
    </xf>
    <xf numFmtId="9" fontId="26" fillId="2" borderId="47" xfId="0" applyNumberFormat="1" applyFont="1" applyFill="1" applyBorder="1" applyAlignment="1" applyProtection="1">
      <alignment vertical="center"/>
    </xf>
    <xf numFmtId="9" fontId="26" fillId="2" borderId="48" xfId="0" applyNumberFormat="1" applyFont="1" applyFill="1" applyBorder="1" applyAlignment="1" applyProtection="1">
      <alignment vertical="center"/>
    </xf>
    <xf numFmtId="0" fontId="8" fillId="3" borderId="0" xfId="0" applyFont="1" applyFill="1" applyBorder="1" applyAlignment="1" applyProtection="1">
      <alignment vertical="center"/>
    </xf>
    <xf numFmtId="0" fontId="29" fillId="2" borderId="4" xfId="0" applyFont="1" applyFill="1" applyBorder="1" applyAlignment="1" applyProtection="1">
      <alignment vertical="center"/>
    </xf>
    <xf numFmtId="0" fontId="29" fillId="2" borderId="1" xfId="0" applyFont="1" applyFill="1" applyBorder="1" applyAlignment="1" applyProtection="1">
      <alignment vertical="center"/>
    </xf>
    <xf numFmtId="0" fontId="5" fillId="10" borderId="1" xfId="0" applyFont="1" applyFill="1" applyBorder="1" applyAlignment="1" applyProtection="1">
      <alignment horizontal="center" vertical="center"/>
    </xf>
    <xf numFmtId="2" fontId="6" fillId="3" borderId="1" xfId="0" applyNumberFormat="1" applyFont="1" applyFill="1" applyBorder="1" applyAlignment="1" applyProtection="1">
      <alignment horizontal="center" vertical="center"/>
    </xf>
    <xf numFmtId="0" fontId="11" fillId="2" borderId="1" xfId="0" applyFont="1" applyFill="1" applyBorder="1" applyProtection="1"/>
    <xf numFmtId="0" fontId="9" fillId="2" borderId="1" xfId="0" applyFont="1" applyFill="1" applyBorder="1" applyAlignment="1" applyProtection="1">
      <alignment horizontal="right" vertical="center"/>
    </xf>
    <xf numFmtId="0" fontId="12" fillId="2" borderId="1" xfId="0" applyFont="1" applyFill="1" applyBorder="1" applyAlignment="1" applyProtection="1">
      <alignment vertical="center"/>
    </xf>
    <xf numFmtId="0" fontId="9" fillId="2" borderId="2" xfId="0" applyFont="1" applyFill="1" applyBorder="1" applyAlignment="1" applyProtection="1">
      <alignment vertical="center"/>
    </xf>
    <xf numFmtId="2" fontId="10" fillId="7" borderId="40" xfId="0" applyNumberFormat="1" applyFont="1" applyFill="1" applyBorder="1" applyAlignment="1" applyProtection="1">
      <alignment horizontal="center" vertical="center"/>
    </xf>
    <xf numFmtId="0" fontId="10" fillId="2" borderId="41" xfId="0" applyFont="1" applyFill="1" applyBorder="1" applyAlignment="1" applyProtection="1">
      <alignment vertical="center"/>
    </xf>
    <xf numFmtId="0" fontId="10" fillId="2" borderId="49" xfId="0" applyFont="1" applyFill="1" applyBorder="1" applyAlignment="1" applyProtection="1">
      <alignment vertical="center"/>
    </xf>
    <xf numFmtId="0" fontId="9" fillId="2" borderId="50" xfId="0" applyFont="1" applyFill="1" applyBorder="1" applyAlignment="1" applyProtection="1">
      <alignment vertical="center"/>
    </xf>
    <xf numFmtId="0" fontId="9" fillId="3" borderId="0" xfId="0" applyFont="1" applyFill="1" applyBorder="1" applyAlignment="1" applyProtection="1">
      <alignment vertical="center"/>
    </xf>
    <xf numFmtId="9" fontId="11" fillId="2" borderId="4" xfId="0" applyNumberFormat="1" applyFont="1" applyFill="1" applyBorder="1" applyAlignment="1" applyProtection="1">
      <alignment vertical="center"/>
    </xf>
    <xf numFmtId="9" fontId="11" fillId="2" borderId="1" xfId="0" applyNumberFormat="1" applyFont="1" applyFill="1" applyBorder="1" applyAlignment="1" applyProtection="1">
      <alignment vertical="center"/>
    </xf>
    <xf numFmtId="2" fontId="9" fillId="3" borderId="0" xfId="0" applyNumberFormat="1" applyFont="1" applyFill="1" applyBorder="1" applyAlignment="1" applyProtection="1">
      <alignment vertical="center"/>
    </xf>
    <xf numFmtId="0" fontId="9" fillId="2" borderId="44" xfId="0" applyFont="1" applyFill="1" applyBorder="1" applyAlignment="1" applyProtection="1">
      <alignment vertical="center"/>
    </xf>
    <xf numFmtId="0" fontId="9" fillId="2" borderId="0" xfId="0" applyFont="1" applyFill="1" applyBorder="1" applyAlignment="1" applyProtection="1">
      <alignment vertical="center"/>
    </xf>
    <xf numFmtId="0" fontId="9" fillId="2" borderId="45" xfId="0" applyFont="1" applyFill="1" applyBorder="1" applyAlignment="1" applyProtection="1">
      <alignment vertical="center"/>
    </xf>
    <xf numFmtId="0" fontId="12" fillId="2" borderId="1" xfId="0" applyFont="1" applyFill="1" applyBorder="1" applyAlignment="1" applyProtection="1">
      <alignment horizontal="center" vertical="center"/>
    </xf>
    <xf numFmtId="0" fontId="9" fillId="2" borderId="2" xfId="0" applyFont="1" applyFill="1" applyBorder="1" applyAlignment="1" applyProtection="1">
      <alignment horizontal="center" vertical="center"/>
    </xf>
    <xf numFmtId="9" fontId="25" fillId="2" borderId="44" xfId="0" applyNumberFormat="1" applyFont="1" applyFill="1" applyBorder="1" applyAlignment="1" applyProtection="1">
      <alignment vertical="center"/>
    </xf>
    <xf numFmtId="9" fontId="25" fillId="2" borderId="0" xfId="0" applyNumberFormat="1" applyFont="1" applyFill="1" applyBorder="1" applyAlignment="1" applyProtection="1">
      <alignment vertical="center"/>
    </xf>
    <xf numFmtId="9" fontId="25" fillId="2" borderId="45" xfId="0" applyNumberFormat="1" applyFont="1" applyFill="1" applyBorder="1" applyAlignment="1" applyProtection="1">
      <alignment vertical="center"/>
    </xf>
    <xf numFmtId="0" fontId="9" fillId="3" borderId="0" xfId="0" applyFont="1" applyFill="1" applyBorder="1" applyAlignment="1" applyProtection="1">
      <alignment horizontal="center" vertical="center"/>
    </xf>
    <xf numFmtId="0" fontId="11" fillId="2" borderId="4" xfId="0" applyFont="1" applyFill="1" applyBorder="1" applyAlignment="1" applyProtection="1">
      <alignment horizontal="center" vertical="center"/>
    </xf>
    <xf numFmtId="0" fontId="11" fillId="2" borderId="1" xfId="0" applyFont="1" applyFill="1" applyBorder="1" applyAlignment="1" applyProtection="1">
      <alignment horizontal="center" vertical="center"/>
    </xf>
    <xf numFmtId="2" fontId="9" fillId="2" borderId="1" xfId="0" applyNumberFormat="1" applyFont="1" applyFill="1" applyBorder="1" applyAlignment="1" applyProtection="1">
      <alignment horizontal="center" vertical="center"/>
    </xf>
    <xf numFmtId="9" fontId="25" fillId="2" borderId="46" xfId="0" applyNumberFormat="1" applyFont="1" applyFill="1" applyBorder="1" applyAlignment="1" applyProtection="1">
      <alignment vertical="center"/>
    </xf>
    <xf numFmtId="9" fontId="25" fillId="2" borderId="47" xfId="0" applyNumberFormat="1" applyFont="1" applyFill="1" applyBorder="1" applyAlignment="1" applyProtection="1">
      <alignment vertical="center"/>
    </xf>
    <xf numFmtId="9" fontId="25" fillId="2" borderId="48" xfId="0" applyNumberFormat="1" applyFont="1" applyFill="1" applyBorder="1" applyAlignment="1" applyProtection="1">
      <alignment vertical="center"/>
    </xf>
    <xf numFmtId="0" fontId="11" fillId="2" borderId="1" xfId="0" applyFont="1" applyFill="1" applyBorder="1" applyAlignment="1" applyProtection="1">
      <alignment wrapText="1"/>
    </xf>
    <xf numFmtId="0" fontId="9" fillId="3" borderId="1" xfId="0" applyFont="1" applyFill="1" applyBorder="1" applyAlignment="1" applyProtection="1">
      <alignment horizontal="right" vertical="center" wrapText="1"/>
    </xf>
    <xf numFmtId="0" fontId="9" fillId="3" borderId="1" xfId="0" applyFont="1" applyFill="1" applyBorder="1" applyAlignment="1" applyProtection="1">
      <alignment vertical="center"/>
    </xf>
    <xf numFmtId="0" fontId="10" fillId="2" borderId="2" xfId="0" applyFont="1" applyFill="1" applyBorder="1" applyAlignment="1" applyProtection="1">
      <alignment vertical="center"/>
    </xf>
    <xf numFmtId="0" fontId="10" fillId="3" borderId="0" xfId="0" applyFont="1" applyFill="1" applyBorder="1" applyAlignment="1" applyProtection="1">
      <alignment vertical="center"/>
    </xf>
    <xf numFmtId="0" fontId="18" fillId="2" borderId="4" xfId="0" applyFont="1" applyFill="1" applyBorder="1" applyAlignment="1" applyProtection="1">
      <alignment vertical="center"/>
    </xf>
    <xf numFmtId="0" fontId="18" fillId="2" borderId="1" xfId="0" applyFont="1" applyFill="1" applyBorder="1" applyAlignment="1" applyProtection="1">
      <alignment vertical="center"/>
    </xf>
    <xf numFmtId="0" fontId="9" fillId="3" borderId="1" xfId="0" applyFont="1" applyFill="1" applyBorder="1" applyAlignment="1" applyProtection="1">
      <alignment horizontal="right" vertical="center"/>
    </xf>
    <xf numFmtId="0" fontId="9" fillId="2" borderId="1" xfId="0" applyFont="1" applyFill="1" applyBorder="1" applyAlignment="1" applyProtection="1">
      <alignment horizontal="center" vertical="center" wrapText="1"/>
    </xf>
    <xf numFmtId="0" fontId="10" fillId="8" borderId="1" xfId="0" applyFont="1" applyFill="1" applyBorder="1" applyAlignment="1" applyProtection="1">
      <alignment horizontal="right" vertical="center"/>
    </xf>
    <xf numFmtId="0" fontId="9" fillId="2" borderId="2" xfId="0" applyFont="1" applyFill="1" applyBorder="1" applyAlignment="1" applyProtection="1">
      <alignment horizontal="center" vertical="center" wrapText="1"/>
    </xf>
    <xf numFmtId="0" fontId="9" fillId="3" borderId="0" xfId="0" applyFont="1" applyFill="1" applyBorder="1" applyAlignment="1" applyProtection="1">
      <alignment horizontal="center" vertical="center" wrapText="1"/>
    </xf>
    <xf numFmtId="0" fontId="11" fillId="2" borderId="4"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xf>
    <xf numFmtId="2" fontId="12" fillId="4" borderId="1" xfId="0" applyNumberFormat="1" applyFont="1" applyFill="1" applyBorder="1" applyAlignment="1" applyProtection="1">
      <alignment horizontal="center" vertical="center"/>
    </xf>
    <xf numFmtId="0" fontId="16" fillId="12" borderId="1" xfId="0" applyFont="1" applyFill="1" applyBorder="1" applyAlignment="1" applyProtection="1">
      <alignment horizontal="center" vertical="center"/>
    </xf>
    <xf numFmtId="0" fontId="9" fillId="10" borderId="1" xfId="0" applyFont="1" applyFill="1" applyBorder="1" applyAlignment="1" applyProtection="1">
      <alignment horizontal="center" vertical="center" wrapText="1"/>
    </xf>
    <xf numFmtId="0" fontId="10" fillId="3" borderId="1" xfId="0" applyFont="1" applyFill="1" applyBorder="1" applyAlignment="1" applyProtection="1">
      <alignment horizontal="right" vertical="center"/>
    </xf>
    <xf numFmtId="2" fontId="10" fillId="7" borderId="1" xfId="0" applyNumberFormat="1" applyFont="1" applyFill="1" applyBorder="1" applyAlignment="1" applyProtection="1">
      <alignment horizontal="center" vertical="center"/>
    </xf>
    <xf numFmtId="0" fontId="9" fillId="5" borderId="1" xfId="0" applyFont="1" applyFill="1" applyBorder="1" applyAlignment="1" applyProtection="1">
      <alignment horizontal="center" vertical="center"/>
    </xf>
    <xf numFmtId="0" fontId="18" fillId="2" borderId="1" xfId="0" applyFont="1" applyFill="1" applyBorder="1" applyProtection="1"/>
    <xf numFmtId="2" fontId="18" fillId="2" borderId="1" xfId="0" applyNumberFormat="1" applyFont="1" applyFill="1" applyBorder="1" applyAlignment="1" applyProtection="1">
      <alignment horizontal="center" vertical="center" wrapText="1"/>
    </xf>
    <xf numFmtId="2" fontId="18" fillId="2" borderId="1" xfId="0" applyNumberFormat="1" applyFont="1" applyFill="1" applyBorder="1" applyAlignment="1" applyProtection="1">
      <alignment horizontal="center" vertical="center"/>
    </xf>
    <xf numFmtId="2" fontId="11" fillId="2" borderId="1" xfId="0" applyNumberFormat="1" applyFont="1" applyFill="1" applyBorder="1" applyAlignment="1" applyProtection="1">
      <alignment horizontal="center" vertical="center"/>
    </xf>
    <xf numFmtId="2" fontId="10" fillId="4" borderId="1" xfId="0" applyNumberFormat="1" applyFont="1" applyFill="1" applyBorder="1" applyAlignment="1" applyProtection="1">
      <alignment horizontal="center" vertical="center" wrapText="1"/>
    </xf>
    <xf numFmtId="2" fontId="10" fillId="4" borderId="1" xfId="0" applyNumberFormat="1" applyFont="1" applyFill="1" applyBorder="1" applyAlignment="1" applyProtection="1">
      <alignment horizontal="center" vertical="center"/>
    </xf>
    <xf numFmtId="2" fontId="10" fillId="5" borderId="1" xfId="0" applyNumberFormat="1" applyFont="1" applyFill="1" applyBorder="1" applyAlignment="1" applyProtection="1">
      <alignment horizontal="center" vertical="center" wrapText="1"/>
    </xf>
    <xf numFmtId="2" fontId="10" fillId="5" borderId="1" xfId="0" applyNumberFormat="1" applyFont="1" applyFill="1" applyBorder="1" applyAlignment="1" applyProtection="1">
      <alignment horizontal="center" vertical="center"/>
    </xf>
    <xf numFmtId="0" fontId="13" fillId="2" borderId="1" xfId="0" applyFont="1" applyFill="1" applyBorder="1" applyAlignment="1" applyProtection="1">
      <alignment horizontal="center" vertical="center"/>
    </xf>
    <xf numFmtId="2" fontId="14" fillId="3" borderId="1" xfId="0" applyNumberFormat="1" applyFont="1" applyFill="1" applyBorder="1" applyAlignment="1" applyProtection="1">
      <alignment horizontal="center" vertical="center"/>
    </xf>
    <xf numFmtId="1" fontId="12" fillId="3" borderId="1" xfId="0" applyNumberFormat="1"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xf>
    <xf numFmtId="0" fontId="12" fillId="3" borderId="1" xfId="0" applyFont="1" applyFill="1" applyBorder="1" applyAlignment="1" applyProtection="1">
      <alignment vertical="center"/>
    </xf>
    <xf numFmtId="0" fontId="10" fillId="2" borderId="1" xfId="0" applyFont="1" applyFill="1" applyBorder="1" applyAlignment="1" applyProtection="1">
      <alignment horizontal="center" vertical="center" wrapText="1"/>
    </xf>
    <xf numFmtId="2" fontId="10" fillId="2" borderId="1" xfId="0" applyNumberFormat="1" applyFont="1" applyFill="1" applyBorder="1" applyAlignment="1" applyProtection="1">
      <alignment horizontal="center" vertical="center"/>
    </xf>
    <xf numFmtId="0" fontId="13" fillId="2" borderId="2" xfId="0" applyFont="1" applyFill="1" applyBorder="1" applyAlignment="1" applyProtection="1">
      <alignment horizontal="center" vertical="center"/>
    </xf>
    <xf numFmtId="0" fontId="13" fillId="2" borderId="4" xfId="0" applyFont="1" applyFill="1" applyBorder="1" applyAlignment="1" applyProtection="1">
      <alignment horizontal="center" vertical="center"/>
    </xf>
    <xf numFmtId="0" fontId="13" fillId="2" borderId="3" xfId="0" applyFont="1" applyFill="1" applyBorder="1" applyAlignment="1" applyProtection="1">
      <alignment horizontal="center" vertical="center"/>
    </xf>
    <xf numFmtId="0" fontId="12" fillId="2" borderId="2" xfId="0" applyFont="1" applyFill="1" applyBorder="1" applyAlignment="1" applyProtection="1">
      <alignment horizontal="center" vertical="center"/>
    </xf>
    <xf numFmtId="0" fontId="12" fillId="3" borderId="0" xfId="0" applyFont="1" applyFill="1" applyBorder="1" applyAlignment="1" applyProtection="1">
      <alignment horizontal="center" vertical="center"/>
    </xf>
    <xf numFmtId="2" fontId="12" fillId="5" borderId="1"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xf>
    <xf numFmtId="2" fontId="8" fillId="7" borderId="40" xfId="0" applyNumberFormat="1" applyFont="1" applyFill="1" applyBorder="1" applyAlignment="1" applyProtection="1">
      <alignment horizontal="center" vertical="center"/>
    </xf>
    <xf numFmtId="0" fontId="5" fillId="2" borderId="4" xfId="0" applyFont="1" applyFill="1" applyBorder="1" applyAlignment="1" applyProtection="1">
      <alignment horizontal="center" vertical="center"/>
    </xf>
    <xf numFmtId="2" fontId="24" fillId="2" borderId="1" xfId="0" applyNumberFormat="1" applyFont="1" applyFill="1" applyBorder="1" applyAlignment="1" applyProtection="1">
      <alignment horizontal="center" vertical="center"/>
    </xf>
    <xf numFmtId="2" fontId="24" fillId="2" borderId="1" xfId="0" applyNumberFormat="1" applyFont="1" applyFill="1" applyBorder="1" applyAlignment="1" applyProtection="1">
      <alignment vertical="center"/>
    </xf>
    <xf numFmtId="0" fontId="7" fillId="2" borderId="1" xfId="0" applyFont="1" applyFill="1" applyBorder="1" applyAlignment="1" applyProtection="1">
      <alignment horizontal="center" vertical="center"/>
    </xf>
    <xf numFmtId="0" fontId="24" fillId="2" borderId="1" xfId="0" applyFont="1" applyFill="1" applyBorder="1" applyAlignment="1" applyProtection="1">
      <alignment horizontal="center" vertical="center"/>
    </xf>
    <xf numFmtId="0" fontId="8" fillId="2" borderId="2" xfId="0" applyFont="1" applyFill="1" applyBorder="1" applyAlignment="1" applyProtection="1">
      <alignment vertical="center"/>
    </xf>
    <xf numFmtId="0" fontId="4" fillId="3" borderId="0" xfId="0" applyFont="1" applyFill="1" applyBorder="1" applyAlignment="1" applyProtection="1">
      <alignment horizontal="center" vertical="center"/>
    </xf>
    <xf numFmtId="0" fontId="4" fillId="2" borderId="4"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23" fillId="3" borderId="0" xfId="0" applyFont="1" applyFill="1" applyBorder="1" applyAlignment="1" applyProtection="1">
      <alignment horizontal="center" vertical="center"/>
    </xf>
    <xf numFmtId="0" fontId="23" fillId="3" borderId="0" xfId="0" applyFont="1" applyFill="1" applyBorder="1" applyAlignment="1" applyProtection="1">
      <alignment horizontal="left" vertical="center"/>
    </xf>
    <xf numFmtId="0" fontId="21" fillId="3" borderId="0" xfId="0" applyFont="1" applyFill="1" applyBorder="1" applyAlignment="1" applyProtection="1">
      <alignment horizontal="left" vertical="center"/>
    </xf>
    <xf numFmtId="0" fontId="5" fillId="2" borderId="1" xfId="0" applyFont="1" applyFill="1" applyBorder="1" applyAlignment="1" applyProtection="1">
      <alignment horizontal="center" vertical="center" wrapText="1"/>
    </xf>
    <xf numFmtId="0" fontId="24" fillId="2" borderId="1"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xf>
    <xf numFmtId="2" fontId="5" fillId="13" borderId="1" xfId="0" applyNumberFormat="1" applyFont="1" applyFill="1" applyBorder="1" applyAlignment="1" applyProtection="1">
      <alignment horizontal="center" vertical="center"/>
    </xf>
    <xf numFmtId="2" fontId="6" fillId="3" borderId="4" xfId="0" applyNumberFormat="1" applyFont="1" applyFill="1" applyBorder="1" applyAlignment="1" applyProtection="1">
      <alignment horizontal="center" vertical="center"/>
    </xf>
    <xf numFmtId="2" fontId="5" fillId="2" borderId="1" xfId="0" applyNumberFormat="1" applyFont="1" applyFill="1" applyBorder="1" applyAlignment="1" applyProtection="1">
      <alignment horizontal="center" vertical="center"/>
    </xf>
    <xf numFmtId="2" fontId="6" fillId="2" borderId="1" xfId="0" applyNumberFormat="1" applyFont="1" applyFill="1" applyBorder="1" applyAlignment="1" applyProtection="1">
      <alignment horizontal="center" vertical="center"/>
    </xf>
    <xf numFmtId="0" fontId="5" fillId="3" borderId="0" xfId="0" applyFont="1" applyFill="1" applyBorder="1" applyAlignment="1" applyProtection="1">
      <alignment horizontal="center" vertical="center" wrapText="1"/>
    </xf>
    <xf numFmtId="2" fontId="6" fillId="4" borderId="1" xfId="0" applyNumberFormat="1" applyFont="1" applyFill="1" applyBorder="1" applyAlignment="1" applyProtection="1">
      <alignment horizontal="center" vertical="center"/>
    </xf>
    <xf numFmtId="2" fontId="6" fillId="3" borderId="1" xfId="0" applyNumberFormat="1" applyFont="1" applyFill="1" applyBorder="1" applyAlignment="1" applyProtection="1">
      <alignment horizontal="center" vertical="center" wrapText="1"/>
    </xf>
    <xf numFmtId="0" fontId="7" fillId="2" borderId="1" xfId="0" applyFont="1" applyFill="1" applyBorder="1" applyAlignment="1" applyProtection="1">
      <alignment vertical="center"/>
    </xf>
    <xf numFmtId="2" fontId="8" fillId="3" borderId="1" xfId="0" applyNumberFormat="1"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7" fillId="2" borderId="4" xfId="0" applyFont="1" applyFill="1" applyBorder="1" applyAlignment="1" applyProtection="1">
      <alignment vertical="center"/>
    </xf>
    <xf numFmtId="2" fontId="9" fillId="4" borderId="1" xfId="0" applyNumberFormat="1" applyFont="1" applyFill="1" applyBorder="1" applyAlignment="1" applyProtection="1">
      <alignment horizontal="center" vertical="center"/>
    </xf>
    <xf numFmtId="2" fontId="12" fillId="14" borderId="1" xfId="0" applyNumberFormat="1" applyFont="1" applyFill="1" applyBorder="1" applyAlignment="1" applyProtection="1">
      <alignment horizontal="center" vertical="center"/>
    </xf>
    <xf numFmtId="0" fontId="7" fillId="2" borderId="2" xfId="0" applyFont="1" applyFill="1" applyBorder="1" applyAlignment="1" applyProtection="1">
      <alignment vertical="center"/>
    </xf>
    <xf numFmtId="0" fontId="7" fillId="3" borderId="0" xfId="0" applyFont="1" applyFill="1" applyBorder="1" applyAlignment="1" applyProtection="1">
      <alignment vertical="center"/>
    </xf>
    <xf numFmtId="0" fontId="18" fillId="2" borderId="1" xfId="0" applyFont="1" applyFill="1" applyBorder="1" applyAlignment="1" applyProtection="1">
      <alignment horizontal="center" vertical="center"/>
    </xf>
    <xf numFmtId="0" fontId="5" fillId="2" borderId="65" xfId="0" applyFont="1" applyFill="1" applyBorder="1" applyAlignment="1" applyProtection="1">
      <alignment vertical="center"/>
    </xf>
    <xf numFmtId="0" fontId="5" fillId="2" borderId="65" xfId="0" applyFont="1" applyFill="1" applyBorder="1" applyAlignment="1" applyProtection="1">
      <alignment horizontal="center" vertical="center"/>
    </xf>
    <xf numFmtId="0" fontId="5" fillId="3" borderId="65" xfId="0" applyFont="1" applyFill="1" applyBorder="1" applyAlignment="1" applyProtection="1">
      <alignment horizontal="center" vertical="center" wrapText="1"/>
    </xf>
    <xf numFmtId="0" fontId="24" fillId="2" borderId="65" xfId="0" applyFont="1" applyFill="1" applyBorder="1" applyAlignment="1" applyProtection="1">
      <alignment vertical="center"/>
    </xf>
    <xf numFmtId="0" fontId="5" fillId="3" borderId="65" xfId="0" applyFont="1" applyFill="1" applyBorder="1" applyAlignment="1" applyProtection="1">
      <alignment vertical="center"/>
    </xf>
    <xf numFmtId="2" fontId="5" fillId="2" borderId="65" xfId="0" applyNumberFormat="1" applyFont="1" applyFill="1" applyBorder="1" applyAlignment="1" applyProtection="1">
      <alignment vertical="center"/>
    </xf>
    <xf numFmtId="2" fontId="5" fillId="3" borderId="65" xfId="0" applyNumberFormat="1" applyFont="1" applyFill="1" applyBorder="1" applyAlignment="1" applyProtection="1">
      <alignment horizontal="center" vertical="center"/>
    </xf>
    <xf numFmtId="0" fontId="6" fillId="2" borderId="65" xfId="0" applyFont="1" applyFill="1" applyBorder="1" applyAlignment="1" applyProtection="1">
      <alignment horizontal="right" vertical="center"/>
    </xf>
    <xf numFmtId="2" fontId="6" fillId="2" borderId="65" xfId="0" applyNumberFormat="1" applyFont="1" applyFill="1" applyBorder="1" applyAlignment="1" applyProtection="1">
      <alignment vertical="center"/>
    </xf>
    <xf numFmtId="0" fontId="6" fillId="2" borderId="65" xfId="0" applyFont="1" applyFill="1" applyBorder="1" applyAlignment="1" applyProtection="1">
      <alignment vertical="center"/>
    </xf>
    <xf numFmtId="0" fontId="9" fillId="2" borderId="65" xfId="0" applyFont="1" applyFill="1" applyBorder="1" applyAlignment="1" applyProtection="1">
      <alignment horizontal="center" vertical="center"/>
    </xf>
    <xf numFmtId="0" fontId="11" fillId="2" borderId="65" xfId="0" applyFont="1" applyFill="1" applyBorder="1" applyAlignment="1" applyProtection="1">
      <alignment vertical="center"/>
    </xf>
    <xf numFmtId="0" fontId="4" fillId="2" borderId="65" xfId="0" applyFont="1" applyFill="1" applyBorder="1" applyAlignment="1" applyProtection="1">
      <alignment vertical="center"/>
    </xf>
    <xf numFmtId="0" fontId="5" fillId="3" borderId="65" xfId="0" applyFont="1" applyFill="1" applyBorder="1" applyAlignment="1" applyProtection="1">
      <alignment horizontal="center" vertical="center"/>
    </xf>
    <xf numFmtId="0" fontId="5" fillId="10" borderId="65" xfId="0" applyFont="1" applyFill="1" applyBorder="1" applyAlignment="1" applyProtection="1">
      <alignment horizontal="center" vertical="center"/>
    </xf>
    <xf numFmtId="0" fontId="6" fillId="10" borderId="65" xfId="0" applyFont="1" applyFill="1" applyBorder="1" applyAlignment="1" applyProtection="1">
      <alignment horizontal="center" vertical="center"/>
    </xf>
    <xf numFmtId="2" fontId="4" fillId="2" borderId="65" xfId="0" applyNumberFormat="1" applyFont="1" applyFill="1" applyBorder="1" applyAlignment="1" applyProtection="1">
      <alignment vertical="center"/>
    </xf>
    <xf numFmtId="2" fontId="5" fillId="10" borderId="65" xfId="0" applyNumberFormat="1" applyFont="1" applyFill="1" applyBorder="1" applyAlignment="1" applyProtection="1">
      <alignment horizontal="center" vertical="center"/>
    </xf>
    <xf numFmtId="0" fontId="9" fillId="2" borderId="4" xfId="0" applyFont="1" applyFill="1" applyBorder="1" applyAlignment="1" applyProtection="1">
      <alignment vertical="center"/>
    </xf>
    <xf numFmtId="0" fontId="9" fillId="2" borderId="4" xfId="0" applyFont="1" applyFill="1" applyBorder="1" applyAlignment="1" applyProtection="1">
      <alignment horizontal="center" vertical="center"/>
    </xf>
    <xf numFmtId="0" fontId="12" fillId="2" borderId="4" xfId="0" applyFont="1" applyFill="1" applyBorder="1" applyAlignment="1" applyProtection="1">
      <alignment horizontal="center" vertical="center"/>
    </xf>
    <xf numFmtId="0" fontId="7" fillId="2" borderId="4" xfId="0" applyFont="1" applyFill="1" applyBorder="1" applyAlignment="1" applyProtection="1">
      <alignment horizontal="center" vertical="center"/>
    </xf>
    <xf numFmtId="0" fontId="20" fillId="2" borderId="4" xfId="0" applyFont="1" applyFill="1" applyBorder="1" applyAlignment="1" applyProtection="1">
      <alignment vertical="center"/>
    </xf>
    <xf numFmtId="0" fontId="7" fillId="2" borderId="4" xfId="0" applyFont="1" applyFill="1" applyBorder="1" applyAlignment="1" applyProtection="1">
      <alignment horizontal="center" vertical="center" wrapText="1"/>
    </xf>
    <xf numFmtId="2" fontId="6" fillId="8" borderId="65" xfId="0" applyNumberFormat="1" applyFont="1" applyFill="1" applyBorder="1" applyAlignment="1" applyProtection="1">
      <alignment horizontal="center" vertical="center"/>
    </xf>
    <xf numFmtId="0" fontId="20" fillId="2" borderId="65" xfId="0" applyFont="1" applyFill="1" applyBorder="1" applyAlignment="1" applyProtection="1">
      <alignment vertical="center"/>
    </xf>
    <xf numFmtId="0" fontId="5" fillId="2" borderId="65"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wrapText="1"/>
    </xf>
    <xf numFmtId="0" fontId="7" fillId="2" borderId="65" xfId="0" applyFont="1" applyFill="1" applyBorder="1" applyAlignment="1" applyProtection="1">
      <alignment horizontal="center" vertical="center" wrapText="1"/>
    </xf>
    <xf numFmtId="0" fontId="7" fillId="2" borderId="65" xfId="0" applyFont="1" applyFill="1" applyBorder="1" applyAlignment="1" applyProtection="1">
      <alignment vertical="center"/>
    </xf>
    <xf numFmtId="0" fontId="6" fillId="2" borderId="65" xfId="0" applyFont="1" applyFill="1" applyBorder="1" applyAlignment="1" applyProtection="1">
      <alignment horizontal="center" vertical="center"/>
    </xf>
    <xf numFmtId="0" fontId="6" fillId="2" borderId="65" xfId="0" applyFont="1" applyFill="1" applyBorder="1" applyAlignment="1" applyProtection="1">
      <alignment horizontal="left" vertical="center"/>
    </xf>
    <xf numFmtId="0" fontId="5" fillId="0" borderId="65" xfId="0" applyFont="1" applyFill="1" applyBorder="1" applyAlignment="1" applyProtection="1">
      <alignment horizontal="center" vertical="center"/>
    </xf>
    <xf numFmtId="0" fontId="5" fillId="0" borderId="65" xfId="0" applyFont="1" applyBorder="1" applyAlignment="1" applyProtection="1">
      <alignment horizontal="center" vertical="center"/>
    </xf>
    <xf numFmtId="0" fontId="4" fillId="3" borderId="65" xfId="0" applyFont="1" applyFill="1" applyBorder="1" applyAlignment="1" applyProtection="1">
      <alignment horizontal="center" vertical="center"/>
    </xf>
    <xf numFmtId="2" fontId="5" fillId="3" borderId="65" xfId="0" applyNumberFormat="1" applyFont="1" applyFill="1" applyBorder="1" applyAlignment="1" applyProtection="1">
      <alignment horizontal="center" vertical="center" wrapText="1"/>
    </xf>
    <xf numFmtId="2" fontId="4" fillId="3" borderId="65" xfId="0" applyNumberFormat="1" applyFont="1" applyFill="1" applyBorder="1" applyAlignment="1" applyProtection="1">
      <alignment horizontal="center" vertical="center"/>
    </xf>
    <xf numFmtId="0" fontId="5" fillId="0" borderId="65" xfId="0" applyFont="1" applyBorder="1" applyAlignment="1" applyProtection="1">
      <alignment horizontal="center" vertical="center" textRotation="255"/>
    </xf>
    <xf numFmtId="0" fontId="5" fillId="2" borderId="41" xfId="0" applyFont="1" applyFill="1" applyBorder="1" applyAlignment="1" applyProtection="1">
      <alignment vertical="center"/>
    </xf>
    <xf numFmtId="0" fontId="5" fillId="2" borderId="49" xfId="0" applyFont="1" applyFill="1" applyBorder="1" applyAlignment="1" applyProtection="1">
      <alignment vertical="center"/>
    </xf>
    <xf numFmtId="0" fontId="5" fillId="2" borderId="43" xfId="0" applyFont="1" applyFill="1" applyBorder="1" applyAlignment="1" applyProtection="1">
      <alignment vertical="center"/>
    </xf>
    <xf numFmtId="2" fontId="12" fillId="2" borderId="1" xfId="0" applyNumberFormat="1" applyFont="1" applyFill="1" applyBorder="1" applyAlignment="1" applyProtection="1">
      <alignment horizontal="center" vertical="center"/>
    </xf>
    <xf numFmtId="0" fontId="21" fillId="3" borderId="0" xfId="0" applyFont="1" applyFill="1" applyBorder="1" applyAlignment="1" applyProtection="1">
      <alignment horizontal="center" vertical="center"/>
    </xf>
    <xf numFmtId="0" fontId="6" fillId="8" borderId="65" xfId="0" applyFont="1" applyFill="1" applyBorder="1" applyAlignment="1" applyProtection="1">
      <alignment horizontal="center" vertical="center"/>
    </xf>
    <xf numFmtId="0" fontId="5" fillId="3" borderId="65" xfId="0" applyFont="1" applyFill="1" applyBorder="1" applyAlignment="1" applyProtection="1">
      <alignment horizontal="center" vertical="center"/>
    </xf>
    <xf numFmtId="0" fontId="6" fillId="3" borderId="65" xfId="0" applyFont="1" applyFill="1" applyBorder="1" applyAlignment="1" applyProtection="1">
      <alignment horizontal="center" vertical="center"/>
    </xf>
    <xf numFmtId="2" fontId="6" fillId="3" borderId="65" xfId="0" applyNumberFormat="1" applyFont="1" applyFill="1" applyBorder="1" applyAlignment="1" applyProtection="1">
      <alignment horizontal="center" vertical="center"/>
    </xf>
    <xf numFmtId="0" fontId="21" fillId="3" borderId="0" xfId="0" applyFont="1" applyFill="1" applyBorder="1" applyAlignment="1" applyProtection="1">
      <alignment horizontal="center" vertical="center" wrapText="1"/>
    </xf>
    <xf numFmtId="0" fontId="12" fillId="3" borderId="1" xfId="0" applyFont="1" applyFill="1" applyBorder="1" applyAlignment="1" applyProtection="1">
      <alignment horizontal="center" vertical="center"/>
    </xf>
    <xf numFmtId="2" fontId="9" fillId="3" borderId="1" xfId="0" applyNumberFormat="1" applyFont="1" applyFill="1" applyBorder="1" applyAlignment="1" applyProtection="1">
      <alignment horizontal="center" vertical="center"/>
    </xf>
    <xf numFmtId="2" fontId="10" fillId="8" borderId="1" xfId="0" applyNumberFormat="1" applyFont="1" applyFill="1" applyBorder="1" applyAlignment="1" applyProtection="1">
      <alignment horizontal="center" vertical="center"/>
    </xf>
    <xf numFmtId="0" fontId="10" fillId="8" borderId="1" xfId="0" applyFont="1" applyFill="1" applyBorder="1" applyAlignment="1" applyProtection="1">
      <alignment horizontal="center" vertical="center" wrapText="1"/>
    </xf>
    <xf numFmtId="0" fontId="12" fillId="3" borderId="2" xfId="0" applyFont="1" applyFill="1" applyBorder="1" applyAlignment="1" applyProtection="1">
      <alignment horizontal="center" vertical="center"/>
    </xf>
    <xf numFmtId="0" fontId="10" fillId="8" borderId="1" xfId="0" applyFont="1" applyFill="1" applyBorder="1" applyAlignment="1" applyProtection="1">
      <alignment horizontal="center" vertical="center"/>
    </xf>
    <xf numFmtId="0" fontId="9" fillId="3" borderId="1" xfId="0" applyFont="1" applyFill="1" applyBorder="1" applyAlignment="1" applyProtection="1">
      <alignment horizontal="center" vertical="center"/>
    </xf>
    <xf numFmtId="0" fontId="10" fillId="3" borderId="1" xfId="0" applyFont="1" applyFill="1" applyBorder="1" applyAlignment="1" applyProtection="1">
      <alignment horizontal="center" vertical="center"/>
    </xf>
    <xf numFmtId="0" fontId="9" fillId="8" borderId="1" xfId="0" applyFont="1" applyFill="1" applyBorder="1" applyAlignment="1" applyProtection="1">
      <alignment horizontal="center" vertical="center"/>
    </xf>
    <xf numFmtId="2" fontId="9" fillId="8" borderId="1" xfId="0" applyNumberFormat="1" applyFont="1" applyFill="1" applyBorder="1" applyAlignment="1" applyProtection="1">
      <alignment horizontal="center" vertical="center"/>
    </xf>
    <xf numFmtId="0" fontId="9" fillId="4" borderId="1" xfId="0" applyFont="1" applyFill="1" applyBorder="1" applyAlignment="1" applyProtection="1">
      <alignment horizontal="center" vertical="center" wrapText="1"/>
    </xf>
    <xf numFmtId="0" fontId="9" fillId="5" borderId="1" xfId="0" applyFont="1" applyFill="1" applyBorder="1" applyAlignment="1" applyProtection="1">
      <alignment horizontal="center" vertical="center" wrapText="1"/>
    </xf>
    <xf numFmtId="0" fontId="9" fillId="10" borderId="1" xfId="0" applyFont="1" applyFill="1" applyBorder="1" applyAlignment="1" applyProtection="1">
      <alignment horizontal="center" vertical="center"/>
    </xf>
    <xf numFmtId="0" fontId="12" fillId="10" borderId="1" xfId="0" applyFont="1" applyFill="1" applyBorder="1" applyAlignment="1" applyProtection="1">
      <alignment horizontal="center" vertical="center"/>
    </xf>
    <xf numFmtId="0" fontId="12" fillId="3" borderId="1" xfId="0" applyFont="1" applyFill="1" applyBorder="1" applyAlignment="1" applyProtection="1">
      <alignment horizontal="right" vertical="center"/>
    </xf>
    <xf numFmtId="2" fontId="10" fillId="3" borderId="1" xfId="0" applyNumberFormat="1" applyFont="1" applyFill="1" applyBorder="1" applyAlignment="1" applyProtection="1">
      <alignment horizontal="center" vertical="center"/>
    </xf>
    <xf numFmtId="2" fontId="9" fillId="10" borderId="1" xfId="0" applyNumberFormat="1" applyFont="1" applyFill="1" applyBorder="1" applyAlignment="1" applyProtection="1">
      <alignment horizontal="center" vertical="center"/>
    </xf>
    <xf numFmtId="0" fontId="10" fillId="7" borderId="1" xfId="0" applyFont="1" applyFill="1" applyBorder="1" applyAlignment="1" applyProtection="1">
      <alignment horizontal="center" vertical="center"/>
    </xf>
    <xf numFmtId="0" fontId="9" fillId="3" borderId="1" xfId="0" applyFont="1" applyFill="1" applyBorder="1" applyAlignment="1" applyProtection="1">
      <alignment horizontal="center" vertical="center" wrapText="1"/>
    </xf>
    <xf numFmtId="0" fontId="12" fillId="3" borderId="1" xfId="0" applyFont="1" applyFill="1" applyBorder="1" applyAlignment="1" applyProtection="1">
      <alignment horizontal="center" vertical="center" wrapText="1"/>
    </xf>
    <xf numFmtId="0" fontId="9" fillId="8" borderId="1"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0" xfId="0" applyFont="1" applyFill="1" applyBorder="1" applyAlignment="1" applyProtection="1">
      <alignment horizontal="center" vertical="center"/>
    </xf>
    <xf numFmtId="0" fontId="4" fillId="8" borderId="1" xfId="0" applyFont="1" applyFill="1" applyBorder="1" applyAlignment="1" applyProtection="1">
      <alignment horizontal="center" vertical="center"/>
    </xf>
    <xf numFmtId="0" fontId="5" fillId="3" borderId="1" xfId="0" applyFont="1" applyFill="1" applyBorder="1" applyAlignment="1" applyProtection="1">
      <alignment horizontal="center" vertical="center"/>
    </xf>
    <xf numFmtId="2" fontId="5" fillId="3" borderId="1" xfId="0" applyNumberFormat="1" applyFont="1" applyFill="1" applyBorder="1" applyAlignment="1" applyProtection="1">
      <alignment horizontal="center" vertical="center"/>
    </xf>
    <xf numFmtId="0" fontId="6" fillId="3" borderId="1" xfId="0" applyFont="1" applyFill="1" applyBorder="1" applyAlignment="1" applyProtection="1">
      <alignment horizontal="center" vertical="center"/>
    </xf>
    <xf numFmtId="0" fontId="6" fillId="3" borderId="1" xfId="0" applyFont="1" applyFill="1" applyBorder="1" applyAlignment="1" applyProtection="1">
      <alignment horizontal="center" vertical="center" wrapText="1"/>
    </xf>
    <xf numFmtId="0" fontId="5" fillId="3" borderId="65" xfId="0" applyFont="1" applyFill="1" applyBorder="1" applyAlignment="1" applyProtection="1">
      <alignment horizontal="center" vertical="center" wrapText="1"/>
    </xf>
    <xf numFmtId="0" fontId="6" fillId="3" borderId="65" xfId="0" applyFont="1" applyFill="1" applyBorder="1" applyAlignment="1" applyProtection="1">
      <alignment horizontal="center" vertical="center" wrapText="1"/>
    </xf>
    <xf numFmtId="0" fontId="5" fillId="2" borderId="2" xfId="0" applyFont="1" applyFill="1" applyBorder="1" applyAlignment="1" applyProtection="1">
      <alignment horizontal="center" vertical="center" wrapText="1"/>
    </xf>
    <xf numFmtId="0" fontId="5" fillId="2" borderId="4" xfId="0" applyFont="1" applyFill="1" applyBorder="1" applyAlignment="1" applyProtection="1">
      <alignment horizontal="center" vertical="center" wrapText="1"/>
    </xf>
    <xf numFmtId="0" fontId="7" fillId="2" borderId="65" xfId="0" applyFont="1" applyFill="1" applyBorder="1" applyAlignment="1" applyProtection="1">
      <alignment horizontal="center" vertical="center"/>
    </xf>
    <xf numFmtId="2" fontId="5" fillId="3" borderId="65" xfId="0" applyNumberFormat="1" applyFont="1" applyFill="1" applyBorder="1" applyAlignment="1" applyProtection="1">
      <alignment horizontal="center" vertical="center" wrapText="1"/>
    </xf>
    <xf numFmtId="0" fontId="4" fillId="3" borderId="65" xfId="0" applyFont="1" applyFill="1" applyBorder="1" applyAlignment="1" applyProtection="1">
      <alignment horizontal="center" vertical="center"/>
    </xf>
    <xf numFmtId="2" fontId="5" fillId="3" borderId="65" xfId="0" applyNumberFormat="1" applyFont="1" applyFill="1" applyBorder="1" applyAlignment="1" applyProtection="1">
      <alignment horizontal="center" vertical="center"/>
    </xf>
    <xf numFmtId="2" fontId="4" fillId="3" borderId="65" xfId="0" applyNumberFormat="1" applyFont="1" applyFill="1" applyBorder="1" applyAlignment="1" applyProtection="1">
      <alignment horizontal="center" vertical="center"/>
    </xf>
    <xf numFmtId="0" fontId="5" fillId="2" borderId="9" xfId="0" applyFont="1" applyFill="1" applyBorder="1" applyAlignment="1" applyProtection="1">
      <alignment horizontal="center" vertical="center"/>
    </xf>
    <xf numFmtId="2" fontId="12" fillId="3" borderId="1" xfId="0" applyNumberFormat="1" applyFont="1" applyFill="1" applyBorder="1" applyAlignment="1" applyProtection="1">
      <alignment horizontal="center" vertical="center"/>
    </xf>
    <xf numFmtId="0" fontId="9" fillId="4" borderId="1" xfId="0" applyFont="1" applyFill="1" applyBorder="1" applyAlignment="1" applyProtection="1">
      <alignment horizontal="center" vertical="center"/>
    </xf>
    <xf numFmtId="0" fontId="5" fillId="16" borderId="65" xfId="0" applyFont="1" applyFill="1" applyBorder="1" applyAlignment="1" applyProtection="1">
      <alignment horizontal="center" vertical="center"/>
      <protection locked="0"/>
    </xf>
    <xf numFmtId="2" fontId="12" fillId="16" borderId="65" xfId="0" applyNumberFormat="1" applyFont="1" applyFill="1" applyBorder="1" applyAlignment="1" applyProtection="1">
      <alignment horizontal="center" vertical="center"/>
      <protection locked="0"/>
    </xf>
    <xf numFmtId="2" fontId="5" fillId="16" borderId="65" xfId="0" applyNumberFormat="1" applyFont="1" applyFill="1" applyBorder="1" applyAlignment="1" applyProtection="1">
      <alignment horizontal="center" vertical="center"/>
      <protection locked="0"/>
    </xf>
    <xf numFmtId="0" fontId="5" fillId="15" borderId="65" xfId="0" applyFont="1" applyFill="1" applyBorder="1" applyAlignment="1" applyProtection="1">
      <alignment horizontal="center" vertical="center"/>
      <protection locked="0"/>
    </xf>
    <xf numFmtId="2" fontId="5" fillId="15" borderId="65" xfId="0" applyNumberFormat="1" applyFont="1" applyFill="1" applyBorder="1" applyAlignment="1" applyProtection="1">
      <alignment horizontal="center" vertical="center"/>
      <protection locked="0"/>
    </xf>
    <xf numFmtId="2" fontId="6" fillId="15" borderId="65" xfId="0" applyNumberFormat="1" applyFont="1" applyFill="1" applyBorder="1" applyAlignment="1" applyProtection="1">
      <alignment horizontal="center" vertical="center"/>
      <protection locked="0"/>
    </xf>
    <xf numFmtId="0" fontId="12" fillId="15" borderId="65" xfId="0" applyNumberFormat="1" applyFont="1" applyFill="1" applyBorder="1" applyAlignment="1" applyProtection="1">
      <alignment horizontal="center" vertical="center"/>
      <protection locked="0"/>
    </xf>
    <xf numFmtId="0" fontId="5" fillId="3" borderId="1" xfId="0" applyFont="1" applyFill="1" applyBorder="1" applyAlignment="1" applyProtection="1">
      <alignment vertical="center"/>
    </xf>
    <xf numFmtId="0" fontId="4" fillId="3" borderId="65" xfId="0" applyFont="1" applyFill="1" applyBorder="1" applyAlignment="1" applyProtection="1">
      <alignment vertical="center"/>
    </xf>
    <xf numFmtId="0" fontId="11" fillId="2" borderId="4" xfId="0" applyFont="1" applyFill="1" applyBorder="1" applyAlignment="1" applyProtection="1">
      <alignment vertical="center"/>
    </xf>
    <xf numFmtId="0" fontId="9" fillId="2" borderId="4" xfId="0" applyFont="1" applyFill="1" applyBorder="1" applyAlignment="1" applyProtection="1">
      <alignment vertical="center" wrapText="1"/>
    </xf>
    <xf numFmtId="0" fontId="9" fillId="2" borderId="1" xfId="0" applyFont="1" applyFill="1" applyBorder="1" applyAlignment="1" applyProtection="1">
      <alignment vertical="center" wrapText="1"/>
    </xf>
    <xf numFmtId="0" fontId="9" fillId="2" borderId="2" xfId="0" applyFont="1" applyFill="1" applyBorder="1" applyAlignment="1" applyProtection="1">
      <alignment vertical="center" wrapText="1"/>
    </xf>
    <xf numFmtId="0" fontId="11" fillId="2" borderId="4" xfId="0" applyFont="1" applyFill="1" applyBorder="1" applyAlignment="1" applyProtection="1">
      <alignment vertical="center" wrapText="1"/>
    </xf>
    <xf numFmtId="0" fontId="11" fillId="2" borderId="1" xfId="0" applyFont="1" applyFill="1" applyBorder="1" applyAlignment="1" applyProtection="1">
      <alignment vertical="center" wrapText="1"/>
    </xf>
    <xf numFmtId="2" fontId="11" fillId="2" borderId="1" xfId="0" applyNumberFormat="1" applyFont="1" applyFill="1" applyBorder="1" applyAlignment="1" applyProtection="1">
      <alignment vertical="center"/>
    </xf>
    <xf numFmtId="0" fontId="12" fillId="2" borderId="4" xfId="0" applyFont="1" applyFill="1" applyBorder="1" applyAlignment="1" applyProtection="1">
      <alignment vertical="center"/>
    </xf>
    <xf numFmtId="0" fontId="12" fillId="2" borderId="65" xfId="0" applyFont="1" applyFill="1" applyBorder="1" applyAlignment="1" applyProtection="1">
      <alignment vertical="center"/>
    </xf>
    <xf numFmtId="2" fontId="9" fillId="5" borderId="1" xfId="0" applyNumberFormat="1" applyFont="1" applyFill="1" applyBorder="1" applyAlignment="1" applyProtection="1">
      <alignment horizontal="center" vertical="center"/>
    </xf>
    <xf numFmtId="0" fontId="14" fillId="3" borderId="0" xfId="0" applyFont="1" applyFill="1" applyBorder="1" applyAlignment="1" applyProtection="1">
      <alignment vertical="center"/>
    </xf>
    <xf numFmtId="0" fontId="9" fillId="8" borderId="2" xfId="0" applyFont="1" applyFill="1" applyBorder="1" applyAlignment="1" applyProtection="1">
      <alignment horizontal="center" vertical="center"/>
    </xf>
    <xf numFmtId="0" fontId="9" fillId="8" borderId="3" xfId="0" applyFont="1" applyFill="1" applyBorder="1" applyAlignment="1" applyProtection="1">
      <alignment horizontal="center" vertical="center"/>
    </xf>
    <xf numFmtId="0" fontId="9" fillId="8" borderId="4" xfId="0" applyFont="1" applyFill="1" applyBorder="1" applyAlignment="1" applyProtection="1">
      <alignment horizontal="center" vertical="center"/>
    </xf>
    <xf numFmtId="0" fontId="13" fillId="2" borderId="4" xfId="0" applyFont="1" applyFill="1" applyBorder="1" applyAlignment="1" applyProtection="1">
      <alignment vertical="center"/>
    </xf>
    <xf numFmtId="0" fontId="9" fillId="7" borderId="1" xfId="0" applyFont="1" applyFill="1" applyBorder="1" applyAlignment="1" applyProtection="1">
      <alignment horizontal="center" vertical="center"/>
    </xf>
    <xf numFmtId="2" fontId="9" fillId="2" borderId="1" xfId="0" applyNumberFormat="1" applyFont="1" applyFill="1" applyBorder="1" applyAlignment="1" applyProtection="1">
      <alignment vertical="center"/>
    </xf>
    <xf numFmtId="2" fontId="13" fillId="2" borderId="1" xfId="0" applyNumberFormat="1" applyFont="1" applyFill="1" applyBorder="1" applyAlignment="1" applyProtection="1">
      <alignment vertical="center"/>
    </xf>
    <xf numFmtId="0" fontId="17" fillId="12" borderId="1" xfId="0" applyFont="1" applyFill="1" applyBorder="1" applyAlignment="1" applyProtection="1">
      <alignment horizontal="center" vertical="center"/>
    </xf>
    <xf numFmtId="0" fontId="13" fillId="3" borderId="0" xfId="0" applyFont="1" applyFill="1" applyBorder="1" applyAlignment="1" applyProtection="1">
      <alignment vertical="center"/>
    </xf>
    <xf numFmtId="2" fontId="9" fillId="8" borderId="1" xfId="0" applyNumberFormat="1" applyFont="1" applyFill="1" applyBorder="1" applyAlignment="1" applyProtection="1">
      <alignment horizontal="left" vertical="center"/>
    </xf>
    <xf numFmtId="0" fontId="12" fillId="3" borderId="65" xfId="0" applyFont="1" applyFill="1" applyBorder="1" applyAlignment="1" applyProtection="1">
      <alignment vertical="center"/>
    </xf>
    <xf numFmtId="0" fontId="13" fillId="2" borderId="1" xfId="0" applyFont="1" applyFill="1" applyBorder="1" applyAlignment="1" applyProtection="1">
      <alignment horizontal="right" vertical="center"/>
    </xf>
    <xf numFmtId="168" fontId="9" fillId="3" borderId="1" xfId="0" applyNumberFormat="1" applyFont="1" applyFill="1" applyBorder="1" applyAlignment="1" applyProtection="1">
      <alignment horizontal="center" vertical="center"/>
    </xf>
    <xf numFmtId="0" fontId="13" fillId="2" borderId="1" xfId="0" applyFont="1" applyFill="1" applyBorder="1" applyAlignment="1" applyProtection="1">
      <alignment vertical="center"/>
    </xf>
    <xf numFmtId="0" fontId="12" fillId="16" borderId="65" xfId="0" applyFont="1" applyFill="1" applyBorder="1" applyAlignment="1" applyProtection="1">
      <alignment vertical="center"/>
      <protection locked="0"/>
    </xf>
    <xf numFmtId="0" fontId="15" fillId="2" borderId="1" xfId="0" applyFont="1" applyFill="1" applyBorder="1" applyAlignment="1" applyProtection="1">
      <alignment vertical="center"/>
    </xf>
    <xf numFmtId="0" fontId="9" fillId="13" borderId="1" xfId="0" applyFont="1" applyFill="1" applyBorder="1" applyAlignment="1" applyProtection="1">
      <alignment horizontal="center" vertical="center"/>
    </xf>
    <xf numFmtId="2" fontId="12" fillId="10" borderId="1" xfId="0" applyNumberFormat="1" applyFont="1" applyFill="1" applyBorder="1" applyAlignment="1" applyProtection="1">
      <alignment horizontal="center" vertical="center"/>
    </xf>
    <xf numFmtId="2" fontId="12" fillId="10" borderId="2" xfId="0" applyNumberFormat="1" applyFont="1" applyFill="1" applyBorder="1" applyAlignment="1" applyProtection="1">
      <alignment horizontal="center" vertical="center"/>
    </xf>
    <xf numFmtId="0" fontId="12" fillId="2" borderId="1" xfId="0" applyFont="1" applyFill="1" applyBorder="1" applyAlignment="1" applyProtection="1">
      <alignment horizontal="right" vertical="center"/>
    </xf>
    <xf numFmtId="0" fontId="12" fillId="2" borderId="65" xfId="0" applyFont="1" applyFill="1" applyBorder="1" applyAlignment="1" applyProtection="1">
      <alignment horizontal="right" vertical="center"/>
    </xf>
    <xf numFmtId="2" fontId="12" fillId="2" borderId="65" xfId="0" applyNumberFormat="1" applyFont="1" applyFill="1" applyBorder="1" applyAlignment="1" applyProtection="1">
      <alignment horizontal="center" vertical="center"/>
    </xf>
    <xf numFmtId="0" fontId="5" fillId="2" borderId="51" xfId="0" applyFont="1" applyFill="1" applyBorder="1" applyAlignment="1" applyProtection="1">
      <alignment vertical="center"/>
    </xf>
    <xf numFmtId="0" fontId="5" fillId="2" borderId="52" xfId="0" applyFont="1" applyFill="1" applyBorder="1" applyAlignment="1" applyProtection="1">
      <alignment vertical="center"/>
    </xf>
    <xf numFmtId="0" fontId="5" fillId="2" borderId="53" xfId="0" applyFont="1" applyFill="1" applyBorder="1" applyAlignment="1" applyProtection="1">
      <alignment vertical="center"/>
    </xf>
    <xf numFmtId="2" fontId="6" fillId="2" borderId="65" xfId="0" applyNumberFormat="1" applyFont="1" applyFill="1" applyBorder="1" applyAlignment="1" applyProtection="1">
      <alignment horizontal="center" vertical="center"/>
    </xf>
    <xf numFmtId="0" fontId="6" fillId="3" borderId="1" xfId="0" applyFont="1" applyFill="1" applyBorder="1" applyAlignment="1" applyProtection="1">
      <alignment horizontal="right" vertical="center"/>
    </xf>
    <xf numFmtId="0" fontId="5" fillId="3" borderId="1" xfId="0" applyFont="1" applyFill="1" applyBorder="1" applyAlignment="1" applyProtection="1">
      <alignment horizontal="right" vertical="center"/>
    </xf>
    <xf numFmtId="0" fontId="4" fillId="3" borderId="1" xfId="0" applyFont="1" applyFill="1" applyBorder="1" applyAlignment="1" applyProtection="1">
      <alignment vertical="center"/>
    </xf>
    <xf numFmtId="0" fontId="6" fillId="16" borderId="65" xfId="0" applyFont="1" applyFill="1" applyBorder="1" applyAlignment="1" applyProtection="1">
      <alignment horizontal="center" vertical="center"/>
      <protection locked="0"/>
    </xf>
    <xf numFmtId="0" fontId="6" fillId="3" borderId="1" xfId="0" applyFont="1" applyFill="1" applyBorder="1" applyAlignment="1" applyProtection="1">
      <alignment vertical="center"/>
    </xf>
    <xf numFmtId="0" fontId="6" fillId="3" borderId="4" xfId="0" applyFont="1" applyFill="1" applyBorder="1" applyAlignment="1" applyProtection="1">
      <alignment horizontal="center" vertical="center"/>
    </xf>
    <xf numFmtId="2" fontId="5" fillId="2" borderId="1" xfId="0" applyNumberFormat="1" applyFont="1" applyFill="1" applyBorder="1" applyAlignment="1" applyProtection="1">
      <alignment vertical="center"/>
    </xf>
    <xf numFmtId="2" fontId="5" fillId="7" borderId="1" xfId="0" applyNumberFormat="1" applyFont="1" applyFill="1" applyBorder="1" applyAlignment="1" applyProtection="1">
      <alignment horizontal="center" vertical="center"/>
    </xf>
    <xf numFmtId="0" fontId="5" fillId="2" borderId="8" xfId="0" applyFont="1" applyFill="1" applyBorder="1" applyAlignment="1" applyProtection="1">
      <alignment vertical="center"/>
    </xf>
    <xf numFmtId="0" fontId="5" fillId="16" borderId="65" xfId="0" applyFont="1" applyFill="1" applyBorder="1" applyAlignment="1" applyProtection="1">
      <alignment horizontal="center" vertical="center" wrapText="1"/>
      <protection locked="0"/>
    </xf>
    <xf numFmtId="2" fontId="5" fillId="15" borderId="65" xfId="0" applyNumberFormat="1" applyFont="1" applyFill="1" applyBorder="1" applyAlignment="1" applyProtection="1">
      <alignment horizontal="center" vertical="center" wrapText="1"/>
      <protection locked="0"/>
    </xf>
    <xf numFmtId="0" fontId="5" fillId="15" borderId="65" xfId="0" applyFont="1" applyFill="1" applyBorder="1" applyAlignment="1" applyProtection="1">
      <alignment horizontal="center" vertical="center" wrapText="1"/>
      <protection locked="0"/>
    </xf>
    <xf numFmtId="0" fontId="5" fillId="2" borderId="76" xfId="0" applyFont="1" applyFill="1" applyBorder="1" applyAlignment="1" applyProtection="1">
      <alignment vertical="center"/>
    </xf>
    <xf numFmtId="0" fontId="5" fillId="2" borderId="77" xfId="0" applyFont="1" applyFill="1" applyBorder="1" applyAlignment="1" applyProtection="1">
      <alignment vertical="center"/>
    </xf>
    <xf numFmtId="0" fontId="5" fillId="2" borderId="81" xfId="0" applyFont="1" applyFill="1" applyBorder="1" applyAlignment="1" applyProtection="1">
      <alignment vertical="center"/>
    </xf>
    <xf numFmtId="0" fontId="5" fillId="2" borderId="82" xfId="0" applyFont="1" applyFill="1" applyBorder="1" applyAlignment="1" applyProtection="1">
      <alignment vertical="center"/>
    </xf>
    <xf numFmtId="0" fontId="5" fillId="2" borderId="78" xfId="0" applyFont="1" applyFill="1" applyBorder="1" applyAlignment="1" applyProtection="1">
      <alignment vertical="center"/>
    </xf>
    <xf numFmtId="0" fontId="5" fillId="2" borderId="83" xfId="0" applyFont="1" applyFill="1" applyBorder="1" applyAlignment="1" applyProtection="1">
      <alignment vertical="center"/>
    </xf>
    <xf numFmtId="0" fontId="5" fillId="2" borderId="79" xfId="0" applyFont="1" applyFill="1" applyBorder="1" applyAlignment="1" applyProtection="1">
      <alignment horizontal="right" vertical="center"/>
    </xf>
    <xf numFmtId="0" fontId="30" fillId="2" borderId="80" xfId="0" applyFont="1" applyFill="1" applyBorder="1" applyAlignment="1" applyProtection="1">
      <alignment vertical="center"/>
    </xf>
    <xf numFmtId="0" fontId="9" fillId="3" borderId="1" xfId="0" applyFont="1" applyFill="1" applyBorder="1" applyAlignment="1" applyProtection="1">
      <alignment horizontal="center" vertical="center"/>
    </xf>
    <xf numFmtId="0" fontId="21" fillId="3" borderId="0" xfId="0" applyFont="1" applyFill="1" applyBorder="1" applyAlignment="1" applyProtection="1">
      <alignment horizontal="center" vertical="center"/>
    </xf>
    <xf numFmtId="0" fontId="21" fillId="3" borderId="0" xfId="0" applyFont="1" applyFill="1" applyBorder="1" applyAlignment="1" applyProtection="1">
      <alignment horizontal="center" vertical="center" wrapText="1"/>
    </xf>
    <xf numFmtId="0" fontId="21" fillId="3" borderId="0" xfId="0" applyFont="1" applyFill="1" applyBorder="1" applyAlignment="1" applyProtection="1">
      <alignment horizontal="center" vertical="center"/>
    </xf>
    <xf numFmtId="0" fontId="6" fillId="3" borderId="0" xfId="0" applyFont="1" applyFill="1" applyBorder="1" applyAlignment="1" applyProtection="1">
      <alignment horizontal="center" vertical="center"/>
    </xf>
    <xf numFmtId="0" fontId="21" fillId="3" borderId="0" xfId="0" applyFont="1" applyFill="1" applyBorder="1" applyAlignment="1" applyProtection="1">
      <alignment horizontal="center" vertical="center" wrapText="1"/>
    </xf>
    <xf numFmtId="0" fontId="9" fillId="3" borderId="1" xfId="0" applyFont="1" applyFill="1" applyBorder="1" applyAlignment="1" applyProtection="1">
      <alignment horizontal="center" vertical="center"/>
    </xf>
    <xf numFmtId="0" fontId="9" fillId="3" borderId="4" xfId="0" applyFont="1" applyFill="1" applyBorder="1" applyAlignment="1" applyProtection="1">
      <alignment horizontal="center" vertical="center"/>
    </xf>
    <xf numFmtId="0" fontId="12" fillId="3" borderId="4" xfId="0" applyFont="1" applyFill="1" applyBorder="1" applyAlignment="1" applyProtection="1">
      <alignment horizontal="center" vertical="center"/>
    </xf>
    <xf numFmtId="0" fontId="5" fillId="3" borderId="0" xfId="0" applyFont="1" applyFill="1" applyBorder="1" applyAlignment="1" applyProtection="1">
      <alignment horizontal="center" vertical="center"/>
    </xf>
    <xf numFmtId="0" fontId="9" fillId="3" borderId="4" xfId="0" applyFont="1" applyFill="1" applyBorder="1" applyAlignment="1" applyProtection="1">
      <alignment horizontal="center" vertical="center" wrapText="1"/>
    </xf>
    <xf numFmtId="2" fontId="9" fillId="3" borderId="4" xfId="0" applyNumberFormat="1" applyFont="1" applyFill="1" applyBorder="1" applyAlignment="1" applyProtection="1">
      <alignment horizontal="center" vertical="center"/>
    </xf>
    <xf numFmtId="0" fontId="28" fillId="3" borderId="66" xfId="0" applyFont="1" applyFill="1" applyBorder="1" applyAlignment="1" applyProtection="1">
      <alignment horizontal="center" vertical="center" wrapText="1"/>
    </xf>
    <xf numFmtId="0" fontId="12" fillId="2" borderId="66" xfId="0" applyFont="1" applyFill="1" applyBorder="1" applyAlignment="1" applyProtection="1">
      <alignment vertical="center"/>
    </xf>
    <xf numFmtId="2" fontId="12" fillId="16" borderId="66" xfId="0" applyNumberFormat="1" applyFont="1" applyFill="1" applyBorder="1" applyAlignment="1" applyProtection="1">
      <alignment horizontal="center" vertical="center"/>
      <protection locked="0"/>
    </xf>
    <xf numFmtId="0" fontId="12" fillId="2" borderId="66" xfId="0" applyFont="1" applyFill="1" applyBorder="1" applyAlignment="1" applyProtection="1">
      <alignment horizontal="center" vertical="center"/>
    </xf>
    <xf numFmtId="0" fontId="12" fillId="3" borderId="4" xfId="0" applyFont="1" applyFill="1" applyBorder="1" applyAlignment="1" applyProtection="1">
      <alignment horizontal="right" vertical="center"/>
    </xf>
    <xf numFmtId="0" fontId="12" fillId="3" borderId="4" xfId="0" applyFont="1" applyFill="1" applyBorder="1" applyAlignment="1" applyProtection="1">
      <alignment vertical="center"/>
    </xf>
    <xf numFmtId="2" fontId="13" fillId="2" borderId="4" xfId="0" applyNumberFormat="1" applyFont="1" applyFill="1" applyBorder="1" applyAlignment="1" applyProtection="1">
      <alignment horizontal="center" vertical="center"/>
    </xf>
    <xf numFmtId="0" fontId="12" fillId="2" borderId="3" xfId="0" applyFont="1" applyFill="1" applyBorder="1" applyAlignment="1" applyProtection="1">
      <alignment horizontal="center" vertical="center"/>
    </xf>
    <xf numFmtId="0" fontId="12" fillId="3" borderId="3" xfId="0" applyFont="1" applyFill="1" applyBorder="1" applyAlignment="1" applyProtection="1">
      <alignment horizontal="center" vertical="center"/>
    </xf>
    <xf numFmtId="0" fontId="12" fillId="2" borderId="0" xfId="0" applyFont="1" applyFill="1" applyBorder="1" applyAlignment="1" applyProtection="1">
      <alignment vertical="center"/>
    </xf>
    <xf numFmtId="0" fontId="12" fillId="2" borderId="0" xfId="0" applyFont="1" applyFill="1" applyBorder="1" applyAlignment="1" applyProtection="1">
      <alignment horizontal="center" vertical="center" wrapText="1"/>
    </xf>
    <xf numFmtId="0" fontId="12" fillId="2" borderId="0" xfId="0" applyFont="1" applyFill="1" applyBorder="1" applyAlignment="1" applyProtection="1">
      <alignment horizontal="center" vertical="center"/>
    </xf>
    <xf numFmtId="0" fontId="5" fillId="19" borderId="65" xfId="0" applyFont="1" applyFill="1" applyBorder="1" applyAlignment="1" applyProtection="1">
      <alignment horizontal="center" vertical="center"/>
    </xf>
    <xf numFmtId="0" fontId="2" fillId="2" borderId="1" xfId="0" applyFont="1" applyFill="1" applyBorder="1"/>
    <xf numFmtId="0" fontId="2" fillId="2" borderId="1" xfId="0" applyFont="1" applyFill="1" applyBorder="1" applyAlignment="1">
      <alignment horizontal="center"/>
    </xf>
    <xf numFmtId="0" fontId="6" fillId="3" borderId="65" xfId="0" applyFont="1" applyFill="1" applyBorder="1" applyAlignment="1" applyProtection="1">
      <alignment horizontal="right" vertical="center" wrapText="1"/>
    </xf>
    <xf numFmtId="0" fontId="6" fillId="15" borderId="65" xfId="0" applyFont="1" applyFill="1" applyBorder="1" applyAlignment="1" applyProtection="1">
      <alignment horizontal="center" vertical="center"/>
      <protection locked="0"/>
    </xf>
    <xf numFmtId="2" fontId="6" fillId="3" borderId="65" xfId="0" applyNumberFormat="1" applyFont="1" applyFill="1" applyBorder="1" applyAlignment="1" applyProtection="1">
      <alignment horizontal="center" vertical="center"/>
    </xf>
    <xf numFmtId="0" fontId="14" fillId="3" borderId="0" xfId="0" applyFont="1" applyFill="1" applyBorder="1" applyAlignment="1" applyProtection="1">
      <alignment horizontal="center" vertical="center"/>
    </xf>
    <xf numFmtId="0" fontId="12" fillId="16" borderId="65" xfId="0" applyFont="1" applyFill="1" applyBorder="1" applyAlignment="1" applyProtection="1">
      <alignment horizontal="center" vertical="center"/>
      <protection locked="0"/>
    </xf>
    <xf numFmtId="0" fontId="12" fillId="15" borderId="65" xfId="0" applyFont="1" applyFill="1" applyBorder="1" applyAlignment="1" applyProtection="1">
      <alignment horizontal="center" vertical="center"/>
      <protection locked="0"/>
    </xf>
    <xf numFmtId="0" fontId="12" fillId="3" borderId="65" xfId="0" applyFont="1" applyFill="1" applyBorder="1" applyAlignment="1" applyProtection="1">
      <alignment horizontal="center" vertical="center"/>
    </xf>
    <xf numFmtId="0" fontId="12" fillId="3" borderId="65" xfId="0" applyFont="1" applyFill="1" applyBorder="1" applyAlignment="1" applyProtection="1">
      <alignment horizontal="left" vertical="center"/>
    </xf>
    <xf numFmtId="0" fontId="6" fillId="3" borderId="65" xfId="0" applyFont="1" applyFill="1" applyBorder="1" applyAlignment="1" applyProtection="1">
      <alignment horizontal="right" vertical="center"/>
    </xf>
    <xf numFmtId="2" fontId="12" fillId="15" borderId="65" xfId="0" applyNumberFormat="1" applyFont="1" applyFill="1" applyBorder="1" applyAlignment="1" applyProtection="1">
      <alignment horizontal="center" vertical="center"/>
      <protection locked="0"/>
    </xf>
    <xf numFmtId="0" fontId="12" fillId="3" borderId="65" xfId="0" applyFont="1" applyFill="1" applyBorder="1" applyAlignment="1" applyProtection="1">
      <alignment horizontal="right" vertical="center"/>
    </xf>
    <xf numFmtId="0" fontId="12" fillId="3" borderId="65" xfId="0" applyFont="1" applyFill="1" applyBorder="1" applyAlignment="1" applyProtection="1">
      <alignment horizontal="center" vertical="center" wrapText="1"/>
    </xf>
    <xf numFmtId="2" fontId="12" fillId="3" borderId="65" xfId="0" applyNumberFormat="1" applyFont="1" applyFill="1" applyBorder="1" applyAlignment="1" applyProtection="1">
      <alignment horizontal="center" vertical="center"/>
    </xf>
    <xf numFmtId="0" fontId="12" fillId="2" borderId="65" xfId="0" applyFont="1" applyFill="1" applyBorder="1" applyAlignment="1" applyProtection="1">
      <alignment horizontal="center" vertical="center"/>
    </xf>
    <xf numFmtId="0" fontId="14" fillId="3" borderId="0" xfId="0" applyFont="1" applyFill="1" applyBorder="1" applyAlignment="1" applyProtection="1">
      <alignment horizontal="center" vertical="center" wrapText="1"/>
    </xf>
    <xf numFmtId="0" fontId="19" fillId="3" borderId="0" xfId="0" applyFont="1" applyFill="1" applyBorder="1" applyAlignment="1" applyProtection="1">
      <alignment horizontal="center" vertical="center"/>
    </xf>
    <xf numFmtId="0" fontId="6" fillId="3" borderId="65" xfId="0" applyFont="1" applyFill="1" applyBorder="1" applyAlignment="1" applyProtection="1">
      <alignment horizontal="center" vertical="center" wrapText="1"/>
    </xf>
    <xf numFmtId="0" fontId="6" fillId="16" borderId="65" xfId="0" applyFont="1" applyFill="1" applyBorder="1" applyAlignment="1" applyProtection="1">
      <alignment horizontal="center" vertical="center"/>
      <protection locked="0"/>
    </xf>
    <xf numFmtId="2" fontId="6" fillId="15" borderId="65" xfId="0" applyNumberFormat="1" applyFont="1" applyFill="1" applyBorder="1" applyAlignment="1" applyProtection="1">
      <alignment horizontal="center" vertical="center"/>
      <protection locked="0"/>
    </xf>
    <xf numFmtId="2" fontId="9" fillId="19" borderId="1" xfId="0" applyNumberFormat="1" applyFont="1" applyFill="1" applyBorder="1" applyAlignment="1" applyProtection="1">
      <alignment vertical="center"/>
    </xf>
    <xf numFmtId="0" fontId="9" fillId="2" borderId="3" xfId="0" applyFont="1" applyFill="1" applyBorder="1" applyAlignment="1" applyProtection="1">
      <alignment vertical="center" wrapText="1"/>
    </xf>
    <xf numFmtId="0" fontId="9" fillId="2" borderId="3" xfId="0" applyFont="1" applyFill="1" applyBorder="1" applyAlignment="1" applyProtection="1">
      <alignment vertical="center"/>
    </xf>
    <xf numFmtId="0" fontId="9" fillId="2" borderId="7" xfId="0" applyFont="1" applyFill="1" applyBorder="1" applyAlignment="1" applyProtection="1">
      <alignment vertical="center" wrapText="1"/>
    </xf>
    <xf numFmtId="0" fontId="9" fillId="2" borderId="8" xfId="0" applyFont="1" applyFill="1" applyBorder="1" applyAlignment="1" applyProtection="1">
      <alignment vertical="center"/>
    </xf>
    <xf numFmtId="0" fontId="9" fillId="2" borderId="84" xfId="0" applyFont="1" applyFill="1" applyBorder="1" applyAlignment="1" applyProtection="1">
      <alignment vertical="center"/>
    </xf>
    <xf numFmtId="0" fontId="10" fillId="2" borderId="3" xfId="0" applyFont="1" applyFill="1" applyBorder="1" applyAlignment="1" applyProtection="1">
      <alignment vertical="center"/>
    </xf>
    <xf numFmtId="0" fontId="10" fillId="2" borderId="84" xfId="0" applyFont="1" applyFill="1" applyBorder="1" applyAlignment="1" applyProtection="1">
      <alignment vertical="center"/>
    </xf>
    <xf numFmtId="0" fontId="9" fillId="0" borderId="84" xfId="0" applyFont="1" applyFill="1" applyBorder="1" applyAlignment="1" applyProtection="1">
      <alignment vertical="center"/>
    </xf>
    <xf numFmtId="0" fontId="9" fillId="2" borderId="85" xfId="0" applyFont="1" applyFill="1" applyBorder="1" applyAlignment="1" applyProtection="1">
      <alignment vertical="center"/>
    </xf>
    <xf numFmtId="0" fontId="10" fillId="0" borderId="84" xfId="0" applyFont="1" applyFill="1" applyBorder="1" applyAlignment="1" applyProtection="1">
      <alignment vertical="center"/>
    </xf>
    <xf numFmtId="0" fontId="9" fillId="0" borderId="84" xfId="0" applyFont="1" applyFill="1" applyBorder="1" applyAlignment="1" applyProtection="1">
      <alignment horizontal="right" vertical="center" wrapText="1"/>
    </xf>
    <xf numFmtId="2" fontId="10" fillId="2" borderId="84" xfId="0" applyNumberFormat="1" applyFont="1" applyFill="1" applyBorder="1" applyAlignment="1" applyProtection="1">
      <alignment vertical="center"/>
    </xf>
    <xf numFmtId="0" fontId="9" fillId="19" borderId="1" xfId="0" applyFont="1" applyFill="1" applyBorder="1" applyAlignment="1" applyProtection="1">
      <alignment horizontal="center" vertical="center"/>
    </xf>
    <xf numFmtId="0" fontId="9" fillId="19" borderId="84" xfId="0" applyFont="1" applyFill="1" applyBorder="1" applyAlignment="1" applyProtection="1">
      <alignment horizontal="center" vertical="center"/>
    </xf>
    <xf numFmtId="0" fontId="10" fillId="19" borderId="84" xfId="0" applyFont="1" applyFill="1" applyBorder="1" applyAlignment="1" applyProtection="1">
      <alignment horizontal="center" vertical="center"/>
    </xf>
    <xf numFmtId="0" fontId="9" fillId="2" borderId="84" xfId="0" applyFont="1" applyFill="1" applyBorder="1" applyAlignment="1" applyProtection="1">
      <alignment horizontal="center" vertical="center"/>
    </xf>
    <xf numFmtId="0" fontId="9" fillId="19" borderId="85" xfId="0" applyFont="1" applyFill="1" applyBorder="1" applyAlignment="1" applyProtection="1">
      <alignment horizontal="center" vertical="center"/>
    </xf>
    <xf numFmtId="0" fontId="9" fillId="2" borderId="86" xfId="0" applyFont="1" applyFill="1" applyBorder="1" applyAlignment="1" applyProtection="1">
      <alignment vertical="center"/>
    </xf>
    <xf numFmtId="0" fontId="10" fillId="2" borderId="84"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8" fillId="2" borderId="3" xfId="0" applyFont="1" applyFill="1" applyBorder="1" applyAlignment="1" applyProtection="1">
      <alignment vertical="center"/>
    </xf>
    <xf numFmtId="0" fontId="6" fillId="2" borderId="2" xfId="0" applyFont="1" applyFill="1" applyBorder="1" applyAlignment="1" applyProtection="1">
      <alignment vertical="center" wrapText="1"/>
    </xf>
    <xf numFmtId="0" fontId="6" fillId="2" borderId="65" xfId="0" applyFont="1" applyFill="1" applyBorder="1" applyAlignment="1" applyProtection="1">
      <alignment vertical="center" wrapText="1"/>
    </xf>
    <xf numFmtId="0" fontId="6" fillId="3" borderId="65" xfId="0" applyFont="1" applyFill="1" applyBorder="1" applyAlignment="1" applyProtection="1">
      <alignment vertical="center"/>
    </xf>
    <xf numFmtId="0" fontId="15" fillId="2" borderId="65" xfId="0" applyFont="1" applyFill="1" applyBorder="1" applyAlignment="1" applyProtection="1">
      <alignment vertical="center"/>
    </xf>
    <xf numFmtId="0" fontId="8" fillId="2" borderId="65" xfId="0" applyFont="1" applyFill="1" applyBorder="1" applyAlignment="1" applyProtection="1">
      <alignment vertical="center"/>
    </xf>
    <xf numFmtId="1" fontId="12" fillId="2" borderId="0" xfId="0" applyNumberFormat="1" applyFont="1" applyFill="1" applyBorder="1" applyAlignment="1" applyProtection="1">
      <alignment horizontal="center" vertical="center"/>
    </xf>
    <xf numFmtId="0" fontId="12" fillId="2" borderId="65"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15" fillId="2" borderId="0" xfId="0" applyFont="1" applyFill="1" applyBorder="1" applyAlignment="1" applyProtection="1">
      <alignment vertical="center"/>
    </xf>
    <xf numFmtId="9" fontId="12" fillId="2" borderId="65" xfId="0" applyNumberFormat="1" applyFont="1" applyFill="1" applyBorder="1" applyAlignment="1" applyProtection="1">
      <alignment horizontal="center" vertical="center"/>
    </xf>
    <xf numFmtId="0" fontId="12" fillId="2" borderId="65" xfId="0" applyFont="1" applyFill="1" applyBorder="1" applyAlignment="1" applyProtection="1">
      <alignment horizontal="center" vertical="center" wrapText="1"/>
    </xf>
    <xf numFmtId="0" fontId="12" fillId="3" borderId="66" xfId="0" applyFont="1" applyFill="1" applyBorder="1" applyAlignment="1" applyProtection="1">
      <alignment horizontal="center" vertical="center" wrapText="1"/>
    </xf>
    <xf numFmtId="0" fontId="12" fillId="16" borderId="66" xfId="0" applyFont="1" applyFill="1" applyBorder="1" applyAlignment="1" applyProtection="1">
      <alignment horizontal="center" vertical="center"/>
      <protection locked="0"/>
    </xf>
    <xf numFmtId="0" fontId="5" fillId="19" borderId="1" xfId="0" applyFont="1" applyFill="1" applyBorder="1" applyAlignment="1" applyProtection="1">
      <alignment vertical="center"/>
    </xf>
    <xf numFmtId="0" fontId="11" fillId="2" borderId="65" xfId="0" applyFont="1" applyFill="1" applyBorder="1" applyAlignment="1" applyProtection="1">
      <alignment horizontal="center" vertical="center"/>
    </xf>
    <xf numFmtId="0" fontId="6" fillId="15" borderId="65" xfId="0" applyFont="1" applyFill="1" applyBorder="1" applyAlignment="1" applyProtection="1">
      <alignment horizontal="center" vertical="center"/>
      <protection locked="0"/>
    </xf>
    <xf numFmtId="0" fontId="12" fillId="3" borderId="65" xfId="0" applyFont="1" applyFill="1" applyBorder="1" applyAlignment="1" applyProtection="1">
      <alignment horizontal="center" vertical="center" wrapText="1"/>
    </xf>
    <xf numFmtId="2" fontId="12" fillId="3" borderId="65" xfId="0" applyNumberFormat="1" applyFont="1" applyFill="1" applyBorder="1" applyAlignment="1" applyProtection="1">
      <alignment horizontal="center" vertical="center"/>
    </xf>
    <xf numFmtId="0" fontId="9" fillId="3" borderId="1" xfId="0" applyFont="1" applyFill="1" applyBorder="1" applyAlignment="1" applyProtection="1">
      <alignment horizontal="center" vertical="center" wrapText="1"/>
    </xf>
    <xf numFmtId="0" fontId="9" fillId="3" borderId="1" xfId="0" applyFont="1" applyFill="1" applyBorder="1" applyAlignment="1" applyProtection="1">
      <alignment horizontal="center" vertical="center"/>
    </xf>
    <xf numFmtId="0" fontId="28" fillId="3" borderId="66" xfId="0" applyFont="1" applyFill="1" applyBorder="1" applyAlignment="1" applyProtection="1">
      <alignment horizontal="center" vertical="center" wrapText="1"/>
    </xf>
    <xf numFmtId="0" fontId="9" fillId="8" borderId="1"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xf>
    <xf numFmtId="2" fontId="5" fillId="3" borderId="65" xfId="0" applyNumberFormat="1" applyFont="1" applyFill="1" applyBorder="1" applyAlignment="1" applyProtection="1">
      <alignment horizontal="center" vertical="center"/>
    </xf>
    <xf numFmtId="0" fontId="5" fillId="2" borderId="46" xfId="0" applyFont="1" applyFill="1" applyBorder="1" applyAlignment="1" applyProtection="1">
      <alignment vertical="center"/>
    </xf>
    <xf numFmtId="0" fontId="5" fillId="2" borderId="47" xfId="0" applyFont="1" applyFill="1" applyBorder="1" applyAlignment="1" applyProtection="1">
      <alignment vertical="center"/>
    </xf>
    <xf numFmtId="0" fontId="24" fillId="2" borderId="48" xfId="0" applyFont="1" applyFill="1" applyBorder="1" applyAlignment="1" applyProtection="1">
      <alignment vertical="center"/>
    </xf>
    <xf numFmtId="0" fontId="9" fillId="13" borderId="1" xfId="0" applyFont="1" applyFill="1" applyBorder="1" applyAlignment="1" applyProtection="1">
      <alignment horizontal="center" vertical="center" wrapText="1"/>
    </xf>
    <xf numFmtId="0" fontId="9" fillId="13" borderId="1" xfId="0" applyFont="1" applyFill="1" applyBorder="1" applyAlignment="1" applyProtection="1">
      <alignment vertical="center"/>
    </xf>
    <xf numFmtId="0" fontId="9" fillId="20" borderId="1" xfId="0" applyFont="1" applyFill="1" applyBorder="1" applyAlignment="1" applyProtection="1">
      <alignment horizontal="center" vertical="center"/>
    </xf>
    <xf numFmtId="0" fontId="9" fillId="20" borderId="1" xfId="0" applyFont="1" applyFill="1" applyBorder="1" applyAlignment="1" applyProtection="1">
      <alignment vertical="center" wrapText="1"/>
    </xf>
    <xf numFmtId="0" fontId="9" fillId="20" borderId="1" xfId="0" applyFont="1" applyFill="1" applyBorder="1" applyAlignment="1" applyProtection="1">
      <alignment horizontal="center" vertical="center" wrapText="1"/>
    </xf>
    <xf numFmtId="0" fontId="9" fillId="15" borderId="1" xfId="0" applyFont="1" applyFill="1" applyBorder="1" applyAlignment="1" applyProtection="1">
      <alignment horizontal="right" vertical="center"/>
    </xf>
    <xf numFmtId="0" fontId="9" fillId="15" borderId="1" xfId="0" applyFont="1" applyFill="1" applyBorder="1" applyAlignment="1" applyProtection="1">
      <alignment vertical="center"/>
    </xf>
    <xf numFmtId="169" fontId="6" fillId="15" borderId="65" xfId="0" applyNumberFormat="1" applyFont="1" applyFill="1" applyBorder="1" applyAlignment="1" applyProtection="1">
      <alignment horizontal="center" vertical="center"/>
      <protection locked="0"/>
    </xf>
    <xf numFmtId="0" fontId="12" fillId="15" borderId="66" xfId="0" applyNumberFormat="1" applyFont="1" applyFill="1" applyBorder="1" applyAlignment="1" applyProtection="1">
      <alignment horizontal="center" vertical="center"/>
      <protection locked="0"/>
    </xf>
    <xf numFmtId="0" fontId="12" fillId="8" borderId="65" xfId="0" applyFont="1" applyFill="1" applyBorder="1" applyAlignment="1" applyProtection="1">
      <alignment horizontal="center" vertical="center"/>
    </xf>
    <xf numFmtId="0" fontId="9" fillId="13" borderId="4" xfId="0" applyFont="1" applyFill="1" applyBorder="1" applyAlignment="1" applyProtection="1">
      <alignment horizontal="right" vertical="center" wrapText="1"/>
    </xf>
    <xf numFmtId="0" fontId="10" fillId="3" borderId="1" xfId="0" applyFont="1" applyFill="1" applyBorder="1" applyAlignment="1" applyProtection="1">
      <alignment horizontal="center" vertical="center"/>
    </xf>
    <xf numFmtId="0" fontId="9" fillId="8" borderId="1" xfId="0" applyFont="1" applyFill="1" applyBorder="1" applyAlignment="1" applyProtection="1">
      <alignment horizontal="center" vertical="center"/>
    </xf>
    <xf numFmtId="0" fontId="12" fillId="3" borderId="65" xfId="0" applyFont="1" applyFill="1" applyBorder="1" applyAlignment="1" applyProtection="1">
      <alignment horizontal="right" vertical="center"/>
    </xf>
    <xf numFmtId="0" fontId="12" fillId="16" borderId="65" xfId="0" applyFont="1" applyFill="1" applyBorder="1" applyAlignment="1" applyProtection="1">
      <alignment horizontal="center" vertical="center"/>
      <protection locked="0"/>
    </xf>
    <xf numFmtId="0" fontId="9" fillId="3" borderId="1" xfId="0" applyFont="1" applyFill="1" applyBorder="1" applyAlignment="1" applyProtection="1">
      <alignment horizontal="center" vertical="center"/>
    </xf>
    <xf numFmtId="0" fontId="9" fillId="3" borderId="1" xfId="0" applyFont="1" applyFill="1" applyBorder="1" applyAlignment="1" applyProtection="1">
      <alignment horizontal="center" vertical="center" wrapText="1"/>
    </xf>
    <xf numFmtId="0" fontId="17" fillId="12" borderId="1" xfId="0" applyFont="1" applyFill="1" applyBorder="1" applyAlignment="1" applyProtection="1">
      <alignment horizontal="center" vertical="center"/>
    </xf>
    <xf numFmtId="0" fontId="12" fillId="3" borderId="1" xfId="0" applyFont="1" applyFill="1" applyBorder="1" applyAlignment="1" applyProtection="1">
      <alignment horizontal="center" vertical="center"/>
    </xf>
    <xf numFmtId="0" fontId="12" fillId="8" borderId="1" xfId="0" applyFont="1" applyFill="1" applyBorder="1" applyAlignment="1" applyProtection="1">
      <alignment horizontal="center" vertical="center"/>
    </xf>
    <xf numFmtId="2" fontId="9" fillId="3" borderId="1" xfId="0" applyNumberFormat="1" applyFont="1" applyFill="1" applyBorder="1" applyAlignment="1" applyProtection="1">
      <alignment horizontal="center" vertical="center"/>
    </xf>
    <xf numFmtId="0" fontId="10" fillId="8" borderId="1" xfId="0" applyFont="1" applyFill="1" applyBorder="1" applyAlignment="1" applyProtection="1">
      <alignment horizontal="center" vertical="center" wrapText="1"/>
    </xf>
    <xf numFmtId="0" fontId="12" fillId="3" borderId="7" xfId="0" applyFont="1" applyFill="1" applyBorder="1" applyAlignment="1" applyProtection="1">
      <alignment horizontal="center" vertical="center"/>
    </xf>
    <xf numFmtId="0" fontId="12" fillId="3" borderId="11" xfId="0" applyFont="1" applyFill="1" applyBorder="1" applyAlignment="1" applyProtection="1">
      <alignment horizontal="center" vertical="center"/>
    </xf>
    <xf numFmtId="0" fontId="12" fillId="3" borderId="8" xfId="0" applyFont="1" applyFill="1" applyBorder="1" applyAlignment="1" applyProtection="1">
      <alignment horizontal="center" vertical="center"/>
    </xf>
    <xf numFmtId="0" fontId="9" fillId="10" borderId="1" xfId="0" applyFont="1" applyFill="1" applyBorder="1" applyAlignment="1" applyProtection="1">
      <alignment horizontal="center" vertical="center"/>
    </xf>
    <xf numFmtId="2" fontId="10" fillId="3" borderId="1" xfId="0" applyNumberFormat="1" applyFont="1" applyFill="1" applyBorder="1" applyAlignment="1" applyProtection="1">
      <alignment horizontal="center" vertical="center"/>
    </xf>
    <xf numFmtId="0" fontId="10" fillId="7" borderId="1" xfId="0" applyFont="1" applyFill="1" applyBorder="1" applyAlignment="1" applyProtection="1">
      <alignment horizontal="right" vertical="center"/>
    </xf>
    <xf numFmtId="0" fontId="12" fillId="2" borderId="65" xfId="0" applyFont="1" applyFill="1" applyBorder="1" applyAlignment="1" applyProtection="1">
      <alignment horizontal="center" vertical="center"/>
    </xf>
    <xf numFmtId="0" fontId="10" fillId="3" borderId="37" xfId="0" applyFont="1" applyFill="1" applyBorder="1" applyAlignment="1" applyProtection="1">
      <alignment horizontal="left" vertical="center"/>
    </xf>
    <xf numFmtId="0" fontId="10" fillId="3" borderId="6" xfId="0" applyFont="1" applyFill="1" applyBorder="1" applyAlignment="1" applyProtection="1">
      <alignment horizontal="left" vertical="center"/>
    </xf>
    <xf numFmtId="0" fontId="10" fillId="3" borderId="7" xfId="0" applyFont="1" applyFill="1" applyBorder="1" applyAlignment="1" applyProtection="1">
      <alignment horizontal="center" vertical="center"/>
    </xf>
    <xf numFmtId="0" fontId="10" fillId="3" borderId="8" xfId="0" applyFont="1" applyFill="1" applyBorder="1" applyAlignment="1" applyProtection="1">
      <alignment horizontal="center" vertical="center"/>
    </xf>
    <xf numFmtId="0" fontId="10" fillId="3" borderId="1" xfId="0" applyFont="1" applyFill="1" applyBorder="1" applyAlignment="1" applyProtection="1">
      <alignment vertical="center"/>
    </xf>
    <xf numFmtId="0" fontId="9" fillId="10" borderId="4" xfId="0" applyFont="1" applyFill="1" applyBorder="1" applyAlignment="1" applyProtection="1">
      <alignment horizontal="center" vertical="center"/>
    </xf>
    <xf numFmtId="0" fontId="12" fillId="3" borderId="65" xfId="0" applyFont="1" applyFill="1" applyBorder="1" applyAlignment="1" applyProtection="1">
      <alignment vertical="center" wrapText="1"/>
    </xf>
    <xf numFmtId="2" fontId="9" fillId="3" borderId="1" xfId="0" applyNumberFormat="1" applyFont="1" applyFill="1" applyBorder="1" applyAlignment="1" applyProtection="1">
      <alignment horizontal="center" vertical="center"/>
    </xf>
    <xf numFmtId="0" fontId="21" fillId="3" borderId="0"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0" xfId="0" applyFont="1" applyFill="1" applyBorder="1" applyAlignment="1" applyProtection="1">
      <alignment horizontal="center" vertical="center" wrapText="1"/>
    </xf>
    <xf numFmtId="0" fontId="30" fillId="2" borderId="80" xfId="0" applyFont="1" applyFill="1" applyBorder="1" applyAlignment="1" applyProtection="1">
      <alignment horizontal="left" vertical="center"/>
    </xf>
    <xf numFmtId="2" fontId="9" fillId="3" borderId="1" xfId="0" applyNumberFormat="1" applyFont="1" applyFill="1" applyBorder="1" applyAlignment="1" applyProtection="1">
      <alignment horizontal="center" vertical="center"/>
    </xf>
    <xf numFmtId="0" fontId="9" fillId="21" borderId="1" xfId="0" applyFont="1" applyFill="1" applyBorder="1" applyAlignment="1" applyProtection="1">
      <alignment vertical="center" wrapText="1"/>
    </xf>
    <xf numFmtId="0" fontId="9" fillId="21" borderId="1" xfId="0" applyFont="1" applyFill="1" applyBorder="1" applyAlignment="1" applyProtection="1">
      <alignment horizontal="center" vertical="center"/>
    </xf>
    <xf numFmtId="0" fontId="9" fillId="21" borderId="1" xfId="0" applyFont="1" applyFill="1" applyBorder="1" applyAlignment="1" applyProtection="1">
      <alignment horizontal="right" vertical="center" wrapText="1"/>
    </xf>
    <xf numFmtId="2" fontId="9" fillId="21" borderId="1" xfId="0" applyNumberFormat="1" applyFont="1" applyFill="1" applyBorder="1" applyAlignment="1" applyProtection="1">
      <alignment horizontal="center" vertical="center"/>
    </xf>
    <xf numFmtId="0" fontId="21" fillId="3" borderId="0" xfId="0" applyFont="1" applyFill="1" applyBorder="1" applyAlignment="1" applyProtection="1">
      <alignment horizontal="center" vertical="center"/>
    </xf>
    <xf numFmtId="0" fontId="14" fillId="3" borderId="0" xfId="0" applyFont="1" applyFill="1" applyBorder="1" applyAlignment="1" applyProtection="1">
      <alignment horizontal="center" vertical="center"/>
    </xf>
    <xf numFmtId="0" fontId="9" fillId="3" borderId="1" xfId="0" applyFont="1" applyFill="1" applyBorder="1" applyAlignment="1" applyProtection="1">
      <alignment horizontal="center" vertical="center"/>
    </xf>
    <xf numFmtId="0" fontId="9" fillId="22" borderId="1" xfId="0" applyFont="1" applyFill="1" applyBorder="1" applyAlignment="1" applyProtection="1">
      <alignment horizontal="center" vertical="center"/>
    </xf>
    <xf numFmtId="0" fontId="9" fillId="3" borderId="1" xfId="0" applyFont="1" applyFill="1" applyBorder="1" applyAlignment="1" applyProtection="1">
      <alignment horizontal="center" vertical="center"/>
    </xf>
    <xf numFmtId="0" fontId="12" fillId="10" borderId="1" xfId="0" applyFont="1" applyFill="1" applyBorder="1" applyAlignment="1" applyProtection="1">
      <alignment horizontal="center" vertical="center"/>
    </xf>
    <xf numFmtId="2" fontId="12" fillId="10" borderId="1" xfId="0" applyNumberFormat="1" applyFont="1" applyFill="1" applyBorder="1" applyAlignment="1" applyProtection="1">
      <alignment horizontal="center" vertical="center"/>
    </xf>
    <xf numFmtId="2" fontId="4" fillId="22" borderId="65" xfId="0" applyNumberFormat="1" applyFont="1" applyFill="1" applyBorder="1" applyAlignment="1" applyProtection="1">
      <alignment horizontal="center" vertical="center"/>
    </xf>
    <xf numFmtId="2" fontId="5" fillId="2" borderId="65" xfId="0" applyNumberFormat="1" applyFont="1" applyFill="1" applyBorder="1" applyAlignment="1" applyProtection="1">
      <alignment horizontal="center" vertical="center"/>
    </xf>
    <xf numFmtId="0" fontId="32" fillId="2" borderId="4" xfId="0" applyFont="1" applyFill="1" applyBorder="1" applyAlignment="1" applyProtection="1">
      <alignment vertical="center"/>
    </xf>
    <xf numFmtId="0" fontId="32" fillId="2" borderId="1" xfId="0" applyFont="1" applyFill="1" applyBorder="1" applyAlignment="1" applyProtection="1">
      <alignment vertical="center"/>
    </xf>
    <xf numFmtId="0" fontId="32" fillId="2" borderId="4"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12" fillId="14" borderId="1" xfId="0" applyFont="1" applyFill="1" applyBorder="1" applyAlignment="1" applyProtection="1">
      <alignment horizontal="center" vertical="center"/>
    </xf>
    <xf numFmtId="0" fontId="35" fillId="2" borderId="0" xfId="0" applyFont="1" applyFill="1" applyBorder="1"/>
    <xf numFmtId="0" fontId="37" fillId="2" borderId="0" xfId="0" applyFont="1" applyFill="1" applyBorder="1"/>
    <xf numFmtId="0" fontId="37" fillId="2" borderId="0" xfId="0" applyNumberFormat="1" applyFont="1" applyFill="1" applyBorder="1" applyAlignment="1">
      <alignment horizontal="center" vertical="center"/>
    </xf>
    <xf numFmtId="2" fontId="24" fillId="2" borderId="0" xfId="0" applyNumberFormat="1" applyFont="1" applyFill="1" applyBorder="1" applyAlignment="1" applyProtection="1">
      <alignment horizontal="center" vertical="center"/>
    </xf>
    <xf numFmtId="2" fontId="41" fillId="2" borderId="0" xfId="0" applyNumberFormat="1" applyFont="1" applyFill="1" applyBorder="1" applyAlignment="1">
      <alignment horizontal="center" vertical="center"/>
    </xf>
    <xf numFmtId="0" fontId="36" fillId="2" borderId="0" xfId="0" applyFont="1" applyFill="1" applyBorder="1" applyAlignment="1" applyProtection="1">
      <alignment horizontal="center" vertical="center"/>
    </xf>
    <xf numFmtId="0" fontId="36" fillId="2" borderId="0" xfId="0" applyFont="1" applyFill="1" applyBorder="1" applyAlignment="1" applyProtection="1">
      <alignment horizontal="center" vertical="center" wrapText="1"/>
    </xf>
    <xf numFmtId="0" fontId="24" fillId="2" borderId="0" xfId="0" applyNumberFormat="1" applyFont="1" applyFill="1" applyBorder="1" applyAlignment="1" applyProtection="1">
      <alignment horizontal="center" vertical="center"/>
    </xf>
    <xf numFmtId="1" fontId="37" fillId="2" borderId="0" xfId="0" applyNumberFormat="1" applyFont="1" applyFill="1" applyBorder="1" applyAlignment="1">
      <alignment horizontal="center" vertical="center"/>
    </xf>
    <xf numFmtId="0" fontId="36" fillId="2" borderId="0" xfId="0" applyFont="1" applyFill="1" applyBorder="1"/>
    <xf numFmtId="0" fontId="41" fillId="2" borderId="0" xfId="0" applyFont="1" applyFill="1" applyBorder="1" applyAlignment="1">
      <alignment horizontal="center" vertical="center"/>
    </xf>
    <xf numFmtId="2" fontId="11" fillId="2" borderId="0" xfId="0" applyNumberFormat="1" applyFont="1" applyFill="1" applyBorder="1" applyAlignment="1" applyProtection="1">
      <alignment horizontal="center" vertical="center"/>
      <protection locked="0"/>
    </xf>
    <xf numFmtId="0" fontId="38" fillId="2" borderId="0" xfId="0" applyFont="1" applyFill="1" applyBorder="1" applyAlignment="1" applyProtection="1">
      <alignment horizontal="center" vertical="center"/>
    </xf>
    <xf numFmtId="0" fontId="37" fillId="2" borderId="0" xfId="0" applyFont="1" applyFill="1" applyBorder="1" applyAlignment="1" applyProtection="1">
      <alignment horizontal="center" vertical="center"/>
    </xf>
    <xf numFmtId="0" fontId="42" fillId="2" borderId="0" xfId="0" applyFont="1" applyFill="1" applyBorder="1" applyAlignment="1">
      <alignment horizontal="center" vertical="center"/>
    </xf>
    <xf numFmtId="2" fontId="11" fillId="2" borderId="0" xfId="0" applyNumberFormat="1" applyFont="1" applyFill="1" applyBorder="1" applyAlignment="1" applyProtection="1">
      <alignment horizontal="center" vertical="center"/>
    </xf>
    <xf numFmtId="0" fontId="36" fillId="23" borderId="0" xfId="0" applyFont="1" applyFill="1" applyAlignment="1"/>
    <xf numFmtId="0" fontId="36" fillId="2" borderId="0" xfId="0" applyFont="1" applyFill="1" applyBorder="1" applyAlignment="1"/>
    <xf numFmtId="0" fontId="5" fillId="3" borderId="0" xfId="0" applyFont="1" applyFill="1" applyBorder="1" applyAlignment="1" applyProtection="1">
      <alignment horizontal="center" vertical="center"/>
    </xf>
    <xf numFmtId="0" fontId="21" fillId="3" borderId="0" xfId="0" applyFont="1" applyFill="1" applyBorder="1" applyAlignment="1" applyProtection="1">
      <alignment horizontal="center" vertical="center"/>
    </xf>
    <xf numFmtId="0" fontId="6" fillId="16" borderId="65" xfId="0" applyFont="1" applyFill="1" applyBorder="1" applyAlignment="1" applyProtection="1">
      <alignment horizontal="center" vertical="center"/>
      <protection locked="0"/>
    </xf>
    <xf numFmtId="0" fontId="6" fillId="3" borderId="65" xfId="0" applyFont="1" applyFill="1" applyBorder="1" applyAlignment="1" applyProtection="1">
      <alignment horizontal="center" vertical="center"/>
    </xf>
    <xf numFmtId="0" fontId="9" fillId="3" borderId="1" xfId="0" applyFont="1" applyFill="1" applyBorder="1" applyAlignment="1" applyProtection="1">
      <alignment horizontal="center" vertical="center"/>
    </xf>
    <xf numFmtId="0" fontId="14" fillId="3" borderId="0" xfId="0" applyFont="1" applyFill="1" applyBorder="1" applyAlignment="1" applyProtection="1">
      <alignment horizontal="center" vertical="center"/>
    </xf>
    <xf numFmtId="0" fontId="6" fillId="15" borderId="65" xfId="0" applyFont="1" applyFill="1" applyBorder="1" applyAlignment="1" applyProtection="1">
      <alignment horizontal="center" vertical="center"/>
      <protection locked="0"/>
    </xf>
    <xf numFmtId="0" fontId="6" fillId="3" borderId="66" xfId="0" applyFont="1" applyFill="1" applyBorder="1" applyAlignment="1" applyProtection="1">
      <alignment horizontal="center" vertical="center"/>
    </xf>
    <xf numFmtId="0" fontId="5" fillId="3" borderId="57" xfId="0" applyFont="1" applyFill="1" applyBorder="1" applyAlignment="1" applyProtection="1">
      <alignment horizontal="center" vertical="center"/>
    </xf>
    <xf numFmtId="0" fontId="5" fillId="3" borderId="58" xfId="0" applyFont="1" applyFill="1" applyBorder="1" applyAlignment="1" applyProtection="1">
      <alignment horizontal="center" vertical="center"/>
    </xf>
    <xf numFmtId="0" fontId="5" fillId="3" borderId="59" xfId="0" applyFont="1" applyFill="1" applyBorder="1" applyAlignment="1" applyProtection="1">
      <alignment horizontal="center" vertical="center"/>
    </xf>
    <xf numFmtId="0" fontId="5" fillId="3" borderId="60" xfId="0" applyFont="1" applyFill="1" applyBorder="1" applyAlignment="1" applyProtection="1">
      <alignment horizontal="center" vertical="center"/>
    </xf>
    <xf numFmtId="0" fontId="5" fillId="3" borderId="61" xfId="0" applyFont="1" applyFill="1" applyBorder="1" applyAlignment="1" applyProtection="1">
      <alignment horizontal="center" vertical="center"/>
    </xf>
    <xf numFmtId="0" fontId="5" fillId="3" borderId="62" xfId="0" applyFont="1" applyFill="1" applyBorder="1" applyAlignment="1" applyProtection="1">
      <alignment horizontal="center" vertical="center"/>
    </xf>
    <xf numFmtId="0" fontId="5" fillId="3" borderId="63" xfId="0" applyFont="1" applyFill="1" applyBorder="1" applyAlignment="1" applyProtection="1">
      <alignment horizontal="center" vertical="center"/>
    </xf>
    <xf numFmtId="0" fontId="5" fillId="3" borderId="64" xfId="0" applyFont="1" applyFill="1" applyBorder="1" applyAlignment="1" applyProtection="1">
      <alignment horizontal="center" vertical="center"/>
    </xf>
    <xf numFmtId="0" fontId="24" fillId="2" borderId="0" xfId="0" applyFont="1" applyFill="1" applyBorder="1" applyAlignment="1" applyProtection="1">
      <alignment horizontal="right" vertical="center"/>
    </xf>
    <xf numFmtId="0" fontId="9" fillId="3" borderId="1" xfId="0" applyFont="1" applyFill="1" applyBorder="1" applyAlignment="1" applyProtection="1">
      <alignment horizontal="center" vertical="center"/>
    </xf>
    <xf numFmtId="0" fontId="9" fillId="3" borderId="1"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xf>
    <xf numFmtId="0" fontId="11"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wrapText="1"/>
    </xf>
    <xf numFmtId="0" fontId="12" fillId="16" borderId="65" xfId="0" applyFont="1" applyFill="1" applyBorder="1" applyAlignment="1" applyProtection="1">
      <alignment horizontal="center" vertical="center"/>
      <protection locked="0"/>
    </xf>
    <xf numFmtId="2" fontId="12" fillId="15" borderId="65" xfId="0" applyNumberFormat="1" applyFont="1" applyFill="1" applyBorder="1" applyAlignment="1" applyProtection="1">
      <alignment horizontal="center" vertical="center"/>
      <protection locked="0"/>
    </xf>
    <xf numFmtId="0" fontId="11" fillId="2" borderId="1" xfId="0" applyFont="1" applyFill="1" applyBorder="1" applyAlignment="1" applyProtection="1">
      <alignment horizontal="center"/>
    </xf>
    <xf numFmtId="0" fontId="11" fillId="2" borderId="1" xfId="0" applyFont="1" applyFill="1" applyBorder="1" applyAlignment="1" applyProtection="1">
      <alignment horizontal="right"/>
    </xf>
    <xf numFmtId="0" fontId="11" fillId="2" borderId="1" xfId="0" applyFont="1" applyFill="1" applyBorder="1" applyAlignment="1" applyProtection="1">
      <alignment horizontal="right" vertical="center"/>
    </xf>
    <xf numFmtId="0" fontId="24" fillId="2" borderId="4" xfId="0" applyFont="1" applyFill="1" applyBorder="1" applyAlignment="1" applyProtection="1">
      <alignment horizontal="center" vertical="center"/>
    </xf>
    <xf numFmtId="0" fontId="11" fillId="2" borderId="1" xfId="0" applyFont="1" applyFill="1" applyBorder="1" applyAlignment="1" applyProtection="1"/>
    <xf numFmtId="0" fontId="24" fillId="2" borderId="1" xfId="0" applyFont="1" applyFill="1" applyBorder="1" applyAlignment="1" applyProtection="1">
      <alignment horizontal="right" vertical="center"/>
    </xf>
    <xf numFmtId="0" fontId="11" fillId="2" borderId="1" xfId="0" applyFont="1" applyFill="1" applyBorder="1" applyAlignment="1" applyProtection="1">
      <alignment horizontal="center" vertical="center"/>
      <protection locked="0"/>
    </xf>
    <xf numFmtId="9" fontId="11" fillId="2" borderId="1" xfId="0" applyNumberFormat="1" applyFont="1" applyFill="1" applyBorder="1" applyAlignment="1" applyProtection="1">
      <alignment horizontal="center"/>
    </xf>
    <xf numFmtId="0" fontId="18" fillId="2" borderId="1" xfId="0" applyFont="1" applyFill="1" applyBorder="1" applyAlignment="1" applyProtection="1">
      <alignment horizontal="right" vertical="center"/>
    </xf>
    <xf numFmtId="2" fontId="11" fillId="2" borderId="1" xfId="0" applyNumberFormat="1" applyFont="1" applyFill="1" applyBorder="1" applyAlignment="1" applyProtection="1">
      <alignment horizontal="center" vertical="center"/>
      <protection locked="0"/>
    </xf>
    <xf numFmtId="2" fontId="11" fillId="2" borderId="1" xfId="0" applyNumberFormat="1" applyFont="1" applyFill="1" applyBorder="1" applyAlignment="1" applyProtection="1">
      <alignment horizontal="center"/>
    </xf>
    <xf numFmtId="0" fontId="18" fillId="24" borderId="1" xfId="0" applyFont="1" applyFill="1" applyBorder="1" applyAlignment="1" applyProtection="1">
      <alignment horizontal="center" vertical="center"/>
    </xf>
    <xf numFmtId="0" fontId="11" fillId="2" borderId="2" xfId="0" applyFont="1" applyFill="1" applyBorder="1" applyAlignment="1" applyProtection="1">
      <alignment horizontal="center"/>
    </xf>
    <xf numFmtId="0" fontId="11" fillId="2" borderId="3" xfId="0" applyFont="1" applyFill="1" applyBorder="1" applyAlignment="1" applyProtection="1">
      <alignment horizontal="center"/>
    </xf>
    <xf numFmtId="0" fontId="11" fillId="2" borderId="4" xfId="0" applyFont="1" applyFill="1" applyBorder="1" applyAlignment="1" applyProtection="1">
      <alignment horizontal="center"/>
    </xf>
    <xf numFmtId="0" fontId="11" fillId="2" borderId="1" xfId="0" applyFont="1" applyFill="1" applyBorder="1" applyAlignment="1" applyProtection="1">
      <alignment horizontal="right" vertical="center" wrapText="1"/>
    </xf>
    <xf numFmtId="0" fontId="18" fillId="2" borderId="1" xfId="0" applyFont="1" applyFill="1" applyBorder="1" applyAlignment="1" applyProtection="1">
      <alignment horizontal="center"/>
    </xf>
    <xf numFmtId="2" fontId="11" fillId="2" borderId="1" xfId="0" applyNumberFormat="1" applyFont="1" applyFill="1" applyBorder="1" applyProtection="1"/>
    <xf numFmtId="2" fontId="11" fillId="2" borderId="1" xfId="0" applyNumberFormat="1" applyFont="1" applyFill="1" applyBorder="1" applyAlignment="1" applyProtection="1">
      <alignment horizontal="right" vertical="center"/>
    </xf>
    <xf numFmtId="0" fontId="11" fillId="24" borderId="1" xfId="0" applyFont="1" applyFill="1" applyBorder="1" applyAlignment="1" applyProtection="1">
      <alignment horizontal="center"/>
    </xf>
    <xf numFmtId="2" fontId="18" fillId="2" borderId="1" xfId="0" applyNumberFormat="1" applyFont="1" applyFill="1" applyBorder="1" applyAlignment="1" applyProtection="1">
      <alignment horizontal="right" vertical="center"/>
    </xf>
    <xf numFmtId="2" fontId="11" fillId="2" borderId="1" xfId="0" applyNumberFormat="1" applyFont="1" applyFill="1" applyBorder="1" applyAlignment="1" applyProtection="1">
      <alignment horizontal="left"/>
    </xf>
    <xf numFmtId="0" fontId="11" fillId="2" borderId="1" xfId="0" applyFont="1" applyFill="1" applyBorder="1" applyAlignment="1" applyProtection="1">
      <alignment horizontal="center" wrapText="1"/>
    </xf>
    <xf numFmtId="2" fontId="18" fillId="2" borderId="1" xfId="0" applyNumberFormat="1" applyFont="1" applyFill="1" applyBorder="1" applyAlignment="1" applyProtection="1">
      <alignment horizontal="center"/>
    </xf>
    <xf numFmtId="0" fontId="11" fillId="2" borderId="1" xfId="0" applyFont="1" applyFill="1" applyBorder="1" applyAlignment="1" applyProtection="1">
      <alignment horizontal="left"/>
    </xf>
    <xf numFmtId="2" fontId="11" fillId="2" borderId="7" xfId="0" applyNumberFormat="1" applyFont="1" applyFill="1" applyBorder="1" applyAlignment="1" applyProtection="1">
      <alignment horizontal="center" vertical="center"/>
    </xf>
    <xf numFmtId="168" fontId="11" fillId="2" borderId="1" xfId="0" applyNumberFormat="1" applyFont="1" applyFill="1" applyBorder="1" applyAlignment="1" applyProtection="1">
      <alignment horizontal="center"/>
    </xf>
    <xf numFmtId="0" fontId="18" fillId="2" borderId="1" xfId="0" applyFont="1" applyFill="1" applyBorder="1" applyAlignment="1" applyProtection="1">
      <alignment horizontal="right"/>
    </xf>
    <xf numFmtId="2" fontId="11" fillId="2" borderId="1" xfId="0" applyNumberFormat="1" applyFont="1" applyFill="1" applyBorder="1" applyAlignment="1" applyProtection="1">
      <alignment horizontal="right"/>
    </xf>
    <xf numFmtId="0" fontId="11" fillId="2" borderId="2" xfId="0" applyFont="1" applyFill="1" applyBorder="1" applyAlignment="1" applyProtection="1">
      <alignment horizontal="center" vertical="center"/>
    </xf>
    <xf numFmtId="0" fontId="11" fillId="2" borderId="4" xfId="0" applyFont="1" applyFill="1" applyBorder="1" applyAlignment="1" applyProtection="1">
      <alignment horizontal="right" vertical="center"/>
    </xf>
    <xf numFmtId="0" fontId="18" fillId="2" borderId="1" xfId="0" applyFont="1" applyFill="1" applyBorder="1" applyAlignment="1" applyProtection="1">
      <alignment horizontal="center" vertical="center" wrapText="1"/>
    </xf>
    <xf numFmtId="0" fontId="11" fillId="2" borderId="2" xfId="0" applyFont="1" applyFill="1" applyBorder="1" applyAlignment="1" applyProtection="1">
      <alignment vertical="center"/>
    </xf>
    <xf numFmtId="2" fontId="18" fillId="2" borderId="1" xfId="0" applyNumberFormat="1" applyFont="1" applyFill="1" applyBorder="1" applyAlignment="1" applyProtection="1">
      <alignment vertical="center"/>
    </xf>
    <xf numFmtId="0" fontId="11" fillId="2" borderId="7" xfId="0" applyFont="1" applyFill="1" applyBorder="1" applyAlignment="1" applyProtection="1">
      <alignment vertical="center"/>
    </xf>
    <xf numFmtId="0" fontId="11" fillId="2" borderId="11" xfId="0" applyFont="1" applyFill="1" applyBorder="1" applyAlignment="1" applyProtection="1">
      <alignment vertical="center"/>
    </xf>
    <xf numFmtId="0" fontId="11" fillId="2" borderId="8" xfId="0" applyFont="1" applyFill="1" applyBorder="1" applyAlignment="1" applyProtection="1">
      <alignment vertical="center"/>
    </xf>
    <xf numFmtId="0" fontId="11" fillId="2" borderId="3" xfId="0" applyFont="1" applyFill="1" applyBorder="1" applyAlignment="1" applyProtection="1">
      <alignment vertical="center"/>
    </xf>
    <xf numFmtId="2" fontId="11" fillId="2" borderId="2" xfId="0" applyNumberFormat="1" applyFont="1" applyFill="1" applyBorder="1" applyAlignment="1" applyProtection="1">
      <alignment vertical="center"/>
    </xf>
    <xf numFmtId="2" fontId="18" fillId="2" borderId="7" xfId="0" applyNumberFormat="1" applyFont="1" applyFill="1" applyBorder="1" applyAlignment="1" applyProtection="1">
      <alignment vertical="center"/>
    </xf>
    <xf numFmtId="2" fontId="18" fillId="2" borderId="11" xfId="0" applyNumberFormat="1" applyFont="1" applyFill="1" applyBorder="1" applyAlignment="1" applyProtection="1">
      <alignment vertical="center"/>
    </xf>
    <xf numFmtId="2" fontId="18" fillId="2" borderId="8" xfId="0" applyNumberFormat="1" applyFont="1" applyFill="1" applyBorder="1" applyAlignment="1" applyProtection="1">
      <alignment vertical="center"/>
    </xf>
    <xf numFmtId="0" fontId="18" fillId="2" borderId="1" xfId="0" applyFont="1" applyFill="1" applyBorder="1" applyAlignment="1" applyProtection="1">
      <alignment vertical="center" wrapText="1"/>
    </xf>
    <xf numFmtId="0" fontId="18" fillId="2" borderId="2" xfId="0" applyFont="1" applyFill="1" applyBorder="1" applyAlignment="1" applyProtection="1">
      <alignment vertical="center"/>
    </xf>
    <xf numFmtId="0" fontId="18" fillId="2" borderId="3" xfId="0" applyFont="1" applyFill="1" applyBorder="1" applyAlignment="1" applyProtection="1">
      <alignment vertical="center"/>
    </xf>
    <xf numFmtId="2" fontId="11" fillId="2" borderId="4" xfId="0" applyNumberFormat="1" applyFont="1" applyFill="1" applyBorder="1" applyAlignment="1" applyProtection="1">
      <alignment horizontal="center" vertical="center"/>
    </xf>
    <xf numFmtId="0" fontId="11" fillId="2" borderId="3" xfId="0" applyFont="1" applyFill="1" applyBorder="1" applyAlignment="1" applyProtection="1">
      <alignment horizontal="center" vertical="center"/>
    </xf>
    <xf numFmtId="0" fontId="24" fillId="2" borderId="9" xfId="0" applyFont="1" applyFill="1" applyBorder="1" applyAlignment="1" applyProtection="1">
      <alignment horizontal="center" vertical="center"/>
    </xf>
    <xf numFmtId="2" fontId="11" fillId="2" borderId="1" xfId="0" quotePrefix="1" applyNumberFormat="1" applyFont="1" applyFill="1" applyBorder="1" applyAlignment="1" applyProtection="1">
      <alignment horizontal="center" vertical="center"/>
    </xf>
    <xf numFmtId="1" fontId="11" fillId="2" borderId="1" xfId="0" applyNumberFormat="1"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35" fillId="2" borderId="1"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29" fillId="2" borderId="0" xfId="0" applyFont="1" applyFill="1" applyBorder="1" applyAlignment="1" applyProtection="1">
      <alignment horizontal="center" vertical="center" wrapText="1"/>
    </xf>
    <xf numFmtId="0" fontId="35" fillId="2" borderId="0" xfId="0" applyFont="1" applyFill="1" applyBorder="1" applyProtection="1"/>
    <xf numFmtId="0" fontId="37" fillId="2" borderId="0" xfId="0" applyFont="1" applyFill="1" applyBorder="1" applyProtection="1"/>
    <xf numFmtId="2" fontId="37" fillId="2" borderId="0" xfId="0" applyNumberFormat="1" applyFont="1" applyFill="1" applyBorder="1" applyAlignment="1" applyProtection="1">
      <alignment horizontal="center" vertical="center"/>
    </xf>
    <xf numFmtId="0" fontId="40" fillId="2" borderId="0" xfId="0" applyFont="1" applyFill="1" applyBorder="1" applyAlignment="1" applyProtection="1">
      <alignment horizontal="center" vertical="center"/>
    </xf>
    <xf numFmtId="0" fontId="11" fillId="2" borderId="0" xfId="0" applyFont="1" applyFill="1" applyBorder="1" applyProtection="1"/>
    <xf numFmtId="0" fontId="11" fillId="2" borderId="0" xfId="0" applyFont="1" applyFill="1" applyBorder="1" applyAlignment="1" applyProtection="1">
      <alignment horizontal="center"/>
    </xf>
    <xf numFmtId="0" fontId="11" fillId="2" borderId="0" xfId="0" applyFont="1" applyFill="1" applyBorder="1" applyAlignment="1" applyProtection="1">
      <alignment horizontal="right"/>
    </xf>
    <xf numFmtId="0" fontId="11" fillId="2" borderId="0" xfId="0" applyFont="1" applyFill="1" applyBorder="1" applyAlignment="1" applyProtection="1"/>
    <xf numFmtId="0" fontId="24" fillId="2" borderId="0" xfId="1" applyFont="1" applyFill="1" applyBorder="1" applyAlignment="1" applyProtection="1">
      <alignment horizontal="center" vertical="center"/>
    </xf>
    <xf numFmtId="2" fontId="24" fillId="2" borderId="0" xfId="1" applyNumberFormat="1" applyFont="1" applyFill="1" applyBorder="1" applyAlignment="1" applyProtection="1">
      <alignment horizontal="center" vertical="center"/>
    </xf>
    <xf numFmtId="2" fontId="29" fillId="2" borderId="0" xfId="0" applyNumberFormat="1" applyFont="1" applyFill="1" applyBorder="1" applyAlignment="1" applyProtection="1">
      <alignment horizontal="center" vertical="center"/>
    </xf>
    <xf numFmtId="167" fontId="24" fillId="2" borderId="0" xfId="1" applyNumberFormat="1" applyFont="1" applyFill="1" applyBorder="1" applyAlignment="1" applyProtection="1">
      <alignment horizontal="center" vertical="center" wrapText="1"/>
    </xf>
    <xf numFmtId="0" fontId="24" fillId="2" borderId="0" xfId="1" applyFont="1" applyFill="1" applyBorder="1" applyAlignment="1" applyProtection="1">
      <alignment horizontal="center" vertical="center" wrapText="1"/>
    </xf>
    <xf numFmtId="164" fontId="29" fillId="2" borderId="0" xfId="1" applyNumberFormat="1" applyFont="1" applyFill="1" applyBorder="1" applyAlignment="1" applyProtection="1">
      <alignment horizontal="center" vertical="center"/>
    </xf>
    <xf numFmtId="0" fontId="11" fillId="2" borderId="0" xfId="0" applyFont="1" applyFill="1" applyBorder="1" applyAlignment="1" applyProtection="1">
      <alignment horizontal="right" vertical="center"/>
    </xf>
    <xf numFmtId="164" fontId="24" fillId="2" borderId="0" xfId="1" applyNumberFormat="1" applyFont="1" applyFill="1" applyBorder="1" applyAlignment="1" applyProtection="1">
      <alignment horizontal="center" vertical="center"/>
    </xf>
    <xf numFmtId="0" fontId="11" fillId="2" borderId="0" xfId="0" applyFont="1" applyFill="1" applyBorder="1" applyAlignment="1" applyProtection="1">
      <alignment horizontal="center" vertical="center" wrapText="1"/>
    </xf>
    <xf numFmtId="0" fontId="46" fillId="2" borderId="0" xfId="0" applyFont="1" applyFill="1" applyBorder="1" applyAlignment="1" applyProtection="1">
      <alignment horizontal="center" vertical="center"/>
    </xf>
    <xf numFmtId="2" fontId="11" fillId="2" borderId="0" xfId="0" applyNumberFormat="1" applyFont="1" applyFill="1" applyBorder="1" applyAlignment="1" applyProtection="1">
      <alignment horizontal="center"/>
    </xf>
    <xf numFmtId="0" fontId="18" fillId="2" borderId="0" xfId="0" applyFont="1" applyFill="1" applyBorder="1" applyAlignment="1" applyProtection="1">
      <alignment horizontal="center"/>
    </xf>
    <xf numFmtId="166" fontId="24" fillId="2" borderId="0" xfId="0" applyNumberFormat="1" applyFont="1" applyFill="1" applyBorder="1" applyAlignment="1" applyProtection="1">
      <alignment horizontal="center" vertical="center"/>
    </xf>
    <xf numFmtId="0" fontId="15" fillId="2" borderId="0" xfId="0" applyFont="1" applyFill="1" applyBorder="1" applyAlignment="1" applyProtection="1">
      <alignment horizontal="left" vertical="center"/>
    </xf>
    <xf numFmtId="0" fontId="15" fillId="2" borderId="99" xfId="0" applyFont="1" applyFill="1" applyBorder="1" applyAlignment="1" applyProtection="1">
      <alignment vertical="center"/>
    </xf>
    <xf numFmtId="0" fontId="15" fillId="2" borderId="100" xfId="0" applyFont="1" applyFill="1" applyBorder="1" applyAlignment="1" applyProtection="1">
      <alignment vertical="center"/>
    </xf>
    <xf numFmtId="0" fontId="15" fillId="2" borderId="100" xfId="0" applyFont="1" applyFill="1" applyBorder="1" applyAlignment="1" applyProtection="1">
      <alignment horizontal="left" vertical="center"/>
    </xf>
    <xf numFmtId="0" fontId="15" fillId="2" borderId="101" xfId="0" applyFont="1" applyFill="1" applyBorder="1" applyAlignment="1" applyProtection="1">
      <alignment vertical="center"/>
    </xf>
    <xf numFmtId="0" fontId="15" fillId="2" borderId="102" xfId="0" applyFont="1" applyFill="1" applyBorder="1" applyAlignment="1" applyProtection="1">
      <alignment vertical="center"/>
    </xf>
    <xf numFmtId="0" fontId="15" fillId="2" borderId="103" xfId="0" applyFont="1" applyFill="1" applyBorder="1" applyAlignment="1" applyProtection="1">
      <alignment vertical="center"/>
    </xf>
    <xf numFmtId="0" fontId="31" fillId="2" borderId="0" xfId="0" applyFont="1" applyFill="1" applyBorder="1" applyAlignment="1" applyProtection="1">
      <alignment vertical="center"/>
    </xf>
    <xf numFmtId="0" fontId="31" fillId="2" borderId="102" xfId="0" applyFont="1" applyFill="1" applyBorder="1" applyAlignment="1" applyProtection="1">
      <alignment vertical="center"/>
    </xf>
    <xf numFmtId="0" fontId="31" fillId="2" borderId="103" xfId="0" applyFont="1" applyFill="1" applyBorder="1" applyAlignment="1" applyProtection="1">
      <alignment vertical="center"/>
    </xf>
    <xf numFmtId="0" fontId="47" fillId="2" borderId="0" xfId="0" applyFont="1" applyFill="1" applyBorder="1" applyAlignment="1" applyProtection="1">
      <alignment vertical="center"/>
    </xf>
    <xf numFmtId="0" fontId="15" fillId="2" borderId="105" xfId="0" applyFont="1" applyFill="1" applyBorder="1" applyAlignment="1" applyProtection="1">
      <alignment horizontal="left" vertical="center"/>
    </xf>
    <xf numFmtId="0" fontId="12" fillId="2" borderId="0" xfId="0" applyFont="1" applyFill="1" applyBorder="1" applyAlignment="1" applyProtection="1">
      <alignment horizontal="left" vertical="center"/>
    </xf>
    <xf numFmtId="0" fontId="48" fillId="2" borderId="103" xfId="0" applyFont="1" applyFill="1" applyBorder="1" applyAlignment="1" applyProtection="1">
      <alignment vertical="center" wrapText="1"/>
    </xf>
    <xf numFmtId="0" fontId="15" fillId="2" borderId="104" xfId="0" applyFont="1" applyFill="1" applyBorder="1" applyAlignment="1" applyProtection="1">
      <alignment vertical="center"/>
    </xf>
    <xf numFmtId="0" fontId="15" fillId="2" borderId="106" xfId="0" applyFont="1" applyFill="1" applyBorder="1" applyAlignment="1" applyProtection="1">
      <alignment vertical="center"/>
    </xf>
    <xf numFmtId="0" fontId="19" fillId="2" borderId="0" xfId="0" applyFont="1" applyFill="1" applyBorder="1" applyAlignment="1" applyProtection="1">
      <alignment vertical="center"/>
    </xf>
    <xf numFmtId="0" fontId="10" fillId="2" borderId="105" xfId="0" applyFont="1" applyFill="1" applyBorder="1" applyAlignment="1" applyProtection="1">
      <alignment horizontal="center" vertical="center"/>
    </xf>
    <xf numFmtId="0" fontId="15" fillId="2" borderId="0" xfId="0" applyFont="1" applyFill="1" applyBorder="1" applyAlignment="1" applyProtection="1">
      <alignment horizontal="center" vertical="center"/>
    </xf>
    <xf numFmtId="9" fontId="15" fillId="2" borderId="0" xfId="0" applyNumberFormat="1" applyFont="1" applyFill="1" applyBorder="1" applyAlignment="1" applyProtection="1">
      <alignment horizontal="left" vertical="center"/>
    </xf>
    <xf numFmtId="10" fontId="15" fillId="2" borderId="0" xfId="0" applyNumberFormat="1" applyFont="1" applyFill="1" applyBorder="1" applyAlignment="1" applyProtection="1">
      <alignment horizontal="left" vertical="center"/>
    </xf>
    <xf numFmtId="10" fontId="15" fillId="2" borderId="0" xfId="0" applyNumberFormat="1" applyFont="1" applyFill="1" applyBorder="1" applyAlignment="1" applyProtection="1">
      <alignment horizontal="center" vertical="center"/>
    </xf>
    <xf numFmtId="9" fontId="15" fillId="2" borderId="0" xfId="0" applyNumberFormat="1" applyFont="1" applyFill="1" applyBorder="1" applyAlignment="1" applyProtection="1">
      <alignment horizontal="center" vertical="center"/>
    </xf>
    <xf numFmtId="2" fontId="15" fillId="2" borderId="0" xfId="0" applyNumberFormat="1" applyFont="1" applyFill="1" applyBorder="1" applyAlignment="1" applyProtection="1">
      <alignment vertical="center"/>
    </xf>
    <xf numFmtId="1" fontId="15" fillId="2" borderId="0" xfId="0" applyNumberFormat="1" applyFont="1" applyFill="1" applyBorder="1" applyAlignment="1" applyProtection="1">
      <alignment horizontal="left" vertical="center"/>
    </xf>
    <xf numFmtId="1" fontId="15" fillId="2" borderId="0" xfId="0" applyNumberFormat="1" applyFont="1" applyFill="1" applyBorder="1" applyAlignment="1" applyProtection="1">
      <alignment horizontal="center" vertical="center"/>
    </xf>
    <xf numFmtId="0" fontId="31" fillId="2" borderId="0" xfId="0" applyFont="1" applyFill="1" applyBorder="1" applyAlignment="1" applyProtection="1">
      <alignment horizontal="left" vertical="center"/>
    </xf>
    <xf numFmtId="3" fontId="15" fillId="3" borderId="0" xfId="0" applyNumberFormat="1" applyFont="1" applyFill="1" applyBorder="1" applyAlignment="1" applyProtection="1">
      <alignment horizontal="left" vertical="center"/>
    </xf>
    <xf numFmtId="0" fontId="15" fillId="3" borderId="0" xfId="0" applyFont="1" applyFill="1" applyBorder="1" applyAlignment="1" applyProtection="1">
      <alignment horizontal="left" vertical="center"/>
    </xf>
    <xf numFmtId="0" fontId="10" fillId="2" borderId="0" xfId="0" applyFont="1" applyFill="1" applyBorder="1" applyAlignment="1" applyProtection="1">
      <alignment vertical="center"/>
    </xf>
    <xf numFmtId="0" fontId="31" fillId="2" borderId="0" xfId="0" applyFont="1" applyFill="1" applyBorder="1" applyAlignment="1" applyProtection="1">
      <alignment horizontal="center" vertical="center"/>
    </xf>
    <xf numFmtId="0" fontId="15" fillId="2" borderId="105" xfId="0" applyFont="1" applyFill="1" applyBorder="1" applyAlignment="1" applyProtection="1">
      <alignment vertical="center"/>
    </xf>
    <xf numFmtId="0" fontId="51" fillId="2" borderId="0" xfId="0" applyFont="1" applyFill="1" applyBorder="1" applyAlignment="1" applyProtection="1">
      <alignment vertical="center"/>
    </xf>
    <xf numFmtId="0" fontId="14"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2" borderId="0" xfId="0" applyFont="1" applyFill="1" applyBorder="1" applyAlignment="1" applyProtection="1">
      <alignment vertical="center"/>
    </xf>
    <xf numFmtId="1" fontId="52" fillId="2" borderId="0" xfId="0" applyNumberFormat="1" applyFont="1" applyFill="1" applyBorder="1" applyAlignment="1" applyProtection="1">
      <alignment horizontal="center" vertical="center"/>
    </xf>
    <xf numFmtId="0" fontId="52" fillId="2" borderId="0" xfId="0" applyFont="1" applyFill="1" applyBorder="1" applyAlignment="1" applyProtection="1">
      <alignment horizontal="left" vertical="center"/>
    </xf>
    <xf numFmtId="10" fontId="52" fillId="2" borderId="0" xfId="0" applyNumberFormat="1" applyFont="1" applyFill="1" applyBorder="1" applyAlignment="1" applyProtection="1">
      <alignment vertical="center"/>
    </xf>
    <xf numFmtId="0" fontId="15" fillId="2" borderId="100" xfId="0" applyFont="1" applyFill="1" applyBorder="1" applyAlignment="1" applyProtection="1">
      <alignment horizontal="center" vertical="center"/>
    </xf>
    <xf numFmtId="0" fontId="53" fillId="2" borderId="0" xfId="0" applyFont="1" applyFill="1" applyBorder="1" applyAlignment="1" applyProtection="1">
      <alignment vertical="center"/>
    </xf>
    <xf numFmtId="0" fontId="11" fillId="2" borderId="0" xfId="0" applyFont="1" applyFill="1" applyBorder="1" applyAlignment="1" applyProtection="1">
      <alignment vertical="center"/>
    </xf>
    <xf numFmtId="0" fontId="57" fillId="2" borderId="0" xfId="0" applyFont="1" applyFill="1" applyBorder="1" applyAlignment="1" applyProtection="1">
      <alignment vertical="center"/>
    </xf>
    <xf numFmtId="0" fontId="57" fillId="2" borderId="0" xfId="0" applyFont="1" applyFill="1" applyBorder="1" applyAlignment="1" applyProtection="1">
      <alignment horizontal="center" vertical="center"/>
    </xf>
    <xf numFmtId="0" fontId="57" fillId="2" borderId="0" xfId="0" applyFont="1" applyFill="1" applyBorder="1" applyAlignment="1" applyProtection="1">
      <alignment horizontal="left" vertical="center"/>
    </xf>
    <xf numFmtId="0" fontId="58" fillId="2" borderId="103" xfId="0" applyFont="1" applyFill="1" applyBorder="1" applyAlignment="1" applyProtection="1">
      <alignment vertical="center"/>
    </xf>
    <xf numFmtId="0" fontId="58" fillId="2" borderId="0" xfId="0" applyFont="1" applyFill="1" applyBorder="1" applyAlignment="1" applyProtection="1">
      <alignment vertical="center"/>
    </xf>
    <xf numFmtId="0" fontId="58" fillId="2" borderId="102" xfId="0" applyFont="1" applyFill="1" applyBorder="1" applyAlignment="1" applyProtection="1">
      <alignment vertical="center"/>
    </xf>
    <xf numFmtId="0" fontId="12" fillId="3" borderId="0" xfId="0" applyFont="1" applyFill="1" applyBorder="1" applyAlignment="1" applyProtection="1">
      <alignment horizontal="left" vertical="center" wrapText="1"/>
    </xf>
    <xf numFmtId="0" fontId="52" fillId="2" borderId="0" xfId="0" applyFont="1" applyFill="1" applyBorder="1" applyAlignment="1" applyProtection="1">
      <alignment horizontal="center" vertical="center"/>
    </xf>
    <xf numFmtId="0" fontId="15" fillId="2" borderId="0" xfId="0" applyFont="1" applyFill="1" applyBorder="1" applyAlignment="1" applyProtection="1">
      <alignment horizontal="center" vertical="center"/>
    </xf>
    <xf numFmtId="0" fontId="15" fillId="2" borderId="0" xfId="0" applyFont="1" applyFill="1" applyBorder="1" applyAlignment="1" applyProtection="1">
      <alignment horizontal="left" vertical="center"/>
    </xf>
    <xf numFmtId="0" fontId="12" fillId="2" borderId="0" xfId="0" applyFont="1" applyFill="1" applyBorder="1" applyAlignment="1" applyProtection="1">
      <alignment horizontal="left" vertical="center"/>
    </xf>
    <xf numFmtId="0" fontId="15" fillId="2" borderId="0" xfId="0" applyFont="1" applyFill="1" applyBorder="1" applyAlignment="1" applyProtection="1">
      <alignment horizontal="center" vertical="center"/>
    </xf>
    <xf numFmtId="0" fontId="15" fillId="2" borderId="0" xfId="0" applyFont="1" applyFill="1" applyBorder="1" applyAlignment="1" applyProtection="1">
      <alignment horizontal="left" vertical="center"/>
    </xf>
    <xf numFmtId="0" fontId="18" fillId="22" borderId="0" xfId="0" applyFont="1" applyFill="1" applyBorder="1" applyAlignment="1" applyProtection="1">
      <alignment horizontal="left" vertical="center"/>
    </xf>
    <xf numFmtId="0" fontId="18" fillId="22" borderId="0" xfId="0" applyFont="1" applyFill="1" applyBorder="1" applyAlignment="1" applyProtection="1">
      <alignment vertical="center"/>
    </xf>
    <xf numFmtId="0" fontId="48" fillId="2" borderId="0" xfId="0" applyFont="1" applyFill="1" applyBorder="1" applyAlignment="1" applyProtection="1">
      <alignment vertical="center" wrapText="1"/>
    </xf>
    <xf numFmtId="4" fontId="12" fillId="2" borderId="0" xfId="0" applyNumberFormat="1" applyFont="1" applyFill="1" applyBorder="1" applyAlignment="1" applyProtection="1">
      <alignment horizontal="left" vertical="center"/>
    </xf>
    <xf numFmtId="0" fontId="9" fillId="2" borderId="0" xfId="0" applyFont="1" applyFill="1" applyBorder="1" applyAlignment="1" applyProtection="1">
      <alignment horizontal="left" vertical="center"/>
    </xf>
    <xf numFmtId="0" fontId="14" fillId="2" borderId="0"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12" fillId="3" borderId="0" xfId="0" applyFont="1" applyFill="1" applyBorder="1" applyAlignment="1" applyProtection="1">
      <alignment horizontal="left" vertical="center" wrapText="1"/>
    </xf>
    <xf numFmtId="4" fontId="12" fillId="2" borderId="0" xfId="0" applyNumberFormat="1" applyFont="1" applyFill="1" applyBorder="1" applyAlignment="1" applyProtection="1">
      <alignment horizontal="left" vertical="center"/>
    </xf>
    <xf numFmtId="0" fontId="10" fillId="26" borderId="0" xfId="0" applyFont="1" applyFill="1" applyBorder="1" applyAlignment="1" applyProtection="1">
      <alignment horizontal="center" vertical="center"/>
    </xf>
    <xf numFmtId="0" fontId="50" fillId="26" borderId="0" xfId="2" applyFont="1" applyFill="1" applyBorder="1" applyAlignment="1" applyProtection="1">
      <alignment vertical="center"/>
    </xf>
    <xf numFmtId="0" fontId="15" fillId="26" borderId="0" xfId="0" applyFont="1" applyFill="1" applyBorder="1" applyAlignment="1" applyProtection="1">
      <alignment vertical="center"/>
    </xf>
    <xf numFmtId="4" fontId="12" fillId="2" borderId="0" xfId="0" applyNumberFormat="1" applyFont="1" applyFill="1" applyBorder="1" applyAlignment="1" applyProtection="1">
      <alignment vertical="center"/>
    </xf>
    <xf numFmtId="0" fontId="12" fillId="3" borderId="0" xfId="0" applyFont="1" applyFill="1" applyBorder="1" applyAlignment="1" applyProtection="1">
      <alignment vertical="center" wrapText="1"/>
    </xf>
    <xf numFmtId="9" fontId="15" fillId="3" borderId="0" xfId="0" applyNumberFormat="1" applyFont="1" applyFill="1" applyBorder="1" applyAlignment="1" applyProtection="1">
      <alignment horizontal="left" vertical="center"/>
    </xf>
    <xf numFmtId="0" fontId="61" fillId="2" borderId="0" xfId="0" applyFont="1" applyFill="1" applyBorder="1" applyAlignment="1" applyProtection="1">
      <alignment vertical="center"/>
    </xf>
    <xf numFmtId="0" fontId="61" fillId="2" borderId="0" xfId="0" applyFont="1" applyFill="1" applyBorder="1" applyAlignment="1" applyProtection="1">
      <alignment horizontal="left" vertical="center"/>
    </xf>
    <xf numFmtId="0" fontId="24" fillId="2" borderId="0" xfId="0" applyFont="1" applyFill="1" applyBorder="1" applyAlignment="1" applyProtection="1">
      <alignment horizontal="center" vertical="center"/>
    </xf>
    <xf numFmtId="0" fontId="29"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xf>
    <xf numFmtId="0" fontId="36" fillId="2" borderId="0" xfId="0" applyFont="1" applyFill="1" applyBorder="1" applyAlignment="1">
      <alignment horizontal="center" vertical="center"/>
    </xf>
    <xf numFmtId="0" fontId="37" fillId="2" borderId="0" xfId="0" applyFont="1" applyFill="1" applyBorder="1" applyAlignment="1" applyProtection="1">
      <alignment horizontal="center" vertical="center"/>
      <protection locked="0"/>
    </xf>
    <xf numFmtId="0" fontId="40" fillId="2" borderId="0" xfId="0" applyFont="1" applyFill="1" applyBorder="1" applyAlignment="1">
      <alignment horizontal="center" vertical="center"/>
    </xf>
    <xf numFmtId="0" fontId="37" fillId="2" borderId="0" xfId="0" applyFont="1" applyFill="1" applyBorder="1" applyAlignment="1">
      <alignment horizontal="center" vertical="center"/>
    </xf>
    <xf numFmtId="164" fontId="37" fillId="2" borderId="0" xfId="0" applyNumberFormat="1" applyFont="1" applyFill="1" applyBorder="1" applyAlignment="1">
      <alignment horizontal="center" vertical="center"/>
    </xf>
    <xf numFmtId="1" fontId="37" fillId="2" borderId="0" xfId="0" applyNumberFormat="1" applyFont="1" applyFill="1" applyBorder="1" applyAlignment="1">
      <alignment horizontal="center" vertical="center" wrapText="1"/>
    </xf>
    <xf numFmtId="2" fontId="37" fillId="2" borderId="0" xfId="0" applyNumberFormat="1" applyFont="1" applyFill="1" applyBorder="1" applyAlignment="1">
      <alignment horizontal="center" vertical="center"/>
    </xf>
    <xf numFmtId="2" fontId="41" fillId="2" borderId="0" xfId="0" applyNumberFormat="1" applyFont="1" applyFill="1" applyBorder="1" applyAlignment="1">
      <alignment horizontal="center" vertical="center" wrapText="1"/>
    </xf>
    <xf numFmtId="0" fontId="38" fillId="2" borderId="0" xfId="0" applyFont="1" applyFill="1" applyBorder="1" applyAlignment="1">
      <alignment horizontal="center" vertical="center"/>
    </xf>
    <xf numFmtId="0" fontId="36" fillId="2" borderId="0" xfId="0" applyFont="1" applyFill="1" applyBorder="1" applyAlignment="1">
      <alignment horizontal="center"/>
    </xf>
    <xf numFmtId="0" fontId="24" fillId="2" borderId="0" xfId="0" applyFont="1" applyFill="1" applyBorder="1" applyAlignment="1" applyProtection="1">
      <alignment vertical="center"/>
    </xf>
    <xf numFmtId="0" fontId="35" fillId="2" borderId="0" xfId="0" applyFont="1" applyFill="1" applyBorder="1" applyAlignment="1">
      <alignment horizontal="center"/>
    </xf>
    <xf numFmtId="0" fontId="24" fillId="2" borderId="0" xfId="0" applyFont="1" applyFill="1" applyBorder="1" applyAlignment="1">
      <alignment horizontal="center" vertical="center"/>
    </xf>
    <xf numFmtId="0" fontId="37" fillId="2" borderId="0" xfId="0" applyFont="1" applyFill="1" applyBorder="1" applyAlignment="1">
      <alignment horizontal="center"/>
    </xf>
    <xf numFmtId="0" fontId="37" fillId="2" borderId="0" xfId="0" applyFont="1" applyFill="1" applyBorder="1" applyAlignment="1">
      <alignment horizontal="left" vertical="center"/>
    </xf>
    <xf numFmtId="0" fontId="62" fillId="2" borderId="0" xfId="0" applyFont="1" applyFill="1" applyBorder="1" applyAlignment="1">
      <alignment horizontal="center" vertical="center" wrapText="1"/>
    </xf>
    <xf numFmtId="0" fontId="37" fillId="2" borderId="0" xfId="0" applyFont="1" applyFill="1" applyBorder="1" applyAlignment="1">
      <alignment horizontal="left" vertical="center" wrapText="1"/>
    </xf>
    <xf numFmtId="9" fontId="37" fillId="2" borderId="0" xfId="0" applyNumberFormat="1" applyFont="1" applyFill="1" applyBorder="1" applyAlignment="1">
      <alignment horizontal="center" vertical="center"/>
    </xf>
    <xf numFmtId="0" fontId="41" fillId="2" borderId="0" xfId="0" applyFont="1" applyFill="1" applyBorder="1" applyAlignment="1">
      <alignment horizontal="left" vertical="center"/>
    </xf>
    <xf numFmtId="0" fontId="41" fillId="2" borderId="0" xfId="0" applyFont="1" applyFill="1" applyBorder="1" applyAlignment="1">
      <alignment horizontal="left" vertical="center" wrapText="1"/>
    </xf>
    <xf numFmtId="0" fontId="63" fillId="2" borderId="0" xfId="0" applyFont="1" applyFill="1" applyBorder="1" applyAlignment="1" applyProtection="1">
      <alignment vertical="center"/>
    </xf>
    <xf numFmtId="0" fontId="24" fillId="2" borderId="0" xfId="0" applyFont="1" applyFill="1" applyBorder="1" applyAlignment="1">
      <alignment horizontal="center"/>
    </xf>
    <xf numFmtId="0" fontId="37" fillId="2" borderId="0" xfId="0" applyFont="1" applyFill="1" applyBorder="1" applyAlignment="1">
      <alignment horizontal="left"/>
    </xf>
    <xf numFmtId="0" fontId="24" fillId="2" borderId="0" xfId="0" applyFont="1" applyFill="1" applyBorder="1" applyAlignment="1" applyProtection="1">
      <alignment horizontal="left" vertical="center"/>
    </xf>
    <xf numFmtId="0" fontId="24" fillId="2" borderId="0" xfId="0" quotePrefix="1" applyFont="1" applyFill="1" applyBorder="1" applyAlignment="1" applyProtection="1">
      <alignment horizontal="center" vertical="center"/>
    </xf>
    <xf numFmtId="2" fontId="24" fillId="2" borderId="0" xfId="0" applyNumberFormat="1" applyFont="1" applyFill="1" applyBorder="1" applyAlignment="1" applyProtection="1">
      <alignment horizontal="center" vertical="center"/>
    </xf>
    <xf numFmtId="9" fontId="24" fillId="2" borderId="0" xfId="0" applyNumberFormat="1" applyFont="1" applyFill="1" applyBorder="1" applyAlignment="1" applyProtection="1">
      <alignment horizontal="center" vertical="center"/>
    </xf>
    <xf numFmtId="10" fontId="24" fillId="2" borderId="0" xfId="0" applyNumberFormat="1" applyFont="1" applyFill="1" applyBorder="1" applyAlignment="1" applyProtection="1">
      <alignment horizontal="center" vertical="center"/>
    </xf>
    <xf numFmtId="3" fontId="29" fillId="2" borderId="0" xfId="0" applyNumberFormat="1" applyFont="1" applyFill="1" applyBorder="1" applyAlignment="1" applyProtection="1">
      <alignment horizontal="center" vertical="center"/>
    </xf>
    <xf numFmtId="0" fontId="29" fillId="2" borderId="0" xfId="0" applyFont="1" applyFill="1" applyBorder="1" applyAlignment="1" applyProtection="1">
      <alignment vertical="center"/>
    </xf>
    <xf numFmtId="2" fontId="24" fillId="2" borderId="0" xfId="0" applyNumberFormat="1" applyFont="1" applyFill="1" applyBorder="1" applyAlignment="1" applyProtection="1">
      <alignment vertical="center"/>
    </xf>
    <xf numFmtId="4" fontId="24" fillId="2" borderId="0" xfId="0" applyNumberFormat="1" applyFont="1" applyFill="1" applyBorder="1" applyAlignment="1" applyProtection="1">
      <alignment horizontal="center" vertical="center"/>
    </xf>
    <xf numFmtId="1" fontId="29" fillId="2" borderId="0" xfId="0" applyNumberFormat="1" applyFont="1" applyFill="1" applyBorder="1" applyAlignment="1" applyProtection="1">
      <alignment horizontal="center" vertical="center"/>
    </xf>
    <xf numFmtId="9" fontId="29" fillId="2" borderId="0" xfId="0" applyNumberFormat="1" applyFont="1" applyFill="1" applyBorder="1" applyAlignment="1" applyProtection="1">
      <alignment horizontal="center" vertical="center"/>
    </xf>
    <xf numFmtId="0" fontId="14" fillId="3" borderId="0" xfId="0" applyFont="1" applyFill="1" applyBorder="1" applyAlignment="1" applyProtection="1">
      <alignment horizontal="center" vertical="center"/>
    </xf>
    <xf numFmtId="0" fontId="12" fillId="16" borderId="65" xfId="0" applyFont="1" applyFill="1" applyBorder="1" applyAlignment="1" applyProtection="1">
      <alignment horizontal="center" vertical="center"/>
      <protection locked="0"/>
    </xf>
    <xf numFmtId="4" fontId="36" fillId="2" borderId="0" xfId="0" applyNumberFormat="1" applyFont="1" applyFill="1" applyBorder="1"/>
    <xf numFmtId="0" fontId="6" fillId="3" borderId="66" xfId="0" applyFont="1" applyFill="1" applyBorder="1" applyAlignment="1" applyProtection="1">
      <alignment horizontal="center" vertical="center" wrapText="1"/>
    </xf>
    <xf numFmtId="0" fontId="6" fillId="3" borderId="67" xfId="0" applyFont="1" applyFill="1" applyBorder="1" applyAlignment="1" applyProtection="1">
      <alignment horizontal="center" vertical="center" wrapText="1"/>
    </xf>
    <xf numFmtId="2" fontId="6" fillId="15" borderId="66" xfId="0" applyNumberFormat="1" applyFont="1" applyFill="1" applyBorder="1" applyAlignment="1" applyProtection="1">
      <alignment horizontal="center" vertical="center"/>
      <protection locked="0"/>
    </xf>
    <xf numFmtId="2" fontId="6" fillId="15" borderId="67" xfId="0" applyNumberFormat="1" applyFont="1" applyFill="1" applyBorder="1" applyAlignment="1" applyProtection="1">
      <alignment horizontal="center" vertical="center"/>
      <protection locked="0"/>
    </xf>
    <xf numFmtId="0" fontId="6" fillId="15" borderId="65" xfId="0" applyFont="1" applyFill="1" applyBorder="1" applyAlignment="1" applyProtection="1">
      <alignment horizontal="center" vertical="center"/>
      <protection locked="0"/>
    </xf>
    <xf numFmtId="169" fontId="6" fillId="15" borderId="65" xfId="0" applyNumberFormat="1" applyFont="1" applyFill="1" applyBorder="1" applyAlignment="1" applyProtection="1">
      <alignment horizontal="center" vertical="center"/>
      <protection locked="0"/>
    </xf>
    <xf numFmtId="0" fontId="8" fillId="7" borderId="65" xfId="0" applyFont="1" applyFill="1" applyBorder="1" applyAlignment="1" applyProtection="1">
      <alignment horizontal="center" vertical="center"/>
    </xf>
    <xf numFmtId="0" fontId="6" fillId="16" borderId="65" xfId="0" applyFont="1" applyFill="1" applyBorder="1" applyAlignment="1" applyProtection="1">
      <alignment horizontal="center" vertical="center"/>
      <protection locked="0"/>
    </xf>
    <xf numFmtId="169" fontId="6" fillId="15" borderId="66" xfId="0" applyNumberFormat="1" applyFont="1" applyFill="1" applyBorder="1" applyAlignment="1" applyProtection="1">
      <alignment horizontal="center" vertical="center"/>
      <protection locked="0"/>
    </xf>
    <xf numFmtId="169" fontId="6" fillId="15" borderId="67" xfId="0" applyNumberFormat="1" applyFont="1" applyFill="1" applyBorder="1" applyAlignment="1" applyProtection="1">
      <alignment horizontal="center" vertical="center"/>
      <protection locked="0"/>
    </xf>
    <xf numFmtId="0" fontId="6" fillId="8" borderId="65" xfId="0" applyFont="1" applyFill="1" applyBorder="1" applyAlignment="1" applyProtection="1">
      <alignment horizontal="left" vertical="center"/>
    </xf>
    <xf numFmtId="2" fontId="6" fillId="15" borderId="65" xfId="0" applyNumberFormat="1" applyFont="1" applyFill="1" applyBorder="1" applyAlignment="1" applyProtection="1">
      <alignment horizontal="center" vertical="center"/>
      <protection locked="0"/>
    </xf>
    <xf numFmtId="0" fontId="4" fillId="2" borderId="0" xfId="0" applyFont="1" applyFill="1" applyBorder="1" applyAlignment="1" applyProtection="1">
      <alignment horizontal="center" vertical="center"/>
    </xf>
    <xf numFmtId="0" fontId="6" fillId="3" borderId="0" xfId="0" applyFont="1" applyFill="1" applyBorder="1" applyAlignment="1" applyProtection="1">
      <alignment horizontal="left" vertical="center"/>
    </xf>
    <xf numFmtId="0" fontId="6" fillId="3" borderId="65" xfId="0" applyFont="1" applyFill="1" applyBorder="1" applyAlignment="1" applyProtection="1">
      <alignment horizontal="right" vertical="center"/>
    </xf>
    <xf numFmtId="0" fontId="5" fillId="3" borderId="0" xfId="0" applyFont="1" applyFill="1" applyBorder="1" applyAlignment="1" applyProtection="1">
      <alignment horizontal="left" vertical="center"/>
    </xf>
    <xf numFmtId="0" fontId="6" fillId="15" borderId="0" xfId="0" applyFont="1" applyFill="1" applyBorder="1" applyAlignment="1" applyProtection="1">
      <alignment horizontal="left" vertical="center"/>
    </xf>
    <xf numFmtId="0" fontId="6" fillId="16" borderId="0" xfId="0" applyFont="1" applyFill="1" applyBorder="1" applyAlignment="1" applyProtection="1">
      <alignment horizontal="left" vertical="center"/>
    </xf>
    <xf numFmtId="0" fontId="21" fillId="3" borderId="0" xfId="0" applyFont="1" applyFill="1" applyBorder="1" applyAlignment="1" applyProtection="1">
      <alignment horizontal="center" vertical="center"/>
    </xf>
    <xf numFmtId="0" fontId="6" fillId="3" borderId="65" xfId="0" applyFont="1" applyFill="1" applyBorder="1" applyAlignment="1" applyProtection="1">
      <alignment horizontal="left" vertical="center"/>
    </xf>
    <xf numFmtId="0" fontId="6" fillId="3" borderId="65" xfId="0" applyFont="1" applyFill="1" applyBorder="1" applyAlignment="1" applyProtection="1">
      <alignment horizontal="right" vertical="center" wrapText="1"/>
    </xf>
    <xf numFmtId="0" fontId="5" fillId="3" borderId="0" xfId="0" applyFont="1" applyFill="1" applyBorder="1" applyAlignment="1" applyProtection="1">
      <alignment horizontal="center" vertical="center"/>
    </xf>
    <xf numFmtId="0" fontId="21" fillId="3" borderId="0" xfId="0" applyFont="1" applyFill="1" applyBorder="1" applyAlignment="1" applyProtection="1">
      <alignment horizontal="center" vertical="center" wrapText="1"/>
    </xf>
    <xf numFmtId="0" fontId="6" fillId="3" borderId="66" xfId="0" applyFont="1" applyFill="1" applyBorder="1" applyAlignment="1" applyProtection="1">
      <alignment horizontal="center" vertical="center"/>
    </xf>
    <xf numFmtId="0" fontId="6" fillId="3" borderId="96" xfId="0" applyFont="1" applyFill="1" applyBorder="1" applyAlignment="1" applyProtection="1">
      <alignment horizontal="center" vertical="center"/>
    </xf>
    <xf numFmtId="0" fontId="6" fillId="3" borderId="67" xfId="0" applyFont="1" applyFill="1" applyBorder="1" applyAlignment="1" applyProtection="1">
      <alignment horizontal="center" vertical="center"/>
    </xf>
    <xf numFmtId="0" fontId="6" fillId="3" borderId="66" xfId="0" applyFont="1" applyFill="1" applyBorder="1" applyAlignment="1" applyProtection="1">
      <alignment horizontal="right" vertical="center"/>
    </xf>
    <xf numFmtId="0" fontId="6" fillId="3" borderId="96" xfId="0" applyFont="1" applyFill="1" applyBorder="1" applyAlignment="1" applyProtection="1">
      <alignment horizontal="right" vertical="center"/>
    </xf>
    <xf numFmtId="0" fontId="6" fillId="3" borderId="67" xfId="0" applyFont="1" applyFill="1" applyBorder="1" applyAlignment="1" applyProtection="1">
      <alignment horizontal="right" vertical="center"/>
    </xf>
    <xf numFmtId="0" fontId="6" fillId="3" borderId="0" xfId="0" applyFont="1" applyFill="1" applyBorder="1" applyAlignment="1" applyProtection="1">
      <alignment horizontal="center" vertical="center"/>
    </xf>
    <xf numFmtId="0" fontId="5" fillId="3" borderId="65" xfId="0" applyFont="1" applyFill="1" applyBorder="1" applyAlignment="1" applyProtection="1">
      <alignment horizontal="center" vertical="center"/>
    </xf>
    <xf numFmtId="0" fontId="6" fillId="3" borderId="65" xfId="0" applyFont="1" applyFill="1" applyBorder="1" applyAlignment="1" applyProtection="1">
      <alignment horizontal="center" vertical="center"/>
    </xf>
    <xf numFmtId="0" fontId="4" fillId="3" borderId="65" xfId="0" applyFont="1" applyFill="1" applyBorder="1" applyAlignment="1" applyProtection="1">
      <alignment horizontal="center" vertical="center"/>
    </xf>
    <xf numFmtId="0" fontId="5" fillId="3" borderId="65" xfId="0" applyFont="1" applyFill="1" applyBorder="1" applyAlignment="1" applyProtection="1">
      <alignment horizontal="right" vertical="center"/>
    </xf>
    <xf numFmtId="2" fontId="6" fillId="3" borderId="65" xfId="0" applyNumberFormat="1" applyFont="1" applyFill="1" applyBorder="1" applyAlignment="1" applyProtection="1">
      <alignment horizontal="center" vertical="center"/>
    </xf>
    <xf numFmtId="9" fontId="26" fillId="7" borderId="41" xfId="0" applyNumberFormat="1" applyFont="1" applyFill="1" applyBorder="1" applyAlignment="1" applyProtection="1">
      <alignment horizontal="center" vertical="center"/>
    </xf>
    <xf numFmtId="9" fontId="26" fillId="7" borderId="43" xfId="0" applyNumberFormat="1" applyFont="1" applyFill="1" applyBorder="1" applyAlignment="1" applyProtection="1">
      <alignment horizontal="center" vertical="center"/>
    </xf>
    <xf numFmtId="9" fontId="26" fillId="7" borderId="46" xfId="0" applyNumberFormat="1" applyFont="1" applyFill="1" applyBorder="1" applyAlignment="1" applyProtection="1">
      <alignment horizontal="center" vertical="center"/>
    </xf>
    <xf numFmtId="9" fontId="26" fillId="7" borderId="48" xfId="0" applyNumberFormat="1" applyFont="1" applyFill="1" applyBorder="1" applyAlignment="1" applyProtection="1">
      <alignment horizontal="center" vertical="center"/>
    </xf>
    <xf numFmtId="0" fontId="12" fillId="8" borderId="65" xfId="0" applyFont="1" applyFill="1" applyBorder="1" applyAlignment="1" applyProtection="1">
      <alignment horizontal="center" vertical="center" wrapText="1"/>
    </xf>
    <xf numFmtId="0" fontId="2" fillId="15" borderId="65" xfId="0" applyFont="1" applyFill="1" applyBorder="1" applyAlignment="1" applyProtection="1">
      <alignment horizontal="center" vertical="center"/>
      <protection locked="0"/>
    </xf>
    <xf numFmtId="0" fontId="2" fillId="3" borderId="65" xfId="0" applyFont="1" applyFill="1" applyBorder="1" applyAlignment="1" applyProtection="1">
      <alignment horizontal="right" vertical="center"/>
    </xf>
    <xf numFmtId="0" fontId="2" fillId="16" borderId="65" xfId="0" applyFont="1" applyFill="1" applyBorder="1" applyAlignment="1" applyProtection="1">
      <alignment horizontal="center" vertical="center"/>
      <protection locked="0"/>
    </xf>
    <xf numFmtId="0" fontId="6" fillId="8" borderId="65" xfId="0" applyFont="1" applyFill="1" applyBorder="1" applyAlignment="1" applyProtection="1">
      <alignment horizontal="center" vertical="center" wrapText="1"/>
    </xf>
    <xf numFmtId="0" fontId="12" fillId="8" borderId="65" xfId="0" applyFont="1" applyFill="1" applyBorder="1" applyAlignment="1" applyProtection="1">
      <alignment horizontal="center" vertical="center"/>
    </xf>
    <xf numFmtId="0" fontId="8" fillId="9" borderId="65" xfId="0" applyFont="1" applyFill="1" applyBorder="1" applyAlignment="1" applyProtection="1">
      <alignment horizontal="center" vertical="center"/>
    </xf>
    <xf numFmtId="0" fontId="6" fillId="8" borderId="65" xfId="0" applyFont="1" applyFill="1" applyBorder="1" applyAlignment="1" applyProtection="1">
      <alignment horizontal="center" vertical="center"/>
    </xf>
    <xf numFmtId="0" fontId="5" fillId="8" borderId="65" xfId="0" applyFont="1" applyFill="1" applyBorder="1" applyAlignment="1" applyProtection="1">
      <alignment horizontal="center" vertical="center"/>
    </xf>
    <xf numFmtId="0" fontId="4" fillId="7" borderId="65" xfId="0" applyFont="1" applyFill="1" applyBorder="1" applyAlignment="1" applyProtection="1">
      <alignment horizontal="center" vertical="center"/>
    </xf>
    <xf numFmtId="2" fontId="12" fillId="8" borderId="65" xfId="0" applyNumberFormat="1" applyFont="1" applyFill="1" applyBorder="1" applyAlignment="1" applyProtection="1">
      <alignment horizontal="center" vertical="center"/>
    </xf>
    <xf numFmtId="0" fontId="12" fillId="16" borderId="66" xfId="0" applyFont="1" applyFill="1" applyBorder="1" applyAlignment="1" applyProtection="1">
      <alignment horizontal="center" vertical="center"/>
      <protection locked="0"/>
    </xf>
    <xf numFmtId="0" fontId="12" fillId="16" borderId="96" xfId="0" applyFont="1" applyFill="1" applyBorder="1" applyAlignment="1" applyProtection="1">
      <alignment horizontal="center" vertical="center"/>
      <protection locked="0"/>
    </xf>
    <xf numFmtId="0" fontId="12" fillId="16" borderId="67" xfId="0" applyFont="1" applyFill="1" applyBorder="1" applyAlignment="1" applyProtection="1">
      <alignment horizontal="center" vertical="center"/>
      <protection locked="0"/>
    </xf>
    <xf numFmtId="0" fontId="12" fillId="3" borderId="69" xfId="0" applyFont="1" applyFill="1" applyBorder="1" applyAlignment="1" applyProtection="1">
      <alignment horizontal="left" vertical="center"/>
    </xf>
    <xf numFmtId="0" fontId="12" fillId="3" borderId="75" xfId="0" applyFont="1" applyFill="1" applyBorder="1" applyAlignment="1" applyProtection="1">
      <alignment horizontal="left" vertical="center"/>
    </xf>
    <xf numFmtId="0" fontId="12" fillId="3" borderId="71" xfId="0" applyFont="1" applyFill="1" applyBorder="1" applyAlignment="1" applyProtection="1">
      <alignment horizontal="left" vertical="center"/>
    </xf>
    <xf numFmtId="0" fontId="12" fillId="3" borderId="68" xfId="0" applyFont="1" applyFill="1" applyBorder="1" applyAlignment="1" applyProtection="1">
      <alignment horizontal="left" vertical="center"/>
    </xf>
    <xf numFmtId="0" fontId="12" fillId="3" borderId="72" xfId="0" applyFont="1" applyFill="1" applyBorder="1" applyAlignment="1" applyProtection="1">
      <alignment horizontal="left" vertical="center"/>
    </xf>
    <xf numFmtId="0" fontId="12" fillId="3" borderId="70" xfId="0" applyFont="1" applyFill="1" applyBorder="1" applyAlignment="1" applyProtection="1">
      <alignment horizontal="left" vertical="center"/>
    </xf>
    <xf numFmtId="0" fontId="12" fillId="3" borderId="73" xfId="0" applyFont="1" applyFill="1" applyBorder="1" applyAlignment="1" applyProtection="1">
      <alignment horizontal="left" vertical="center"/>
    </xf>
    <xf numFmtId="0" fontId="12" fillId="3" borderId="0" xfId="0" applyFont="1" applyFill="1" applyBorder="1" applyAlignment="1" applyProtection="1">
      <alignment horizontal="left" vertical="center"/>
    </xf>
    <xf numFmtId="0" fontId="12" fillId="3" borderId="74" xfId="0" applyFont="1" applyFill="1" applyBorder="1" applyAlignment="1" applyProtection="1">
      <alignment horizontal="left" vertical="center"/>
    </xf>
    <xf numFmtId="0" fontId="12" fillId="3" borderId="66" xfId="0" applyFont="1" applyFill="1" applyBorder="1" applyAlignment="1" applyProtection="1">
      <alignment horizontal="center" vertical="center"/>
    </xf>
    <xf numFmtId="0" fontId="12" fillId="3" borderId="96" xfId="0" applyFont="1" applyFill="1" applyBorder="1" applyAlignment="1" applyProtection="1">
      <alignment horizontal="center" vertical="center"/>
    </xf>
    <xf numFmtId="0" fontId="12" fillId="3" borderId="67" xfId="0" applyFont="1" applyFill="1" applyBorder="1" applyAlignment="1" applyProtection="1">
      <alignment horizontal="center" vertical="center"/>
    </xf>
    <xf numFmtId="0" fontId="12" fillId="3" borderId="65" xfId="0" applyFont="1" applyFill="1" applyBorder="1" applyAlignment="1" applyProtection="1">
      <alignment horizontal="center" vertical="center"/>
    </xf>
    <xf numFmtId="0" fontId="12" fillId="15" borderId="65" xfId="0" applyFont="1" applyFill="1" applyBorder="1" applyAlignment="1" applyProtection="1">
      <alignment horizontal="center" vertical="center"/>
      <protection locked="0"/>
    </xf>
    <xf numFmtId="0" fontId="12" fillId="16" borderId="65" xfId="0" applyFont="1" applyFill="1" applyBorder="1" applyAlignment="1" applyProtection="1">
      <alignment horizontal="center" vertical="center"/>
      <protection locked="0"/>
    </xf>
    <xf numFmtId="2" fontId="12" fillId="15" borderId="65" xfId="0" applyNumberFormat="1" applyFont="1" applyFill="1" applyBorder="1" applyAlignment="1" applyProtection="1">
      <alignment horizontal="center" vertical="center"/>
      <protection locked="0"/>
    </xf>
    <xf numFmtId="0" fontId="12" fillId="2" borderId="65" xfId="0" applyFont="1" applyFill="1" applyBorder="1" applyAlignment="1" applyProtection="1">
      <alignment horizontal="center" vertical="center"/>
    </xf>
    <xf numFmtId="0" fontId="12" fillId="3" borderId="65" xfId="0" applyFont="1" applyFill="1" applyBorder="1" applyAlignment="1" applyProtection="1">
      <alignment horizontal="center" vertical="center" wrapText="1"/>
    </xf>
    <xf numFmtId="0" fontId="12" fillId="3" borderId="65" xfId="0" applyFont="1" applyFill="1" applyBorder="1" applyAlignment="1" applyProtection="1">
      <alignment horizontal="right" vertical="center"/>
    </xf>
    <xf numFmtId="0" fontId="15" fillId="7" borderId="65" xfId="0" applyFont="1" applyFill="1" applyBorder="1" applyAlignment="1" applyProtection="1">
      <alignment horizontal="center" vertical="center"/>
    </xf>
    <xf numFmtId="0" fontId="9" fillId="5" borderId="7" xfId="0" applyFont="1" applyFill="1" applyBorder="1" applyAlignment="1" applyProtection="1">
      <alignment horizontal="center" vertical="center" wrapText="1"/>
    </xf>
    <xf numFmtId="0" fontId="9" fillId="5" borderId="8" xfId="0" applyFont="1" applyFill="1" applyBorder="1" applyAlignment="1" applyProtection="1">
      <alignment horizontal="center" vertical="center" wrapText="1"/>
    </xf>
    <xf numFmtId="0" fontId="9" fillId="3" borderId="7" xfId="0" applyFont="1" applyFill="1" applyBorder="1" applyAlignment="1" applyProtection="1">
      <alignment horizontal="center" vertical="center" wrapText="1"/>
    </xf>
    <xf numFmtId="0" fontId="9" fillId="3" borderId="8" xfId="0" applyFont="1" applyFill="1" applyBorder="1" applyAlignment="1" applyProtection="1">
      <alignment horizontal="center" vertical="center" wrapText="1"/>
    </xf>
    <xf numFmtId="0" fontId="12" fillId="8" borderId="2" xfId="0" applyFont="1" applyFill="1" applyBorder="1" applyAlignment="1" applyProtection="1">
      <alignment horizontal="center" vertical="center"/>
    </xf>
    <xf numFmtId="0" fontId="12" fillId="8" borderId="3" xfId="0" applyFont="1" applyFill="1" applyBorder="1" applyAlignment="1" applyProtection="1">
      <alignment horizontal="center" vertical="center"/>
    </xf>
    <xf numFmtId="0" fontId="12" fillId="8" borderId="4" xfId="0" applyFont="1" applyFill="1" applyBorder="1" applyAlignment="1" applyProtection="1">
      <alignment horizontal="center" vertical="center"/>
    </xf>
    <xf numFmtId="0" fontId="9" fillId="5" borderId="1" xfId="0" applyFont="1" applyFill="1" applyBorder="1" applyAlignment="1" applyProtection="1">
      <alignment horizontal="center" vertical="center" wrapText="1"/>
    </xf>
    <xf numFmtId="0" fontId="9" fillId="3" borderId="1" xfId="0" applyFont="1" applyFill="1" applyBorder="1" applyAlignment="1" applyProtection="1">
      <alignment horizontal="center" vertical="center" wrapText="1"/>
    </xf>
    <xf numFmtId="0" fontId="9" fillId="4" borderId="1" xfId="0" applyFont="1" applyFill="1" applyBorder="1" applyAlignment="1" applyProtection="1">
      <alignment horizontal="center" vertical="center" wrapText="1"/>
    </xf>
    <xf numFmtId="0" fontId="9" fillId="3" borderId="1" xfId="0" applyFont="1" applyFill="1" applyBorder="1" applyAlignment="1" applyProtection="1">
      <alignment horizontal="center" vertical="center"/>
    </xf>
    <xf numFmtId="0" fontId="12" fillId="16" borderId="66" xfId="0" applyFont="1" applyFill="1" applyBorder="1" applyAlignment="1" applyProtection="1">
      <alignment horizontal="left" vertical="center"/>
      <protection locked="0"/>
    </xf>
    <xf numFmtId="0" fontId="12" fillId="16" borderId="96" xfId="0" applyFont="1" applyFill="1" applyBorder="1" applyAlignment="1" applyProtection="1">
      <alignment horizontal="left" vertical="center"/>
      <protection locked="0"/>
    </xf>
    <xf numFmtId="0" fontId="12" fillId="16" borderId="67" xfId="0" applyFont="1" applyFill="1" applyBorder="1" applyAlignment="1" applyProtection="1">
      <alignment horizontal="left" vertical="center"/>
      <protection locked="0"/>
    </xf>
    <xf numFmtId="0" fontId="14" fillId="3" borderId="0" xfId="0" applyFont="1" applyFill="1" applyBorder="1" applyAlignment="1" applyProtection="1">
      <alignment horizontal="center" vertical="center"/>
    </xf>
    <xf numFmtId="2" fontId="14" fillId="3" borderId="0" xfId="0" applyNumberFormat="1" applyFont="1" applyFill="1" applyBorder="1" applyAlignment="1" applyProtection="1">
      <alignment horizontal="center" vertical="center"/>
    </xf>
    <xf numFmtId="2" fontId="10" fillId="8" borderId="7" xfId="0" applyNumberFormat="1" applyFont="1" applyFill="1" applyBorder="1" applyAlignment="1" applyProtection="1">
      <alignment horizontal="center" vertical="center"/>
    </xf>
    <xf numFmtId="2" fontId="10" fillId="8" borderId="11" xfId="0" applyNumberFormat="1" applyFont="1" applyFill="1" applyBorder="1" applyAlignment="1" applyProtection="1">
      <alignment horizontal="center" vertical="center"/>
    </xf>
    <xf numFmtId="2" fontId="10" fillId="8" borderId="8" xfId="0" applyNumberFormat="1" applyFont="1" applyFill="1" applyBorder="1" applyAlignment="1" applyProtection="1">
      <alignment horizontal="center" vertical="center"/>
    </xf>
    <xf numFmtId="0" fontId="9" fillId="3" borderId="7" xfId="0" applyFont="1" applyFill="1" applyBorder="1" applyAlignment="1" applyProtection="1">
      <alignment horizontal="center" vertical="center"/>
    </xf>
    <xf numFmtId="0" fontId="9" fillId="3" borderId="11" xfId="0" applyFont="1" applyFill="1" applyBorder="1" applyAlignment="1" applyProtection="1">
      <alignment horizontal="center" vertical="center"/>
    </xf>
    <xf numFmtId="0" fontId="9" fillId="3" borderId="8" xfId="0" applyFont="1" applyFill="1" applyBorder="1" applyAlignment="1" applyProtection="1">
      <alignment horizontal="center" vertical="center"/>
    </xf>
    <xf numFmtId="0" fontId="9" fillId="4" borderId="7" xfId="0" applyFont="1" applyFill="1" applyBorder="1" applyAlignment="1" applyProtection="1">
      <alignment horizontal="center" vertical="center" wrapText="1"/>
    </xf>
    <xf numFmtId="0" fontId="9" fillId="4" borderId="8" xfId="0" applyFont="1" applyFill="1" applyBorder="1" applyAlignment="1" applyProtection="1">
      <alignment horizontal="center" vertical="center" wrapText="1"/>
    </xf>
    <xf numFmtId="2" fontId="12" fillId="3" borderId="65" xfId="0" applyNumberFormat="1" applyFont="1" applyFill="1" applyBorder="1" applyAlignment="1" applyProtection="1">
      <alignment horizontal="center" vertical="center"/>
    </xf>
    <xf numFmtId="0" fontId="12" fillId="3" borderId="66" xfId="0" applyFont="1" applyFill="1" applyBorder="1" applyAlignment="1" applyProtection="1">
      <alignment horizontal="left" vertical="center"/>
    </xf>
    <xf numFmtId="0" fontId="12" fillId="3" borderId="96" xfId="0" applyFont="1" applyFill="1" applyBorder="1" applyAlignment="1" applyProtection="1">
      <alignment horizontal="left" vertical="center"/>
    </xf>
    <xf numFmtId="0" fontId="12" fillId="3" borderId="67" xfId="0" applyFont="1" applyFill="1" applyBorder="1" applyAlignment="1" applyProtection="1">
      <alignment horizontal="left" vertical="center"/>
    </xf>
    <xf numFmtId="0" fontId="12" fillId="3" borderId="68" xfId="0" applyFont="1" applyFill="1" applyBorder="1" applyAlignment="1" applyProtection="1">
      <alignment horizontal="center" vertical="center" wrapText="1"/>
    </xf>
    <xf numFmtId="0" fontId="12" fillId="3" borderId="72" xfId="0" applyFont="1" applyFill="1" applyBorder="1" applyAlignment="1" applyProtection="1">
      <alignment horizontal="center" vertical="center" wrapText="1"/>
    </xf>
    <xf numFmtId="0" fontId="12" fillId="3" borderId="70" xfId="0" applyFont="1" applyFill="1" applyBorder="1" applyAlignment="1" applyProtection="1">
      <alignment horizontal="center" vertical="center" wrapText="1"/>
    </xf>
    <xf numFmtId="0" fontId="12" fillId="3" borderId="69" xfId="0" applyFont="1" applyFill="1" applyBorder="1" applyAlignment="1" applyProtection="1">
      <alignment horizontal="center" vertical="center" wrapText="1"/>
    </xf>
    <xf numFmtId="0" fontId="12" fillId="3" borderId="75" xfId="0" applyFont="1" applyFill="1" applyBorder="1" applyAlignment="1" applyProtection="1">
      <alignment horizontal="center" vertical="center" wrapText="1"/>
    </xf>
    <xf numFmtId="0" fontId="12" fillId="3" borderId="71" xfId="0" applyFont="1" applyFill="1" applyBorder="1" applyAlignment="1" applyProtection="1">
      <alignment horizontal="center" vertical="center" wrapText="1"/>
    </xf>
    <xf numFmtId="0" fontId="9" fillId="3" borderId="37" xfId="0" applyFont="1" applyFill="1" applyBorder="1" applyAlignment="1" applyProtection="1">
      <alignment horizontal="center" vertical="center" wrapText="1"/>
    </xf>
    <xf numFmtId="0" fontId="9" fillId="3" borderId="6" xfId="0" applyFont="1" applyFill="1" applyBorder="1" applyAlignment="1" applyProtection="1">
      <alignment horizontal="center" vertical="center" wrapText="1"/>
    </xf>
    <xf numFmtId="2" fontId="12" fillId="3" borderId="65" xfId="0" applyNumberFormat="1" applyFont="1" applyFill="1" applyBorder="1" applyAlignment="1" applyProtection="1">
      <alignment horizontal="center" vertical="center"/>
      <protection locked="0"/>
    </xf>
    <xf numFmtId="0" fontId="12" fillId="16" borderId="66" xfId="0" applyFont="1" applyFill="1" applyBorder="1" applyAlignment="1" applyProtection="1">
      <alignment horizontal="left" vertical="center" wrapText="1"/>
      <protection locked="0"/>
    </xf>
    <xf numFmtId="0" fontId="12" fillId="16" borderId="96" xfId="0" applyFont="1" applyFill="1" applyBorder="1" applyAlignment="1" applyProtection="1">
      <alignment horizontal="left" vertical="center" wrapText="1"/>
      <protection locked="0"/>
    </xf>
    <xf numFmtId="0" fontId="12" fillId="16" borderId="67" xfId="0" applyFont="1" applyFill="1" applyBorder="1" applyAlignment="1" applyProtection="1">
      <alignment horizontal="left" vertical="center" wrapText="1"/>
      <protection locked="0"/>
    </xf>
    <xf numFmtId="0" fontId="12" fillId="3" borderId="68" xfId="0" applyFont="1" applyFill="1" applyBorder="1" applyAlignment="1" applyProtection="1">
      <alignment horizontal="left" vertical="center" wrapText="1"/>
    </xf>
    <xf numFmtId="0" fontId="12" fillId="3" borderId="72" xfId="0" applyFont="1" applyFill="1" applyBorder="1" applyAlignment="1" applyProtection="1">
      <alignment horizontal="left" vertical="center" wrapText="1"/>
    </xf>
    <xf numFmtId="0" fontId="12" fillId="3" borderId="70" xfId="0" applyFont="1" applyFill="1" applyBorder="1" applyAlignment="1" applyProtection="1">
      <alignment horizontal="left" vertical="center" wrapText="1"/>
    </xf>
    <xf numFmtId="0" fontId="12" fillId="3" borderId="69" xfId="0" applyFont="1" applyFill="1" applyBorder="1" applyAlignment="1" applyProtection="1">
      <alignment horizontal="left" vertical="center" wrapText="1"/>
    </xf>
    <xf numFmtId="0" fontId="12" fillId="3" borderId="75" xfId="0" applyFont="1" applyFill="1" applyBorder="1" applyAlignment="1" applyProtection="1">
      <alignment horizontal="left" vertical="center" wrapText="1"/>
    </xf>
    <xf numFmtId="0" fontId="12" fillId="3" borderId="71" xfId="0" applyFont="1" applyFill="1" applyBorder="1" applyAlignment="1" applyProtection="1">
      <alignment horizontal="left" vertical="center" wrapText="1"/>
    </xf>
    <xf numFmtId="0" fontId="28" fillId="3" borderId="66" xfId="0" applyFont="1" applyFill="1" applyBorder="1" applyAlignment="1" applyProtection="1">
      <alignment horizontal="center" vertical="center"/>
    </xf>
    <xf numFmtId="0" fontId="28" fillId="3" borderId="66" xfId="0" applyFont="1" applyFill="1" applyBorder="1" applyAlignment="1" applyProtection="1">
      <alignment horizontal="center" vertical="center" wrapText="1"/>
    </xf>
    <xf numFmtId="0" fontId="31" fillId="17" borderId="65" xfId="0" applyFont="1" applyFill="1" applyBorder="1" applyAlignment="1" applyProtection="1">
      <alignment horizontal="center" vertical="center"/>
    </xf>
    <xf numFmtId="0" fontId="17" fillId="12" borderId="1" xfId="0" applyFont="1" applyFill="1" applyBorder="1" applyAlignment="1" applyProtection="1">
      <alignment horizontal="center" vertical="center"/>
    </xf>
    <xf numFmtId="0" fontId="15" fillId="7" borderId="2" xfId="0" applyFont="1" applyFill="1" applyBorder="1" applyAlignment="1" applyProtection="1">
      <alignment horizontal="center" vertical="center"/>
    </xf>
    <xf numFmtId="0" fontId="15" fillId="7" borderId="3" xfId="0" applyFont="1" applyFill="1" applyBorder="1" applyAlignment="1" applyProtection="1">
      <alignment horizontal="center" vertical="center"/>
    </xf>
    <xf numFmtId="0" fontId="15" fillId="7" borderId="4" xfId="0" applyFont="1" applyFill="1" applyBorder="1" applyAlignment="1" applyProtection="1">
      <alignment horizontal="center" vertical="center"/>
    </xf>
    <xf numFmtId="0" fontId="10" fillId="7" borderId="1" xfId="0" applyFont="1" applyFill="1" applyBorder="1" applyAlignment="1" applyProtection="1">
      <alignment horizontal="right" vertical="center"/>
    </xf>
    <xf numFmtId="0" fontId="12" fillId="16" borderId="66" xfId="0" applyFont="1" applyFill="1" applyBorder="1" applyAlignment="1" applyProtection="1">
      <alignment horizontal="center" vertical="center" wrapText="1"/>
      <protection locked="0"/>
    </xf>
    <xf numFmtId="0" fontId="12" fillId="16" borderId="96" xfId="0" applyFont="1" applyFill="1" applyBorder="1" applyAlignment="1" applyProtection="1">
      <alignment horizontal="center" vertical="center" wrapText="1"/>
      <protection locked="0"/>
    </xf>
    <xf numFmtId="0" fontId="12" fillId="16" borderId="67" xfId="0" applyFont="1" applyFill="1" applyBorder="1" applyAlignment="1" applyProtection="1">
      <alignment horizontal="center" vertical="center" wrapText="1"/>
      <protection locked="0"/>
    </xf>
    <xf numFmtId="2" fontId="10" fillId="8" borderId="1" xfId="0" applyNumberFormat="1" applyFont="1" applyFill="1" applyBorder="1" applyAlignment="1" applyProtection="1">
      <alignment horizontal="center" vertical="center"/>
    </xf>
    <xf numFmtId="0" fontId="9" fillId="13" borderId="2" xfId="0" applyFont="1" applyFill="1" applyBorder="1" applyAlignment="1" applyProtection="1">
      <alignment horizontal="center" vertical="center"/>
    </xf>
    <xf numFmtId="0" fontId="9" fillId="13" borderId="4" xfId="0" applyFont="1" applyFill="1" applyBorder="1" applyAlignment="1" applyProtection="1">
      <alignment horizontal="center" vertical="center"/>
    </xf>
    <xf numFmtId="0" fontId="12" fillId="3" borderId="73" xfId="0" applyFont="1" applyFill="1" applyBorder="1" applyAlignment="1" applyProtection="1">
      <alignment horizontal="left" vertical="center" wrapText="1"/>
    </xf>
    <xf numFmtId="0" fontId="12" fillId="3" borderId="0" xfId="0" applyFont="1" applyFill="1" applyBorder="1" applyAlignment="1" applyProtection="1">
      <alignment horizontal="left" vertical="center" wrapText="1"/>
    </xf>
    <xf numFmtId="0" fontId="12" fillId="3" borderId="74" xfId="0" applyFont="1" applyFill="1" applyBorder="1" applyAlignment="1" applyProtection="1">
      <alignment horizontal="left" vertical="center" wrapText="1"/>
    </xf>
    <xf numFmtId="0" fontId="12" fillId="3" borderId="65" xfId="0" applyFont="1" applyFill="1" applyBorder="1" applyAlignment="1" applyProtection="1">
      <alignment horizontal="left" vertical="center" wrapText="1"/>
    </xf>
    <xf numFmtId="2" fontId="9" fillId="3" borderId="1" xfId="0" applyNumberFormat="1" applyFont="1" applyFill="1" applyBorder="1" applyAlignment="1" applyProtection="1">
      <alignment horizontal="center" vertical="center"/>
    </xf>
    <xf numFmtId="0" fontId="10" fillId="3" borderId="1" xfId="0" applyFont="1" applyFill="1" applyBorder="1" applyAlignment="1" applyProtection="1">
      <alignment horizontal="center" vertical="center"/>
    </xf>
    <xf numFmtId="0" fontId="12" fillId="10" borderId="1" xfId="0" applyFont="1" applyFill="1" applyBorder="1" applyAlignment="1" applyProtection="1">
      <alignment horizontal="center" vertical="center"/>
    </xf>
    <xf numFmtId="0" fontId="9" fillId="8" borderId="1" xfId="0" applyFont="1" applyFill="1" applyBorder="1" applyAlignment="1" applyProtection="1">
      <alignment horizontal="center" vertical="center"/>
    </xf>
    <xf numFmtId="0" fontId="15" fillId="9" borderId="1" xfId="0" applyFont="1" applyFill="1" applyBorder="1" applyAlignment="1" applyProtection="1">
      <alignment horizontal="center" vertical="center"/>
    </xf>
    <xf numFmtId="2" fontId="12" fillId="3" borderId="7" xfId="0" applyNumberFormat="1" applyFont="1" applyFill="1" applyBorder="1" applyAlignment="1" applyProtection="1">
      <alignment horizontal="center" vertical="center"/>
    </xf>
    <xf numFmtId="2" fontId="12" fillId="3" borderId="11" xfId="0" applyNumberFormat="1" applyFont="1" applyFill="1" applyBorder="1" applyAlignment="1" applyProtection="1">
      <alignment horizontal="center" vertical="center"/>
    </xf>
    <xf numFmtId="2" fontId="12" fillId="3" borderId="8" xfId="0" applyNumberFormat="1" applyFont="1" applyFill="1" applyBorder="1" applyAlignment="1" applyProtection="1">
      <alignment horizontal="center" vertical="center"/>
    </xf>
    <xf numFmtId="0" fontId="15" fillId="7" borderId="65" xfId="0" applyFont="1" applyFill="1" applyBorder="1" applyAlignment="1" applyProtection="1">
      <alignment horizontal="center" vertical="center" wrapText="1"/>
    </xf>
    <xf numFmtId="0" fontId="12" fillId="3" borderId="66" xfId="0" applyFont="1" applyFill="1" applyBorder="1" applyAlignment="1" applyProtection="1">
      <alignment horizontal="left" vertical="center" wrapText="1"/>
    </xf>
    <xf numFmtId="0" fontId="12" fillId="3" borderId="96" xfId="0" applyFont="1" applyFill="1" applyBorder="1" applyAlignment="1" applyProtection="1">
      <alignment horizontal="left" vertical="center" wrapText="1"/>
    </xf>
    <xf numFmtId="0" fontId="12" fillId="3" borderId="67" xfId="0" applyFont="1" applyFill="1" applyBorder="1" applyAlignment="1" applyProtection="1">
      <alignment horizontal="left" vertical="center" wrapText="1"/>
    </xf>
    <xf numFmtId="0" fontId="12" fillId="3" borderId="66" xfId="0" applyFont="1" applyFill="1" applyBorder="1" applyAlignment="1" applyProtection="1">
      <alignment horizontal="center" vertical="center" wrapText="1"/>
    </xf>
    <xf numFmtId="0" fontId="12" fillId="3" borderId="96" xfId="0" applyFont="1" applyFill="1" applyBorder="1" applyAlignment="1" applyProtection="1">
      <alignment horizontal="center" vertical="center" wrapText="1"/>
    </xf>
    <xf numFmtId="0" fontId="12" fillId="3" borderId="67" xfId="0" applyFont="1" applyFill="1" applyBorder="1" applyAlignment="1" applyProtection="1">
      <alignment horizontal="center" vertical="center" wrapText="1"/>
    </xf>
    <xf numFmtId="9" fontId="12" fillId="3" borderId="66" xfId="0" applyNumberFormat="1" applyFont="1" applyFill="1" applyBorder="1" applyAlignment="1" applyProtection="1">
      <alignment horizontal="center" vertical="center"/>
    </xf>
    <xf numFmtId="9" fontId="12" fillId="3" borderId="96" xfId="0" applyNumberFormat="1" applyFont="1" applyFill="1" applyBorder="1" applyAlignment="1" applyProtection="1">
      <alignment horizontal="center" vertical="center"/>
    </xf>
    <xf numFmtId="9" fontId="12" fillId="3" borderId="67" xfId="0" applyNumberFormat="1" applyFont="1" applyFill="1" applyBorder="1" applyAlignment="1" applyProtection="1">
      <alignment horizontal="center" vertical="center"/>
    </xf>
    <xf numFmtId="0" fontId="9" fillId="8" borderId="4" xfId="0" applyFont="1" applyFill="1" applyBorder="1" applyAlignment="1" applyProtection="1">
      <alignment horizontal="center" vertical="center"/>
    </xf>
    <xf numFmtId="0" fontId="10" fillId="8" borderId="1" xfId="0" applyFont="1" applyFill="1" applyBorder="1" applyAlignment="1" applyProtection="1">
      <alignment horizontal="center" vertical="center"/>
    </xf>
    <xf numFmtId="2" fontId="12" fillId="3" borderId="66" xfId="0" applyNumberFormat="1" applyFont="1" applyFill="1" applyBorder="1" applyAlignment="1" applyProtection="1">
      <alignment horizontal="left" vertical="center"/>
    </xf>
    <xf numFmtId="2" fontId="12" fillId="3" borderId="96" xfId="0" applyNumberFormat="1" applyFont="1" applyFill="1" applyBorder="1" applyAlignment="1" applyProtection="1">
      <alignment horizontal="left" vertical="center"/>
    </xf>
    <xf numFmtId="2" fontId="12" fillId="3" borderId="67" xfId="0" applyNumberFormat="1" applyFont="1" applyFill="1" applyBorder="1" applyAlignment="1" applyProtection="1">
      <alignment horizontal="left" vertical="center"/>
    </xf>
    <xf numFmtId="0" fontId="12" fillId="8" borderId="68" xfId="0" applyFont="1" applyFill="1" applyBorder="1" applyAlignment="1" applyProtection="1">
      <alignment horizontal="center" vertical="center" wrapText="1"/>
    </xf>
    <xf numFmtId="0" fontId="12" fillId="8" borderId="70" xfId="0" applyFont="1" applyFill="1" applyBorder="1" applyAlignment="1" applyProtection="1">
      <alignment horizontal="center" vertical="center" wrapText="1"/>
    </xf>
    <xf numFmtId="0" fontId="12" fillId="8" borderId="69" xfId="0" applyFont="1" applyFill="1" applyBorder="1" applyAlignment="1" applyProtection="1">
      <alignment horizontal="center" vertical="center" wrapText="1"/>
    </xf>
    <xf numFmtId="0" fontId="12" fillId="8" borderId="71" xfId="0" applyFont="1" applyFill="1" applyBorder="1" applyAlignment="1" applyProtection="1">
      <alignment horizontal="center" vertical="center" wrapText="1"/>
    </xf>
    <xf numFmtId="0" fontId="12" fillId="3" borderId="7" xfId="0" applyFont="1" applyFill="1" applyBorder="1" applyAlignment="1" applyProtection="1">
      <alignment horizontal="center" vertical="center"/>
    </xf>
    <xf numFmtId="0" fontId="12" fillId="3" borderId="11" xfId="0" applyFont="1" applyFill="1" applyBorder="1" applyAlignment="1" applyProtection="1">
      <alignment horizontal="center" vertical="center"/>
    </xf>
    <xf numFmtId="0" fontId="12" fillId="3" borderId="8" xfId="0" applyFont="1" applyFill="1" applyBorder="1" applyAlignment="1" applyProtection="1">
      <alignment horizontal="center" vertical="center"/>
    </xf>
    <xf numFmtId="0" fontId="13" fillId="19" borderId="7" xfId="0" applyFont="1" applyFill="1" applyBorder="1" applyAlignment="1" applyProtection="1">
      <alignment horizontal="center" vertical="center"/>
    </xf>
    <xf numFmtId="0" fontId="13" fillId="19" borderId="11" xfId="0" applyFont="1" applyFill="1" applyBorder="1" applyAlignment="1" applyProtection="1">
      <alignment horizontal="center" vertical="center"/>
    </xf>
    <xf numFmtId="0" fontId="13" fillId="19" borderId="8" xfId="0" applyFont="1" applyFill="1" applyBorder="1" applyAlignment="1" applyProtection="1">
      <alignment horizontal="center" vertical="center"/>
    </xf>
    <xf numFmtId="0" fontId="15" fillId="9" borderId="2" xfId="0" applyFont="1" applyFill="1" applyBorder="1" applyAlignment="1" applyProtection="1">
      <alignment horizontal="center" vertical="center"/>
    </xf>
    <xf numFmtId="0" fontId="15" fillId="9" borderId="3" xfId="0" applyFont="1" applyFill="1" applyBorder="1" applyAlignment="1" applyProtection="1">
      <alignment horizontal="center" vertical="center"/>
    </xf>
    <xf numFmtId="0" fontId="15" fillId="9" borderId="4" xfId="0" applyFont="1" applyFill="1" applyBorder="1" applyAlignment="1" applyProtection="1">
      <alignment horizontal="center" vertical="center"/>
    </xf>
    <xf numFmtId="2" fontId="9" fillId="3" borderId="7" xfId="0" applyNumberFormat="1" applyFont="1" applyFill="1" applyBorder="1" applyAlignment="1" applyProtection="1">
      <alignment horizontal="center" vertical="center"/>
    </xf>
    <xf numFmtId="2" fontId="9" fillId="3" borderId="11" xfId="0" applyNumberFormat="1" applyFont="1" applyFill="1" applyBorder="1" applyAlignment="1" applyProtection="1">
      <alignment horizontal="center" vertical="center"/>
    </xf>
    <xf numFmtId="2" fontId="9" fillId="3" borderId="8" xfId="0" applyNumberFormat="1" applyFont="1" applyFill="1" applyBorder="1" applyAlignment="1" applyProtection="1">
      <alignment horizontal="center" vertical="center"/>
    </xf>
    <xf numFmtId="0" fontId="9" fillId="8" borderId="1" xfId="0" applyFont="1" applyFill="1" applyBorder="1" applyAlignment="1" applyProtection="1">
      <alignment horizontal="center" vertical="center" wrapText="1"/>
    </xf>
    <xf numFmtId="2" fontId="9" fillId="8" borderId="1" xfId="0" applyNumberFormat="1" applyFont="1" applyFill="1" applyBorder="1" applyAlignment="1" applyProtection="1">
      <alignment horizontal="center" vertical="center"/>
    </xf>
    <xf numFmtId="0" fontId="9" fillId="7" borderId="1" xfId="0" applyFont="1" applyFill="1" applyBorder="1" applyAlignment="1" applyProtection="1">
      <alignment horizontal="center" vertical="center"/>
    </xf>
    <xf numFmtId="0" fontId="10" fillId="8" borderId="1" xfId="0" applyFont="1" applyFill="1" applyBorder="1" applyAlignment="1" applyProtection="1">
      <alignment horizontal="center" vertical="center" wrapText="1"/>
    </xf>
    <xf numFmtId="0" fontId="10" fillId="3" borderId="1" xfId="0" applyFont="1" applyFill="1" applyBorder="1" applyAlignment="1" applyProtection="1">
      <alignment horizontal="center" vertical="center" wrapText="1"/>
    </xf>
    <xf numFmtId="0" fontId="10" fillId="3" borderId="2" xfId="0" applyFont="1" applyFill="1" applyBorder="1" applyAlignment="1" applyProtection="1">
      <alignment horizontal="center" vertical="center" wrapText="1"/>
    </xf>
    <xf numFmtId="0" fontId="10" fillId="3" borderId="3" xfId="0" applyFont="1" applyFill="1" applyBorder="1" applyAlignment="1" applyProtection="1">
      <alignment horizontal="center" vertical="center" wrapText="1"/>
    </xf>
    <xf numFmtId="0" fontId="10" fillId="3" borderId="4" xfId="0" applyFont="1" applyFill="1" applyBorder="1" applyAlignment="1" applyProtection="1">
      <alignment horizontal="center" vertical="center" wrapText="1"/>
    </xf>
    <xf numFmtId="0" fontId="12" fillId="14" borderId="1" xfId="0" applyFont="1" applyFill="1" applyBorder="1" applyAlignment="1" applyProtection="1">
      <alignment horizontal="center" vertical="center"/>
    </xf>
    <xf numFmtId="0" fontId="9" fillId="10" borderId="1" xfId="0" applyFont="1" applyFill="1" applyBorder="1" applyAlignment="1" applyProtection="1">
      <alignment horizontal="center" vertical="center"/>
    </xf>
    <xf numFmtId="0" fontId="12" fillId="8" borderId="1" xfId="0" applyFont="1" applyFill="1" applyBorder="1" applyAlignment="1" applyProtection="1">
      <alignment horizontal="center" vertical="center"/>
    </xf>
    <xf numFmtId="0" fontId="12" fillId="3" borderId="1" xfId="0" applyFont="1" applyFill="1" applyBorder="1" applyAlignment="1" applyProtection="1">
      <alignment horizontal="center" vertical="center"/>
    </xf>
    <xf numFmtId="0" fontId="15" fillId="7" borderId="1" xfId="0" applyFont="1" applyFill="1" applyBorder="1" applyAlignment="1" applyProtection="1">
      <alignment horizontal="center" vertical="center"/>
    </xf>
    <xf numFmtId="0" fontId="9" fillId="14" borderId="1" xfId="0" applyFont="1" applyFill="1" applyBorder="1" applyAlignment="1" applyProtection="1">
      <alignment horizontal="center" vertical="center"/>
    </xf>
    <xf numFmtId="0" fontId="12" fillId="3" borderId="4" xfId="0" applyFont="1" applyFill="1" applyBorder="1" applyAlignment="1" applyProtection="1">
      <alignment horizontal="right" vertical="center"/>
    </xf>
    <xf numFmtId="0" fontId="12" fillId="3" borderId="1" xfId="0" applyFont="1" applyFill="1" applyBorder="1" applyAlignment="1" applyProtection="1">
      <alignment horizontal="center" vertical="center" wrapText="1"/>
    </xf>
    <xf numFmtId="0" fontId="12" fillId="3" borderId="1" xfId="0" applyFont="1" applyFill="1" applyBorder="1" applyAlignment="1" applyProtection="1">
      <alignment horizontal="right" vertical="center"/>
    </xf>
    <xf numFmtId="0" fontId="14" fillId="3" borderId="0" xfId="0" applyFont="1" applyFill="1" applyBorder="1" applyAlignment="1" applyProtection="1">
      <alignment horizontal="center" vertical="center" wrapText="1"/>
    </xf>
    <xf numFmtId="0" fontId="10" fillId="3" borderId="7" xfId="0" applyFont="1" applyFill="1" applyBorder="1" applyAlignment="1" applyProtection="1">
      <alignment horizontal="center" vertical="center"/>
    </xf>
    <xf numFmtId="0" fontId="10" fillId="3" borderId="8" xfId="0" applyFont="1" applyFill="1" applyBorder="1" applyAlignment="1" applyProtection="1">
      <alignment horizontal="center" vertical="center"/>
    </xf>
    <xf numFmtId="0" fontId="10" fillId="8" borderId="1" xfId="0" applyFont="1" applyFill="1" applyBorder="1" applyAlignment="1" applyProtection="1">
      <alignment horizontal="left" vertical="center"/>
    </xf>
    <xf numFmtId="2" fontId="9" fillId="3" borderId="36" xfId="0" applyNumberFormat="1" applyFont="1" applyFill="1" applyBorder="1" applyAlignment="1" applyProtection="1">
      <alignment horizontal="center" vertical="center"/>
    </xf>
    <xf numFmtId="2" fontId="9" fillId="3" borderId="37" xfId="0" applyNumberFormat="1" applyFont="1" applyFill="1" applyBorder="1" applyAlignment="1" applyProtection="1">
      <alignment horizontal="center" vertical="center"/>
    </xf>
    <xf numFmtId="2" fontId="9" fillId="3" borderId="5" xfId="0" applyNumberFormat="1" applyFont="1" applyFill="1" applyBorder="1" applyAlignment="1" applyProtection="1">
      <alignment horizontal="center" vertical="center"/>
    </xf>
    <xf numFmtId="2" fontId="9" fillId="3" borderId="6" xfId="0" applyNumberFormat="1" applyFont="1" applyFill="1" applyBorder="1" applyAlignment="1" applyProtection="1">
      <alignment horizontal="center" vertical="center"/>
    </xf>
    <xf numFmtId="0" fontId="9" fillId="2" borderId="84" xfId="0" applyFont="1" applyFill="1" applyBorder="1" applyAlignment="1" applyProtection="1">
      <alignment horizontal="center" vertical="center" wrapText="1"/>
    </xf>
    <xf numFmtId="0" fontId="9" fillId="19" borderId="87" xfId="0" applyFont="1" applyFill="1" applyBorder="1" applyAlignment="1" applyProtection="1">
      <alignment horizontal="center" vertical="center" wrapText="1"/>
    </xf>
    <xf numFmtId="0" fontId="9" fillId="19" borderId="94" xfId="0" applyFont="1" applyFill="1" applyBorder="1" applyAlignment="1" applyProtection="1">
      <alignment horizontal="center" vertical="center" wrapText="1"/>
    </xf>
    <xf numFmtId="0" fontId="9" fillId="19" borderId="87" xfId="0" applyFont="1" applyFill="1" applyBorder="1" applyAlignment="1" applyProtection="1">
      <alignment horizontal="center" vertical="center"/>
    </xf>
    <xf numFmtId="0" fontId="9" fillId="19" borderId="95" xfId="0" applyFont="1" applyFill="1" applyBorder="1" applyAlignment="1" applyProtection="1">
      <alignment horizontal="center" vertical="center"/>
    </xf>
    <xf numFmtId="0" fontId="16" fillId="12" borderId="7" xfId="0" applyFont="1" applyFill="1" applyBorder="1" applyAlignment="1" applyProtection="1">
      <alignment horizontal="center" vertical="center"/>
    </xf>
    <xf numFmtId="0" fontId="16" fillId="12" borderId="8" xfId="0" applyFont="1" applyFill="1" applyBorder="1" applyAlignment="1" applyProtection="1">
      <alignment horizontal="center" vertical="center"/>
    </xf>
    <xf numFmtId="0" fontId="10" fillId="3" borderId="1" xfId="0" applyFont="1" applyFill="1" applyBorder="1" applyAlignment="1" applyProtection="1">
      <alignment horizontal="left" vertical="center"/>
    </xf>
    <xf numFmtId="2" fontId="10" fillId="3" borderId="1" xfId="0" applyNumberFormat="1" applyFont="1" applyFill="1" applyBorder="1" applyAlignment="1" applyProtection="1">
      <alignment horizontal="center" vertical="center"/>
    </xf>
    <xf numFmtId="0" fontId="10" fillId="3" borderId="36" xfId="0" applyFont="1" applyFill="1" applyBorder="1" applyAlignment="1" applyProtection="1">
      <alignment horizontal="left" vertical="center"/>
    </xf>
    <xf numFmtId="0" fontId="10" fillId="3" borderId="38" xfId="0" applyFont="1" applyFill="1" applyBorder="1" applyAlignment="1" applyProtection="1">
      <alignment horizontal="left" vertical="center"/>
    </xf>
    <xf numFmtId="0" fontId="10" fillId="3" borderId="37" xfId="0" applyFont="1" applyFill="1" applyBorder="1" applyAlignment="1" applyProtection="1">
      <alignment horizontal="left" vertical="center"/>
    </xf>
    <xf numFmtId="0" fontId="10" fillId="3" borderId="5" xfId="0" applyFont="1" applyFill="1" applyBorder="1" applyAlignment="1" applyProtection="1">
      <alignment horizontal="left" vertical="center"/>
    </xf>
    <xf numFmtId="0" fontId="10" fillId="3" borderId="16" xfId="0" applyFont="1" applyFill="1" applyBorder="1" applyAlignment="1" applyProtection="1">
      <alignment horizontal="left" vertical="center"/>
    </xf>
    <xf numFmtId="0" fontId="10" fillId="3" borderId="6" xfId="0" applyFont="1" applyFill="1" applyBorder="1" applyAlignment="1" applyProtection="1">
      <alignment horizontal="left" vertical="center"/>
    </xf>
    <xf numFmtId="0" fontId="12" fillId="3" borderId="97" xfId="0" applyFont="1" applyFill="1" applyBorder="1" applyAlignment="1" applyProtection="1">
      <alignment horizontal="center" vertical="center" wrapText="1"/>
    </xf>
    <xf numFmtId="0" fontId="12" fillId="3" borderId="98" xfId="0" applyFont="1" applyFill="1" applyBorder="1" applyAlignment="1" applyProtection="1">
      <alignment horizontal="center" vertical="center" wrapText="1"/>
    </xf>
    <xf numFmtId="0" fontId="10" fillId="3" borderId="1" xfId="0" applyFont="1" applyFill="1" applyBorder="1" applyAlignment="1" applyProtection="1">
      <alignment vertical="center"/>
    </xf>
    <xf numFmtId="0" fontId="9" fillId="13" borderId="2" xfId="0" applyFont="1" applyFill="1" applyBorder="1" applyAlignment="1" applyProtection="1">
      <alignment horizontal="right" vertical="center" wrapText="1"/>
    </xf>
    <xf numFmtId="0" fontId="9" fillId="13" borderId="3" xfId="0" applyFont="1" applyFill="1" applyBorder="1" applyAlignment="1" applyProtection="1">
      <alignment horizontal="right" vertical="center" wrapText="1"/>
    </xf>
    <xf numFmtId="0" fontId="9" fillId="13" borderId="4" xfId="0" applyFont="1" applyFill="1" applyBorder="1" applyAlignment="1" applyProtection="1">
      <alignment horizontal="right" vertical="center" wrapText="1"/>
    </xf>
    <xf numFmtId="0" fontId="10" fillId="19" borderId="84" xfId="0" applyFont="1" applyFill="1" applyBorder="1" applyAlignment="1" applyProtection="1">
      <alignment horizontal="center" vertical="center"/>
    </xf>
    <xf numFmtId="0" fontId="9" fillId="2" borderId="88" xfId="0" applyFont="1" applyFill="1" applyBorder="1" applyAlignment="1" applyProtection="1">
      <alignment horizontal="center" vertical="center"/>
    </xf>
    <xf numFmtId="0" fontId="9" fillId="2" borderId="89" xfId="0" applyFont="1" applyFill="1" applyBorder="1" applyAlignment="1" applyProtection="1">
      <alignment horizontal="center" vertical="center"/>
    </xf>
    <xf numFmtId="0" fontId="9" fillId="2" borderId="90" xfId="0" applyFont="1" applyFill="1" applyBorder="1" applyAlignment="1" applyProtection="1">
      <alignment horizontal="center" vertical="center"/>
    </xf>
    <xf numFmtId="0" fontId="9" fillId="2" borderId="91" xfId="0" applyFont="1" applyFill="1" applyBorder="1" applyAlignment="1" applyProtection="1">
      <alignment horizontal="center" vertical="center"/>
    </xf>
    <xf numFmtId="0" fontId="9" fillId="2" borderId="92" xfId="0" applyFont="1" applyFill="1" applyBorder="1" applyAlignment="1" applyProtection="1">
      <alignment horizontal="center" vertical="center"/>
    </xf>
    <xf numFmtId="0" fontId="9" fillId="2" borderId="93" xfId="0" applyFont="1" applyFill="1" applyBorder="1" applyAlignment="1" applyProtection="1">
      <alignment horizontal="center" vertical="center"/>
    </xf>
    <xf numFmtId="0" fontId="9" fillId="19" borderId="84" xfId="0" applyFont="1" applyFill="1" applyBorder="1" applyAlignment="1" applyProtection="1">
      <alignment horizontal="center" vertical="center"/>
    </xf>
    <xf numFmtId="2" fontId="10" fillId="3" borderId="7" xfId="0" applyNumberFormat="1" applyFont="1" applyFill="1" applyBorder="1" applyAlignment="1" applyProtection="1">
      <alignment horizontal="center" vertical="center"/>
    </xf>
    <xf numFmtId="2" fontId="10" fillId="3" borderId="8" xfId="0" applyNumberFormat="1" applyFont="1" applyFill="1" applyBorder="1" applyAlignment="1" applyProtection="1">
      <alignment horizontal="center" vertical="center"/>
    </xf>
    <xf numFmtId="0" fontId="9" fillId="8" borderId="2" xfId="0" applyFont="1" applyFill="1" applyBorder="1" applyAlignment="1" applyProtection="1">
      <alignment horizontal="center" vertical="center"/>
    </xf>
    <xf numFmtId="0" fontId="9" fillId="8" borderId="3" xfId="0" applyFont="1" applyFill="1" applyBorder="1" applyAlignment="1" applyProtection="1">
      <alignment horizontal="center" vertical="center"/>
    </xf>
    <xf numFmtId="0" fontId="9" fillId="2" borderId="57" xfId="0" applyFont="1" applyFill="1" applyBorder="1" applyAlignment="1" applyProtection="1">
      <alignment horizontal="center" vertical="center"/>
    </xf>
    <xf numFmtId="0" fontId="9" fillId="2" borderId="58" xfId="0" applyFont="1" applyFill="1" applyBorder="1" applyAlignment="1" applyProtection="1">
      <alignment horizontal="center" vertical="center"/>
    </xf>
    <xf numFmtId="0" fontId="9" fillId="2" borderId="59" xfId="0" applyFont="1" applyFill="1" applyBorder="1" applyAlignment="1" applyProtection="1">
      <alignment horizontal="center" vertical="center"/>
    </xf>
    <xf numFmtId="0" fontId="9" fillId="2" borderId="60" xfId="0" applyFont="1" applyFill="1" applyBorder="1" applyAlignment="1" applyProtection="1">
      <alignment horizontal="center" vertical="center"/>
    </xf>
    <xf numFmtId="0" fontId="9" fillId="2" borderId="0" xfId="0" applyFont="1" applyFill="1" applyBorder="1" applyAlignment="1" applyProtection="1">
      <alignment horizontal="center" vertical="center"/>
    </xf>
    <xf numFmtId="0" fontId="9" fillId="2" borderId="61" xfId="0" applyFont="1" applyFill="1" applyBorder="1" applyAlignment="1" applyProtection="1">
      <alignment horizontal="center" vertical="center"/>
    </xf>
    <xf numFmtId="0" fontId="9" fillId="2" borderId="62" xfId="0" applyFont="1" applyFill="1" applyBorder="1" applyAlignment="1" applyProtection="1">
      <alignment horizontal="center" vertical="center"/>
    </xf>
    <xf numFmtId="0" fontId="9" fillId="2" borderId="63" xfId="0" applyFont="1" applyFill="1" applyBorder="1" applyAlignment="1" applyProtection="1">
      <alignment horizontal="center" vertical="center"/>
    </xf>
    <xf numFmtId="0" fontId="9" fillId="2" borderId="64" xfId="0" applyFont="1" applyFill="1" applyBorder="1" applyAlignment="1" applyProtection="1">
      <alignment horizontal="center" vertical="center"/>
    </xf>
    <xf numFmtId="0" fontId="9" fillId="3" borderId="2" xfId="0" applyFont="1" applyFill="1" applyBorder="1" applyAlignment="1" applyProtection="1">
      <alignment horizontal="center" vertical="center"/>
    </xf>
    <xf numFmtId="0" fontId="9" fillId="3" borderId="4" xfId="0" applyFont="1" applyFill="1" applyBorder="1" applyAlignment="1" applyProtection="1">
      <alignment horizontal="center" vertical="center"/>
    </xf>
    <xf numFmtId="2" fontId="9" fillId="8" borderId="1" xfId="0" applyNumberFormat="1" applyFont="1" applyFill="1" applyBorder="1" applyAlignment="1" applyProtection="1">
      <alignment horizontal="left" vertical="center"/>
    </xf>
    <xf numFmtId="0" fontId="9" fillId="8" borderId="36" xfId="0" applyFont="1" applyFill="1" applyBorder="1" applyAlignment="1" applyProtection="1">
      <alignment horizontal="center" vertical="center"/>
    </xf>
    <xf numFmtId="0" fontId="9" fillId="8" borderId="37" xfId="0" applyFont="1" applyFill="1" applyBorder="1" applyAlignment="1" applyProtection="1">
      <alignment horizontal="center" vertical="center"/>
    </xf>
    <xf numFmtId="0" fontId="9" fillId="8" borderId="12" xfId="0" applyFont="1" applyFill="1" applyBorder="1" applyAlignment="1" applyProtection="1">
      <alignment horizontal="center" vertical="center"/>
    </xf>
    <xf numFmtId="0" fontId="9" fillId="8" borderId="39" xfId="0" applyFont="1" applyFill="1" applyBorder="1" applyAlignment="1" applyProtection="1">
      <alignment horizontal="center" vertical="center"/>
    </xf>
    <xf numFmtId="0" fontId="9" fillId="8" borderId="5" xfId="0" applyFont="1" applyFill="1" applyBorder="1" applyAlignment="1" applyProtection="1">
      <alignment horizontal="center" vertical="center"/>
    </xf>
    <xf numFmtId="0" fontId="9" fillId="8" borderId="6" xfId="0" applyFont="1" applyFill="1" applyBorder="1" applyAlignment="1" applyProtection="1">
      <alignment horizontal="center" vertical="center"/>
    </xf>
    <xf numFmtId="0" fontId="9" fillId="22" borderId="7" xfId="0" applyFont="1" applyFill="1" applyBorder="1" applyAlignment="1" applyProtection="1">
      <alignment horizontal="center" vertical="center"/>
    </xf>
    <xf numFmtId="0" fontId="9" fillId="22" borderId="11" xfId="0" applyFont="1" applyFill="1" applyBorder="1" applyAlignment="1" applyProtection="1">
      <alignment horizontal="center" vertical="center"/>
    </xf>
    <xf numFmtId="0" fontId="9" fillId="22" borderId="8" xfId="0" applyFont="1" applyFill="1" applyBorder="1" applyAlignment="1" applyProtection="1">
      <alignment horizontal="center" vertical="center"/>
    </xf>
    <xf numFmtId="0" fontId="10" fillId="2" borderId="0" xfId="0" applyFont="1" applyFill="1" applyBorder="1" applyAlignment="1" applyProtection="1">
      <alignment horizontal="center" vertical="center"/>
    </xf>
    <xf numFmtId="2" fontId="10" fillId="8" borderId="36" xfId="0" applyNumberFormat="1" applyFont="1" applyFill="1" applyBorder="1" applyAlignment="1" applyProtection="1">
      <alignment horizontal="center" vertical="center"/>
    </xf>
    <xf numFmtId="2" fontId="10" fillId="8" borderId="38" xfId="0" applyNumberFormat="1" applyFont="1" applyFill="1" applyBorder="1" applyAlignment="1" applyProtection="1">
      <alignment horizontal="center" vertical="center"/>
    </xf>
    <xf numFmtId="2" fontId="10" fillId="8" borderId="37" xfId="0" applyNumberFormat="1" applyFont="1" applyFill="1" applyBorder="1" applyAlignment="1" applyProtection="1">
      <alignment horizontal="center" vertical="center"/>
    </xf>
    <xf numFmtId="2" fontId="10" fillId="8" borderId="12" xfId="0" applyNumberFormat="1" applyFont="1" applyFill="1" applyBorder="1" applyAlignment="1" applyProtection="1">
      <alignment horizontal="center" vertical="center"/>
    </xf>
    <xf numFmtId="2" fontId="10" fillId="8" borderId="0" xfId="0" applyNumberFormat="1" applyFont="1" applyFill="1" applyBorder="1" applyAlignment="1" applyProtection="1">
      <alignment horizontal="center" vertical="center"/>
    </xf>
    <xf numFmtId="2" fontId="10" fillId="8" borderId="39" xfId="0" applyNumberFormat="1" applyFont="1" applyFill="1" applyBorder="1" applyAlignment="1" applyProtection="1">
      <alignment horizontal="center" vertical="center"/>
    </xf>
    <xf numFmtId="2" fontId="10" fillId="8" borderId="5" xfId="0" applyNumberFormat="1" applyFont="1" applyFill="1" applyBorder="1" applyAlignment="1" applyProtection="1">
      <alignment horizontal="center" vertical="center"/>
    </xf>
    <xf numFmtId="2" fontId="10" fillId="8" borderId="16" xfId="0" applyNumberFormat="1" applyFont="1" applyFill="1" applyBorder="1" applyAlignment="1" applyProtection="1">
      <alignment horizontal="center" vertical="center"/>
    </xf>
    <xf numFmtId="2" fontId="10" fillId="8" borderId="6" xfId="0" applyNumberFormat="1" applyFont="1" applyFill="1" applyBorder="1" applyAlignment="1" applyProtection="1">
      <alignment horizontal="center" vertical="center"/>
    </xf>
    <xf numFmtId="0" fontId="19" fillId="3" borderId="0" xfId="0" applyFont="1" applyFill="1" applyBorder="1" applyAlignment="1" applyProtection="1">
      <alignment horizontal="center" vertical="center"/>
    </xf>
    <xf numFmtId="2" fontId="12" fillId="3" borderId="1" xfId="0" applyNumberFormat="1" applyFont="1" applyFill="1" applyBorder="1" applyAlignment="1" applyProtection="1">
      <alignment horizontal="center" vertical="center"/>
    </xf>
    <xf numFmtId="0" fontId="12" fillId="3" borderId="2" xfId="0" applyFont="1" applyFill="1" applyBorder="1" applyAlignment="1" applyProtection="1">
      <alignment horizontal="center" vertical="center"/>
    </xf>
    <xf numFmtId="0" fontId="12" fillId="3" borderId="4" xfId="0" applyFont="1" applyFill="1" applyBorder="1" applyAlignment="1" applyProtection="1">
      <alignment horizontal="center" vertical="center"/>
    </xf>
    <xf numFmtId="0" fontId="9" fillId="3" borderId="2" xfId="0" applyFont="1" applyFill="1" applyBorder="1" applyAlignment="1" applyProtection="1">
      <alignment horizontal="right" vertical="center"/>
    </xf>
    <xf numFmtId="0" fontId="9" fillId="3" borderId="3" xfId="0" applyFont="1" applyFill="1" applyBorder="1" applyAlignment="1" applyProtection="1">
      <alignment horizontal="right" vertical="center"/>
    </xf>
    <xf numFmtId="2" fontId="9" fillId="14" borderId="1" xfId="0" applyNumberFormat="1" applyFont="1" applyFill="1" applyBorder="1" applyAlignment="1" applyProtection="1">
      <alignment horizontal="center" vertical="center"/>
    </xf>
    <xf numFmtId="2" fontId="12" fillId="14" borderId="1" xfId="0" applyNumberFormat="1" applyFont="1" applyFill="1" applyBorder="1" applyAlignment="1" applyProtection="1">
      <alignment horizontal="center" vertical="center"/>
    </xf>
    <xf numFmtId="0" fontId="15" fillId="8" borderId="2" xfId="0" applyFont="1" applyFill="1" applyBorder="1" applyAlignment="1" applyProtection="1">
      <alignment horizontal="center" vertical="center"/>
    </xf>
    <xf numFmtId="0" fontId="15" fillId="8" borderId="3" xfId="0" applyFont="1" applyFill="1" applyBorder="1" applyAlignment="1" applyProtection="1">
      <alignment horizontal="center" vertical="center"/>
    </xf>
    <xf numFmtId="0" fontId="15" fillId="8" borderId="4" xfId="0" applyFont="1" applyFill="1" applyBorder="1" applyAlignment="1" applyProtection="1">
      <alignment horizontal="center" vertical="center"/>
    </xf>
    <xf numFmtId="2" fontId="12" fillId="10" borderId="1" xfId="0" applyNumberFormat="1" applyFont="1" applyFill="1" applyBorder="1" applyAlignment="1" applyProtection="1">
      <alignment horizontal="center" vertical="center"/>
    </xf>
    <xf numFmtId="0" fontId="9" fillId="3" borderId="4" xfId="0" applyFont="1" applyFill="1" applyBorder="1" applyAlignment="1" applyProtection="1">
      <alignment horizontal="right" vertical="center"/>
    </xf>
    <xf numFmtId="0" fontId="10" fillId="7" borderId="54" xfId="0" applyFont="1" applyFill="1" applyBorder="1" applyAlignment="1" applyProtection="1">
      <alignment horizontal="center" vertical="center"/>
    </xf>
    <xf numFmtId="0" fontId="10" fillId="7" borderId="56" xfId="0" applyFont="1" applyFill="1" applyBorder="1" applyAlignment="1" applyProtection="1">
      <alignment horizontal="center" vertical="center"/>
    </xf>
    <xf numFmtId="0" fontId="10" fillId="7" borderId="55" xfId="0" applyFont="1" applyFill="1" applyBorder="1" applyAlignment="1" applyProtection="1">
      <alignment horizontal="center" vertical="center"/>
    </xf>
    <xf numFmtId="9" fontId="25" fillId="7" borderId="41" xfId="0" applyNumberFormat="1" applyFont="1" applyFill="1" applyBorder="1" applyAlignment="1" applyProtection="1">
      <alignment horizontal="center" vertical="center"/>
    </xf>
    <xf numFmtId="9" fontId="25" fillId="7" borderId="49" xfId="0" applyNumberFormat="1" applyFont="1" applyFill="1" applyBorder="1" applyAlignment="1" applyProtection="1">
      <alignment horizontal="center" vertical="center"/>
    </xf>
    <xf numFmtId="9" fontId="25" fillId="7" borderId="43" xfId="0" applyNumberFormat="1" applyFont="1" applyFill="1" applyBorder="1" applyAlignment="1" applyProtection="1">
      <alignment horizontal="center" vertical="center"/>
    </xf>
    <xf numFmtId="9" fontId="25" fillId="7" borderId="46" xfId="0" applyNumberFormat="1" applyFont="1" applyFill="1" applyBorder="1" applyAlignment="1" applyProtection="1">
      <alignment horizontal="center" vertical="center"/>
    </xf>
    <xf numFmtId="9" fontId="25" fillId="7" borderId="47" xfId="0" applyNumberFormat="1" applyFont="1" applyFill="1" applyBorder="1" applyAlignment="1" applyProtection="1">
      <alignment horizontal="center" vertical="center"/>
    </xf>
    <xf numFmtId="9" fontId="25" fillId="7" borderId="48" xfId="0" applyNumberFormat="1" applyFont="1" applyFill="1" applyBorder="1" applyAlignment="1" applyProtection="1">
      <alignment horizontal="center" vertical="center"/>
    </xf>
    <xf numFmtId="0" fontId="9" fillId="8" borderId="2" xfId="0" applyFont="1" applyFill="1" applyBorder="1" applyAlignment="1" applyProtection="1">
      <alignment horizontal="center" vertical="center" wrapText="1"/>
    </xf>
    <xf numFmtId="0" fontId="9" fillId="8" borderId="3" xfId="0" applyFont="1" applyFill="1" applyBorder="1" applyAlignment="1" applyProtection="1">
      <alignment horizontal="center" vertical="center" wrapText="1"/>
    </xf>
    <xf numFmtId="0" fontId="9" fillId="8" borderId="4" xfId="0" applyFont="1" applyFill="1" applyBorder="1" applyAlignment="1" applyProtection="1">
      <alignment horizontal="center" vertical="center" wrapText="1"/>
    </xf>
    <xf numFmtId="0" fontId="10" fillId="7" borderId="1" xfId="0" applyFont="1" applyFill="1" applyBorder="1" applyAlignment="1" applyProtection="1">
      <alignment horizontal="center" vertical="center"/>
    </xf>
    <xf numFmtId="0" fontId="9" fillId="3" borderId="2" xfId="0" applyFont="1" applyFill="1" applyBorder="1" applyAlignment="1" applyProtection="1">
      <alignment horizontal="center" vertical="center" wrapText="1"/>
    </xf>
    <xf numFmtId="0" fontId="9" fillId="3" borderId="3" xfId="0" applyFont="1" applyFill="1" applyBorder="1" applyAlignment="1" applyProtection="1">
      <alignment horizontal="center" vertical="center" wrapText="1"/>
    </xf>
    <xf numFmtId="0" fontId="9" fillId="3" borderId="4" xfId="0" applyFont="1" applyFill="1" applyBorder="1" applyAlignment="1" applyProtection="1">
      <alignment horizontal="center" vertical="center" wrapText="1"/>
    </xf>
    <xf numFmtId="0" fontId="9" fillId="10" borderId="2" xfId="0" applyFont="1" applyFill="1" applyBorder="1" applyAlignment="1" applyProtection="1">
      <alignment horizontal="center" vertical="center"/>
    </xf>
    <xf numFmtId="0" fontId="9" fillId="10" borderId="3" xfId="0" applyFont="1" applyFill="1" applyBorder="1" applyAlignment="1" applyProtection="1">
      <alignment horizontal="center" vertical="center"/>
    </xf>
    <xf numFmtId="0" fontId="9" fillId="10" borderId="4" xfId="0" applyFont="1" applyFill="1" applyBorder="1" applyAlignment="1" applyProtection="1">
      <alignment horizontal="center" vertical="center"/>
    </xf>
    <xf numFmtId="0" fontId="10" fillId="2" borderId="2" xfId="0" applyFont="1" applyFill="1" applyBorder="1" applyAlignment="1" applyProtection="1">
      <alignment horizontal="center" vertical="center"/>
    </xf>
    <xf numFmtId="0" fontId="10" fillId="2" borderId="3" xfId="0" applyFont="1" applyFill="1" applyBorder="1" applyAlignment="1" applyProtection="1">
      <alignment horizontal="center" vertical="center"/>
    </xf>
    <xf numFmtId="0" fontId="10" fillId="2" borderId="4" xfId="0" applyFont="1" applyFill="1" applyBorder="1" applyAlignment="1" applyProtection="1">
      <alignment horizontal="center" vertical="center"/>
    </xf>
    <xf numFmtId="0" fontId="10" fillId="6" borderId="1" xfId="0" applyFont="1" applyFill="1" applyBorder="1" applyAlignment="1" applyProtection="1">
      <alignment horizontal="center" vertical="center"/>
    </xf>
    <xf numFmtId="2" fontId="10" fillId="11" borderId="1" xfId="0" applyNumberFormat="1" applyFont="1" applyFill="1" applyBorder="1" applyAlignment="1" applyProtection="1">
      <alignment horizontal="center" vertical="center"/>
    </xf>
    <xf numFmtId="2" fontId="10" fillId="6" borderId="1" xfId="0" applyNumberFormat="1" applyFont="1" applyFill="1" applyBorder="1" applyAlignment="1" applyProtection="1">
      <alignment horizontal="center" vertical="center"/>
    </xf>
    <xf numFmtId="0" fontId="10" fillId="11" borderId="1" xfId="0" applyFont="1" applyFill="1" applyBorder="1" applyAlignment="1" applyProtection="1">
      <alignment horizontal="center" vertical="center"/>
    </xf>
    <xf numFmtId="0" fontId="10" fillId="8" borderId="36" xfId="0" applyFont="1" applyFill="1" applyBorder="1" applyAlignment="1" applyProtection="1">
      <alignment horizontal="center" vertical="center"/>
    </xf>
    <xf numFmtId="0" fontId="10" fillId="8" borderId="37" xfId="0" applyFont="1" applyFill="1" applyBorder="1" applyAlignment="1" applyProtection="1">
      <alignment horizontal="center" vertical="center"/>
    </xf>
    <xf numFmtId="0" fontId="10" fillId="8" borderId="12" xfId="0" applyFont="1" applyFill="1" applyBorder="1" applyAlignment="1" applyProtection="1">
      <alignment horizontal="center" vertical="center"/>
    </xf>
    <xf numFmtId="0" fontId="10" fillId="8" borderId="39" xfId="0" applyFont="1" applyFill="1" applyBorder="1" applyAlignment="1" applyProtection="1">
      <alignment horizontal="center" vertical="center"/>
    </xf>
    <xf numFmtId="0" fontId="10" fillId="8" borderId="5" xfId="0" applyFont="1" applyFill="1" applyBorder="1" applyAlignment="1" applyProtection="1">
      <alignment horizontal="center" vertical="center"/>
    </xf>
    <xf numFmtId="0" fontId="10" fillId="8" borderId="6" xfId="0" applyFont="1" applyFill="1" applyBorder="1" applyAlignment="1" applyProtection="1">
      <alignment horizontal="center" vertical="center"/>
    </xf>
    <xf numFmtId="2" fontId="10" fillId="7" borderId="1" xfId="0" applyNumberFormat="1" applyFont="1" applyFill="1" applyBorder="1" applyAlignment="1" applyProtection="1">
      <alignment horizontal="center" vertical="center"/>
    </xf>
    <xf numFmtId="0" fontId="5" fillId="19" borderId="7" xfId="0" applyFont="1" applyFill="1" applyBorder="1" applyAlignment="1" applyProtection="1">
      <alignment horizontal="center" vertical="center"/>
    </xf>
    <xf numFmtId="0" fontId="5" fillId="19" borderId="11" xfId="0" applyFont="1" applyFill="1" applyBorder="1" applyAlignment="1" applyProtection="1">
      <alignment horizontal="center" vertical="center"/>
    </xf>
    <xf numFmtId="0" fontId="5" fillId="19" borderId="8" xfId="0" applyFont="1" applyFill="1" applyBorder="1" applyAlignment="1" applyProtection="1">
      <alignment horizontal="center" vertical="center"/>
    </xf>
    <xf numFmtId="0" fontId="5" fillId="16" borderId="65" xfId="0" applyFont="1" applyFill="1" applyBorder="1" applyAlignment="1" applyProtection="1">
      <alignment horizontal="center" vertical="center"/>
      <protection locked="0"/>
    </xf>
    <xf numFmtId="0" fontId="6" fillId="3" borderId="65" xfId="0" applyFont="1" applyFill="1" applyBorder="1" applyAlignment="1" applyProtection="1">
      <alignment horizontal="center" vertical="center" wrapText="1"/>
    </xf>
    <xf numFmtId="2" fontId="4" fillId="8" borderId="1" xfId="0" applyNumberFormat="1" applyFont="1" applyFill="1" applyBorder="1" applyAlignment="1" applyProtection="1">
      <alignment horizontal="center" vertical="center" wrapText="1"/>
    </xf>
    <xf numFmtId="0" fontId="6" fillId="3" borderId="2" xfId="0" applyFont="1" applyFill="1" applyBorder="1" applyAlignment="1" applyProtection="1">
      <alignment horizontal="center" vertical="center"/>
    </xf>
    <xf numFmtId="0" fontId="6" fillId="3" borderId="3" xfId="0" applyFont="1" applyFill="1" applyBorder="1" applyAlignment="1" applyProtection="1">
      <alignment horizontal="center" vertical="center"/>
    </xf>
    <xf numFmtId="0" fontId="4" fillId="3" borderId="2" xfId="0" applyFont="1" applyFill="1" applyBorder="1" applyAlignment="1" applyProtection="1">
      <alignment horizontal="right" vertical="center"/>
    </xf>
    <xf numFmtId="0" fontId="4" fillId="3" borderId="3" xfId="0" applyFont="1" applyFill="1" applyBorder="1" applyAlignment="1" applyProtection="1">
      <alignment horizontal="right" vertical="center"/>
    </xf>
    <xf numFmtId="0" fontId="4" fillId="3" borderId="4" xfId="0" applyFont="1" applyFill="1" applyBorder="1" applyAlignment="1" applyProtection="1">
      <alignment horizontal="right" vertical="center"/>
    </xf>
    <xf numFmtId="2" fontId="4" fillId="3" borderId="7" xfId="0" applyNumberFormat="1" applyFont="1" applyFill="1" applyBorder="1" applyAlignment="1" applyProtection="1">
      <alignment horizontal="center" vertical="center"/>
    </xf>
    <xf numFmtId="2" fontId="4" fillId="3" borderId="11" xfId="0" applyNumberFormat="1" applyFont="1" applyFill="1" applyBorder="1" applyAlignment="1" applyProtection="1">
      <alignment horizontal="center" vertical="center"/>
    </xf>
    <xf numFmtId="2" fontId="4" fillId="3" borderId="8" xfId="0" applyNumberFormat="1" applyFont="1" applyFill="1" applyBorder="1" applyAlignment="1" applyProtection="1">
      <alignment horizontal="center" vertical="center"/>
    </xf>
    <xf numFmtId="0" fontId="5" fillId="3" borderId="2" xfId="0" applyFont="1" applyFill="1" applyBorder="1" applyAlignment="1" applyProtection="1">
      <alignment horizontal="center" vertical="center"/>
    </xf>
    <xf numFmtId="0" fontId="5" fillId="3" borderId="4" xfId="0" applyFont="1" applyFill="1" applyBorder="1" applyAlignment="1" applyProtection="1">
      <alignment horizontal="center" vertical="center"/>
    </xf>
    <xf numFmtId="0" fontId="4" fillId="3" borderId="36" xfId="0" applyFont="1" applyFill="1" applyBorder="1" applyAlignment="1" applyProtection="1">
      <alignment horizontal="center" vertical="center" wrapText="1"/>
    </xf>
    <xf numFmtId="0" fontId="4" fillId="3" borderId="37" xfId="0" applyFont="1" applyFill="1" applyBorder="1" applyAlignment="1" applyProtection="1">
      <alignment horizontal="center" vertical="center" wrapText="1"/>
    </xf>
    <xf numFmtId="0" fontId="4" fillId="3" borderId="12" xfId="0" applyFont="1" applyFill="1" applyBorder="1" applyAlignment="1" applyProtection="1">
      <alignment horizontal="center" vertical="center" wrapText="1"/>
    </xf>
    <xf numFmtId="0" fontId="4" fillId="3" borderId="39" xfId="0" applyFont="1" applyFill="1" applyBorder="1" applyAlignment="1" applyProtection="1">
      <alignment horizontal="center" vertical="center" wrapText="1"/>
    </xf>
    <xf numFmtId="0" fontId="4" fillId="3" borderId="5" xfId="0" applyFont="1" applyFill="1" applyBorder="1" applyAlignment="1" applyProtection="1">
      <alignment horizontal="center" vertical="center" wrapText="1"/>
    </xf>
    <xf numFmtId="0" fontId="4" fillId="3" borderId="6" xfId="0" applyFont="1" applyFill="1" applyBorder="1" applyAlignment="1" applyProtection="1">
      <alignment horizontal="center" vertical="center" wrapText="1"/>
    </xf>
    <xf numFmtId="0" fontId="5" fillId="3" borderId="2" xfId="0" applyFont="1" applyFill="1" applyBorder="1" applyAlignment="1" applyProtection="1">
      <alignment horizontal="right" vertical="center"/>
    </xf>
    <xf numFmtId="0" fontId="5" fillId="3" borderId="3" xfId="0" applyFont="1" applyFill="1" applyBorder="1" applyAlignment="1" applyProtection="1">
      <alignment horizontal="right" vertical="center"/>
    </xf>
    <xf numFmtId="0" fontId="5" fillId="3" borderId="4" xfId="0" applyFont="1" applyFill="1" applyBorder="1" applyAlignment="1" applyProtection="1">
      <alignment horizontal="right" vertical="center"/>
    </xf>
    <xf numFmtId="2" fontId="5" fillId="3" borderId="2" xfId="0" applyNumberFormat="1" applyFont="1" applyFill="1" applyBorder="1" applyAlignment="1" applyProtection="1">
      <alignment horizontal="center" vertical="center" wrapText="1"/>
    </xf>
    <xf numFmtId="2" fontId="5" fillId="3" borderId="4" xfId="0" applyNumberFormat="1" applyFont="1" applyFill="1" applyBorder="1" applyAlignment="1" applyProtection="1">
      <alignment horizontal="center" vertical="center" wrapText="1"/>
    </xf>
    <xf numFmtId="0" fontId="5" fillId="2" borderId="2" xfId="0" applyFont="1" applyFill="1" applyBorder="1" applyAlignment="1" applyProtection="1">
      <alignment horizontal="center" vertical="center" wrapText="1"/>
    </xf>
    <xf numFmtId="0" fontId="5" fillId="2" borderId="4" xfId="0" applyFont="1" applyFill="1" applyBorder="1" applyAlignment="1" applyProtection="1">
      <alignment horizontal="center" vertical="center" wrapText="1"/>
    </xf>
    <xf numFmtId="0" fontId="4" fillId="3" borderId="36" xfId="0" applyFont="1" applyFill="1" applyBorder="1" applyAlignment="1" applyProtection="1">
      <alignment horizontal="center" vertical="center"/>
    </xf>
    <xf numFmtId="0" fontId="4" fillId="3" borderId="38" xfId="0" applyFont="1" applyFill="1" applyBorder="1" applyAlignment="1" applyProtection="1">
      <alignment horizontal="center" vertical="center"/>
    </xf>
    <xf numFmtId="0" fontId="4" fillId="3" borderId="37"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0" fontId="4" fillId="3" borderId="16" xfId="0" applyFont="1" applyFill="1" applyBorder="1" applyAlignment="1" applyProtection="1">
      <alignment horizontal="center" vertical="center"/>
    </xf>
    <xf numFmtId="0" fontId="4" fillId="3" borderId="6" xfId="0" applyFont="1" applyFill="1" applyBorder="1" applyAlignment="1" applyProtection="1">
      <alignment horizontal="center" vertical="center"/>
    </xf>
    <xf numFmtId="0" fontId="5" fillId="2" borderId="2" xfId="0" applyFont="1" applyFill="1" applyBorder="1" applyAlignment="1" applyProtection="1">
      <alignment horizontal="right" vertical="center"/>
    </xf>
    <xf numFmtId="0" fontId="5" fillId="2" borderId="3" xfId="0" applyFont="1" applyFill="1" applyBorder="1" applyAlignment="1" applyProtection="1">
      <alignment horizontal="right" vertical="center"/>
    </xf>
    <xf numFmtId="0" fontId="5" fillId="2" borderId="4" xfId="0" applyFont="1" applyFill="1" applyBorder="1" applyAlignment="1" applyProtection="1">
      <alignment horizontal="right" vertical="center"/>
    </xf>
    <xf numFmtId="2" fontId="5" fillId="2" borderId="2" xfId="0" applyNumberFormat="1" applyFont="1" applyFill="1" applyBorder="1" applyAlignment="1" applyProtection="1">
      <alignment horizontal="center" vertical="center" wrapText="1"/>
    </xf>
    <xf numFmtId="2" fontId="5" fillId="2" borderId="4" xfId="0" applyNumberFormat="1" applyFont="1" applyFill="1" applyBorder="1" applyAlignment="1" applyProtection="1">
      <alignment horizontal="center" vertical="center" wrapText="1"/>
    </xf>
    <xf numFmtId="0" fontId="5" fillId="3" borderId="3" xfId="0" applyFont="1" applyFill="1" applyBorder="1" applyAlignment="1" applyProtection="1">
      <alignment horizontal="center" vertical="center"/>
    </xf>
    <xf numFmtId="0" fontId="6" fillId="2" borderId="65" xfId="0" applyFont="1" applyFill="1" applyBorder="1" applyAlignment="1" applyProtection="1">
      <alignment horizontal="center" vertical="center"/>
    </xf>
    <xf numFmtId="0" fontId="5" fillId="3" borderId="65" xfId="0" applyFont="1" applyFill="1" applyBorder="1" applyAlignment="1" applyProtection="1">
      <alignment horizontal="right" vertical="center" wrapText="1"/>
    </xf>
    <xf numFmtId="0" fontId="6" fillId="3" borderId="2" xfId="0" applyFont="1" applyFill="1" applyBorder="1" applyAlignment="1" applyProtection="1">
      <alignment horizontal="right" vertical="center"/>
    </xf>
    <xf numFmtId="0" fontId="6" fillId="3" borderId="4" xfId="0" applyFont="1" applyFill="1" applyBorder="1" applyAlignment="1" applyProtection="1">
      <alignment horizontal="right" vertical="center"/>
    </xf>
    <xf numFmtId="2" fontId="6" fillId="3" borderId="2" xfId="0" applyNumberFormat="1" applyFont="1" applyFill="1" applyBorder="1" applyAlignment="1" applyProtection="1">
      <alignment horizontal="center" vertical="center"/>
    </xf>
    <xf numFmtId="2" fontId="6" fillId="3" borderId="4" xfId="0" applyNumberFormat="1" applyFont="1" applyFill="1" applyBorder="1" applyAlignment="1" applyProtection="1">
      <alignment horizontal="center" vertical="center"/>
    </xf>
    <xf numFmtId="0" fontId="6" fillId="3" borderId="1" xfId="0" applyFont="1" applyFill="1" applyBorder="1" applyAlignment="1" applyProtection="1">
      <alignment horizontal="right" vertical="center"/>
    </xf>
    <xf numFmtId="0" fontId="6" fillId="3" borderId="1" xfId="0" applyFont="1" applyFill="1" applyBorder="1" applyAlignment="1" applyProtection="1">
      <alignment horizontal="center" vertical="center"/>
    </xf>
    <xf numFmtId="0" fontId="5" fillId="3" borderId="1" xfId="0" applyFont="1" applyFill="1" applyBorder="1" applyAlignment="1" applyProtection="1">
      <alignment horizontal="right" vertical="center"/>
    </xf>
    <xf numFmtId="0" fontId="5" fillId="3" borderId="2" xfId="0" applyFont="1" applyFill="1" applyBorder="1" applyAlignment="1" applyProtection="1">
      <alignment horizontal="center" vertical="center" wrapText="1"/>
    </xf>
    <xf numFmtId="0" fontId="5" fillId="3" borderId="3"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2" fontId="5" fillId="3" borderId="2" xfId="0" applyNumberFormat="1" applyFont="1" applyFill="1" applyBorder="1" applyAlignment="1" applyProtection="1">
      <alignment horizontal="center" vertical="center"/>
    </xf>
    <xf numFmtId="2" fontId="5" fillId="3" borderId="4" xfId="0" applyNumberFormat="1" applyFont="1" applyFill="1" applyBorder="1" applyAlignment="1" applyProtection="1">
      <alignment horizontal="center" vertical="center"/>
    </xf>
    <xf numFmtId="0" fontId="5" fillId="3" borderId="65" xfId="0" applyFont="1" applyFill="1" applyBorder="1" applyAlignment="1" applyProtection="1">
      <alignment horizontal="center" vertical="center" wrapText="1"/>
    </xf>
    <xf numFmtId="2" fontId="5" fillId="3" borderId="65" xfId="0" applyNumberFormat="1" applyFont="1" applyFill="1" applyBorder="1" applyAlignment="1" applyProtection="1">
      <alignment horizontal="center" vertical="center"/>
    </xf>
    <xf numFmtId="0" fontId="8" fillId="7" borderId="54" xfId="0" applyFont="1" applyFill="1" applyBorder="1" applyAlignment="1" applyProtection="1">
      <alignment horizontal="center" vertical="center"/>
    </xf>
    <xf numFmtId="0" fontId="8" fillId="7" borderId="55" xfId="0" applyFont="1" applyFill="1" applyBorder="1" applyAlignment="1" applyProtection="1">
      <alignment horizontal="center" vertical="center"/>
    </xf>
    <xf numFmtId="0" fontId="4" fillId="7" borderId="2" xfId="0" applyFont="1" applyFill="1" applyBorder="1" applyAlignment="1" applyProtection="1">
      <alignment horizontal="center" vertical="center"/>
    </xf>
    <xf numFmtId="0" fontId="4" fillId="7" borderId="3" xfId="0" applyFont="1" applyFill="1" applyBorder="1" applyAlignment="1" applyProtection="1">
      <alignment horizontal="center" vertical="center"/>
    </xf>
    <xf numFmtId="0" fontId="4" fillId="7" borderId="4" xfId="0" applyFont="1" applyFill="1" applyBorder="1" applyAlignment="1" applyProtection="1">
      <alignment horizontal="center" vertical="center"/>
    </xf>
    <xf numFmtId="0" fontId="5" fillId="7" borderId="2" xfId="0" applyFont="1" applyFill="1" applyBorder="1" applyAlignment="1" applyProtection="1">
      <alignment horizontal="center" vertical="center"/>
    </xf>
    <xf numFmtId="0" fontId="5" fillId="7" borderId="3" xfId="0" applyFont="1" applyFill="1" applyBorder="1" applyAlignment="1" applyProtection="1">
      <alignment horizontal="center" vertical="center"/>
    </xf>
    <xf numFmtId="0" fontId="5" fillId="7" borderId="4" xfId="0" applyFont="1" applyFill="1" applyBorder="1" applyAlignment="1" applyProtection="1">
      <alignment horizontal="center" vertical="center"/>
    </xf>
    <xf numFmtId="9" fontId="27" fillId="7" borderId="41" xfId="0" applyNumberFormat="1" applyFont="1" applyFill="1" applyBorder="1" applyAlignment="1" applyProtection="1">
      <alignment horizontal="center" vertical="center"/>
    </xf>
    <xf numFmtId="9" fontId="27" fillId="7" borderId="49" xfId="0" applyNumberFormat="1" applyFont="1" applyFill="1" applyBorder="1" applyAlignment="1" applyProtection="1">
      <alignment horizontal="center" vertical="center"/>
    </xf>
    <xf numFmtId="9" fontId="27" fillId="7" borderId="43" xfId="0" applyNumberFormat="1" applyFont="1" applyFill="1" applyBorder="1" applyAlignment="1" applyProtection="1">
      <alignment horizontal="center" vertical="center"/>
    </xf>
    <xf numFmtId="9" fontId="27" fillId="7" borderId="46" xfId="0" applyNumberFormat="1" applyFont="1" applyFill="1" applyBorder="1" applyAlignment="1" applyProtection="1">
      <alignment horizontal="center" vertical="center"/>
    </xf>
    <xf numFmtId="9" fontId="27" fillId="7" borderId="47" xfId="0" applyNumberFormat="1" applyFont="1" applyFill="1" applyBorder="1" applyAlignment="1" applyProtection="1">
      <alignment horizontal="center" vertical="center"/>
    </xf>
    <xf numFmtId="9" fontId="27" fillId="7" borderId="48" xfId="0" applyNumberFormat="1" applyFont="1" applyFill="1" applyBorder="1" applyAlignment="1" applyProtection="1">
      <alignment horizontal="center" vertical="center"/>
    </xf>
    <xf numFmtId="0" fontId="4" fillId="8" borderId="1" xfId="0" applyFont="1" applyFill="1" applyBorder="1" applyAlignment="1" applyProtection="1">
      <alignment horizontal="center" vertical="center" wrapText="1"/>
    </xf>
    <xf numFmtId="2" fontId="4" fillId="8" borderId="1" xfId="0" applyNumberFormat="1" applyFont="1" applyFill="1" applyBorder="1" applyAlignment="1" applyProtection="1">
      <alignment horizontal="center" vertical="center"/>
    </xf>
    <xf numFmtId="0" fontId="4" fillId="8" borderId="1" xfId="0" applyFont="1" applyFill="1" applyBorder="1" applyAlignment="1" applyProtection="1">
      <alignment horizontal="center" vertical="center"/>
    </xf>
    <xf numFmtId="0" fontId="4" fillId="3" borderId="1" xfId="0" applyFont="1" applyFill="1" applyBorder="1" applyAlignment="1" applyProtection="1">
      <alignment horizontal="right" vertical="center" wrapText="1"/>
    </xf>
    <xf numFmtId="2" fontId="4" fillId="3" borderId="1" xfId="0" applyNumberFormat="1" applyFont="1" applyFill="1" applyBorder="1" applyAlignment="1" applyProtection="1">
      <alignment horizontal="center" vertical="center" wrapText="1"/>
    </xf>
    <xf numFmtId="0" fontId="8" fillId="7" borderId="1" xfId="0" applyFont="1" applyFill="1" applyBorder="1" applyAlignment="1" applyProtection="1">
      <alignment horizontal="center" vertical="center"/>
    </xf>
    <xf numFmtId="0" fontId="5" fillId="3" borderId="1" xfId="0" applyFont="1" applyFill="1" applyBorder="1" applyAlignment="1" applyProtection="1">
      <alignment horizontal="center" vertical="center"/>
    </xf>
    <xf numFmtId="2" fontId="5" fillId="3" borderId="1" xfId="0" applyNumberFormat="1" applyFont="1" applyFill="1" applyBorder="1" applyAlignment="1" applyProtection="1">
      <alignment horizontal="center" vertical="center"/>
    </xf>
    <xf numFmtId="0" fontId="6" fillId="3" borderId="1" xfId="0" applyFont="1" applyFill="1" applyBorder="1" applyAlignment="1" applyProtection="1">
      <alignment horizontal="center" vertical="center" wrapText="1"/>
    </xf>
    <xf numFmtId="2" fontId="6" fillId="10" borderId="1" xfId="0" applyNumberFormat="1" applyFont="1" applyFill="1" applyBorder="1" applyAlignment="1" applyProtection="1">
      <alignment horizontal="center" vertical="center"/>
    </xf>
    <xf numFmtId="0" fontId="23" fillId="3" borderId="0" xfId="0" applyFont="1" applyFill="1" applyBorder="1" applyAlignment="1" applyProtection="1">
      <alignment horizontal="center" vertical="center" wrapText="1"/>
    </xf>
    <xf numFmtId="0" fontId="6" fillId="3" borderId="1" xfId="0" applyFont="1" applyFill="1" applyBorder="1" applyAlignment="1" applyProtection="1">
      <alignment horizontal="right" vertical="center" wrapText="1"/>
    </xf>
    <xf numFmtId="0" fontId="5" fillId="3" borderId="2" xfId="0" applyFont="1" applyFill="1" applyBorder="1" applyAlignment="1" applyProtection="1">
      <alignment horizontal="right" vertical="center" wrapText="1"/>
    </xf>
    <xf numFmtId="0" fontId="5" fillId="3" borderId="3" xfId="0" applyFont="1" applyFill="1" applyBorder="1" applyAlignment="1" applyProtection="1">
      <alignment horizontal="right" vertical="center" wrapText="1"/>
    </xf>
    <xf numFmtId="0" fontId="5" fillId="3" borderId="4" xfId="0" applyFont="1" applyFill="1" applyBorder="1" applyAlignment="1" applyProtection="1">
      <alignment horizontal="right" vertical="center" wrapText="1"/>
    </xf>
    <xf numFmtId="0" fontId="59" fillId="25" borderId="0" xfId="0" applyFont="1" applyFill="1" applyBorder="1" applyAlignment="1" applyProtection="1">
      <alignment horizontal="center" vertical="center"/>
    </xf>
    <xf numFmtId="0" fontId="31" fillId="2" borderId="0" xfId="0" applyFont="1" applyFill="1" applyBorder="1" applyAlignment="1" applyProtection="1">
      <alignment horizontal="left" vertical="center" wrapText="1"/>
    </xf>
    <xf numFmtId="0" fontId="15" fillId="2" borderId="0" xfId="0" applyFont="1" applyFill="1" applyBorder="1" applyAlignment="1" applyProtection="1">
      <alignment horizontal="center" vertical="center"/>
    </xf>
    <xf numFmtId="0" fontId="15" fillId="3" borderId="0" xfId="0" applyFont="1" applyFill="1" applyBorder="1" applyAlignment="1" applyProtection="1">
      <alignment horizontal="center" vertical="center"/>
    </xf>
    <xf numFmtId="0" fontId="49" fillId="22" borderId="0" xfId="0" applyFont="1" applyFill="1" applyBorder="1" applyAlignment="1" applyProtection="1">
      <alignment horizontal="center" vertical="center"/>
    </xf>
    <xf numFmtId="0" fontId="54" fillId="2" borderId="0" xfId="0" applyFont="1" applyFill="1" applyBorder="1" applyAlignment="1" applyProtection="1">
      <alignment horizontal="left" vertical="center" textRotation="90"/>
    </xf>
    <xf numFmtId="0" fontId="60" fillId="26" borderId="0" xfId="2" applyFont="1" applyFill="1" applyBorder="1" applyAlignment="1" applyProtection="1">
      <alignment horizontal="right" vertical="center"/>
    </xf>
    <xf numFmtId="0" fontId="56" fillId="2" borderId="0" xfId="0" applyFont="1" applyFill="1" applyBorder="1" applyAlignment="1" applyProtection="1">
      <alignment horizontal="left" vertical="center"/>
    </xf>
    <xf numFmtId="0" fontId="49" fillId="22" borderId="0" xfId="0" applyFont="1" applyFill="1" applyBorder="1" applyAlignment="1" applyProtection="1">
      <alignment horizontal="left" vertical="center"/>
    </xf>
    <xf numFmtId="0" fontId="49" fillId="2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49" fillId="26" borderId="0" xfId="2" applyFont="1" applyFill="1" applyBorder="1" applyAlignment="1" applyProtection="1">
      <alignment horizontal="left" vertical="center"/>
    </xf>
    <xf numFmtId="0" fontId="39" fillId="27" borderId="0" xfId="2" applyFont="1" applyFill="1" applyBorder="1" applyAlignment="1" applyProtection="1">
      <alignment horizontal="left" vertical="center"/>
    </xf>
    <xf numFmtId="0" fontId="10" fillId="3" borderId="0" xfId="0" applyFont="1" applyFill="1" applyBorder="1" applyAlignment="1" applyProtection="1">
      <alignment horizontal="center" vertical="center"/>
    </xf>
    <xf numFmtId="0" fontId="53" fillId="2" borderId="0" xfId="0" applyFont="1" applyFill="1" applyBorder="1" applyAlignment="1" applyProtection="1">
      <alignment horizontal="left" vertical="center"/>
    </xf>
    <xf numFmtId="0" fontId="55" fillId="2" borderId="0" xfId="0" applyFont="1" applyFill="1" applyBorder="1" applyAlignment="1" applyProtection="1">
      <alignment horizontal="left" vertical="center" textRotation="90"/>
    </xf>
    <xf numFmtId="0" fontId="56"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8" fillId="2" borderId="0" xfId="0" applyFont="1" applyFill="1" applyBorder="1" applyAlignment="1" applyProtection="1">
      <alignment horizontal="center"/>
    </xf>
    <xf numFmtId="0" fontId="29" fillId="18" borderId="65" xfId="0" applyFont="1" applyFill="1" applyBorder="1" applyAlignment="1" applyProtection="1">
      <alignment horizontal="center" vertical="center"/>
    </xf>
    <xf numFmtId="0" fontId="24" fillId="18" borderId="65" xfId="0" applyFont="1" applyFill="1" applyBorder="1" applyAlignment="1" applyProtection="1">
      <alignment horizontal="center" vertical="center"/>
    </xf>
    <xf numFmtId="0" fontId="29" fillId="2" borderId="0" xfId="0" applyFont="1" applyFill="1" applyBorder="1" applyAlignment="1" applyProtection="1">
      <alignment horizontal="center" vertical="center"/>
    </xf>
    <xf numFmtId="0" fontId="29" fillId="2" borderId="0" xfId="0" applyFont="1" applyFill="1" applyBorder="1" applyAlignment="1" applyProtection="1">
      <alignment horizontal="right" vertical="center"/>
    </xf>
    <xf numFmtId="49" fontId="29" fillId="2" borderId="0" xfId="0" applyNumberFormat="1" applyFont="1" applyFill="1" applyBorder="1" applyAlignment="1" applyProtection="1">
      <alignment horizontal="center" vertical="center"/>
    </xf>
    <xf numFmtId="0" fontId="24" fillId="2" borderId="0" xfId="0" applyFont="1" applyFill="1" applyBorder="1" applyAlignment="1" applyProtection="1">
      <alignment horizontal="center" vertical="center" wrapText="1"/>
    </xf>
    <xf numFmtId="2" fontId="4" fillId="3" borderId="65" xfId="0" applyNumberFormat="1" applyFont="1" applyFill="1" applyBorder="1" applyAlignment="1" applyProtection="1">
      <alignment horizontal="center" vertical="center"/>
    </xf>
    <xf numFmtId="2" fontId="5" fillId="3" borderId="65" xfId="0" applyNumberFormat="1" applyFont="1" applyFill="1" applyBorder="1" applyAlignment="1" applyProtection="1">
      <alignment horizontal="center" vertical="center" wrapText="1"/>
    </xf>
    <xf numFmtId="0" fontId="5" fillId="15" borderId="65" xfId="0" applyFont="1" applyFill="1" applyBorder="1" applyAlignment="1" applyProtection="1">
      <alignment horizontal="center" vertical="center"/>
      <protection locked="0"/>
    </xf>
    <xf numFmtId="0" fontId="11" fillId="2" borderId="0" xfId="0" applyFont="1" applyFill="1" applyBorder="1" applyAlignment="1" applyProtection="1">
      <alignment horizontal="center"/>
    </xf>
    <xf numFmtId="0" fontId="24" fillId="2" borderId="0" xfId="1" applyFont="1" applyFill="1" applyBorder="1" applyAlignment="1" applyProtection="1">
      <alignment horizontal="center" vertical="center"/>
    </xf>
    <xf numFmtId="0" fontId="4" fillId="3" borderId="65" xfId="0" applyFont="1" applyFill="1" applyBorder="1" applyAlignment="1" applyProtection="1">
      <alignment horizontal="right" vertical="center" wrapText="1"/>
    </xf>
    <xf numFmtId="0" fontId="4" fillId="15" borderId="65" xfId="0" applyFont="1" applyFill="1" applyBorder="1" applyAlignment="1" applyProtection="1">
      <alignment horizontal="center" vertical="center" wrapText="1"/>
      <protection locked="0"/>
    </xf>
    <xf numFmtId="0" fontId="4" fillId="3" borderId="65" xfId="0" applyFont="1" applyFill="1" applyBorder="1" applyAlignment="1" applyProtection="1">
      <alignment horizontal="right" vertical="center"/>
    </xf>
    <xf numFmtId="0" fontId="11" fillId="2" borderId="0" xfId="0" applyFont="1" applyFill="1" applyBorder="1" applyAlignment="1" applyProtection="1">
      <alignment horizontal="center" vertical="center"/>
    </xf>
    <xf numFmtId="0" fontId="37" fillId="2" borderId="0" xfId="0" applyFont="1" applyFill="1" applyBorder="1" applyAlignment="1" applyProtection="1">
      <alignment horizontal="center"/>
    </xf>
    <xf numFmtId="0" fontId="18" fillId="2" borderId="0" xfId="0" applyFont="1" applyFill="1" applyBorder="1" applyAlignment="1" applyProtection="1">
      <alignment horizontal="center" vertical="center" wrapText="1"/>
    </xf>
    <xf numFmtId="0" fontId="35" fillId="2" borderId="0" xfId="0" applyFont="1" applyFill="1" applyBorder="1" applyAlignment="1">
      <alignment horizontal="center"/>
    </xf>
    <xf numFmtId="0" fontId="38" fillId="2" borderId="0" xfId="0" applyFont="1" applyFill="1" applyBorder="1" applyAlignment="1">
      <alignment horizontal="center" vertical="center"/>
    </xf>
    <xf numFmtId="9" fontId="36" fillId="2" borderId="0" xfId="0" applyNumberFormat="1" applyFont="1" applyFill="1" applyBorder="1" applyAlignment="1">
      <alignment horizontal="center" vertical="center"/>
    </xf>
    <xf numFmtId="0" fontId="34" fillId="2" borderId="0" xfId="0" applyFont="1" applyFill="1" applyBorder="1" applyAlignment="1">
      <alignment horizontal="center" vertical="center"/>
    </xf>
    <xf numFmtId="0" fontId="36" fillId="2" borderId="0" xfId="0" applyFont="1" applyFill="1" applyBorder="1" applyAlignment="1">
      <alignment horizontal="center" vertical="center"/>
    </xf>
    <xf numFmtId="9" fontId="38" fillId="2" borderId="0" xfId="0" applyNumberFormat="1" applyFont="1" applyFill="1" applyBorder="1" applyAlignment="1">
      <alignment horizontal="center" vertical="center"/>
    </xf>
    <xf numFmtId="0" fontId="37" fillId="2" borderId="0" xfId="0" applyFont="1" applyFill="1" applyBorder="1" applyAlignment="1">
      <alignment horizontal="center" vertical="center"/>
    </xf>
    <xf numFmtId="0" fontId="34" fillId="2" borderId="0" xfId="0" applyFont="1" applyFill="1" applyBorder="1" applyAlignment="1">
      <alignment horizontal="center"/>
    </xf>
    <xf numFmtId="0" fontId="35" fillId="2" borderId="0" xfId="0" applyFont="1" applyFill="1" applyBorder="1" applyAlignment="1">
      <alignment horizontal="center" vertical="center"/>
    </xf>
    <xf numFmtId="0" fontId="37" fillId="2" borderId="0" xfId="0" applyFont="1" applyFill="1" applyBorder="1" applyAlignment="1">
      <alignment horizontal="center"/>
    </xf>
    <xf numFmtId="0" fontId="40" fillId="2" borderId="0" xfId="0" applyFont="1" applyFill="1" applyBorder="1" applyAlignment="1">
      <alignment horizontal="center" vertical="center"/>
    </xf>
    <xf numFmtId="2" fontId="37" fillId="2" borderId="0" xfId="0" applyNumberFormat="1" applyFont="1" applyFill="1" applyBorder="1" applyAlignment="1">
      <alignment horizontal="center" vertical="center" wrapText="1"/>
    </xf>
    <xf numFmtId="2" fontId="37" fillId="2" borderId="0" xfId="0" applyNumberFormat="1" applyFont="1" applyFill="1" applyBorder="1" applyAlignment="1">
      <alignment horizontal="center" vertical="center"/>
    </xf>
    <xf numFmtId="1" fontId="37" fillId="2" borderId="0" xfId="0" applyNumberFormat="1" applyFont="1" applyFill="1" applyBorder="1" applyAlignment="1">
      <alignment horizontal="center" vertical="center" wrapText="1"/>
    </xf>
    <xf numFmtId="164" fontId="37" fillId="2" borderId="0" xfId="0" applyNumberFormat="1" applyFont="1" applyFill="1" applyBorder="1" applyAlignment="1">
      <alignment horizontal="center" vertical="center"/>
    </xf>
    <xf numFmtId="0" fontId="37" fillId="2" borderId="0" xfId="0" applyFont="1" applyFill="1" applyBorder="1" applyAlignment="1">
      <alignment horizontal="center" vertical="center" wrapText="1"/>
    </xf>
    <xf numFmtId="2" fontId="41" fillId="2" borderId="0" xfId="0" applyNumberFormat="1" applyFont="1" applyFill="1" applyBorder="1" applyAlignment="1">
      <alignment horizontal="center" vertical="center" wrapText="1"/>
    </xf>
    <xf numFmtId="0" fontId="24" fillId="2" borderId="0" xfId="0" applyFont="1" applyFill="1" applyBorder="1" applyAlignment="1" applyProtection="1">
      <alignment horizontal="left" vertical="center"/>
    </xf>
    <xf numFmtId="0" fontId="24" fillId="2" borderId="0" xfId="0" applyFont="1" applyFill="1" applyBorder="1" applyAlignment="1" applyProtection="1">
      <alignment horizontal="center"/>
    </xf>
    <xf numFmtId="2" fontId="24" fillId="2" borderId="0" xfId="0" applyNumberFormat="1" applyFont="1" applyFill="1" applyBorder="1" applyAlignment="1" applyProtection="1">
      <alignment horizontal="center" vertical="center"/>
    </xf>
    <xf numFmtId="0" fontId="8" fillId="8" borderId="10" xfId="0" applyFont="1" applyFill="1" applyBorder="1" applyAlignment="1">
      <alignment horizontal="center" vertical="center"/>
    </xf>
    <xf numFmtId="165" fontId="6" fillId="3" borderId="2" xfId="0" applyNumberFormat="1" applyFont="1" applyFill="1" applyBorder="1" applyAlignment="1">
      <alignment horizontal="center" vertical="center"/>
    </xf>
    <xf numFmtId="165" fontId="6" fillId="3" borderId="3" xfId="0" applyNumberFormat="1" applyFont="1" applyFill="1" applyBorder="1" applyAlignment="1">
      <alignment horizontal="center" vertical="center"/>
    </xf>
    <xf numFmtId="165" fontId="6" fillId="3" borderId="4" xfId="0" applyNumberFormat="1" applyFont="1" applyFill="1" applyBorder="1" applyAlignment="1">
      <alignment horizontal="center" vertical="center"/>
    </xf>
    <xf numFmtId="0" fontId="5" fillId="8" borderId="34" xfId="0" applyFont="1" applyFill="1" applyBorder="1" applyAlignment="1">
      <alignment horizontal="center" vertical="center"/>
    </xf>
    <xf numFmtId="0" fontId="5" fillId="8" borderId="33" xfId="0" applyFont="1" applyFill="1" applyBorder="1" applyAlignment="1">
      <alignment horizontal="center" vertical="center"/>
    </xf>
    <xf numFmtId="0" fontId="6" fillId="3" borderId="2" xfId="0" applyFont="1" applyFill="1" applyBorder="1" applyAlignment="1">
      <alignment horizontal="center" vertical="center"/>
    </xf>
    <xf numFmtId="0" fontId="6" fillId="3" borderId="4" xfId="0" applyFont="1" applyFill="1" applyBorder="1" applyAlignment="1">
      <alignment horizontal="center" vertical="center"/>
    </xf>
    <xf numFmtId="165" fontId="6" fillId="3" borderId="1" xfId="0" applyNumberFormat="1" applyFont="1" applyFill="1" applyBorder="1" applyAlignment="1">
      <alignment horizontal="center" vertical="center"/>
    </xf>
    <xf numFmtId="165" fontId="6" fillId="8" borderId="21" xfId="0" applyNumberFormat="1" applyFont="1" applyFill="1" applyBorder="1" applyAlignment="1">
      <alignment horizontal="center" vertical="center"/>
    </xf>
    <xf numFmtId="165" fontId="6" fillId="8" borderId="30"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5" fillId="3" borderId="2" xfId="0" applyFont="1" applyFill="1" applyBorder="1" applyAlignment="1">
      <alignment horizontal="center" vertical="center"/>
    </xf>
    <xf numFmtId="0" fontId="5" fillId="3" borderId="4" xfId="0" applyFont="1" applyFill="1" applyBorder="1" applyAlignment="1">
      <alignment horizontal="center" vertical="center"/>
    </xf>
    <xf numFmtId="0" fontId="5" fillId="3" borderId="35" xfId="0" applyFont="1" applyFill="1" applyBorder="1" applyAlignment="1">
      <alignment horizontal="center" vertical="center"/>
    </xf>
    <xf numFmtId="0" fontId="5" fillId="3" borderId="1" xfId="0" applyFont="1" applyFill="1" applyBorder="1" applyAlignment="1">
      <alignment horizontal="right" vertical="center"/>
    </xf>
    <xf numFmtId="0" fontId="4" fillId="8" borderId="10" xfId="0" applyFont="1" applyFill="1" applyBorder="1" applyAlignment="1">
      <alignment horizontal="center" vertical="center"/>
    </xf>
    <xf numFmtId="0" fontId="5" fillId="3" borderId="3" xfId="0" applyFont="1" applyFill="1" applyBorder="1" applyAlignment="1">
      <alignment horizontal="center" vertical="center"/>
    </xf>
    <xf numFmtId="0" fontId="8" fillId="3" borderId="2" xfId="0" applyFont="1" applyFill="1" applyBorder="1" applyAlignment="1">
      <alignment horizontal="center" vertical="center"/>
    </xf>
    <xf numFmtId="0" fontId="8" fillId="3" borderId="3" xfId="0" applyFont="1" applyFill="1" applyBorder="1" applyAlignment="1">
      <alignment horizontal="center" vertical="center"/>
    </xf>
    <xf numFmtId="0" fontId="8" fillId="3" borderId="4" xfId="0" applyFont="1" applyFill="1" applyBorder="1" applyAlignment="1">
      <alignment horizontal="center" vertical="center"/>
    </xf>
    <xf numFmtId="0" fontId="5" fillId="3" borderId="1" xfId="0" applyFont="1" applyFill="1" applyBorder="1" applyAlignment="1">
      <alignment horizontal="center" vertical="center"/>
    </xf>
    <xf numFmtId="0" fontId="4" fillId="3" borderId="1" xfId="0" applyFont="1" applyFill="1" applyBorder="1" applyAlignment="1">
      <alignment horizontal="center"/>
    </xf>
    <xf numFmtId="0" fontId="5" fillId="3" borderId="1" xfId="0" applyFont="1" applyFill="1" applyBorder="1" applyAlignment="1">
      <alignment horizontal="center"/>
    </xf>
    <xf numFmtId="0" fontId="8" fillId="3" borderId="1" xfId="0" applyFont="1" applyFill="1" applyBorder="1" applyAlignment="1">
      <alignment horizontal="center" vertical="center"/>
    </xf>
    <xf numFmtId="165" fontId="6" fillId="8" borderId="1" xfId="0" applyNumberFormat="1" applyFont="1" applyFill="1" applyBorder="1" applyAlignment="1">
      <alignment horizontal="center" vertical="center"/>
    </xf>
    <xf numFmtId="0" fontId="8" fillId="3" borderId="1" xfId="0" applyFont="1" applyFill="1" applyBorder="1" applyAlignment="1">
      <alignment horizontal="right" vertical="center"/>
    </xf>
    <xf numFmtId="0" fontId="5" fillId="8" borderId="32" xfId="0" applyFont="1" applyFill="1" applyBorder="1" applyAlignment="1">
      <alignment horizontal="center" vertical="center"/>
    </xf>
    <xf numFmtId="0" fontId="6" fillId="3" borderId="3" xfId="0" applyFont="1" applyFill="1" applyBorder="1" applyAlignment="1">
      <alignment horizontal="center" vertical="center"/>
    </xf>
    <xf numFmtId="0" fontId="5" fillId="3" borderId="22" xfId="0" applyFont="1" applyFill="1" applyBorder="1" applyAlignment="1">
      <alignment horizontal="center" vertical="center"/>
    </xf>
    <xf numFmtId="0" fontId="5" fillId="3" borderId="23" xfId="0" applyFont="1" applyFill="1" applyBorder="1" applyAlignment="1">
      <alignment horizontal="center" vertical="center"/>
    </xf>
    <xf numFmtId="0" fontId="5" fillId="3" borderId="17" xfId="0" applyFont="1" applyFill="1" applyBorder="1" applyAlignment="1">
      <alignment horizontal="center" vertical="center"/>
    </xf>
    <xf numFmtId="0" fontId="5" fillId="3" borderId="12" xfId="0" applyFont="1" applyFill="1" applyBorder="1" applyAlignment="1">
      <alignment horizontal="center" vertical="center"/>
    </xf>
    <xf numFmtId="0" fontId="5" fillId="3" borderId="0" xfId="0" applyFont="1" applyFill="1" applyBorder="1" applyAlignment="1">
      <alignment horizontal="center" vertical="center"/>
    </xf>
    <xf numFmtId="0" fontId="5" fillId="3" borderId="25" xfId="0" applyFont="1" applyFill="1" applyBorder="1" applyAlignment="1">
      <alignment horizontal="center" vertical="center"/>
    </xf>
    <xf numFmtId="0" fontId="5" fillId="3" borderId="28" xfId="0" applyFont="1" applyFill="1" applyBorder="1" applyAlignment="1">
      <alignment horizontal="center" vertical="center"/>
    </xf>
    <xf numFmtId="0" fontId="5" fillId="3" borderId="29" xfId="0" applyFont="1" applyFill="1" applyBorder="1" applyAlignment="1">
      <alignment horizontal="center" vertical="center"/>
    </xf>
    <xf numFmtId="0" fontId="5" fillId="3" borderId="19" xfId="0" applyFont="1" applyFill="1" applyBorder="1" applyAlignment="1">
      <alignment horizontal="center" vertical="center"/>
    </xf>
    <xf numFmtId="0" fontId="8" fillId="8" borderId="2" xfId="0" applyFont="1" applyFill="1" applyBorder="1" applyAlignment="1">
      <alignment horizontal="center" vertical="center"/>
    </xf>
    <xf numFmtId="0" fontId="8" fillId="8" borderId="3" xfId="0" applyFont="1" applyFill="1" applyBorder="1" applyAlignment="1">
      <alignment horizontal="center" vertical="center"/>
    </xf>
    <xf numFmtId="0" fontId="8" fillId="8" borderId="4" xfId="0" applyFont="1" applyFill="1" applyBorder="1" applyAlignment="1">
      <alignment horizontal="center" vertical="center"/>
    </xf>
    <xf numFmtId="0" fontId="8" fillId="8" borderId="13" xfId="0" applyFont="1" applyFill="1" applyBorder="1" applyAlignment="1">
      <alignment horizontal="center" vertical="center"/>
    </xf>
    <xf numFmtId="0" fontId="8" fillId="8" borderId="14" xfId="0" applyFont="1" applyFill="1" applyBorder="1" applyAlignment="1">
      <alignment horizontal="center" vertical="center"/>
    </xf>
    <xf numFmtId="0" fontId="8" fillId="8" borderId="15" xfId="0" applyFont="1" applyFill="1" applyBorder="1" applyAlignment="1">
      <alignment horizontal="center" vertical="center"/>
    </xf>
    <xf numFmtId="0" fontId="5" fillId="3" borderId="5" xfId="0" applyFont="1" applyFill="1" applyBorder="1" applyAlignment="1">
      <alignment horizontal="center" vertical="center"/>
    </xf>
    <xf numFmtId="0" fontId="5" fillId="3" borderId="6" xfId="0" applyFont="1" applyFill="1" applyBorder="1" applyAlignment="1">
      <alignment horizontal="center" vertical="center"/>
    </xf>
    <xf numFmtId="0" fontId="5" fillId="3" borderId="16" xfId="0" applyFont="1" applyFill="1" applyBorder="1" applyAlignment="1">
      <alignment horizontal="center" vertical="center"/>
    </xf>
    <xf numFmtId="0" fontId="36" fillId="2" borderId="0" xfId="0" applyFont="1" applyFill="1" applyBorder="1" applyAlignment="1">
      <alignment horizontal="center"/>
    </xf>
    <xf numFmtId="0" fontId="39" fillId="2" borderId="0" xfId="0" applyFont="1" applyFill="1" applyBorder="1" applyAlignment="1">
      <alignment horizontal="center" vertical="center"/>
    </xf>
    <xf numFmtId="0" fontId="11"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protection locked="0"/>
    </xf>
    <xf numFmtId="0" fontId="36" fillId="23" borderId="0" xfId="0" applyFont="1" applyFill="1" applyAlignment="1">
      <alignment horizontal="center"/>
    </xf>
    <xf numFmtId="0" fontId="11" fillId="2" borderId="1" xfId="0" applyFont="1" applyFill="1" applyBorder="1" applyAlignment="1" applyProtection="1">
      <alignment horizontal="center" vertical="center"/>
    </xf>
    <xf numFmtId="2" fontId="11" fillId="2" borderId="1" xfId="0" applyNumberFormat="1" applyFont="1" applyFill="1" applyBorder="1" applyAlignment="1" applyProtection="1">
      <alignment horizontal="center" vertical="center"/>
    </xf>
    <xf numFmtId="0" fontId="11" fillId="2" borderId="7" xfId="0" applyFont="1" applyFill="1" applyBorder="1" applyAlignment="1" applyProtection="1">
      <alignment horizontal="center" vertical="center"/>
    </xf>
    <xf numFmtId="0" fontId="11" fillId="2" borderId="11" xfId="0" applyFont="1" applyFill="1" applyBorder="1" applyAlignment="1" applyProtection="1">
      <alignment horizontal="center" vertical="center"/>
    </xf>
    <xf numFmtId="0" fontId="11" fillId="2" borderId="8" xfId="0" applyFont="1" applyFill="1" applyBorder="1" applyAlignment="1" applyProtection="1">
      <alignment horizontal="center" vertical="center"/>
    </xf>
    <xf numFmtId="0" fontId="11" fillId="2" borderId="4" xfId="0" applyFont="1" applyFill="1" applyBorder="1" applyAlignment="1" applyProtection="1">
      <alignment horizontal="right" vertical="center"/>
    </xf>
    <xf numFmtId="0" fontId="11" fillId="2" borderId="1" xfId="0" applyFont="1" applyFill="1" applyBorder="1" applyAlignment="1" applyProtection="1">
      <alignment horizontal="right" vertical="center"/>
    </xf>
    <xf numFmtId="0" fontId="18" fillId="2" borderId="1" xfId="0" applyFont="1" applyFill="1" applyBorder="1" applyAlignment="1" applyProtection="1">
      <alignment horizontal="center" vertical="center"/>
    </xf>
    <xf numFmtId="0" fontId="11" fillId="2" borderId="1" xfId="0" applyFont="1" applyFill="1" applyBorder="1" applyAlignment="1" applyProtection="1">
      <alignment horizontal="center" vertical="center" wrapText="1"/>
    </xf>
    <xf numFmtId="2" fontId="18" fillId="2" borderId="1" xfId="0" applyNumberFormat="1" applyFont="1" applyFill="1" applyBorder="1" applyAlignment="1" applyProtection="1">
      <alignment horizontal="center" vertical="center"/>
    </xf>
    <xf numFmtId="0" fontId="18" fillId="2" borderId="1" xfId="0" applyFont="1" applyFill="1" applyBorder="1" applyAlignment="1" applyProtection="1">
      <alignment horizontal="center" vertical="center" wrapText="1"/>
    </xf>
    <xf numFmtId="0" fontId="11" fillId="2" borderId="2" xfId="0" applyFont="1" applyFill="1" applyBorder="1" applyAlignment="1" applyProtection="1">
      <alignment horizontal="center" vertical="center"/>
    </xf>
    <xf numFmtId="0" fontId="11" fillId="2" borderId="4" xfId="0" applyFont="1" applyFill="1" applyBorder="1" applyAlignment="1" applyProtection="1">
      <alignment horizontal="center" vertical="center"/>
    </xf>
    <xf numFmtId="2" fontId="11" fillId="2" borderId="7" xfId="0" applyNumberFormat="1" applyFont="1" applyFill="1" applyBorder="1" applyAlignment="1" applyProtection="1">
      <alignment horizontal="center" vertical="center"/>
    </xf>
    <xf numFmtId="2" fontId="11" fillId="2" borderId="11" xfId="0" applyNumberFormat="1" applyFont="1" applyFill="1" applyBorder="1" applyAlignment="1" applyProtection="1">
      <alignment horizontal="center" vertical="center"/>
    </xf>
    <xf numFmtId="2" fontId="11" fillId="2" borderId="8" xfId="0" applyNumberFormat="1" applyFont="1" applyFill="1" applyBorder="1" applyAlignment="1" applyProtection="1">
      <alignment horizontal="center" vertical="center"/>
    </xf>
    <xf numFmtId="2" fontId="29" fillId="2" borderId="1" xfId="0" applyNumberFormat="1" applyFont="1" applyFill="1" applyBorder="1" applyAlignment="1" applyProtection="1">
      <alignment horizontal="center" vertical="center" wrapText="1"/>
    </xf>
    <xf numFmtId="2" fontId="24" fillId="2" borderId="1" xfId="0" applyNumberFormat="1" applyFont="1" applyFill="1" applyBorder="1" applyAlignment="1" applyProtection="1">
      <alignment horizontal="center" vertical="center"/>
    </xf>
    <xf numFmtId="0" fontId="24" fillId="2" borderId="1" xfId="0" applyFont="1" applyFill="1" applyBorder="1" applyAlignment="1" applyProtection="1">
      <alignment horizontal="center" vertical="center"/>
    </xf>
    <xf numFmtId="0" fontId="24" fillId="2" borderId="1" xfId="0" applyFont="1" applyFill="1" applyBorder="1" applyAlignment="1" applyProtection="1">
      <alignment horizontal="right" vertical="center"/>
    </xf>
    <xf numFmtId="0" fontId="29" fillId="2" borderId="1" xfId="0" applyFont="1" applyFill="1" applyBorder="1" applyAlignment="1" applyProtection="1">
      <alignment horizontal="right" vertical="center" wrapText="1"/>
    </xf>
    <xf numFmtId="0" fontId="24" fillId="2" borderId="7" xfId="0" applyFont="1" applyFill="1" applyBorder="1" applyAlignment="1" applyProtection="1">
      <alignment horizontal="center" vertical="center"/>
    </xf>
    <xf numFmtId="0" fontId="24" fillId="2" borderId="1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2"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24" fillId="2" borderId="2" xfId="0" applyFont="1" applyFill="1" applyBorder="1" applyAlignment="1" applyProtection="1">
      <alignment horizontal="center" vertical="center"/>
    </xf>
    <xf numFmtId="0" fontId="24" fillId="2" borderId="4" xfId="0" applyFont="1" applyFill="1" applyBorder="1" applyAlignment="1" applyProtection="1">
      <alignment horizontal="center" vertical="center"/>
    </xf>
    <xf numFmtId="2" fontId="24" fillId="2" borderId="36" xfId="0" applyNumberFormat="1" applyFont="1" applyFill="1" applyBorder="1" applyAlignment="1" applyProtection="1">
      <alignment horizontal="center" vertical="center"/>
    </xf>
    <xf numFmtId="2" fontId="24" fillId="2" borderId="37" xfId="0" applyNumberFormat="1" applyFont="1" applyFill="1" applyBorder="1" applyAlignment="1" applyProtection="1">
      <alignment horizontal="center" vertical="center"/>
    </xf>
    <xf numFmtId="2" fontId="24" fillId="2" borderId="5" xfId="0" applyNumberFormat="1" applyFont="1" applyFill="1" applyBorder="1" applyAlignment="1" applyProtection="1">
      <alignment horizontal="center" vertical="center"/>
    </xf>
    <xf numFmtId="2" fontId="24" fillId="2" borderId="6" xfId="0" applyNumberFormat="1" applyFont="1" applyFill="1" applyBorder="1" applyAlignment="1" applyProtection="1">
      <alignment horizontal="center" vertical="center"/>
    </xf>
    <xf numFmtId="0" fontId="29" fillId="2" borderId="36" xfId="0" applyFont="1" applyFill="1" applyBorder="1" applyAlignment="1" applyProtection="1">
      <alignment horizontal="center" vertical="center"/>
    </xf>
    <xf numFmtId="0" fontId="29" fillId="2" borderId="38" xfId="0" applyFont="1" applyFill="1" applyBorder="1" applyAlignment="1" applyProtection="1">
      <alignment horizontal="center" vertical="center"/>
    </xf>
    <xf numFmtId="0" fontId="29" fillId="2" borderId="37"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6" xfId="0"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0" fontId="24" fillId="2" borderId="36" xfId="0" applyFont="1" applyFill="1" applyBorder="1" applyAlignment="1" applyProtection="1">
      <alignment horizontal="center" vertical="center"/>
    </xf>
    <xf numFmtId="0" fontId="24" fillId="2" borderId="38" xfId="0" applyFont="1" applyFill="1" applyBorder="1" applyAlignment="1" applyProtection="1">
      <alignment horizontal="center" vertical="center"/>
    </xf>
    <xf numFmtId="0" fontId="24" fillId="2" borderId="5" xfId="0" applyFont="1" applyFill="1" applyBorder="1" applyAlignment="1" applyProtection="1">
      <alignment horizontal="center" vertical="center"/>
    </xf>
    <xf numFmtId="0" fontId="24" fillId="2" borderId="16" xfId="0" applyFont="1" applyFill="1" applyBorder="1" applyAlignment="1" applyProtection="1">
      <alignment horizontal="center" vertical="center"/>
    </xf>
    <xf numFmtId="0" fontId="24" fillId="2" borderId="1" xfId="0" applyFont="1" applyFill="1" applyBorder="1" applyAlignment="1" applyProtection="1">
      <alignment horizontal="right" vertical="center" wrapText="1"/>
    </xf>
    <xf numFmtId="0" fontId="18" fillId="2" borderId="2" xfId="0" applyFont="1" applyFill="1" applyBorder="1" applyAlignment="1" applyProtection="1">
      <alignment horizontal="center" vertical="center"/>
    </xf>
    <xf numFmtId="0" fontId="18" fillId="2" borderId="3" xfId="0" applyFont="1" applyFill="1" applyBorder="1" applyAlignment="1" applyProtection="1">
      <alignment horizontal="center" vertical="center"/>
    </xf>
    <xf numFmtId="0" fontId="18" fillId="2" borderId="4" xfId="0" applyFont="1" applyFill="1" applyBorder="1" applyAlignment="1" applyProtection="1">
      <alignment horizontal="center" vertical="center"/>
    </xf>
    <xf numFmtId="0" fontId="11" fillId="2" borderId="2" xfId="0" applyFont="1" applyFill="1" applyBorder="1" applyAlignment="1" applyProtection="1">
      <alignment horizontal="center"/>
    </xf>
    <xf numFmtId="0" fontId="11" fillId="2" borderId="3" xfId="0" applyFont="1" applyFill="1" applyBorder="1" applyAlignment="1" applyProtection="1">
      <alignment horizontal="center"/>
    </xf>
    <xf numFmtId="0" fontId="11" fillId="2" borderId="4" xfId="0" applyFont="1" applyFill="1" applyBorder="1" applyAlignment="1" applyProtection="1">
      <alignment horizontal="center"/>
    </xf>
    <xf numFmtId="0" fontId="11" fillId="2" borderId="1" xfId="0" applyFont="1" applyFill="1" applyBorder="1" applyAlignment="1" applyProtection="1">
      <alignment horizontal="center"/>
    </xf>
    <xf numFmtId="0" fontId="11" fillId="2" borderId="1" xfId="0" applyFont="1" applyFill="1" applyBorder="1" applyAlignment="1" applyProtection="1">
      <alignment horizontal="left"/>
      <protection locked="0"/>
    </xf>
    <xf numFmtId="0" fontId="24" fillId="2" borderId="1" xfId="0" applyFont="1" applyFill="1" applyBorder="1" applyAlignment="1" applyProtection="1">
      <alignment horizontal="center" vertical="center" wrapText="1"/>
    </xf>
    <xf numFmtId="0" fontId="11" fillId="2" borderId="2" xfId="0" applyFont="1" applyFill="1" applyBorder="1" applyAlignment="1" applyProtection="1">
      <alignment horizontal="center"/>
      <protection locked="0"/>
    </xf>
    <xf numFmtId="0" fontId="11" fillId="2" borderId="3" xfId="0" applyFont="1" applyFill="1" applyBorder="1" applyAlignment="1" applyProtection="1">
      <alignment horizontal="center"/>
      <protection locked="0"/>
    </xf>
    <xf numFmtId="0" fontId="11" fillId="2" borderId="4" xfId="0" applyFont="1" applyFill="1" applyBorder="1" applyAlignment="1" applyProtection="1">
      <alignment horizontal="center"/>
      <protection locked="0"/>
    </xf>
    <xf numFmtId="2" fontId="18" fillId="2" borderId="36" xfId="0" applyNumberFormat="1" applyFont="1" applyFill="1" applyBorder="1" applyAlignment="1" applyProtection="1">
      <alignment horizontal="center" vertical="center"/>
    </xf>
    <xf numFmtId="2" fontId="18" fillId="2" borderId="38" xfId="0" applyNumberFormat="1" applyFont="1" applyFill="1" applyBorder="1" applyAlignment="1" applyProtection="1">
      <alignment horizontal="center" vertical="center"/>
    </xf>
    <xf numFmtId="2" fontId="18" fillId="2" borderId="37" xfId="0" applyNumberFormat="1" applyFont="1" applyFill="1" applyBorder="1" applyAlignment="1" applyProtection="1">
      <alignment horizontal="center" vertical="center"/>
    </xf>
    <xf numFmtId="2" fontId="18" fillId="2" borderId="12" xfId="0" applyNumberFormat="1" applyFont="1" applyFill="1" applyBorder="1" applyAlignment="1" applyProtection="1">
      <alignment horizontal="center" vertical="center"/>
    </xf>
    <xf numFmtId="2" fontId="18" fillId="2" borderId="0" xfId="0" applyNumberFormat="1" applyFont="1" applyFill="1" applyBorder="1" applyAlignment="1" applyProtection="1">
      <alignment horizontal="center" vertical="center"/>
    </xf>
    <xf numFmtId="2" fontId="18" fillId="2" borderId="39" xfId="0" applyNumberFormat="1" applyFont="1" applyFill="1" applyBorder="1" applyAlignment="1" applyProtection="1">
      <alignment horizontal="center" vertical="center"/>
    </xf>
    <xf numFmtId="2" fontId="18" fillId="2" borderId="5" xfId="0" applyNumberFormat="1" applyFont="1" applyFill="1" applyBorder="1" applyAlignment="1" applyProtection="1">
      <alignment horizontal="center" vertical="center"/>
    </xf>
    <xf numFmtId="2" fontId="18" fillId="2" borderId="16" xfId="0" applyNumberFormat="1" applyFont="1" applyFill="1" applyBorder="1" applyAlignment="1" applyProtection="1">
      <alignment horizontal="center" vertical="center"/>
    </xf>
    <xf numFmtId="2" fontId="18" fillId="2" borderId="6" xfId="0" applyNumberFormat="1" applyFont="1" applyFill="1" applyBorder="1" applyAlignment="1" applyProtection="1">
      <alignment horizontal="center" vertical="center"/>
    </xf>
    <xf numFmtId="0" fontId="11" fillId="2" borderId="3" xfId="0" applyFont="1" applyFill="1" applyBorder="1" applyAlignment="1" applyProtection="1">
      <alignment horizontal="center" vertical="center"/>
    </xf>
    <xf numFmtId="2" fontId="11" fillId="2" borderId="1" xfId="0" applyNumberFormat="1" applyFont="1" applyFill="1" applyBorder="1" applyAlignment="1" applyProtection="1">
      <alignment horizontal="left"/>
    </xf>
    <xf numFmtId="0" fontId="11" fillId="2" borderId="1" xfId="0" applyFont="1" applyFill="1" applyBorder="1" applyAlignment="1" applyProtection="1">
      <alignment horizontal="left" vertical="center"/>
    </xf>
    <xf numFmtId="0" fontId="18" fillId="2" borderId="1" xfId="0" applyFont="1" applyFill="1" applyBorder="1" applyAlignment="1" applyProtection="1">
      <alignment horizontal="right" vertical="center"/>
    </xf>
    <xf numFmtId="2" fontId="11" fillId="2" borderId="1" xfId="0" applyNumberFormat="1" applyFont="1" applyFill="1" applyBorder="1" applyAlignment="1" applyProtection="1">
      <alignment horizontal="left" vertical="center"/>
    </xf>
    <xf numFmtId="0" fontId="11" fillId="24" borderId="1" xfId="0" applyFont="1" applyFill="1" applyBorder="1" applyAlignment="1" applyProtection="1">
      <alignment horizontal="center"/>
    </xf>
    <xf numFmtId="2" fontId="11" fillId="2" borderId="36" xfId="0" applyNumberFormat="1" applyFont="1" applyFill="1" applyBorder="1" applyAlignment="1" applyProtection="1">
      <alignment horizontal="center" vertical="center"/>
    </xf>
    <xf numFmtId="2" fontId="11" fillId="2" borderId="37" xfId="0" applyNumberFormat="1" applyFont="1" applyFill="1" applyBorder="1" applyAlignment="1" applyProtection="1">
      <alignment horizontal="center" vertical="center"/>
    </xf>
    <xf numFmtId="2" fontId="11" fillId="2" borderId="12" xfId="0" applyNumberFormat="1" applyFont="1" applyFill="1" applyBorder="1" applyAlignment="1" applyProtection="1">
      <alignment horizontal="center" vertical="center"/>
    </xf>
    <xf numFmtId="2" fontId="11" fillId="2" borderId="39" xfId="0" applyNumberFormat="1" applyFont="1" applyFill="1" applyBorder="1" applyAlignment="1" applyProtection="1">
      <alignment horizontal="center" vertical="center"/>
    </xf>
    <xf numFmtId="2" fontId="11" fillId="2" borderId="5" xfId="0" applyNumberFormat="1" applyFont="1" applyFill="1" applyBorder="1" applyAlignment="1" applyProtection="1">
      <alignment horizontal="center" vertical="center"/>
    </xf>
    <xf numFmtId="2" fontId="11" fillId="2" borderId="6" xfId="0" applyNumberFormat="1" applyFont="1" applyFill="1" applyBorder="1" applyAlignment="1" applyProtection="1">
      <alignment horizontal="center" vertical="center"/>
    </xf>
    <xf numFmtId="0" fontId="18" fillId="2" borderId="1" xfId="0" applyFont="1" applyFill="1" applyBorder="1" applyAlignment="1" applyProtection="1">
      <alignment horizontal="left" vertical="center"/>
    </xf>
    <xf numFmtId="0" fontId="18" fillId="2" borderId="36" xfId="0" applyFont="1" applyFill="1" applyBorder="1" applyAlignment="1" applyProtection="1">
      <alignment horizontal="center" vertical="center"/>
    </xf>
    <xf numFmtId="0" fontId="18" fillId="2" borderId="37" xfId="0" applyFont="1" applyFill="1" applyBorder="1" applyAlignment="1" applyProtection="1">
      <alignment horizontal="center" vertical="center"/>
    </xf>
    <xf numFmtId="0" fontId="18" fillId="2" borderId="12" xfId="0" applyFont="1" applyFill="1" applyBorder="1" applyAlignment="1" applyProtection="1">
      <alignment horizontal="center" vertical="center"/>
    </xf>
    <xf numFmtId="0" fontId="18" fillId="2" borderId="39" xfId="0" applyFont="1" applyFill="1" applyBorder="1" applyAlignment="1" applyProtection="1">
      <alignment horizontal="center" vertical="center"/>
    </xf>
    <xf numFmtId="0" fontId="18" fillId="2" borderId="5" xfId="0" applyFont="1" applyFill="1" applyBorder="1" applyAlignment="1" applyProtection="1">
      <alignment horizontal="center" vertical="center"/>
    </xf>
    <xf numFmtId="0" fontId="18" fillId="2" borderId="6" xfId="0" applyFont="1" applyFill="1" applyBorder="1" applyAlignment="1" applyProtection="1">
      <alignment horizontal="center" vertical="center"/>
    </xf>
    <xf numFmtId="0" fontId="11" fillId="2" borderId="2" xfId="0" applyFont="1" applyFill="1" applyBorder="1" applyAlignment="1" applyProtection="1">
      <alignment horizontal="center" vertical="center" wrapText="1"/>
    </xf>
    <xf numFmtId="0" fontId="11" fillId="2" borderId="4" xfId="0" applyFont="1" applyFill="1" applyBorder="1" applyAlignment="1" applyProtection="1">
      <alignment horizontal="center" vertical="center" wrapText="1"/>
    </xf>
    <xf numFmtId="0" fontId="11" fillId="2" borderId="1" xfId="0" applyFont="1" applyFill="1" applyBorder="1" applyAlignment="1" applyProtection="1">
      <alignment horizontal="left" vertical="center"/>
      <protection locked="0"/>
    </xf>
    <xf numFmtId="0" fontId="11" fillId="2" borderId="7" xfId="0" applyFont="1" applyFill="1" applyBorder="1" applyAlignment="1" applyProtection="1">
      <alignment horizontal="center" vertical="center" wrapText="1"/>
    </xf>
    <xf numFmtId="0" fontId="11" fillId="2" borderId="8" xfId="0" applyFont="1" applyFill="1" applyBorder="1" applyAlignment="1" applyProtection="1">
      <alignment horizontal="center" vertical="center" wrapText="1"/>
    </xf>
    <xf numFmtId="2" fontId="18" fillId="2" borderId="1" xfId="0" applyNumberFormat="1" applyFont="1" applyFill="1" applyBorder="1" applyAlignment="1" applyProtection="1">
      <alignment horizontal="center"/>
    </xf>
    <xf numFmtId="0" fontId="11" fillId="2" borderId="36" xfId="0" applyFont="1" applyFill="1" applyBorder="1" applyAlignment="1" applyProtection="1">
      <alignment horizontal="center" vertical="center" wrapText="1"/>
    </xf>
    <xf numFmtId="0" fontId="11" fillId="2" borderId="38" xfId="0" applyFont="1" applyFill="1" applyBorder="1" applyAlignment="1" applyProtection="1">
      <alignment horizontal="center" vertical="center" wrapText="1"/>
    </xf>
    <xf numFmtId="0" fontId="11" fillId="2" borderId="37" xfId="0" applyFont="1" applyFill="1" applyBorder="1" applyAlignment="1" applyProtection="1">
      <alignment horizontal="center" vertical="center" wrapText="1"/>
    </xf>
    <xf numFmtId="0" fontId="11" fillId="2" borderId="5" xfId="0" applyFont="1" applyFill="1" applyBorder="1" applyAlignment="1" applyProtection="1">
      <alignment horizontal="center" vertical="center" wrapText="1"/>
    </xf>
    <xf numFmtId="0" fontId="11" fillId="2" borderId="16" xfId="0" applyFont="1" applyFill="1" applyBorder="1" applyAlignment="1" applyProtection="1">
      <alignment horizontal="center" vertical="center" wrapText="1"/>
    </xf>
    <xf numFmtId="0" fontId="11" fillId="2" borderId="6" xfId="0" applyFont="1" applyFill="1" applyBorder="1" applyAlignment="1" applyProtection="1">
      <alignment horizontal="center" vertical="center" wrapText="1"/>
    </xf>
    <xf numFmtId="0" fontId="18" fillId="2" borderId="36" xfId="0" applyFont="1" applyFill="1" applyBorder="1" applyAlignment="1" applyProtection="1">
      <alignment horizontal="left" vertical="center"/>
    </xf>
    <xf numFmtId="0" fontId="18" fillId="2" borderId="38" xfId="0" applyFont="1" applyFill="1" applyBorder="1" applyAlignment="1" applyProtection="1">
      <alignment horizontal="left" vertical="center"/>
    </xf>
    <xf numFmtId="0" fontId="18" fillId="2" borderId="37"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4" borderId="7" xfId="0" applyFont="1" applyFill="1" applyBorder="1" applyAlignment="1" applyProtection="1">
      <alignment horizontal="center" vertical="center"/>
    </xf>
    <xf numFmtId="0" fontId="18" fillId="24" borderId="8" xfId="0" applyFont="1" applyFill="1" applyBorder="1" applyAlignment="1" applyProtection="1">
      <alignment horizontal="center" vertical="center"/>
    </xf>
    <xf numFmtId="0" fontId="18" fillId="2" borderId="1" xfId="0" applyFont="1" applyFill="1" applyBorder="1" applyAlignment="1" applyProtection="1">
      <alignment vertical="center"/>
    </xf>
    <xf numFmtId="0" fontId="18" fillId="2" borderId="1" xfId="0" applyFont="1" applyFill="1" applyBorder="1" applyAlignment="1" applyProtection="1">
      <alignment horizontal="center"/>
    </xf>
    <xf numFmtId="0" fontId="18" fillId="2" borderId="7" xfId="0" applyFont="1" applyFill="1" applyBorder="1" applyAlignment="1" applyProtection="1">
      <alignment horizontal="center" vertical="center"/>
    </xf>
    <xf numFmtId="0" fontId="18" fillId="2" borderId="8" xfId="0" applyFont="1" applyFill="1" applyBorder="1" applyAlignment="1" applyProtection="1">
      <alignment horizontal="center" vertical="center"/>
    </xf>
    <xf numFmtId="2" fontId="18" fillId="2" borderId="7" xfId="0" applyNumberFormat="1" applyFont="1" applyFill="1" applyBorder="1" applyAlignment="1" applyProtection="1">
      <alignment horizontal="center" vertical="center"/>
    </xf>
    <xf numFmtId="2" fontId="18" fillId="2" borderId="8" xfId="0" applyNumberFormat="1" applyFont="1" applyFill="1" applyBorder="1" applyAlignment="1" applyProtection="1">
      <alignment horizontal="center" vertical="center"/>
    </xf>
    <xf numFmtId="2" fontId="11" fillId="2" borderId="2" xfId="0" applyNumberFormat="1" applyFont="1" applyFill="1" applyBorder="1" applyAlignment="1" applyProtection="1">
      <alignment horizontal="center"/>
    </xf>
    <xf numFmtId="2" fontId="11" fillId="2" borderId="4" xfId="0" applyNumberFormat="1" applyFont="1" applyFill="1" applyBorder="1" applyAlignment="1" applyProtection="1">
      <alignment horizontal="center"/>
    </xf>
    <xf numFmtId="9" fontId="11" fillId="2" borderId="2" xfId="0" applyNumberFormat="1" applyFont="1" applyFill="1" applyBorder="1" applyAlignment="1" applyProtection="1">
      <alignment horizontal="center"/>
    </xf>
    <xf numFmtId="9" fontId="11" fillId="2" borderId="3" xfId="0" applyNumberFormat="1" applyFont="1" applyFill="1" applyBorder="1" applyAlignment="1" applyProtection="1">
      <alignment horizontal="center"/>
    </xf>
    <xf numFmtId="9" fontId="11" fillId="2" borderId="4" xfId="0" applyNumberFormat="1" applyFont="1" applyFill="1" applyBorder="1" applyAlignment="1" applyProtection="1">
      <alignment horizontal="center"/>
    </xf>
    <xf numFmtId="2" fontId="11" fillId="2" borderId="2" xfId="0" applyNumberFormat="1" applyFont="1" applyFill="1" applyBorder="1" applyAlignment="1" applyProtection="1">
      <alignment horizontal="center" vertical="center"/>
    </xf>
    <xf numFmtId="2" fontId="11" fillId="2" borderId="3" xfId="0" applyNumberFormat="1" applyFont="1" applyFill="1" applyBorder="1" applyAlignment="1" applyProtection="1">
      <alignment horizontal="center" vertical="center"/>
    </xf>
    <xf numFmtId="2" fontId="11" fillId="2" borderId="4" xfId="0" applyNumberFormat="1" applyFont="1" applyFill="1" applyBorder="1" applyAlignment="1" applyProtection="1">
      <alignment horizontal="center" vertical="center"/>
    </xf>
    <xf numFmtId="0" fontId="11" fillId="2" borderId="3" xfId="0" applyFont="1" applyFill="1" applyBorder="1" applyAlignment="1" applyProtection="1">
      <alignment horizontal="center" vertical="center" wrapText="1"/>
    </xf>
    <xf numFmtId="0" fontId="11" fillId="2" borderId="36" xfId="0" applyFont="1" applyFill="1" applyBorder="1" applyAlignment="1" applyProtection="1">
      <alignment horizontal="center" vertical="center"/>
    </xf>
    <xf numFmtId="0" fontId="11" fillId="2" borderId="38" xfId="0" applyFont="1" applyFill="1" applyBorder="1" applyAlignment="1" applyProtection="1">
      <alignment horizontal="center" vertical="center"/>
    </xf>
    <xf numFmtId="0" fontId="11" fillId="2" borderId="37" xfId="0" applyFont="1" applyFill="1" applyBorder="1" applyAlignment="1" applyProtection="1">
      <alignment horizontal="center" vertical="center"/>
    </xf>
    <xf numFmtId="0" fontId="11" fillId="2" borderId="5" xfId="0" applyFont="1" applyFill="1" applyBorder="1" applyAlignment="1" applyProtection="1">
      <alignment horizontal="center" vertical="center"/>
    </xf>
    <xf numFmtId="0" fontId="11" fillId="2" borderId="16" xfId="0" applyFont="1" applyFill="1" applyBorder="1" applyAlignment="1" applyProtection="1">
      <alignment horizontal="center" vertical="center"/>
    </xf>
    <xf numFmtId="0" fontId="11" fillId="2" borderId="6" xfId="0" applyFont="1" applyFill="1" applyBorder="1" applyAlignment="1" applyProtection="1">
      <alignment horizontal="center" vertical="center"/>
    </xf>
    <xf numFmtId="0" fontId="11" fillId="2" borderId="12" xfId="0" applyFont="1" applyFill="1" applyBorder="1" applyAlignment="1" applyProtection="1">
      <alignment horizontal="center" vertical="center"/>
    </xf>
    <xf numFmtId="0" fontId="11" fillId="2" borderId="39" xfId="0" applyFont="1" applyFill="1" applyBorder="1" applyAlignment="1" applyProtection="1">
      <alignment horizontal="center" vertical="center"/>
    </xf>
    <xf numFmtId="0" fontId="43" fillId="2" borderId="36" xfId="0" applyFont="1" applyFill="1" applyBorder="1" applyAlignment="1" applyProtection="1">
      <alignment horizontal="center" vertical="center"/>
    </xf>
    <xf numFmtId="0" fontId="43" fillId="2" borderId="38" xfId="0" applyFont="1" applyFill="1" applyBorder="1" applyAlignment="1" applyProtection="1">
      <alignment horizontal="center" vertical="center"/>
    </xf>
    <xf numFmtId="0" fontId="43" fillId="2" borderId="37" xfId="0" applyFont="1" applyFill="1" applyBorder="1" applyAlignment="1" applyProtection="1">
      <alignment horizontal="center" vertical="center"/>
    </xf>
    <xf numFmtId="0" fontId="43" fillId="2" borderId="12"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43" fillId="2" borderId="39"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6" xfId="0" applyFont="1" applyFill="1" applyBorder="1" applyAlignment="1" applyProtection="1">
      <alignment horizontal="center" vertical="center"/>
    </xf>
    <xf numFmtId="0" fontId="44" fillId="2" borderId="2" xfId="0" applyFont="1" applyFill="1" applyBorder="1" applyAlignment="1" applyProtection="1">
      <alignment horizontal="left" vertical="center"/>
    </xf>
    <xf numFmtId="0" fontId="44" fillId="2" borderId="3" xfId="0" applyFont="1" applyFill="1" applyBorder="1" applyAlignment="1" applyProtection="1">
      <alignment horizontal="left" vertical="center"/>
    </xf>
    <xf numFmtId="0" fontId="44" fillId="2" borderId="4" xfId="0" applyFont="1" applyFill="1" applyBorder="1" applyAlignment="1" applyProtection="1">
      <alignment horizontal="left" vertical="center"/>
    </xf>
    <xf numFmtId="2" fontId="45" fillId="2" borderId="36" xfId="0" applyNumberFormat="1" applyFont="1" applyFill="1" applyBorder="1" applyAlignment="1" applyProtection="1">
      <alignment horizontal="center" vertical="center" wrapText="1"/>
    </xf>
    <xf numFmtId="0" fontId="45" fillId="2" borderId="38" xfId="0" applyFont="1" applyFill="1" applyBorder="1" applyAlignment="1" applyProtection="1">
      <alignment horizontal="center" vertical="center" wrapText="1"/>
    </xf>
    <xf numFmtId="0" fontId="45" fillId="2" borderId="37" xfId="0" applyFont="1" applyFill="1" applyBorder="1" applyAlignment="1" applyProtection="1">
      <alignment horizontal="center" vertical="center" wrapText="1"/>
    </xf>
    <xf numFmtId="0" fontId="45" fillId="2" borderId="12"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5" fillId="2" borderId="39" xfId="0" applyFont="1" applyFill="1" applyBorder="1" applyAlignment="1" applyProtection="1">
      <alignment horizontal="center" vertical="center" wrapText="1"/>
    </xf>
    <xf numFmtId="0" fontId="45" fillId="2" borderId="5" xfId="0" applyFont="1" applyFill="1" applyBorder="1" applyAlignment="1" applyProtection="1">
      <alignment horizontal="center" vertical="center" wrapText="1"/>
    </xf>
    <xf numFmtId="0" fontId="45" fillId="2" borderId="16" xfId="0" applyFont="1" applyFill="1" applyBorder="1" applyAlignment="1" applyProtection="1">
      <alignment horizontal="center" vertical="center" wrapText="1"/>
    </xf>
    <xf numFmtId="0" fontId="45" fillId="2" borderId="6" xfId="0" applyFont="1" applyFill="1" applyBorder="1" applyAlignment="1" applyProtection="1">
      <alignment horizontal="center" vertical="center" wrapText="1"/>
    </xf>
    <xf numFmtId="0" fontId="44" fillId="2" borderId="2" xfId="0" applyFont="1" applyFill="1" applyBorder="1" applyAlignment="1" applyProtection="1">
      <alignment horizontal="center" vertical="center" wrapText="1"/>
    </xf>
    <xf numFmtId="0" fontId="44" fillId="2" borderId="3" xfId="0" applyFont="1" applyFill="1" applyBorder="1" applyAlignment="1" applyProtection="1">
      <alignment horizontal="center" vertical="center" wrapText="1"/>
    </xf>
    <xf numFmtId="0" fontId="44" fillId="2" borderId="4" xfId="0" applyFont="1" applyFill="1" applyBorder="1" applyAlignment="1" applyProtection="1">
      <alignment horizontal="center" vertical="center" wrapText="1"/>
    </xf>
    <xf numFmtId="0" fontId="11" fillId="2" borderId="1" xfId="0" applyFont="1" applyFill="1" applyBorder="1" applyAlignment="1" applyProtection="1">
      <alignment horizontal="left" vertical="center" wrapText="1"/>
    </xf>
    <xf numFmtId="0" fontId="35" fillId="2" borderId="7" xfId="0" applyFont="1" applyFill="1" applyBorder="1" applyAlignment="1" applyProtection="1">
      <alignment horizontal="center" vertical="center"/>
    </xf>
    <xf numFmtId="0" fontId="35" fillId="2" borderId="11" xfId="0"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7" xfId="0" applyFont="1" applyFill="1" applyBorder="1" applyAlignment="1" applyProtection="1">
      <alignment horizontal="center" vertical="center" wrapText="1"/>
    </xf>
    <xf numFmtId="0" fontId="35" fillId="2" borderId="8" xfId="0" applyFont="1" applyFill="1" applyBorder="1" applyAlignment="1" applyProtection="1">
      <alignment horizontal="center" vertical="center" wrapText="1"/>
    </xf>
    <xf numFmtId="0" fontId="10" fillId="2" borderId="1" xfId="0" applyFont="1" applyFill="1" applyBorder="1" applyAlignment="1" applyProtection="1">
      <alignment horizontal="center" vertical="center"/>
    </xf>
  </cellXfs>
  <cellStyles count="3">
    <cellStyle name="Hipervínculo" xfId="2" builtinId="8"/>
    <cellStyle name="Normal" xfId="0" builtinId="0"/>
    <cellStyle name="Normal 11" xfId="1" xr:uid="{00000000-0005-0000-0000-000002000000}"/>
  </cellStyles>
  <dxfs count="1465">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b/>
        <i val="0"/>
        <color theme="0"/>
      </font>
      <fill>
        <patternFill>
          <bgColor rgb="FFFF0000"/>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b/>
        <i val="0"/>
        <color theme="0"/>
      </font>
      <fill>
        <patternFill>
          <bgColor rgb="FFFF0000"/>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border>
        <left/>
        <right/>
        <top/>
        <bottom/>
      </border>
    </dxf>
    <dxf>
      <font>
        <b/>
        <i val="0"/>
        <color theme="0"/>
      </font>
      <fill>
        <patternFill>
          <bgColor rgb="FFFF0000"/>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dxf>
    <dxf>
      <font>
        <color theme="1"/>
      </font>
      <fill>
        <patternFill>
          <bgColor theme="2" tint="0.79998168889431442"/>
        </patternFill>
      </fill>
    </dxf>
    <dxf>
      <font>
        <b/>
        <i val="0"/>
        <color theme="0"/>
      </font>
      <fill>
        <patternFill>
          <bgColor rgb="FFFF0000"/>
        </patternFill>
      </fill>
    </dxf>
    <dxf>
      <font>
        <b/>
        <i val="0"/>
        <color theme="0"/>
      </font>
      <fill>
        <patternFill>
          <bgColor rgb="FFFF0000"/>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b/>
        <i val="0"/>
        <color theme="0"/>
      </font>
      <fill>
        <patternFill>
          <bgColor rgb="FFFF0000"/>
        </patternFill>
      </fill>
    </dxf>
    <dxf>
      <font>
        <color theme="0" tint="-0.24994659260841701"/>
      </font>
      <fill>
        <patternFill>
          <bgColor theme="0" tint="-4.9989318521683403E-2"/>
        </patternFill>
      </fill>
      <border>
        <left/>
        <right/>
        <top/>
        <bottom/>
      </border>
    </dxf>
    <dxf>
      <font>
        <b/>
        <i val="0"/>
        <color theme="0"/>
      </font>
      <fill>
        <patternFill>
          <bgColor rgb="FFFF0000"/>
        </patternFill>
      </fill>
    </dxf>
    <dxf>
      <font>
        <color theme="0"/>
      </font>
      <fill>
        <patternFill>
          <bgColor theme="4"/>
        </patternFill>
      </fill>
    </dxf>
    <dxf>
      <font>
        <color theme="0" tint="-0.24994659260841701"/>
      </font>
      <fill>
        <patternFill>
          <bgColor theme="0" tint="-4.9989318521683403E-2"/>
        </patternFill>
      </fill>
      <border>
        <left style="dotted">
          <color theme="0"/>
        </left>
        <right style="dotted">
          <color theme="0"/>
        </right>
        <top style="dotted">
          <color theme="0"/>
        </top>
        <bottom style="dotted">
          <color theme="0"/>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border>
        <left/>
        <right/>
        <top/>
        <bottom/>
      </border>
    </dxf>
    <dxf>
      <font>
        <b/>
        <i val="0"/>
        <color theme="0"/>
      </font>
      <fill>
        <patternFill>
          <bgColor rgb="FFFF0000"/>
        </patternFill>
      </fill>
    </dxf>
    <dxf>
      <font>
        <b/>
        <i val="0"/>
        <color theme="0"/>
      </font>
      <fill>
        <patternFill>
          <bgColor rgb="FFFF0000"/>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val="0"/>
        <i val="0"/>
        <color theme="0"/>
      </font>
      <fill>
        <patternFill>
          <bgColor rgb="FFFF0000"/>
        </patternFill>
      </fill>
      <border>
        <left style="thin">
          <color theme="0"/>
        </left>
        <right style="thin">
          <color theme="0"/>
        </right>
        <top style="thin">
          <color theme="0"/>
        </top>
        <bottom style="thin">
          <color theme="0"/>
        </bottom>
      </border>
    </dxf>
    <dxf>
      <font>
        <color theme="0" tint="-0.24994659260841701"/>
      </font>
      <fill>
        <patternFill>
          <bgColor theme="0" tint="-4.9989318521683403E-2"/>
        </patternFill>
      </fill>
      <border>
        <left/>
        <right/>
        <top/>
        <bottom/>
      </border>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tint="-0.24994659260841701"/>
      </font>
      <fill>
        <patternFill>
          <bgColor theme="0" tint="-4.9989318521683403E-2"/>
        </patternFill>
      </fill>
      <border>
        <left/>
        <right/>
        <top/>
        <bottom/>
      </border>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tint="-0.24994659260841701"/>
      </font>
      <fill>
        <patternFill>
          <bgColor theme="0" tint="-4.9989318521683403E-2"/>
        </patternFill>
      </fill>
      <border>
        <left/>
        <right/>
        <top/>
        <bottom/>
      </border>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tint="-0.24994659260841701"/>
      </font>
      <fill>
        <patternFill>
          <bgColor theme="0" tint="-4.9989318521683403E-2"/>
        </patternFill>
      </fill>
      <border>
        <left/>
        <right/>
        <top/>
        <bottom/>
      </border>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tint="-0.24994659260841701"/>
      </font>
      <fill>
        <patternFill>
          <bgColor theme="0" tint="-4.9989318521683403E-2"/>
        </patternFill>
      </fill>
      <border>
        <left/>
        <right/>
        <top/>
        <bottom/>
      </border>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tint="-0.24994659260841701"/>
      </font>
      <fill>
        <patternFill>
          <bgColor theme="0" tint="-4.9989318521683403E-2"/>
        </patternFill>
      </fill>
      <border>
        <left/>
        <right/>
        <top/>
        <bottom/>
      </border>
    </dxf>
    <dxf>
      <font>
        <b/>
        <i val="0"/>
        <color theme="0"/>
      </font>
      <fill>
        <patternFill>
          <bgColor rgb="FFFF0000"/>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0.24994659260841701"/>
      </font>
      <fill>
        <patternFill>
          <bgColor theme="0" tint="-4.9989318521683403E-2"/>
        </patternFill>
      </fill>
      <border>
        <left/>
        <right/>
        <top/>
        <bottom/>
        <vertical/>
        <horizontal/>
      </border>
    </dxf>
    <dxf>
      <font>
        <b/>
        <i val="0"/>
        <color theme="5"/>
      </font>
      <fill>
        <patternFill patternType="none">
          <bgColor auto="1"/>
        </patternFill>
      </fill>
    </dxf>
    <dxf>
      <font>
        <color theme="0" tint="-0.24994659260841701"/>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b/>
        <i val="0"/>
        <color theme="0"/>
      </font>
      <fill>
        <patternFill>
          <bgColor rgb="FFFF0000"/>
        </patternFill>
      </fill>
    </dxf>
    <dxf>
      <font>
        <b/>
        <i val="0"/>
        <color theme="0"/>
      </font>
      <fill>
        <patternFill>
          <bgColor rgb="FFFF0000"/>
        </patternFill>
      </fill>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b/>
        <i val="0"/>
        <color theme="0"/>
      </font>
      <fill>
        <patternFill>
          <bgColor rgb="FFFF0000"/>
        </patternFill>
      </fill>
    </dxf>
    <dxf>
      <font>
        <b/>
        <i val="0"/>
        <color theme="0"/>
      </font>
      <fill>
        <patternFill>
          <bgColor rgb="FFFF0000"/>
        </patternFill>
      </fill>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14996795556505021"/>
      </font>
      <fill>
        <patternFill>
          <bgColor theme="0" tint="-4.9989318521683403E-2"/>
        </patternFill>
      </fill>
      <border>
        <left/>
        <right/>
        <top/>
        <bottom/>
      </border>
    </dxf>
    <dxf>
      <font>
        <b/>
        <i val="0"/>
        <color theme="0"/>
      </font>
      <fill>
        <patternFill>
          <bgColor rgb="FFFF0000"/>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border>
    </dxf>
    <dxf>
      <font>
        <b/>
        <i val="0"/>
        <color theme="0"/>
      </font>
      <fill>
        <patternFill>
          <bgColor rgb="FFFF0000"/>
        </patternFill>
      </fill>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0.24994659260841701"/>
      </font>
      <fill>
        <patternFill>
          <bgColor theme="0" tint="-4.9989318521683403E-2"/>
        </patternFill>
      </fill>
      <border>
        <left/>
        <right/>
        <top/>
        <bottom/>
      </border>
    </dxf>
    <dxf>
      <font>
        <color theme="0" tint="-0.24994659260841701"/>
      </font>
      <fill>
        <patternFill>
          <bgColor theme="0" tint="-4.9989318521683403E-2"/>
        </patternFill>
      </fill>
    </dxf>
    <dxf>
      <font>
        <b/>
        <i val="0"/>
        <color theme="0"/>
      </font>
      <fill>
        <patternFill>
          <bgColor rgb="FFFF0000"/>
        </patternFill>
      </fill>
    </dxf>
    <dxf>
      <font>
        <color theme="0" tint="-4.9989318521683403E-2"/>
      </font>
      <fill>
        <patternFill>
          <bgColor theme="0" tint="-4.9989318521683403E-2"/>
        </patternFill>
      </fill>
    </dxf>
    <dxf>
      <font>
        <color theme="0" tint="-0.24994659260841701"/>
      </font>
      <fill>
        <patternFill>
          <bgColor theme="0" tint="-4.9989318521683403E-2"/>
        </patternFill>
      </fill>
      <border>
        <left/>
        <right/>
        <top/>
        <bottom/>
      </border>
    </dxf>
    <dxf>
      <font>
        <color theme="0" tint="-4.9989318521683403E-2"/>
      </font>
      <fill>
        <patternFill>
          <bgColor theme="0" tint="-4.9989318521683403E-2"/>
        </patternFill>
      </fill>
    </dxf>
    <dxf>
      <font>
        <color theme="0" tint="-4.9989318521683403E-2"/>
      </font>
      <fill>
        <patternFill>
          <bgColor theme="0" tint="-4.9989318521683403E-2"/>
        </patternFill>
      </fill>
      <border>
        <left/>
        <right/>
        <top/>
        <bottom/>
      </border>
    </dxf>
    <dxf>
      <font>
        <b/>
        <i val="0"/>
        <color theme="0"/>
      </font>
      <fill>
        <patternFill>
          <bgColor rgb="FFFF0000"/>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s>
  <tableStyles count="0" defaultTableStyle="TableStyleMedium9" defaultPivotStyle="PivotStyleLight16"/>
  <colors>
    <mruColors>
      <color rgb="FFAFBAC1"/>
      <color rgb="FF0094DC"/>
      <color rgb="FF0093DC"/>
      <color rgb="FF21A0E1"/>
      <color rgb="FF0089C6"/>
      <color rgb="FF00A84F"/>
      <color rgb="FFD0F7FE"/>
      <color rgb="FFE2FA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chemeClr val="tx2"/>
            </a:solidFill>
          </c:spPr>
          <c:dPt>
            <c:idx val="0"/>
            <c:bubble3D val="0"/>
            <c:spPr>
              <a:solidFill>
                <a:schemeClr val="tx2"/>
              </a:solidFill>
              <a:ln w="19050">
                <a:solidFill>
                  <a:schemeClr val="lt1"/>
                </a:solidFill>
              </a:ln>
              <a:effectLst/>
            </c:spPr>
            <c:extLst>
              <c:ext xmlns:c16="http://schemas.microsoft.com/office/drawing/2014/chart" uri="{C3380CC4-5D6E-409C-BE32-E72D297353CC}">
                <c16:uniqueId val="{00000001-C2C1-BD46-B506-03F7CF84110C}"/>
              </c:ext>
            </c:extLst>
          </c:dPt>
          <c:dPt>
            <c:idx val="1"/>
            <c:bubble3D val="0"/>
            <c:spPr>
              <a:solidFill>
                <a:schemeClr val="tx2"/>
              </a:solidFill>
              <a:ln w="19050">
                <a:solidFill>
                  <a:schemeClr val="lt1"/>
                </a:solidFill>
              </a:ln>
              <a:effectLst/>
            </c:spPr>
            <c:extLst>
              <c:ext xmlns:c16="http://schemas.microsoft.com/office/drawing/2014/chart" uri="{C3380CC4-5D6E-409C-BE32-E72D297353CC}">
                <c16:uniqueId val="{00000003-C2C1-BD46-B506-03F7CF84110C}"/>
              </c:ext>
            </c:extLst>
          </c:dPt>
          <c:dPt>
            <c:idx val="2"/>
            <c:bubble3D val="0"/>
            <c:spPr>
              <a:solidFill>
                <a:schemeClr val="tx2"/>
              </a:solidFill>
              <a:ln w="19050">
                <a:solidFill>
                  <a:schemeClr val="lt1"/>
                </a:solidFill>
              </a:ln>
              <a:effectLst/>
            </c:spPr>
            <c:extLst>
              <c:ext xmlns:c16="http://schemas.microsoft.com/office/drawing/2014/chart" uri="{C3380CC4-5D6E-409C-BE32-E72D297353CC}">
                <c16:uniqueId val="{00000005-C2C1-BD46-B506-03F7CF84110C}"/>
              </c:ext>
            </c:extLst>
          </c:dPt>
          <c:dPt>
            <c:idx val="3"/>
            <c:bubble3D val="0"/>
            <c:spPr>
              <a:solidFill>
                <a:schemeClr val="tx2"/>
              </a:solidFill>
              <a:ln w="19050">
                <a:solidFill>
                  <a:schemeClr val="lt1"/>
                </a:solidFill>
              </a:ln>
              <a:effectLst/>
            </c:spPr>
            <c:extLst>
              <c:ext xmlns:c16="http://schemas.microsoft.com/office/drawing/2014/chart" uri="{C3380CC4-5D6E-409C-BE32-E72D297353CC}">
                <c16:uniqueId val="{00000007-C2C1-BD46-B506-03F7CF84110C}"/>
              </c:ext>
            </c:extLst>
          </c:dPt>
          <c:dPt>
            <c:idx val="4"/>
            <c:bubble3D val="0"/>
            <c:spPr>
              <a:solidFill>
                <a:schemeClr val="tx2"/>
              </a:solidFill>
              <a:ln w="19050">
                <a:solidFill>
                  <a:schemeClr val="lt1"/>
                </a:solidFill>
              </a:ln>
              <a:effectLst/>
            </c:spPr>
            <c:extLst>
              <c:ext xmlns:c16="http://schemas.microsoft.com/office/drawing/2014/chart" uri="{C3380CC4-5D6E-409C-BE32-E72D297353CC}">
                <c16:uniqueId val="{00000009-C2C1-BD46-B506-03F7CF84110C}"/>
              </c:ext>
            </c:extLst>
          </c:dPt>
          <c:dPt>
            <c:idx val="5"/>
            <c:bubble3D val="0"/>
            <c:spPr>
              <a:solidFill>
                <a:schemeClr val="tx2"/>
              </a:solidFill>
              <a:ln w="19050">
                <a:solidFill>
                  <a:schemeClr val="lt1"/>
                </a:solidFill>
              </a:ln>
              <a:effectLst/>
            </c:spPr>
            <c:extLst>
              <c:ext xmlns:c16="http://schemas.microsoft.com/office/drawing/2014/chart" uri="{C3380CC4-5D6E-409C-BE32-E72D297353CC}">
                <c16:uniqueId val="{0000000B-C2C1-BD46-B506-03F7CF84110C}"/>
              </c:ext>
            </c:extLst>
          </c:dPt>
          <c:dPt>
            <c:idx val="6"/>
            <c:bubble3D val="0"/>
            <c:spPr>
              <a:solidFill>
                <a:schemeClr val="tx2"/>
              </a:solidFill>
              <a:ln w="19050">
                <a:solidFill>
                  <a:schemeClr val="lt1"/>
                </a:solidFill>
              </a:ln>
              <a:effectLst/>
            </c:spPr>
            <c:extLst>
              <c:ext xmlns:c16="http://schemas.microsoft.com/office/drawing/2014/chart" uri="{C3380CC4-5D6E-409C-BE32-E72D297353CC}">
                <c16:uniqueId val="{0000000D-C2C1-BD46-B506-03F7CF84110C}"/>
              </c:ext>
            </c:extLst>
          </c:dPt>
          <c:dPt>
            <c:idx val="7"/>
            <c:bubble3D val="0"/>
            <c:spPr>
              <a:solidFill>
                <a:schemeClr val="tx2"/>
              </a:solidFill>
              <a:ln w="19050">
                <a:solidFill>
                  <a:schemeClr val="lt1"/>
                </a:solidFill>
              </a:ln>
              <a:effectLst/>
            </c:spPr>
            <c:extLst>
              <c:ext xmlns:c16="http://schemas.microsoft.com/office/drawing/2014/chart" uri="{C3380CC4-5D6E-409C-BE32-E72D297353CC}">
                <c16:uniqueId val="{0000000F-C2C1-BD46-B506-03F7CF84110C}"/>
              </c:ext>
            </c:extLst>
          </c:dPt>
          <c:dPt>
            <c:idx val="8"/>
            <c:bubble3D val="0"/>
            <c:spPr>
              <a:solidFill>
                <a:schemeClr val="tx2"/>
              </a:solidFill>
              <a:ln w="19050">
                <a:solidFill>
                  <a:schemeClr val="lt1"/>
                </a:solidFill>
              </a:ln>
              <a:effectLst/>
            </c:spPr>
            <c:extLst>
              <c:ext xmlns:c16="http://schemas.microsoft.com/office/drawing/2014/chart" uri="{C3380CC4-5D6E-409C-BE32-E72D297353CC}">
                <c16:uniqueId val="{00000011-C2C1-BD46-B506-03F7CF84110C}"/>
              </c:ext>
            </c:extLst>
          </c:dPt>
          <c:dPt>
            <c:idx val="9"/>
            <c:bubble3D val="0"/>
            <c:spPr>
              <a:solidFill>
                <a:schemeClr val="tx2"/>
              </a:solidFill>
              <a:ln w="19050">
                <a:solidFill>
                  <a:schemeClr val="lt1"/>
                </a:solidFill>
              </a:ln>
              <a:effectLst/>
            </c:spPr>
            <c:extLst>
              <c:ext xmlns:c16="http://schemas.microsoft.com/office/drawing/2014/chart" uri="{C3380CC4-5D6E-409C-BE32-E72D297353CC}">
                <c16:uniqueId val="{00000013-C2C1-BD46-B506-03F7CF84110C}"/>
              </c:ext>
            </c:extLst>
          </c:dPt>
          <c:dPt>
            <c:idx val="10"/>
            <c:bubble3D val="0"/>
            <c:spPr>
              <a:solidFill>
                <a:schemeClr val="tx2"/>
              </a:solidFill>
              <a:ln w="19050">
                <a:solidFill>
                  <a:schemeClr val="lt1"/>
                </a:solidFill>
              </a:ln>
              <a:effectLst/>
            </c:spPr>
            <c:extLst>
              <c:ext xmlns:c16="http://schemas.microsoft.com/office/drawing/2014/chart" uri="{C3380CC4-5D6E-409C-BE32-E72D297353CC}">
                <c16:uniqueId val="{00000015-C2C1-BD46-B506-03F7CF84110C}"/>
              </c:ext>
            </c:extLst>
          </c:dPt>
          <c:dPt>
            <c:idx val="11"/>
            <c:bubble3D val="0"/>
            <c:spPr>
              <a:solidFill>
                <a:schemeClr val="tx2"/>
              </a:solidFill>
              <a:ln w="19050">
                <a:solidFill>
                  <a:schemeClr val="lt1"/>
                </a:solidFill>
              </a:ln>
              <a:effectLst/>
            </c:spPr>
            <c:extLst>
              <c:ext xmlns:c16="http://schemas.microsoft.com/office/drawing/2014/chart" uri="{C3380CC4-5D6E-409C-BE32-E72D297353CC}">
                <c16:uniqueId val="{00000017-C2C1-BD46-B506-03F7CF84110C}"/>
              </c:ext>
            </c:extLst>
          </c:dPt>
          <c:dPt>
            <c:idx val="12"/>
            <c:bubble3D val="0"/>
            <c:spPr>
              <a:solidFill>
                <a:schemeClr val="tx2"/>
              </a:solidFill>
              <a:ln w="19050">
                <a:solidFill>
                  <a:schemeClr val="lt1"/>
                </a:solidFill>
              </a:ln>
              <a:effectLst/>
            </c:spPr>
            <c:extLst>
              <c:ext xmlns:c16="http://schemas.microsoft.com/office/drawing/2014/chart" uri="{C3380CC4-5D6E-409C-BE32-E72D297353CC}">
                <c16:uniqueId val="{00000019-C2C1-BD46-B506-03F7CF84110C}"/>
              </c:ext>
            </c:extLst>
          </c:dPt>
          <c:dPt>
            <c:idx val="13"/>
            <c:bubble3D val="0"/>
            <c:spPr>
              <a:solidFill>
                <a:schemeClr val="tx2"/>
              </a:solidFill>
              <a:ln w="19050">
                <a:solidFill>
                  <a:schemeClr val="lt1"/>
                </a:solidFill>
              </a:ln>
              <a:effectLst/>
            </c:spPr>
            <c:extLst>
              <c:ext xmlns:c16="http://schemas.microsoft.com/office/drawing/2014/chart" uri="{C3380CC4-5D6E-409C-BE32-E72D297353CC}">
                <c16:uniqueId val="{0000001B-C2C1-BD46-B506-03F7CF84110C}"/>
              </c:ext>
            </c:extLst>
          </c:dPt>
          <c:dPt>
            <c:idx val="14"/>
            <c:bubble3D val="0"/>
            <c:spPr>
              <a:solidFill>
                <a:schemeClr val="tx2"/>
              </a:solidFill>
              <a:ln w="19050">
                <a:solidFill>
                  <a:schemeClr val="lt1"/>
                </a:solidFill>
              </a:ln>
              <a:effectLst/>
            </c:spPr>
            <c:extLst>
              <c:ext xmlns:c16="http://schemas.microsoft.com/office/drawing/2014/chart" uri="{C3380CC4-5D6E-409C-BE32-E72D297353CC}">
                <c16:uniqueId val="{0000001D-C2C1-BD46-B506-03F7CF84110C}"/>
              </c:ext>
            </c:extLst>
          </c:dPt>
          <c:dPt>
            <c:idx val="15"/>
            <c:bubble3D val="0"/>
            <c:spPr>
              <a:solidFill>
                <a:schemeClr val="tx2"/>
              </a:solidFill>
              <a:ln w="19050">
                <a:solidFill>
                  <a:schemeClr val="lt1"/>
                </a:solidFill>
              </a:ln>
              <a:effectLst/>
            </c:spPr>
            <c:extLst>
              <c:ext xmlns:c16="http://schemas.microsoft.com/office/drawing/2014/chart" uri="{C3380CC4-5D6E-409C-BE32-E72D297353CC}">
                <c16:uniqueId val="{0000001F-C2C1-BD46-B506-03F7CF84110C}"/>
              </c:ext>
            </c:extLst>
          </c:dPt>
          <c:dPt>
            <c:idx val="16"/>
            <c:bubble3D val="0"/>
            <c:spPr>
              <a:solidFill>
                <a:schemeClr val="tx2"/>
              </a:solidFill>
              <a:ln w="19050">
                <a:solidFill>
                  <a:schemeClr val="lt1"/>
                </a:solidFill>
              </a:ln>
              <a:effectLst/>
            </c:spPr>
            <c:extLst>
              <c:ext xmlns:c16="http://schemas.microsoft.com/office/drawing/2014/chart" uri="{C3380CC4-5D6E-409C-BE32-E72D297353CC}">
                <c16:uniqueId val="{00000021-C2C1-BD46-B506-03F7CF84110C}"/>
              </c:ext>
            </c:extLst>
          </c:dPt>
          <c:dPt>
            <c:idx val="17"/>
            <c:bubble3D val="0"/>
            <c:spPr>
              <a:solidFill>
                <a:schemeClr val="tx2"/>
              </a:solidFill>
              <a:ln w="19050">
                <a:solidFill>
                  <a:schemeClr val="lt1"/>
                </a:solidFill>
              </a:ln>
              <a:effectLst/>
            </c:spPr>
            <c:extLst>
              <c:ext xmlns:c16="http://schemas.microsoft.com/office/drawing/2014/chart" uri="{C3380CC4-5D6E-409C-BE32-E72D297353CC}">
                <c16:uniqueId val="{00000023-C2C1-BD46-B506-03F7CF84110C}"/>
              </c:ext>
            </c:extLst>
          </c:dPt>
          <c:dPt>
            <c:idx val="18"/>
            <c:bubble3D val="0"/>
            <c:spPr>
              <a:solidFill>
                <a:schemeClr val="tx2"/>
              </a:solidFill>
              <a:ln w="19050">
                <a:solidFill>
                  <a:schemeClr val="lt1"/>
                </a:solidFill>
              </a:ln>
              <a:effectLst/>
            </c:spPr>
            <c:extLst>
              <c:ext xmlns:c16="http://schemas.microsoft.com/office/drawing/2014/chart" uri="{C3380CC4-5D6E-409C-BE32-E72D297353CC}">
                <c16:uniqueId val="{00000025-C2C1-BD46-B506-03F7CF84110C}"/>
              </c:ext>
            </c:extLst>
          </c:dPt>
          <c:dPt>
            <c:idx val="19"/>
            <c:bubble3D val="0"/>
            <c:spPr>
              <a:solidFill>
                <a:schemeClr val="tx2"/>
              </a:solidFill>
              <a:ln w="19050">
                <a:solidFill>
                  <a:schemeClr val="lt1"/>
                </a:solidFill>
              </a:ln>
              <a:effectLst/>
            </c:spPr>
            <c:extLst>
              <c:ext xmlns:c16="http://schemas.microsoft.com/office/drawing/2014/chart" uri="{C3380CC4-5D6E-409C-BE32-E72D297353CC}">
                <c16:uniqueId val="{00000027-C2C1-BD46-B506-03F7CF84110C}"/>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C2C1-BD46-B506-03F7CF84110C}"/>
            </c:ext>
          </c:extLst>
        </c:ser>
        <c:dLbls>
          <c:showLegendKey val="0"/>
          <c:showVal val="0"/>
          <c:showCatName val="0"/>
          <c:showSerName val="0"/>
          <c:showPercent val="0"/>
          <c:showBubbleSize val="0"/>
          <c:showLeaderLines val="0"/>
        </c:dLbls>
        <c:firstSliceAng val="0"/>
        <c:holeSize val="57"/>
      </c:doughnutChart>
      <c:pieChart>
        <c:varyColors val="1"/>
        <c:ser>
          <c:idx val="1"/>
          <c:order val="1"/>
          <c:dPt>
            <c:idx val="0"/>
            <c:bubble3D val="0"/>
            <c:spPr>
              <a:noFill/>
              <a:ln w="19050">
                <a:solidFill>
                  <a:schemeClr val="lt1"/>
                </a:solidFill>
              </a:ln>
              <a:effectLst/>
            </c:spPr>
            <c:extLst>
              <c:ext xmlns:c16="http://schemas.microsoft.com/office/drawing/2014/chart" uri="{C3380CC4-5D6E-409C-BE32-E72D297353CC}">
                <c16:uniqueId val="{0000002A-C2C1-BD46-B506-03F7CF84110C}"/>
              </c:ext>
            </c:extLst>
          </c:dPt>
          <c:dPt>
            <c:idx val="1"/>
            <c:bubble3D val="0"/>
            <c:spPr>
              <a:solidFill>
                <a:sysClr val="window" lastClr="FFFFFF">
                  <a:alpha val="70000"/>
                </a:sysClr>
              </a:solidFill>
              <a:ln w="19050">
                <a:solidFill>
                  <a:schemeClr val="lt1"/>
                </a:solidFill>
              </a:ln>
              <a:effectLst/>
            </c:spPr>
            <c:extLst>
              <c:ext xmlns:c16="http://schemas.microsoft.com/office/drawing/2014/chart" uri="{C3380CC4-5D6E-409C-BE32-E72D297353CC}">
                <c16:uniqueId val="{0000002C-C2C1-BD46-B506-03F7CF84110C}"/>
              </c:ext>
            </c:extLst>
          </c:dPt>
          <c:val>
            <c:numRef>
              <c:f>SITIO!$AI$2:$AJ$2</c:f>
              <c:numCache>
                <c:formatCode>0%</c:formatCode>
                <c:ptCount val="2"/>
                <c:pt idx="0">
                  <c:v>0</c:v>
                </c:pt>
                <c:pt idx="1">
                  <c:v>0</c:v>
                </c:pt>
              </c:numCache>
            </c:numRef>
          </c:val>
          <c:extLst>
            <c:ext xmlns:c16="http://schemas.microsoft.com/office/drawing/2014/chart" uri="{C3380CC4-5D6E-409C-BE32-E72D297353CC}">
              <c16:uniqueId val="{0000002D-C2C1-BD46-B506-03F7CF84110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AR"/>
    </a:p>
  </c:txPr>
  <c:printSettings>
    <c:headerFooter/>
    <c:pageMargins b="0.75000000000000011" l="0.70000000000000007" r="0.70000000000000007" t="0.75000000000000011" header="0.30000000000000004" footer="0.3000000000000000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chemeClr val="accent4">
                <a:lumMod val="60000"/>
                <a:lumOff val="40000"/>
              </a:schemeClr>
            </a:solidFill>
          </c:spPr>
          <c:dPt>
            <c:idx val="0"/>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1-1D61-264E-8702-3C646A1A49A7}"/>
              </c:ext>
            </c:extLst>
          </c:dPt>
          <c:dPt>
            <c:idx val="1"/>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3-1D61-264E-8702-3C646A1A49A7}"/>
              </c:ext>
            </c:extLst>
          </c:dPt>
          <c:dPt>
            <c:idx val="2"/>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5-1D61-264E-8702-3C646A1A49A7}"/>
              </c:ext>
            </c:extLst>
          </c:dPt>
          <c:dPt>
            <c:idx val="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7-1D61-264E-8702-3C646A1A49A7}"/>
              </c:ext>
            </c:extLst>
          </c:dPt>
          <c:dPt>
            <c:idx val="4"/>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9-1D61-264E-8702-3C646A1A49A7}"/>
              </c:ext>
            </c:extLst>
          </c:dPt>
          <c:dPt>
            <c:idx val="5"/>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B-1D61-264E-8702-3C646A1A49A7}"/>
              </c:ext>
            </c:extLst>
          </c:dPt>
          <c:dPt>
            <c:idx val="6"/>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D-1D61-264E-8702-3C646A1A49A7}"/>
              </c:ext>
            </c:extLst>
          </c:dPt>
          <c:dPt>
            <c:idx val="7"/>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F-1D61-264E-8702-3C646A1A49A7}"/>
              </c:ext>
            </c:extLst>
          </c:dPt>
          <c:dPt>
            <c:idx val="8"/>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11-1D61-264E-8702-3C646A1A49A7}"/>
              </c:ext>
            </c:extLst>
          </c:dPt>
          <c:dPt>
            <c:idx val="9"/>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13-1D61-264E-8702-3C646A1A49A7}"/>
              </c:ext>
            </c:extLst>
          </c:dPt>
          <c:dPt>
            <c:idx val="10"/>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15-1D61-264E-8702-3C646A1A49A7}"/>
              </c:ext>
            </c:extLst>
          </c:dPt>
          <c:dPt>
            <c:idx val="11"/>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17-1D61-264E-8702-3C646A1A49A7}"/>
              </c:ext>
            </c:extLst>
          </c:dPt>
          <c:dPt>
            <c:idx val="12"/>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19-1D61-264E-8702-3C646A1A49A7}"/>
              </c:ext>
            </c:extLst>
          </c:dPt>
          <c:dPt>
            <c:idx val="1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1B-1D61-264E-8702-3C646A1A49A7}"/>
              </c:ext>
            </c:extLst>
          </c:dPt>
          <c:dPt>
            <c:idx val="14"/>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1D-1D61-264E-8702-3C646A1A49A7}"/>
              </c:ext>
            </c:extLst>
          </c:dPt>
          <c:dPt>
            <c:idx val="15"/>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1F-1D61-264E-8702-3C646A1A49A7}"/>
              </c:ext>
            </c:extLst>
          </c:dPt>
          <c:dPt>
            <c:idx val="16"/>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21-1D61-264E-8702-3C646A1A49A7}"/>
              </c:ext>
            </c:extLst>
          </c:dPt>
          <c:dPt>
            <c:idx val="17"/>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23-1D61-264E-8702-3C646A1A49A7}"/>
              </c:ext>
            </c:extLst>
          </c:dPt>
          <c:dPt>
            <c:idx val="18"/>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25-1D61-264E-8702-3C646A1A49A7}"/>
              </c:ext>
            </c:extLst>
          </c:dPt>
          <c:dPt>
            <c:idx val="19"/>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27-1D61-264E-8702-3C646A1A49A7}"/>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1D61-264E-8702-3C646A1A49A7}"/>
            </c:ext>
          </c:extLst>
        </c:ser>
        <c:dLbls>
          <c:showLegendKey val="0"/>
          <c:showVal val="0"/>
          <c:showCatName val="0"/>
          <c:showSerName val="0"/>
          <c:showPercent val="0"/>
          <c:showBubbleSize val="0"/>
          <c:showLeaderLines val="0"/>
        </c:dLbls>
        <c:firstSliceAng val="0"/>
        <c:holeSize val="57"/>
      </c:doughnutChart>
      <c:pieChart>
        <c:varyColors val="1"/>
        <c:ser>
          <c:idx val="1"/>
          <c:order val="1"/>
          <c:spPr>
            <a:solidFill>
              <a:schemeClr val="bg1"/>
            </a:solidFill>
            <a:ln>
              <a:solidFill>
                <a:schemeClr val="lt1"/>
              </a:solidFill>
            </a:ln>
            <a:effectLst>
              <a:outerShdw sx="1000" sy="1000" algn="ctr" rotWithShape="0">
                <a:srgbClr val="000000"/>
              </a:outerShdw>
            </a:effectLst>
          </c:spPr>
          <c:dPt>
            <c:idx val="0"/>
            <c:bubble3D val="0"/>
            <c:spPr>
              <a:noFill/>
              <a:ln>
                <a:solidFill>
                  <a:schemeClr val="lt1"/>
                </a:solidFill>
              </a:ln>
              <a:effectLst>
                <a:outerShdw sx="1000" sy="1000" algn="ctr" rotWithShape="0">
                  <a:srgbClr val="000000"/>
                </a:outerShdw>
              </a:effectLst>
            </c:spPr>
            <c:extLst>
              <c:ext xmlns:c16="http://schemas.microsoft.com/office/drawing/2014/chart" uri="{C3380CC4-5D6E-409C-BE32-E72D297353CC}">
                <c16:uniqueId val="{0000002A-1D61-264E-8702-3C646A1A49A7}"/>
              </c:ext>
            </c:extLst>
          </c:dPt>
          <c:dPt>
            <c:idx val="1"/>
            <c:bubble3D val="0"/>
            <c:spPr>
              <a:solidFill>
                <a:schemeClr val="bg1">
                  <a:alpha val="85000"/>
                </a:schemeClr>
              </a:solidFill>
              <a:ln>
                <a:solidFill>
                  <a:schemeClr val="lt1"/>
                </a:solidFill>
              </a:ln>
              <a:effectLst>
                <a:outerShdw sx="1000" sy="1000" algn="ctr" rotWithShape="0">
                  <a:srgbClr val="000000"/>
                </a:outerShdw>
              </a:effectLst>
            </c:spPr>
            <c:extLst>
              <c:ext xmlns:c16="http://schemas.microsoft.com/office/drawing/2014/chart" uri="{C3380CC4-5D6E-409C-BE32-E72D297353CC}">
                <c16:uniqueId val="{0000002C-1D61-264E-8702-3C646A1A49A7}"/>
              </c:ext>
            </c:extLst>
          </c:dPt>
          <c:val>
            <c:numRef>
              <c:f>BASE!$GR$46:$GS$46</c:f>
              <c:numCache>
                <c:formatCode>0.00%</c:formatCode>
                <c:ptCount val="2"/>
                <c:pt idx="0" formatCode="0%">
                  <c:v>0</c:v>
                </c:pt>
                <c:pt idx="1">
                  <c:v>0</c:v>
                </c:pt>
              </c:numCache>
            </c:numRef>
          </c:val>
          <c:extLst>
            <c:ext xmlns:c16="http://schemas.microsoft.com/office/drawing/2014/chart" uri="{C3380CC4-5D6E-409C-BE32-E72D297353CC}">
              <c16:uniqueId val="{0000002D-1D61-264E-8702-3C646A1A49A7}"/>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AR"/>
    </a:p>
  </c:txPr>
  <c:printSettings>
    <c:headerFooter/>
    <c:pageMargins b="0.75000000000000011" l="0.70000000000000007" r="0.70000000000000007" t="0.75000000000000011" header="0.30000000000000004" footer="0.30000000000000004"/>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chemeClr val="accent4">
                <a:lumMod val="60000"/>
                <a:lumOff val="40000"/>
              </a:schemeClr>
            </a:solidFill>
          </c:spPr>
          <c:dPt>
            <c:idx val="0"/>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1-246C-D04D-A698-3FAD4A9CD05B}"/>
              </c:ext>
            </c:extLst>
          </c:dPt>
          <c:dPt>
            <c:idx val="1"/>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3-246C-D04D-A698-3FAD4A9CD05B}"/>
              </c:ext>
            </c:extLst>
          </c:dPt>
          <c:dPt>
            <c:idx val="2"/>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5-246C-D04D-A698-3FAD4A9CD05B}"/>
              </c:ext>
            </c:extLst>
          </c:dPt>
          <c:dPt>
            <c:idx val="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7-246C-D04D-A698-3FAD4A9CD05B}"/>
              </c:ext>
            </c:extLst>
          </c:dPt>
          <c:dPt>
            <c:idx val="4"/>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9-246C-D04D-A698-3FAD4A9CD05B}"/>
              </c:ext>
            </c:extLst>
          </c:dPt>
          <c:dPt>
            <c:idx val="5"/>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B-246C-D04D-A698-3FAD4A9CD05B}"/>
              </c:ext>
            </c:extLst>
          </c:dPt>
          <c:dPt>
            <c:idx val="6"/>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D-246C-D04D-A698-3FAD4A9CD05B}"/>
              </c:ext>
            </c:extLst>
          </c:dPt>
          <c:dPt>
            <c:idx val="7"/>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F-246C-D04D-A698-3FAD4A9CD05B}"/>
              </c:ext>
            </c:extLst>
          </c:dPt>
          <c:dPt>
            <c:idx val="8"/>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11-246C-D04D-A698-3FAD4A9CD05B}"/>
              </c:ext>
            </c:extLst>
          </c:dPt>
          <c:dPt>
            <c:idx val="9"/>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13-246C-D04D-A698-3FAD4A9CD05B}"/>
              </c:ext>
            </c:extLst>
          </c:dPt>
          <c:dPt>
            <c:idx val="10"/>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15-246C-D04D-A698-3FAD4A9CD05B}"/>
              </c:ext>
            </c:extLst>
          </c:dPt>
          <c:dPt>
            <c:idx val="11"/>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17-246C-D04D-A698-3FAD4A9CD05B}"/>
              </c:ext>
            </c:extLst>
          </c:dPt>
          <c:dPt>
            <c:idx val="12"/>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19-246C-D04D-A698-3FAD4A9CD05B}"/>
              </c:ext>
            </c:extLst>
          </c:dPt>
          <c:dPt>
            <c:idx val="1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1B-246C-D04D-A698-3FAD4A9CD05B}"/>
              </c:ext>
            </c:extLst>
          </c:dPt>
          <c:dPt>
            <c:idx val="14"/>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1D-246C-D04D-A698-3FAD4A9CD05B}"/>
              </c:ext>
            </c:extLst>
          </c:dPt>
          <c:dPt>
            <c:idx val="15"/>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1F-246C-D04D-A698-3FAD4A9CD05B}"/>
              </c:ext>
            </c:extLst>
          </c:dPt>
          <c:dPt>
            <c:idx val="16"/>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21-246C-D04D-A698-3FAD4A9CD05B}"/>
              </c:ext>
            </c:extLst>
          </c:dPt>
          <c:dPt>
            <c:idx val="17"/>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23-246C-D04D-A698-3FAD4A9CD05B}"/>
              </c:ext>
            </c:extLst>
          </c:dPt>
          <c:dPt>
            <c:idx val="18"/>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25-246C-D04D-A698-3FAD4A9CD05B}"/>
              </c:ext>
            </c:extLst>
          </c:dPt>
          <c:dPt>
            <c:idx val="19"/>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27-246C-D04D-A698-3FAD4A9CD05B}"/>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246C-D04D-A698-3FAD4A9CD05B}"/>
            </c:ext>
          </c:extLst>
        </c:ser>
        <c:dLbls>
          <c:showLegendKey val="0"/>
          <c:showVal val="0"/>
          <c:showCatName val="0"/>
          <c:showSerName val="0"/>
          <c:showPercent val="0"/>
          <c:showBubbleSize val="0"/>
          <c:showLeaderLines val="0"/>
        </c:dLbls>
        <c:firstSliceAng val="0"/>
        <c:holeSize val="57"/>
      </c:doughnutChart>
      <c:pieChart>
        <c:varyColors val="1"/>
        <c:ser>
          <c:idx val="1"/>
          <c:order val="1"/>
          <c:spPr>
            <a:solidFill>
              <a:schemeClr val="bg1"/>
            </a:solidFill>
            <a:ln>
              <a:solidFill>
                <a:schemeClr val="lt1"/>
              </a:solidFill>
            </a:ln>
            <a:effectLst>
              <a:outerShdw sx="1000" sy="1000" algn="ctr" rotWithShape="0">
                <a:srgbClr val="000000"/>
              </a:outerShdw>
            </a:effectLst>
          </c:spPr>
          <c:dPt>
            <c:idx val="0"/>
            <c:bubble3D val="0"/>
            <c:spPr>
              <a:noFill/>
              <a:ln>
                <a:solidFill>
                  <a:schemeClr val="lt1"/>
                </a:solidFill>
              </a:ln>
              <a:effectLst>
                <a:outerShdw sx="1000" sy="1000" algn="ctr" rotWithShape="0">
                  <a:srgbClr val="000000"/>
                </a:outerShdw>
              </a:effectLst>
            </c:spPr>
            <c:extLst>
              <c:ext xmlns:c16="http://schemas.microsoft.com/office/drawing/2014/chart" uri="{C3380CC4-5D6E-409C-BE32-E72D297353CC}">
                <c16:uniqueId val="{0000002A-246C-D04D-A698-3FAD4A9CD05B}"/>
              </c:ext>
            </c:extLst>
          </c:dPt>
          <c:dPt>
            <c:idx val="1"/>
            <c:bubble3D val="0"/>
            <c:spPr>
              <a:solidFill>
                <a:schemeClr val="bg1">
                  <a:alpha val="85000"/>
                </a:schemeClr>
              </a:solidFill>
              <a:ln>
                <a:solidFill>
                  <a:schemeClr val="lt1"/>
                </a:solidFill>
              </a:ln>
              <a:effectLst>
                <a:outerShdw sx="1000" sy="1000" algn="ctr" rotWithShape="0">
                  <a:srgbClr val="000000"/>
                </a:outerShdw>
              </a:effectLst>
            </c:spPr>
            <c:extLst>
              <c:ext xmlns:c16="http://schemas.microsoft.com/office/drawing/2014/chart" uri="{C3380CC4-5D6E-409C-BE32-E72D297353CC}">
                <c16:uniqueId val="{0000002C-246C-D04D-A698-3FAD4A9CD05B}"/>
              </c:ext>
            </c:extLst>
          </c:dPt>
          <c:val>
            <c:numRef>
              <c:f>BASE!$GR$45:$GS$45</c:f>
              <c:numCache>
                <c:formatCode>0.00%</c:formatCode>
                <c:ptCount val="2"/>
                <c:pt idx="0" formatCode="0%">
                  <c:v>0</c:v>
                </c:pt>
                <c:pt idx="1">
                  <c:v>0</c:v>
                </c:pt>
              </c:numCache>
            </c:numRef>
          </c:val>
          <c:extLst>
            <c:ext xmlns:c16="http://schemas.microsoft.com/office/drawing/2014/chart" uri="{C3380CC4-5D6E-409C-BE32-E72D297353CC}">
              <c16:uniqueId val="{0000002D-246C-D04D-A698-3FAD4A9CD05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AR"/>
    </a:p>
  </c:txPr>
  <c:printSettings>
    <c:headerFooter/>
    <c:pageMargins b="0.75000000000000011" l="0.70000000000000007" r="0.70000000000000007" t="0.75000000000000011" header="0.30000000000000004" footer="0.30000000000000004"/>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chemeClr val="accent4">
                <a:lumMod val="60000"/>
                <a:lumOff val="40000"/>
              </a:schemeClr>
            </a:solidFill>
          </c:spPr>
          <c:dPt>
            <c:idx val="0"/>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1-8637-D547-9F2B-58EAE6A5C877}"/>
              </c:ext>
            </c:extLst>
          </c:dPt>
          <c:dPt>
            <c:idx val="1"/>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3-8637-D547-9F2B-58EAE6A5C877}"/>
              </c:ext>
            </c:extLst>
          </c:dPt>
          <c:dPt>
            <c:idx val="2"/>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5-8637-D547-9F2B-58EAE6A5C877}"/>
              </c:ext>
            </c:extLst>
          </c:dPt>
          <c:dPt>
            <c:idx val="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7-8637-D547-9F2B-58EAE6A5C877}"/>
              </c:ext>
            </c:extLst>
          </c:dPt>
          <c:dPt>
            <c:idx val="4"/>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9-8637-D547-9F2B-58EAE6A5C877}"/>
              </c:ext>
            </c:extLst>
          </c:dPt>
          <c:dPt>
            <c:idx val="5"/>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B-8637-D547-9F2B-58EAE6A5C877}"/>
              </c:ext>
            </c:extLst>
          </c:dPt>
          <c:dPt>
            <c:idx val="6"/>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D-8637-D547-9F2B-58EAE6A5C877}"/>
              </c:ext>
            </c:extLst>
          </c:dPt>
          <c:dPt>
            <c:idx val="7"/>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F-8637-D547-9F2B-58EAE6A5C877}"/>
              </c:ext>
            </c:extLst>
          </c:dPt>
          <c:dPt>
            <c:idx val="8"/>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11-8637-D547-9F2B-58EAE6A5C877}"/>
              </c:ext>
            </c:extLst>
          </c:dPt>
          <c:dPt>
            <c:idx val="9"/>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13-8637-D547-9F2B-58EAE6A5C877}"/>
              </c:ext>
            </c:extLst>
          </c:dPt>
          <c:dPt>
            <c:idx val="10"/>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15-8637-D547-9F2B-58EAE6A5C877}"/>
              </c:ext>
            </c:extLst>
          </c:dPt>
          <c:dPt>
            <c:idx val="11"/>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17-8637-D547-9F2B-58EAE6A5C877}"/>
              </c:ext>
            </c:extLst>
          </c:dPt>
          <c:dPt>
            <c:idx val="12"/>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19-8637-D547-9F2B-58EAE6A5C877}"/>
              </c:ext>
            </c:extLst>
          </c:dPt>
          <c:dPt>
            <c:idx val="1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1B-8637-D547-9F2B-58EAE6A5C877}"/>
              </c:ext>
            </c:extLst>
          </c:dPt>
          <c:dPt>
            <c:idx val="14"/>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1D-8637-D547-9F2B-58EAE6A5C877}"/>
              </c:ext>
            </c:extLst>
          </c:dPt>
          <c:dPt>
            <c:idx val="15"/>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1F-8637-D547-9F2B-58EAE6A5C877}"/>
              </c:ext>
            </c:extLst>
          </c:dPt>
          <c:dPt>
            <c:idx val="16"/>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21-8637-D547-9F2B-58EAE6A5C877}"/>
              </c:ext>
            </c:extLst>
          </c:dPt>
          <c:dPt>
            <c:idx val="17"/>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23-8637-D547-9F2B-58EAE6A5C877}"/>
              </c:ext>
            </c:extLst>
          </c:dPt>
          <c:dPt>
            <c:idx val="18"/>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25-8637-D547-9F2B-58EAE6A5C877}"/>
              </c:ext>
            </c:extLst>
          </c:dPt>
          <c:dPt>
            <c:idx val="19"/>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27-8637-D547-9F2B-58EAE6A5C877}"/>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8637-D547-9F2B-58EAE6A5C877}"/>
            </c:ext>
          </c:extLst>
        </c:ser>
        <c:dLbls>
          <c:showLegendKey val="0"/>
          <c:showVal val="0"/>
          <c:showCatName val="0"/>
          <c:showSerName val="0"/>
          <c:showPercent val="0"/>
          <c:showBubbleSize val="0"/>
          <c:showLeaderLines val="0"/>
        </c:dLbls>
        <c:firstSliceAng val="0"/>
        <c:holeSize val="57"/>
      </c:doughnutChart>
      <c:pieChart>
        <c:varyColors val="1"/>
        <c:ser>
          <c:idx val="1"/>
          <c:order val="1"/>
          <c:spPr>
            <a:solidFill>
              <a:schemeClr val="bg1"/>
            </a:solidFill>
            <a:ln>
              <a:solidFill>
                <a:schemeClr val="lt1"/>
              </a:solidFill>
            </a:ln>
            <a:effectLst>
              <a:outerShdw sx="1000" sy="1000" algn="ctr" rotWithShape="0">
                <a:srgbClr val="000000"/>
              </a:outerShdw>
            </a:effectLst>
          </c:spPr>
          <c:dPt>
            <c:idx val="0"/>
            <c:bubble3D val="0"/>
            <c:spPr>
              <a:noFill/>
              <a:ln>
                <a:solidFill>
                  <a:schemeClr val="lt1"/>
                </a:solidFill>
              </a:ln>
              <a:effectLst>
                <a:outerShdw sx="1000" sy="1000" algn="ctr" rotWithShape="0">
                  <a:srgbClr val="000000"/>
                </a:outerShdw>
              </a:effectLst>
            </c:spPr>
            <c:extLst>
              <c:ext xmlns:c16="http://schemas.microsoft.com/office/drawing/2014/chart" uri="{C3380CC4-5D6E-409C-BE32-E72D297353CC}">
                <c16:uniqueId val="{0000002A-8637-D547-9F2B-58EAE6A5C877}"/>
              </c:ext>
            </c:extLst>
          </c:dPt>
          <c:dPt>
            <c:idx val="1"/>
            <c:bubble3D val="0"/>
            <c:spPr>
              <a:solidFill>
                <a:schemeClr val="bg1">
                  <a:alpha val="85000"/>
                </a:schemeClr>
              </a:solidFill>
              <a:ln>
                <a:solidFill>
                  <a:schemeClr val="lt1"/>
                </a:solidFill>
              </a:ln>
              <a:effectLst>
                <a:outerShdw sx="1000" sy="1000" algn="ctr" rotWithShape="0">
                  <a:srgbClr val="000000"/>
                </a:outerShdw>
              </a:effectLst>
            </c:spPr>
            <c:extLst>
              <c:ext xmlns:c16="http://schemas.microsoft.com/office/drawing/2014/chart" uri="{C3380CC4-5D6E-409C-BE32-E72D297353CC}">
                <c16:uniqueId val="{0000002C-8637-D547-9F2B-58EAE6A5C877}"/>
              </c:ext>
            </c:extLst>
          </c:dPt>
          <c:val>
            <c:numRef>
              <c:f>BASE!$GR$47:$GS$47</c:f>
              <c:numCache>
                <c:formatCode>0.00%</c:formatCode>
                <c:ptCount val="2"/>
                <c:pt idx="0" formatCode="0%">
                  <c:v>0</c:v>
                </c:pt>
                <c:pt idx="1">
                  <c:v>0</c:v>
                </c:pt>
              </c:numCache>
            </c:numRef>
          </c:val>
          <c:extLst>
            <c:ext xmlns:c16="http://schemas.microsoft.com/office/drawing/2014/chart" uri="{C3380CC4-5D6E-409C-BE32-E72D297353CC}">
              <c16:uniqueId val="{0000002D-8637-D547-9F2B-58EAE6A5C877}"/>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AR"/>
    </a:p>
  </c:txPr>
  <c:printSettings>
    <c:headerFooter/>
    <c:pageMargins b="0.75000000000000011" l="0.70000000000000007" r="0.70000000000000007" t="0.75000000000000011" header="0.30000000000000004" footer="0.30000000000000004"/>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chemeClr val="accent2"/>
            </a:solidFill>
          </c:spPr>
          <c:dPt>
            <c:idx val="0"/>
            <c:bubble3D val="0"/>
            <c:spPr>
              <a:solidFill>
                <a:schemeClr val="accent2"/>
              </a:solidFill>
              <a:ln w="19050">
                <a:solidFill>
                  <a:schemeClr val="lt1"/>
                </a:solidFill>
              </a:ln>
              <a:effectLst/>
            </c:spPr>
            <c:extLst>
              <c:ext xmlns:c16="http://schemas.microsoft.com/office/drawing/2014/chart" uri="{C3380CC4-5D6E-409C-BE32-E72D297353CC}">
                <c16:uniqueId val="{00000001-54E1-0C43-A52D-A4A3A7A62B2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4E1-0C43-A52D-A4A3A7A62B2F}"/>
              </c:ext>
            </c:extLst>
          </c:dPt>
          <c:dPt>
            <c:idx val="2"/>
            <c:bubble3D val="0"/>
            <c:spPr>
              <a:solidFill>
                <a:schemeClr val="accent2"/>
              </a:solidFill>
              <a:ln w="19050">
                <a:solidFill>
                  <a:schemeClr val="lt1"/>
                </a:solidFill>
              </a:ln>
              <a:effectLst/>
            </c:spPr>
            <c:extLst>
              <c:ext xmlns:c16="http://schemas.microsoft.com/office/drawing/2014/chart" uri="{C3380CC4-5D6E-409C-BE32-E72D297353CC}">
                <c16:uniqueId val="{00000005-54E1-0C43-A52D-A4A3A7A62B2F}"/>
              </c:ext>
            </c:extLst>
          </c:dPt>
          <c:dPt>
            <c:idx val="3"/>
            <c:bubble3D val="0"/>
            <c:spPr>
              <a:solidFill>
                <a:schemeClr val="accent2"/>
              </a:solidFill>
              <a:ln w="19050">
                <a:solidFill>
                  <a:schemeClr val="lt1"/>
                </a:solidFill>
              </a:ln>
              <a:effectLst/>
            </c:spPr>
            <c:extLst>
              <c:ext xmlns:c16="http://schemas.microsoft.com/office/drawing/2014/chart" uri="{C3380CC4-5D6E-409C-BE32-E72D297353CC}">
                <c16:uniqueId val="{00000007-54E1-0C43-A52D-A4A3A7A62B2F}"/>
              </c:ext>
            </c:extLst>
          </c:dPt>
          <c:dPt>
            <c:idx val="4"/>
            <c:bubble3D val="0"/>
            <c:spPr>
              <a:solidFill>
                <a:schemeClr val="accent2"/>
              </a:solidFill>
              <a:ln w="19050">
                <a:solidFill>
                  <a:schemeClr val="lt1"/>
                </a:solidFill>
              </a:ln>
              <a:effectLst/>
            </c:spPr>
            <c:extLst>
              <c:ext xmlns:c16="http://schemas.microsoft.com/office/drawing/2014/chart" uri="{C3380CC4-5D6E-409C-BE32-E72D297353CC}">
                <c16:uniqueId val="{00000009-54E1-0C43-A52D-A4A3A7A62B2F}"/>
              </c:ext>
            </c:extLst>
          </c:dPt>
          <c:dPt>
            <c:idx val="5"/>
            <c:bubble3D val="0"/>
            <c:spPr>
              <a:solidFill>
                <a:schemeClr val="accent2"/>
              </a:solidFill>
              <a:ln w="19050">
                <a:solidFill>
                  <a:schemeClr val="lt1"/>
                </a:solidFill>
              </a:ln>
              <a:effectLst/>
            </c:spPr>
            <c:extLst>
              <c:ext xmlns:c16="http://schemas.microsoft.com/office/drawing/2014/chart" uri="{C3380CC4-5D6E-409C-BE32-E72D297353CC}">
                <c16:uniqueId val="{0000000B-54E1-0C43-A52D-A4A3A7A62B2F}"/>
              </c:ext>
            </c:extLst>
          </c:dPt>
          <c:dPt>
            <c:idx val="6"/>
            <c:bubble3D val="0"/>
            <c:spPr>
              <a:solidFill>
                <a:schemeClr val="accent2"/>
              </a:solidFill>
              <a:ln w="19050">
                <a:solidFill>
                  <a:schemeClr val="lt1"/>
                </a:solidFill>
              </a:ln>
              <a:effectLst/>
            </c:spPr>
            <c:extLst>
              <c:ext xmlns:c16="http://schemas.microsoft.com/office/drawing/2014/chart" uri="{C3380CC4-5D6E-409C-BE32-E72D297353CC}">
                <c16:uniqueId val="{0000000D-54E1-0C43-A52D-A4A3A7A62B2F}"/>
              </c:ext>
            </c:extLst>
          </c:dPt>
          <c:dPt>
            <c:idx val="7"/>
            <c:bubble3D val="0"/>
            <c:spPr>
              <a:solidFill>
                <a:schemeClr val="accent2"/>
              </a:solidFill>
              <a:ln w="19050">
                <a:solidFill>
                  <a:schemeClr val="lt1"/>
                </a:solidFill>
              </a:ln>
              <a:effectLst/>
            </c:spPr>
            <c:extLst>
              <c:ext xmlns:c16="http://schemas.microsoft.com/office/drawing/2014/chart" uri="{C3380CC4-5D6E-409C-BE32-E72D297353CC}">
                <c16:uniqueId val="{0000000F-54E1-0C43-A52D-A4A3A7A62B2F}"/>
              </c:ext>
            </c:extLst>
          </c:dPt>
          <c:dPt>
            <c:idx val="8"/>
            <c:bubble3D val="0"/>
            <c:spPr>
              <a:solidFill>
                <a:schemeClr val="accent2"/>
              </a:solidFill>
              <a:ln w="19050">
                <a:solidFill>
                  <a:schemeClr val="lt1"/>
                </a:solidFill>
              </a:ln>
              <a:effectLst/>
            </c:spPr>
            <c:extLst>
              <c:ext xmlns:c16="http://schemas.microsoft.com/office/drawing/2014/chart" uri="{C3380CC4-5D6E-409C-BE32-E72D297353CC}">
                <c16:uniqueId val="{00000011-54E1-0C43-A52D-A4A3A7A62B2F}"/>
              </c:ext>
            </c:extLst>
          </c:dPt>
          <c:dPt>
            <c:idx val="9"/>
            <c:bubble3D val="0"/>
            <c:spPr>
              <a:solidFill>
                <a:schemeClr val="accent2"/>
              </a:solidFill>
              <a:ln w="19050">
                <a:solidFill>
                  <a:schemeClr val="lt1"/>
                </a:solidFill>
              </a:ln>
              <a:effectLst/>
            </c:spPr>
            <c:extLst>
              <c:ext xmlns:c16="http://schemas.microsoft.com/office/drawing/2014/chart" uri="{C3380CC4-5D6E-409C-BE32-E72D297353CC}">
                <c16:uniqueId val="{00000013-54E1-0C43-A52D-A4A3A7A62B2F}"/>
              </c:ext>
            </c:extLst>
          </c:dPt>
          <c:dPt>
            <c:idx val="10"/>
            <c:bubble3D val="0"/>
            <c:spPr>
              <a:solidFill>
                <a:schemeClr val="accent2"/>
              </a:solidFill>
              <a:ln w="19050">
                <a:solidFill>
                  <a:schemeClr val="lt1"/>
                </a:solidFill>
              </a:ln>
              <a:effectLst/>
            </c:spPr>
            <c:extLst>
              <c:ext xmlns:c16="http://schemas.microsoft.com/office/drawing/2014/chart" uri="{C3380CC4-5D6E-409C-BE32-E72D297353CC}">
                <c16:uniqueId val="{00000015-54E1-0C43-A52D-A4A3A7A62B2F}"/>
              </c:ext>
            </c:extLst>
          </c:dPt>
          <c:dPt>
            <c:idx val="11"/>
            <c:bubble3D val="0"/>
            <c:spPr>
              <a:solidFill>
                <a:schemeClr val="accent2"/>
              </a:solidFill>
              <a:ln w="19050">
                <a:solidFill>
                  <a:schemeClr val="lt1"/>
                </a:solidFill>
              </a:ln>
              <a:effectLst/>
            </c:spPr>
            <c:extLst>
              <c:ext xmlns:c16="http://schemas.microsoft.com/office/drawing/2014/chart" uri="{C3380CC4-5D6E-409C-BE32-E72D297353CC}">
                <c16:uniqueId val="{00000017-54E1-0C43-A52D-A4A3A7A62B2F}"/>
              </c:ext>
            </c:extLst>
          </c:dPt>
          <c:dPt>
            <c:idx val="12"/>
            <c:bubble3D val="0"/>
            <c:spPr>
              <a:solidFill>
                <a:schemeClr val="accent2"/>
              </a:solidFill>
              <a:ln w="19050">
                <a:solidFill>
                  <a:schemeClr val="lt1"/>
                </a:solidFill>
              </a:ln>
              <a:effectLst/>
            </c:spPr>
            <c:extLst>
              <c:ext xmlns:c16="http://schemas.microsoft.com/office/drawing/2014/chart" uri="{C3380CC4-5D6E-409C-BE32-E72D297353CC}">
                <c16:uniqueId val="{00000019-54E1-0C43-A52D-A4A3A7A62B2F}"/>
              </c:ext>
            </c:extLst>
          </c:dPt>
          <c:dPt>
            <c:idx val="13"/>
            <c:bubble3D val="0"/>
            <c:spPr>
              <a:solidFill>
                <a:schemeClr val="accent2"/>
              </a:solidFill>
              <a:ln w="19050">
                <a:solidFill>
                  <a:schemeClr val="lt1"/>
                </a:solidFill>
              </a:ln>
              <a:effectLst/>
            </c:spPr>
            <c:extLst>
              <c:ext xmlns:c16="http://schemas.microsoft.com/office/drawing/2014/chart" uri="{C3380CC4-5D6E-409C-BE32-E72D297353CC}">
                <c16:uniqueId val="{0000001B-54E1-0C43-A52D-A4A3A7A62B2F}"/>
              </c:ext>
            </c:extLst>
          </c:dPt>
          <c:dPt>
            <c:idx val="14"/>
            <c:bubble3D val="0"/>
            <c:spPr>
              <a:solidFill>
                <a:schemeClr val="accent2"/>
              </a:solidFill>
              <a:ln w="19050">
                <a:solidFill>
                  <a:schemeClr val="lt1"/>
                </a:solidFill>
              </a:ln>
              <a:effectLst/>
            </c:spPr>
            <c:extLst>
              <c:ext xmlns:c16="http://schemas.microsoft.com/office/drawing/2014/chart" uri="{C3380CC4-5D6E-409C-BE32-E72D297353CC}">
                <c16:uniqueId val="{0000001D-54E1-0C43-A52D-A4A3A7A62B2F}"/>
              </c:ext>
            </c:extLst>
          </c:dPt>
          <c:dPt>
            <c:idx val="15"/>
            <c:bubble3D val="0"/>
            <c:spPr>
              <a:solidFill>
                <a:schemeClr val="accent2"/>
              </a:solidFill>
              <a:ln w="19050">
                <a:solidFill>
                  <a:schemeClr val="lt1"/>
                </a:solidFill>
              </a:ln>
              <a:effectLst/>
            </c:spPr>
            <c:extLst>
              <c:ext xmlns:c16="http://schemas.microsoft.com/office/drawing/2014/chart" uri="{C3380CC4-5D6E-409C-BE32-E72D297353CC}">
                <c16:uniqueId val="{0000001F-54E1-0C43-A52D-A4A3A7A62B2F}"/>
              </c:ext>
            </c:extLst>
          </c:dPt>
          <c:dPt>
            <c:idx val="16"/>
            <c:bubble3D val="0"/>
            <c:spPr>
              <a:solidFill>
                <a:schemeClr val="accent2"/>
              </a:solidFill>
              <a:ln w="19050">
                <a:solidFill>
                  <a:schemeClr val="lt1"/>
                </a:solidFill>
              </a:ln>
              <a:effectLst/>
            </c:spPr>
            <c:extLst>
              <c:ext xmlns:c16="http://schemas.microsoft.com/office/drawing/2014/chart" uri="{C3380CC4-5D6E-409C-BE32-E72D297353CC}">
                <c16:uniqueId val="{00000021-54E1-0C43-A52D-A4A3A7A62B2F}"/>
              </c:ext>
            </c:extLst>
          </c:dPt>
          <c:dPt>
            <c:idx val="17"/>
            <c:bubble3D val="0"/>
            <c:spPr>
              <a:solidFill>
                <a:schemeClr val="accent2"/>
              </a:solidFill>
              <a:ln w="19050">
                <a:solidFill>
                  <a:schemeClr val="lt1"/>
                </a:solidFill>
              </a:ln>
              <a:effectLst/>
            </c:spPr>
            <c:extLst>
              <c:ext xmlns:c16="http://schemas.microsoft.com/office/drawing/2014/chart" uri="{C3380CC4-5D6E-409C-BE32-E72D297353CC}">
                <c16:uniqueId val="{00000023-54E1-0C43-A52D-A4A3A7A62B2F}"/>
              </c:ext>
            </c:extLst>
          </c:dPt>
          <c:dPt>
            <c:idx val="18"/>
            <c:bubble3D val="0"/>
            <c:spPr>
              <a:solidFill>
                <a:schemeClr val="accent2"/>
              </a:solidFill>
              <a:ln w="19050">
                <a:solidFill>
                  <a:schemeClr val="lt1"/>
                </a:solidFill>
              </a:ln>
              <a:effectLst/>
            </c:spPr>
            <c:extLst>
              <c:ext xmlns:c16="http://schemas.microsoft.com/office/drawing/2014/chart" uri="{C3380CC4-5D6E-409C-BE32-E72D297353CC}">
                <c16:uniqueId val="{00000025-54E1-0C43-A52D-A4A3A7A62B2F}"/>
              </c:ext>
            </c:extLst>
          </c:dPt>
          <c:dPt>
            <c:idx val="19"/>
            <c:bubble3D val="0"/>
            <c:spPr>
              <a:solidFill>
                <a:schemeClr val="accent2"/>
              </a:solidFill>
              <a:ln w="19050">
                <a:solidFill>
                  <a:schemeClr val="lt1"/>
                </a:solidFill>
              </a:ln>
              <a:effectLst/>
            </c:spPr>
            <c:extLst>
              <c:ext xmlns:c16="http://schemas.microsoft.com/office/drawing/2014/chart" uri="{C3380CC4-5D6E-409C-BE32-E72D297353CC}">
                <c16:uniqueId val="{00000027-54E1-0C43-A52D-A4A3A7A62B2F}"/>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54E1-0C43-A52D-A4A3A7A62B2F}"/>
            </c:ext>
          </c:extLst>
        </c:ser>
        <c:dLbls>
          <c:showLegendKey val="0"/>
          <c:showVal val="0"/>
          <c:showCatName val="0"/>
          <c:showSerName val="0"/>
          <c:showPercent val="0"/>
          <c:showBubbleSize val="0"/>
          <c:showLeaderLines val="0"/>
        </c:dLbls>
        <c:firstSliceAng val="0"/>
        <c:holeSize val="57"/>
      </c:doughnutChart>
      <c:pieChart>
        <c:varyColors val="1"/>
        <c:ser>
          <c:idx val="1"/>
          <c:order val="1"/>
          <c:spPr>
            <a:solidFill>
              <a:schemeClr val="bg1"/>
            </a:solidFill>
          </c:spPr>
          <c:dPt>
            <c:idx val="0"/>
            <c:bubble3D val="0"/>
            <c:spPr>
              <a:noFill/>
            </c:spPr>
            <c:extLst>
              <c:ext xmlns:c16="http://schemas.microsoft.com/office/drawing/2014/chart" uri="{C3380CC4-5D6E-409C-BE32-E72D297353CC}">
                <c16:uniqueId val="{0000002F-54E1-0C43-A52D-A4A3A7A62B2F}"/>
              </c:ext>
            </c:extLst>
          </c:dPt>
          <c:dPt>
            <c:idx val="1"/>
            <c:bubble3D val="0"/>
            <c:spPr>
              <a:solidFill>
                <a:schemeClr val="bg1">
                  <a:alpha val="85000"/>
                </a:schemeClr>
              </a:solidFill>
            </c:spPr>
            <c:extLst>
              <c:ext xmlns:c16="http://schemas.microsoft.com/office/drawing/2014/chart" uri="{C3380CC4-5D6E-409C-BE32-E72D297353CC}">
                <c16:uniqueId val="{00000030-54E1-0C43-A52D-A4A3A7A62B2F}"/>
              </c:ext>
            </c:extLst>
          </c:dPt>
          <c:val>
            <c:numRef>
              <c:f>BASE!$GV$45:$GW$45</c:f>
              <c:numCache>
                <c:formatCode>0.00%</c:formatCode>
                <c:ptCount val="2"/>
                <c:pt idx="0" formatCode="0%">
                  <c:v>0</c:v>
                </c:pt>
                <c:pt idx="1">
                  <c:v>0</c:v>
                </c:pt>
              </c:numCache>
            </c:numRef>
          </c:val>
          <c:extLst>
            <c:ext xmlns:c16="http://schemas.microsoft.com/office/drawing/2014/chart" uri="{C3380CC4-5D6E-409C-BE32-E72D297353CC}">
              <c16:uniqueId val="{0000002E-54E1-0C43-A52D-A4A3A7A62B2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AR"/>
    </a:p>
  </c:txPr>
  <c:printSettings>
    <c:headerFooter/>
    <c:pageMargins b="0.75000000000000011" l="0.70000000000000007" r="0.70000000000000007" t="0.75000000000000011" header="0.30000000000000004" footer="0.30000000000000004"/>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chemeClr val="accent2"/>
            </a:solidFill>
          </c:spPr>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59B-254C-BF2A-83058E92758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59B-254C-BF2A-83058E92758A}"/>
              </c:ext>
            </c:extLst>
          </c:dPt>
          <c:dPt>
            <c:idx val="2"/>
            <c:bubble3D val="0"/>
            <c:spPr>
              <a:solidFill>
                <a:schemeClr val="accent2"/>
              </a:solidFill>
              <a:ln w="19050">
                <a:solidFill>
                  <a:schemeClr val="lt1"/>
                </a:solidFill>
              </a:ln>
              <a:effectLst/>
            </c:spPr>
            <c:extLst>
              <c:ext xmlns:c16="http://schemas.microsoft.com/office/drawing/2014/chart" uri="{C3380CC4-5D6E-409C-BE32-E72D297353CC}">
                <c16:uniqueId val="{00000005-459B-254C-BF2A-83058E92758A}"/>
              </c:ext>
            </c:extLst>
          </c:dPt>
          <c:dPt>
            <c:idx val="3"/>
            <c:bubble3D val="0"/>
            <c:spPr>
              <a:solidFill>
                <a:schemeClr val="accent2"/>
              </a:solidFill>
              <a:ln w="19050">
                <a:solidFill>
                  <a:schemeClr val="lt1"/>
                </a:solidFill>
              </a:ln>
              <a:effectLst/>
            </c:spPr>
            <c:extLst>
              <c:ext xmlns:c16="http://schemas.microsoft.com/office/drawing/2014/chart" uri="{C3380CC4-5D6E-409C-BE32-E72D297353CC}">
                <c16:uniqueId val="{00000007-459B-254C-BF2A-83058E92758A}"/>
              </c:ext>
            </c:extLst>
          </c:dPt>
          <c:dPt>
            <c:idx val="4"/>
            <c:bubble3D val="0"/>
            <c:spPr>
              <a:solidFill>
                <a:schemeClr val="accent2"/>
              </a:solidFill>
              <a:ln w="19050">
                <a:solidFill>
                  <a:schemeClr val="lt1"/>
                </a:solidFill>
              </a:ln>
              <a:effectLst/>
            </c:spPr>
            <c:extLst>
              <c:ext xmlns:c16="http://schemas.microsoft.com/office/drawing/2014/chart" uri="{C3380CC4-5D6E-409C-BE32-E72D297353CC}">
                <c16:uniqueId val="{00000009-459B-254C-BF2A-83058E92758A}"/>
              </c:ext>
            </c:extLst>
          </c:dPt>
          <c:dPt>
            <c:idx val="5"/>
            <c:bubble3D val="0"/>
            <c:spPr>
              <a:solidFill>
                <a:schemeClr val="accent2"/>
              </a:solidFill>
              <a:ln w="19050">
                <a:solidFill>
                  <a:schemeClr val="lt1"/>
                </a:solidFill>
              </a:ln>
              <a:effectLst/>
            </c:spPr>
            <c:extLst>
              <c:ext xmlns:c16="http://schemas.microsoft.com/office/drawing/2014/chart" uri="{C3380CC4-5D6E-409C-BE32-E72D297353CC}">
                <c16:uniqueId val="{0000000B-459B-254C-BF2A-83058E92758A}"/>
              </c:ext>
            </c:extLst>
          </c:dPt>
          <c:dPt>
            <c:idx val="6"/>
            <c:bubble3D val="0"/>
            <c:spPr>
              <a:solidFill>
                <a:schemeClr val="accent2"/>
              </a:solidFill>
              <a:ln w="19050">
                <a:solidFill>
                  <a:schemeClr val="lt1"/>
                </a:solidFill>
              </a:ln>
              <a:effectLst/>
            </c:spPr>
            <c:extLst>
              <c:ext xmlns:c16="http://schemas.microsoft.com/office/drawing/2014/chart" uri="{C3380CC4-5D6E-409C-BE32-E72D297353CC}">
                <c16:uniqueId val="{0000000D-459B-254C-BF2A-83058E92758A}"/>
              </c:ext>
            </c:extLst>
          </c:dPt>
          <c:dPt>
            <c:idx val="7"/>
            <c:bubble3D val="0"/>
            <c:spPr>
              <a:solidFill>
                <a:schemeClr val="accent2"/>
              </a:solidFill>
              <a:ln w="19050">
                <a:solidFill>
                  <a:schemeClr val="lt1"/>
                </a:solidFill>
              </a:ln>
              <a:effectLst/>
            </c:spPr>
            <c:extLst>
              <c:ext xmlns:c16="http://schemas.microsoft.com/office/drawing/2014/chart" uri="{C3380CC4-5D6E-409C-BE32-E72D297353CC}">
                <c16:uniqueId val="{0000000F-459B-254C-BF2A-83058E92758A}"/>
              </c:ext>
            </c:extLst>
          </c:dPt>
          <c:dPt>
            <c:idx val="8"/>
            <c:bubble3D val="0"/>
            <c:spPr>
              <a:solidFill>
                <a:schemeClr val="accent2"/>
              </a:solidFill>
              <a:ln w="19050">
                <a:solidFill>
                  <a:schemeClr val="lt1"/>
                </a:solidFill>
              </a:ln>
              <a:effectLst/>
            </c:spPr>
            <c:extLst>
              <c:ext xmlns:c16="http://schemas.microsoft.com/office/drawing/2014/chart" uri="{C3380CC4-5D6E-409C-BE32-E72D297353CC}">
                <c16:uniqueId val="{00000011-459B-254C-BF2A-83058E92758A}"/>
              </c:ext>
            </c:extLst>
          </c:dPt>
          <c:dPt>
            <c:idx val="9"/>
            <c:bubble3D val="0"/>
            <c:spPr>
              <a:solidFill>
                <a:schemeClr val="accent2"/>
              </a:solidFill>
              <a:ln w="19050">
                <a:solidFill>
                  <a:schemeClr val="lt1"/>
                </a:solidFill>
              </a:ln>
              <a:effectLst/>
            </c:spPr>
            <c:extLst>
              <c:ext xmlns:c16="http://schemas.microsoft.com/office/drawing/2014/chart" uri="{C3380CC4-5D6E-409C-BE32-E72D297353CC}">
                <c16:uniqueId val="{00000013-459B-254C-BF2A-83058E92758A}"/>
              </c:ext>
            </c:extLst>
          </c:dPt>
          <c:dPt>
            <c:idx val="10"/>
            <c:bubble3D val="0"/>
            <c:spPr>
              <a:solidFill>
                <a:schemeClr val="accent2"/>
              </a:solidFill>
              <a:ln w="19050">
                <a:solidFill>
                  <a:schemeClr val="lt1"/>
                </a:solidFill>
              </a:ln>
              <a:effectLst/>
            </c:spPr>
            <c:extLst>
              <c:ext xmlns:c16="http://schemas.microsoft.com/office/drawing/2014/chart" uri="{C3380CC4-5D6E-409C-BE32-E72D297353CC}">
                <c16:uniqueId val="{00000015-459B-254C-BF2A-83058E92758A}"/>
              </c:ext>
            </c:extLst>
          </c:dPt>
          <c:dPt>
            <c:idx val="11"/>
            <c:bubble3D val="0"/>
            <c:spPr>
              <a:solidFill>
                <a:schemeClr val="accent2"/>
              </a:solidFill>
              <a:ln w="19050">
                <a:solidFill>
                  <a:schemeClr val="lt1"/>
                </a:solidFill>
              </a:ln>
              <a:effectLst/>
            </c:spPr>
            <c:extLst>
              <c:ext xmlns:c16="http://schemas.microsoft.com/office/drawing/2014/chart" uri="{C3380CC4-5D6E-409C-BE32-E72D297353CC}">
                <c16:uniqueId val="{00000017-459B-254C-BF2A-83058E92758A}"/>
              </c:ext>
            </c:extLst>
          </c:dPt>
          <c:dPt>
            <c:idx val="12"/>
            <c:bubble3D val="0"/>
            <c:spPr>
              <a:solidFill>
                <a:schemeClr val="accent2"/>
              </a:solidFill>
              <a:ln w="19050">
                <a:solidFill>
                  <a:schemeClr val="lt1"/>
                </a:solidFill>
              </a:ln>
              <a:effectLst/>
            </c:spPr>
            <c:extLst>
              <c:ext xmlns:c16="http://schemas.microsoft.com/office/drawing/2014/chart" uri="{C3380CC4-5D6E-409C-BE32-E72D297353CC}">
                <c16:uniqueId val="{00000019-459B-254C-BF2A-83058E92758A}"/>
              </c:ext>
            </c:extLst>
          </c:dPt>
          <c:dPt>
            <c:idx val="13"/>
            <c:bubble3D val="0"/>
            <c:spPr>
              <a:solidFill>
                <a:schemeClr val="accent2"/>
              </a:solidFill>
              <a:ln w="19050">
                <a:solidFill>
                  <a:schemeClr val="lt1"/>
                </a:solidFill>
              </a:ln>
              <a:effectLst/>
            </c:spPr>
            <c:extLst>
              <c:ext xmlns:c16="http://schemas.microsoft.com/office/drawing/2014/chart" uri="{C3380CC4-5D6E-409C-BE32-E72D297353CC}">
                <c16:uniqueId val="{0000001B-459B-254C-BF2A-83058E92758A}"/>
              </c:ext>
            </c:extLst>
          </c:dPt>
          <c:dPt>
            <c:idx val="14"/>
            <c:bubble3D val="0"/>
            <c:spPr>
              <a:solidFill>
                <a:schemeClr val="accent2"/>
              </a:solidFill>
              <a:ln w="19050">
                <a:solidFill>
                  <a:schemeClr val="lt1"/>
                </a:solidFill>
              </a:ln>
              <a:effectLst/>
            </c:spPr>
            <c:extLst>
              <c:ext xmlns:c16="http://schemas.microsoft.com/office/drawing/2014/chart" uri="{C3380CC4-5D6E-409C-BE32-E72D297353CC}">
                <c16:uniqueId val="{0000001D-459B-254C-BF2A-83058E92758A}"/>
              </c:ext>
            </c:extLst>
          </c:dPt>
          <c:dPt>
            <c:idx val="15"/>
            <c:bubble3D val="0"/>
            <c:spPr>
              <a:solidFill>
                <a:schemeClr val="accent2"/>
              </a:solidFill>
              <a:ln w="19050">
                <a:solidFill>
                  <a:schemeClr val="lt1"/>
                </a:solidFill>
              </a:ln>
              <a:effectLst/>
            </c:spPr>
            <c:extLst>
              <c:ext xmlns:c16="http://schemas.microsoft.com/office/drawing/2014/chart" uri="{C3380CC4-5D6E-409C-BE32-E72D297353CC}">
                <c16:uniqueId val="{0000001F-459B-254C-BF2A-83058E92758A}"/>
              </c:ext>
            </c:extLst>
          </c:dPt>
          <c:dPt>
            <c:idx val="16"/>
            <c:bubble3D val="0"/>
            <c:spPr>
              <a:solidFill>
                <a:schemeClr val="accent2"/>
              </a:solidFill>
              <a:ln w="19050">
                <a:solidFill>
                  <a:schemeClr val="lt1"/>
                </a:solidFill>
              </a:ln>
              <a:effectLst/>
            </c:spPr>
            <c:extLst>
              <c:ext xmlns:c16="http://schemas.microsoft.com/office/drawing/2014/chart" uri="{C3380CC4-5D6E-409C-BE32-E72D297353CC}">
                <c16:uniqueId val="{00000021-459B-254C-BF2A-83058E92758A}"/>
              </c:ext>
            </c:extLst>
          </c:dPt>
          <c:dPt>
            <c:idx val="17"/>
            <c:bubble3D val="0"/>
            <c:spPr>
              <a:solidFill>
                <a:schemeClr val="accent2"/>
              </a:solidFill>
              <a:ln w="19050">
                <a:solidFill>
                  <a:schemeClr val="lt1"/>
                </a:solidFill>
              </a:ln>
              <a:effectLst/>
            </c:spPr>
            <c:extLst>
              <c:ext xmlns:c16="http://schemas.microsoft.com/office/drawing/2014/chart" uri="{C3380CC4-5D6E-409C-BE32-E72D297353CC}">
                <c16:uniqueId val="{00000023-459B-254C-BF2A-83058E92758A}"/>
              </c:ext>
            </c:extLst>
          </c:dPt>
          <c:dPt>
            <c:idx val="18"/>
            <c:bubble3D val="0"/>
            <c:spPr>
              <a:solidFill>
                <a:schemeClr val="accent2"/>
              </a:solidFill>
              <a:ln w="19050">
                <a:solidFill>
                  <a:schemeClr val="lt1"/>
                </a:solidFill>
              </a:ln>
              <a:effectLst/>
            </c:spPr>
            <c:extLst>
              <c:ext xmlns:c16="http://schemas.microsoft.com/office/drawing/2014/chart" uri="{C3380CC4-5D6E-409C-BE32-E72D297353CC}">
                <c16:uniqueId val="{00000025-459B-254C-BF2A-83058E92758A}"/>
              </c:ext>
            </c:extLst>
          </c:dPt>
          <c:dPt>
            <c:idx val="19"/>
            <c:bubble3D val="0"/>
            <c:spPr>
              <a:solidFill>
                <a:schemeClr val="accent2"/>
              </a:solidFill>
              <a:ln w="19050">
                <a:solidFill>
                  <a:schemeClr val="lt1"/>
                </a:solidFill>
              </a:ln>
              <a:effectLst/>
            </c:spPr>
            <c:extLst>
              <c:ext xmlns:c16="http://schemas.microsoft.com/office/drawing/2014/chart" uri="{C3380CC4-5D6E-409C-BE32-E72D297353CC}">
                <c16:uniqueId val="{00000027-459B-254C-BF2A-83058E92758A}"/>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459B-254C-BF2A-83058E92758A}"/>
            </c:ext>
          </c:extLst>
        </c:ser>
        <c:dLbls>
          <c:showLegendKey val="0"/>
          <c:showVal val="0"/>
          <c:showCatName val="0"/>
          <c:showSerName val="0"/>
          <c:showPercent val="0"/>
          <c:showBubbleSize val="0"/>
          <c:showLeaderLines val="0"/>
        </c:dLbls>
        <c:firstSliceAng val="0"/>
        <c:holeSize val="57"/>
      </c:doughnutChart>
      <c:pieChart>
        <c:varyColors val="1"/>
        <c:ser>
          <c:idx val="1"/>
          <c:order val="1"/>
          <c:spPr>
            <a:solidFill>
              <a:schemeClr val="bg1"/>
            </a:solidFill>
          </c:spPr>
          <c:dPt>
            <c:idx val="0"/>
            <c:bubble3D val="0"/>
            <c:spPr>
              <a:noFill/>
            </c:spPr>
            <c:extLst>
              <c:ext xmlns:c16="http://schemas.microsoft.com/office/drawing/2014/chart" uri="{C3380CC4-5D6E-409C-BE32-E72D297353CC}">
                <c16:uniqueId val="{0000002A-459B-254C-BF2A-83058E92758A}"/>
              </c:ext>
            </c:extLst>
          </c:dPt>
          <c:dPt>
            <c:idx val="1"/>
            <c:bubble3D val="0"/>
            <c:spPr>
              <a:solidFill>
                <a:schemeClr val="bg1">
                  <a:alpha val="85000"/>
                </a:schemeClr>
              </a:solidFill>
            </c:spPr>
            <c:extLst>
              <c:ext xmlns:c16="http://schemas.microsoft.com/office/drawing/2014/chart" uri="{C3380CC4-5D6E-409C-BE32-E72D297353CC}">
                <c16:uniqueId val="{0000002C-459B-254C-BF2A-83058E92758A}"/>
              </c:ext>
            </c:extLst>
          </c:dPt>
          <c:val>
            <c:numRef>
              <c:f>BASE!$GV$46:$GW$46</c:f>
              <c:numCache>
                <c:formatCode>0.00%</c:formatCode>
                <c:ptCount val="2"/>
                <c:pt idx="0" formatCode="0%">
                  <c:v>0</c:v>
                </c:pt>
                <c:pt idx="1">
                  <c:v>0</c:v>
                </c:pt>
              </c:numCache>
            </c:numRef>
          </c:val>
          <c:extLst>
            <c:ext xmlns:c16="http://schemas.microsoft.com/office/drawing/2014/chart" uri="{C3380CC4-5D6E-409C-BE32-E72D297353CC}">
              <c16:uniqueId val="{0000002D-459B-254C-BF2A-83058E92758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AR"/>
    </a:p>
  </c:txPr>
  <c:printSettings>
    <c:headerFooter/>
    <c:pageMargins b="0.75000000000000011" l="0.70000000000000007" r="0.70000000000000007" t="0.75000000000000011" header="0.30000000000000004" footer="0.30000000000000004"/>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chemeClr val="accent2"/>
            </a:solidFill>
          </c:spPr>
          <c:dPt>
            <c:idx val="0"/>
            <c:bubble3D val="0"/>
            <c:spPr>
              <a:solidFill>
                <a:schemeClr val="accent2"/>
              </a:solidFill>
              <a:ln w="19050">
                <a:solidFill>
                  <a:schemeClr val="lt1"/>
                </a:solidFill>
              </a:ln>
              <a:effectLst/>
            </c:spPr>
            <c:extLst>
              <c:ext xmlns:c16="http://schemas.microsoft.com/office/drawing/2014/chart" uri="{C3380CC4-5D6E-409C-BE32-E72D297353CC}">
                <c16:uniqueId val="{00000001-19DD-F842-8CDD-10E4B343F42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9DD-F842-8CDD-10E4B343F420}"/>
              </c:ext>
            </c:extLst>
          </c:dPt>
          <c:dPt>
            <c:idx val="2"/>
            <c:bubble3D val="0"/>
            <c:spPr>
              <a:solidFill>
                <a:schemeClr val="accent2"/>
              </a:solidFill>
              <a:ln w="19050">
                <a:solidFill>
                  <a:schemeClr val="lt1"/>
                </a:solidFill>
              </a:ln>
              <a:effectLst/>
            </c:spPr>
            <c:extLst>
              <c:ext xmlns:c16="http://schemas.microsoft.com/office/drawing/2014/chart" uri="{C3380CC4-5D6E-409C-BE32-E72D297353CC}">
                <c16:uniqueId val="{00000005-19DD-F842-8CDD-10E4B343F420}"/>
              </c:ext>
            </c:extLst>
          </c:dPt>
          <c:dPt>
            <c:idx val="3"/>
            <c:bubble3D val="0"/>
            <c:spPr>
              <a:solidFill>
                <a:schemeClr val="accent2"/>
              </a:solidFill>
              <a:ln w="19050">
                <a:solidFill>
                  <a:schemeClr val="lt1"/>
                </a:solidFill>
              </a:ln>
              <a:effectLst/>
            </c:spPr>
            <c:extLst>
              <c:ext xmlns:c16="http://schemas.microsoft.com/office/drawing/2014/chart" uri="{C3380CC4-5D6E-409C-BE32-E72D297353CC}">
                <c16:uniqueId val="{00000007-19DD-F842-8CDD-10E4B343F420}"/>
              </c:ext>
            </c:extLst>
          </c:dPt>
          <c:dPt>
            <c:idx val="4"/>
            <c:bubble3D val="0"/>
            <c:spPr>
              <a:solidFill>
                <a:schemeClr val="accent2"/>
              </a:solidFill>
              <a:ln w="19050">
                <a:solidFill>
                  <a:schemeClr val="lt1"/>
                </a:solidFill>
              </a:ln>
              <a:effectLst/>
            </c:spPr>
            <c:extLst>
              <c:ext xmlns:c16="http://schemas.microsoft.com/office/drawing/2014/chart" uri="{C3380CC4-5D6E-409C-BE32-E72D297353CC}">
                <c16:uniqueId val="{00000009-19DD-F842-8CDD-10E4B343F420}"/>
              </c:ext>
            </c:extLst>
          </c:dPt>
          <c:dPt>
            <c:idx val="5"/>
            <c:bubble3D val="0"/>
            <c:spPr>
              <a:solidFill>
                <a:schemeClr val="accent2"/>
              </a:solidFill>
              <a:ln w="19050">
                <a:solidFill>
                  <a:schemeClr val="lt1"/>
                </a:solidFill>
              </a:ln>
              <a:effectLst/>
            </c:spPr>
            <c:extLst>
              <c:ext xmlns:c16="http://schemas.microsoft.com/office/drawing/2014/chart" uri="{C3380CC4-5D6E-409C-BE32-E72D297353CC}">
                <c16:uniqueId val="{0000000B-19DD-F842-8CDD-10E4B343F420}"/>
              </c:ext>
            </c:extLst>
          </c:dPt>
          <c:dPt>
            <c:idx val="6"/>
            <c:bubble3D val="0"/>
            <c:spPr>
              <a:solidFill>
                <a:schemeClr val="accent2"/>
              </a:solidFill>
              <a:ln w="19050">
                <a:solidFill>
                  <a:schemeClr val="lt1"/>
                </a:solidFill>
              </a:ln>
              <a:effectLst/>
            </c:spPr>
            <c:extLst>
              <c:ext xmlns:c16="http://schemas.microsoft.com/office/drawing/2014/chart" uri="{C3380CC4-5D6E-409C-BE32-E72D297353CC}">
                <c16:uniqueId val="{0000000D-19DD-F842-8CDD-10E4B343F420}"/>
              </c:ext>
            </c:extLst>
          </c:dPt>
          <c:dPt>
            <c:idx val="7"/>
            <c:bubble3D val="0"/>
            <c:spPr>
              <a:solidFill>
                <a:schemeClr val="accent2"/>
              </a:solidFill>
              <a:ln w="19050">
                <a:solidFill>
                  <a:schemeClr val="lt1"/>
                </a:solidFill>
              </a:ln>
              <a:effectLst/>
            </c:spPr>
            <c:extLst>
              <c:ext xmlns:c16="http://schemas.microsoft.com/office/drawing/2014/chart" uri="{C3380CC4-5D6E-409C-BE32-E72D297353CC}">
                <c16:uniqueId val="{0000000F-19DD-F842-8CDD-10E4B343F420}"/>
              </c:ext>
            </c:extLst>
          </c:dPt>
          <c:dPt>
            <c:idx val="8"/>
            <c:bubble3D val="0"/>
            <c:spPr>
              <a:solidFill>
                <a:schemeClr val="accent2"/>
              </a:solidFill>
              <a:ln w="19050">
                <a:solidFill>
                  <a:schemeClr val="lt1"/>
                </a:solidFill>
              </a:ln>
              <a:effectLst/>
            </c:spPr>
            <c:extLst>
              <c:ext xmlns:c16="http://schemas.microsoft.com/office/drawing/2014/chart" uri="{C3380CC4-5D6E-409C-BE32-E72D297353CC}">
                <c16:uniqueId val="{00000011-19DD-F842-8CDD-10E4B343F420}"/>
              </c:ext>
            </c:extLst>
          </c:dPt>
          <c:dPt>
            <c:idx val="9"/>
            <c:bubble3D val="0"/>
            <c:spPr>
              <a:solidFill>
                <a:schemeClr val="accent2"/>
              </a:solidFill>
              <a:ln w="19050">
                <a:solidFill>
                  <a:schemeClr val="lt1"/>
                </a:solidFill>
              </a:ln>
              <a:effectLst/>
            </c:spPr>
            <c:extLst>
              <c:ext xmlns:c16="http://schemas.microsoft.com/office/drawing/2014/chart" uri="{C3380CC4-5D6E-409C-BE32-E72D297353CC}">
                <c16:uniqueId val="{00000013-19DD-F842-8CDD-10E4B343F420}"/>
              </c:ext>
            </c:extLst>
          </c:dPt>
          <c:dPt>
            <c:idx val="10"/>
            <c:bubble3D val="0"/>
            <c:spPr>
              <a:solidFill>
                <a:schemeClr val="accent2"/>
              </a:solidFill>
              <a:ln w="19050">
                <a:solidFill>
                  <a:schemeClr val="lt1"/>
                </a:solidFill>
              </a:ln>
              <a:effectLst/>
            </c:spPr>
            <c:extLst>
              <c:ext xmlns:c16="http://schemas.microsoft.com/office/drawing/2014/chart" uri="{C3380CC4-5D6E-409C-BE32-E72D297353CC}">
                <c16:uniqueId val="{00000015-19DD-F842-8CDD-10E4B343F420}"/>
              </c:ext>
            </c:extLst>
          </c:dPt>
          <c:dPt>
            <c:idx val="11"/>
            <c:bubble3D val="0"/>
            <c:spPr>
              <a:solidFill>
                <a:schemeClr val="accent2"/>
              </a:solidFill>
              <a:ln w="19050">
                <a:solidFill>
                  <a:schemeClr val="lt1"/>
                </a:solidFill>
              </a:ln>
              <a:effectLst/>
            </c:spPr>
            <c:extLst>
              <c:ext xmlns:c16="http://schemas.microsoft.com/office/drawing/2014/chart" uri="{C3380CC4-5D6E-409C-BE32-E72D297353CC}">
                <c16:uniqueId val="{00000017-19DD-F842-8CDD-10E4B343F420}"/>
              </c:ext>
            </c:extLst>
          </c:dPt>
          <c:dPt>
            <c:idx val="12"/>
            <c:bubble3D val="0"/>
            <c:spPr>
              <a:solidFill>
                <a:schemeClr val="accent2"/>
              </a:solidFill>
              <a:ln w="19050">
                <a:solidFill>
                  <a:schemeClr val="lt1"/>
                </a:solidFill>
              </a:ln>
              <a:effectLst/>
            </c:spPr>
            <c:extLst>
              <c:ext xmlns:c16="http://schemas.microsoft.com/office/drawing/2014/chart" uri="{C3380CC4-5D6E-409C-BE32-E72D297353CC}">
                <c16:uniqueId val="{00000019-19DD-F842-8CDD-10E4B343F420}"/>
              </c:ext>
            </c:extLst>
          </c:dPt>
          <c:dPt>
            <c:idx val="13"/>
            <c:bubble3D val="0"/>
            <c:spPr>
              <a:solidFill>
                <a:schemeClr val="accent2"/>
              </a:solidFill>
              <a:ln w="19050">
                <a:solidFill>
                  <a:schemeClr val="lt1"/>
                </a:solidFill>
              </a:ln>
              <a:effectLst/>
            </c:spPr>
            <c:extLst>
              <c:ext xmlns:c16="http://schemas.microsoft.com/office/drawing/2014/chart" uri="{C3380CC4-5D6E-409C-BE32-E72D297353CC}">
                <c16:uniqueId val="{0000001B-19DD-F842-8CDD-10E4B343F420}"/>
              </c:ext>
            </c:extLst>
          </c:dPt>
          <c:dPt>
            <c:idx val="14"/>
            <c:bubble3D val="0"/>
            <c:spPr>
              <a:solidFill>
                <a:schemeClr val="accent2"/>
              </a:solidFill>
              <a:ln w="19050">
                <a:solidFill>
                  <a:schemeClr val="lt1"/>
                </a:solidFill>
              </a:ln>
              <a:effectLst/>
            </c:spPr>
            <c:extLst>
              <c:ext xmlns:c16="http://schemas.microsoft.com/office/drawing/2014/chart" uri="{C3380CC4-5D6E-409C-BE32-E72D297353CC}">
                <c16:uniqueId val="{0000001D-19DD-F842-8CDD-10E4B343F420}"/>
              </c:ext>
            </c:extLst>
          </c:dPt>
          <c:dPt>
            <c:idx val="15"/>
            <c:bubble3D val="0"/>
            <c:spPr>
              <a:solidFill>
                <a:schemeClr val="accent2"/>
              </a:solidFill>
              <a:ln w="19050">
                <a:solidFill>
                  <a:schemeClr val="lt1"/>
                </a:solidFill>
              </a:ln>
              <a:effectLst/>
            </c:spPr>
            <c:extLst>
              <c:ext xmlns:c16="http://schemas.microsoft.com/office/drawing/2014/chart" uri="{C3380CC4-5D6E-409C-BE32-E72D297353CC}">
                <c16:uniqueId val="{0000001F-19DD-F842-8CDD-10E4B343F420}"/>
              </c:ext>
            </c:extLst>
          </c:dPt>
          <c:dPt>
            <c:idx val="16"/>
            <c:bubble3D val="0"/>
            <c:spPr>
              <a:solidFill>
                <a:schemeClr val="accent2"/>
              </a:solidFill>
              <a:ln w="19050">
                <a:solidFill>
                  <a:schemeClr val="lt1"/>
                </a:solidFill>
              </a:ln>
              <a:effectLst/>
            </c:spPr>
            <c:extLst>
              <c:ext xmlns:c16="http://schemas.microsoft.com/office/drawing/2014/chart" uri="{C3380CC4-5D6E-409C-BE32-E72D297353CC}">
                <c16:uniqueId val="{00000021-19DD-F842-8CDD-10E4B343F420}"/>
              </c:ext>
            </c:extLst>
          </c:dPt>
          <c:dPt>
            <c:idx val="17"/>
            <c:bubble3D val="0"/>
            <c:spPr>
              <a:solidFill>
                <a:schemeClr val="accent2"/>
              </a:solidFill>
              <a:ln w="19050">
                <a:solidFill>
                  <a:schemeClr val="lt1"/>
                </a:solidFill>
              </a:ln>
              <a:effectLst/>
            </c:spPr>
            <c:extLst>
              <c:ext xmlns:c16="http://schemas.microsoft.com/office/drawing/2014/chart" uri="{C3380CC4-5D6E-409C-BE32-E72D297353CC}">
                <c16:uniqueId val="{00000023-19DD-F842-8CDD-10E4B343F420}"/>
              </c:ext>
            </c:extLst>
          </c:dPt>
          <c:dPt>
            <c:idx val="18"/>
            <c:bubble3D val="0"/>
            <c:spPr>
              <a:solidFill>
                <a:schemeClr val="accent2"/>
              </a:solidFill>
              <a:ln w="19050">
                <a:solidFill>
                  <a:schemeClr val="lt1"/>
                </a:solidFill>
              </a:ln>
              <a:effectLst/>
            </c:spPr>
            <c:extLst>
              <c:ext xmlns:c16="http://schemas.microsoft.com/office/drawing/2014/chart" uri="{C3380CC4-5D6E-409C-BE32-E72D297353CC}">
                <c16:uniqueId val="{00000025-19DD-F842-8CDD-10E4B343F420}"/>
              </c:ext>
            </c:extLst>
          </c:dPt>
          <c:dPt>
            <c:idx val="19"/>
            <c:bubble3D val="0"/>
            <c:spPr>
              <a:solidFill>
                <a:schemeClr val="accent2"/>
              </a:solidFill>
              <a:ln w="19050">
                <a:solidFill>
                  <a:schemeClr val="lt1"/>
                </a:solidFill>
              </a:ln>
              <a:effectLst/>
            </c:spPr>
            <c:extLst>
              <c:ext xmlns:c16="http://schemas.microsoft.com/office/drawing/2014/chart" uri="{C3380CC4-5D6E-409C-BE32-E72D297353CC}">
                <c16:uniqueId val="{00000027-19DD-F842-8CDD-10E4B343F420}"/>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19DD-F842-8CDD-10E4B343F420}"/>
            </c:ext>
          </c:extLst>
        </c:ser>
        <c:dLbls>
          <c:showLegendKey val="0"/>
          <c:showVal val="0"/>
          <c:showCatName val="0"/>
          <c:showSerName val="0"/>
          <c:showPercent val="0"/>
          <c:showBubbleSize val="0"/>
          <c:showLeaderLines val="0"/>
        </c:dLbls>
        <c:firstSliceAng val="0"/>
        <c:holeSize val="57"/>
      </c:doughnutChart>
      <c:pieChart>
        <c:varyColors val="1"/>
        <c:ser>
          <c:idx val="1"/>
          <c:order val="1"/>
          <c:spPr>
            <a:solidFill>
              <a:schemeClr val="bg1"/>
            </a:solidFill>
          </c:spPr>
          <c:dPt>
            <c:idx val="0"/>
            <c:bubble3D val="0"/>
            <c:spPr>
              <a:noFill/>
            </c:spPr>
            <c:extLst>
              <c:ext xmlns:c16="http://schemas.microsoft.com/office/drawing/2014/chart" uri="{C3380CC4-5D6E-409C-BE32-E72D297353CC}">
                <c16:uniqueId val="{0000002A-19DD-F842-8CDD-10E4B343F420}"/>
              </c:ext>
            </c:extLst>
          </c:dPt>
          <c:dPt>
            <c:idx val="1"/>
            <c:bubble3D val="0"/>
            <c:spPr>
              <a:solidFill>
                <a:schemeClr val="bg1">
                  <a:alpha val="85000"/>
                </a:schemeClr>
              </a:solidFill>
            </c:spPr>
            <c:extLst>
              <c:ext xmlns:c16="http://schemas.microsoft.com/office/drawing/2014/chart" uri="{C3380CC4-5D6E-409C-BE32-E72D297353CC}">
                <c16:uniqueId val="{0000002C-19DD-F842-8CDD-10E4B343F420}"/>
              </c:ext>
            </c:extLst>
          </c:dPt>
          <c:val>
            <c:numRef>
              <c:f>BASE!$GV$47:$GW$47</c:f>
              <c:numCache>
                <c:formatCode>0.00%</c:formatCode>
                <c:ptCount val="2"/>
                <c:pt idx="0" formatCode="0%">
                  <c:v>0</c:v>
                </c:pt>
                <c:pt idx="1">
                  <c:v>0</c:v>
                </c:pt>
              </c:numCache>
            </c:numRef>
          </c:val>
          <c:extLst>
            <c:ext xmlns:c16="http://schemas.microsoft.com/office/drawing/2014/chart" uri="{C3380CC4-5D6E-409C-BE32-E72D297353CC}">
              <c16:uniqueId val="{0000002D-19DD-F842-8CDD-10E4B343F42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AR"/>
    </a:p>
  </c:txPr>
  <c:printSettings>
    <c:headerFooter/>
    <c:pageMargins b="0.75000000000000011" l="0.70000000000000007" r="0.70000000000000007" t="0.75000000000000011" header="0.30000000000000004" footer="0.30000000000000004"/>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lumMod val="60000"/>
                <a:lumOff val="40000"/>
              </a:schemeClr>
            </a:solidFill>
            <a:ln>
              <a:noFill/>
            </a:ln>
            <a:effectLst/>
          </c:spPr>
          <c:invertIfNegative val="0"/>
          <c:val>
            <c:numRef>
              <c:f>'LINEA BASE MALA'!$AH$143:$AS$143</c:f>
              <c:numCache>
                <c:formatCode>0.00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661B-EB47-BBD3-E5E49054FF27}"/>
            </c:ext>
          </c:extLst>
        </c:ser>
        <c:ser>
          <c:idx val="2"/>
          <c:order val="1"/>
          <c:spPr>
            <a:solidFill>
              <a:schemeClr val="accent6">
                <a:lumMod val="40000"/>
                <a:lumOff val="60000"/>
              </a:schemeClr>
            </a:solidFill>
            <a:ln>
              <a:noFill/>
            </a:ln>
            <a:effectLst/>
          </c:spPr>
          <c:invertIfNegative val="0"/>
          <c:val>
            <c:numRef>
              <c:f>'LINEA BASE MALA'!$AH$145:$AS$145</c:f>
              <c:numCache>
                <c:formatCode>0.00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661B-EB47-BBD3-E5E49054FF27}"/>
            </c:ext>
          </c:extLst>
        </c:ser>
        <c:dLbls>
          <c:showLegendKey val="0"/>
          <c:showVal val="0"/>
          <c:showCatName val="0"/>
          <c:showSerName val="0"/>
          <c:showPercent val="0"/>
          <c:showBubbleSize val="0"/>
        </c:dLbls>
        <c:gapWidth val="219"/>
        <c:overlap val="-27"/>
        <c:axId val="217248512"/>
        <c:axId val="217250048"/>
      </c:barChart>
      <c:catAx>
        <c:axId val="21724851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s-AR"/>
          </a:p>
        </c:txPr>
        <c:crossAx val="217250048"/>
        <c:crosses val="autoZero"/>
        <c:auto val="1"/>
        <c:lblAlgn val="ctr"/>
        <c:lblOffset val="100"/>
        <c:noMultiLvlLbl val="0"/>
      </c:catAx>
      <c:valAx>
        <c:axId val="217250048"/>
        <c:scaling>
          <c:orientation val="minMax"/>
        </c:scaling>
        <c:delete val="1"/>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crossAx val="2172485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a:pPr>
      <a:endParaRPr lang="es-AR"/>
    </a:p>
  </c:txPr>
  <c:printSettings>
    <c:headerFooter/>
    <c:pageMargins b="0.75000000000000011" l="0.70000000000000007" r="0.70000000000000007" t="0.75000000000000011" header="0.30000000000000004" footer="0.30000000000000004"/>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lumMod val="60000"/>
                <a:lumOff val="40000"/>
              </a:schemeClr>
            </a:solidFill>
            <a:ln>
              <a:noFill/>
            </a:ln>
            <a:effectLst/>
          </c:spPr>
          <c:invertIfNegative val="0"/>
          <c:val>
            <c:numRef>
              <c:f>'LINEAS BASE 1 y 2'!$AH$143:$AS$143</c:f>
              <c:numCache>
                <c:formatCode>0.00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5B8D-6343-8D2F-C8A43D7DF52F}"/>
            </c:ext>
          </c:extLst>
        </c:ser>
        <c:ser>
          <c:idx val="2"/>
          <c:order val="1"/>
          <c:spPr>
            <a:solidFill>
              <a:schemeClr val="accent6">
                <a:lumMod val="40000"/>
                <a:lumOff val="60000"/>
              </a:schemeClr>
            </a:solidFill>
            <a:ln>
              <a:noFill/>
            </a:ln>
            <a:effectLst/>
          </c:spPr>
          <c:invertIfNegative val="0"/>
          <c:val>
            <c:numRef>
              <c:f>'LINEAS BASE 1 y 2'!$AH$145:$AS$145</c:f>
              <c:numCache>
                <c:formatCode>0.00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5B8D-6343-8D2F-C8A43D7DF52F}"/>
            </c:ext>
          </c:extLst>
        </c:ser>
        <c:dLbls>
          <c:showLegendKey val="0"/>
          <c:showVal val="0"/>
          <c:showCatName val="0"/>
          <c:showSerName val="0"/>
          <c:showPercent val="0"/>
          <c:showBubbleSize val="0"/>
        </c:dLbls>
        <c:gapWidth val="219"/>
        <c:overlap val="-27"/>
        <c:axId val="222254592"/>
        <c:axId val="222256128"/>
      </c:barChart>
      <c:catAx>
        <c:axId val="22225459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s-AR"/>
          </a:p>
        </c:txPr>
        <c:crossAx val="222256128"/>
        <c:crosses val="autoZero"/>
        <c:auto val="1"/>
        <c:lblAlgn val="ctr"/>
        <c:lblOffset val="100"/>
        <c:noMultiLvlLbl val="0"/>
      </c:catAx>
      <c:valAx>
        <c:axId val="222256128"/>
        <c:scaling>
          <c:orientation val="minMax"/>
        </c:scaling>
        <c:delete val="1"/>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crossAx val="222254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a:pPr>
      <a:endParaRPr lang="es-AR"/>
    </a:p>
  </c:txPr>
  <c:printSettings>
    <c:headerFooter/>
    <c:pageMargins b="0.75000000000000011" l="0.70000000000000007" r="0.70000000000000007" t="0.75000000000000011" header="0.30000000000000004" footer="0.30000000000000004"/>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lumMod val="60000"/>
                <a:lumOff val="40000"/>
              </a:schemeClr>
            </a:solidFill>
            <a:ln>
              <a:noFill/>
            </a:ln>
            <a:effectLst/>
          </c:spPr>
          <c:invertIfNegative val="0"/>
          <c:val>
            <c:numRef>
              <c:f>'LINEAS BASE 3'!$AH$143:$AS$143</c:f>
              <c:numCache>
                <c:formatCode>0.00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9D44-8A45-B9CC-ED07F32515CA}"/>
            </c:ext>
          </c:extLst>
        </c:ser>
        <c:ser>
          <c:idx val="2"/>
          <c:order val="1"/>
          <c:spPr>
            <a:solidFill>
              <a:schemeClr val="accent6">
                <a:lumMod val="40000"/>
                <a:lumOff val="60000"/>
              </a:schemeClr>
            </a:solidFill>
            <a:ln>
              <a:noFill/>
            </a:ln>
            <a:effectLst/>
          </c:spPr>
          <c:invertIfNegative val="0"/>
          <c:val>
            <c:numRef>
              <c:f>'LINEAS BASE 3'!$AH$145:$AS$145</c:f>
              <c:numCache>
                <c:formatCode>0.00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9D44-8A45-B9CC-ED07F32515CA}"/>
            </c:ext>
          </c:extLst>
        </c:ser>
        <c:dLbls>
          <c:showLegendKey val="0"/>
          <c:showVal val="0"/>
          <c:showCatName val="0"/>
          <c:showSerName val="0"/>
          <c:showPercent val="0"/>
          <c:showBubbleSize val="0"/>
        </c:dLbls>
        <c:gapWidth val="219"/>
        <c:overlap val="-27"/>
        <c:axId val="222992256"/>
        <c:axId val="222993792"/>
      </c:barChart>
      <c:catAx>
        <c:axId val="22299225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s-AR"/>
          </a:p>
        </c:txPr>
        <c:crossAx val="222993792"/>
        <c:crosses val="autoZero"/>
        <c:auto val="1"/>
        <c:lblAlgn val="ctr"/>
        <c:lblOffset val="100"/>
        <c:noMultiLvlLbl val="0"/>
      </c:catAx>
      <c:valAx>
        <c:axId val="222993792"/>
        <c:scaling>
          <c:orientation val="minMax"/>
        </c:scaling>
        <c:delete val="1"/>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crossAx val="2229922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a:pPr>
      <a:endParaRPr lang="es-AR"/>
    </a:p>
  </c:txPr>
  <c:printSettings>
    <c:headerFooter/>
    <c:pageMargins b="0.75000000000000011" l="0.70000000000000007" r="0.70000000000000007" t="0.75000000000000011" header="0.30000000000000004" footer="0.30000000000000004"/>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lumMod val="60000"/>
                <a:lumOff val="40000"/>
              </a:schemeClr>
            </a:solidFill>
            <a:ln>
              <a:noFill/>
            </a:ln>
            <a:effectLst/>
          </c:spPr>
          <c:invertIfNegative val="0"/>
          <c:val>
            <c:numRef>
              <c:f>'LINEAS BASE 4'!$AH$143:$AS$143</c:f>
              <c:numCache>
                <c:formatCode>0.00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4445-DC45-BDE5-3C6152A0DF5F}"/>
            </c:ext>
          </c:extLst>
        </c:ser>
        <c:ser>
          <c:idx val="2"/>
          <c:order val="1"/>
          <c:spPr>
            <a:solidFill>
              <a:schemeClr val="accent6">
                <a:lumMod val="40000"/>
                <a:lumOff val="60000"/>
              </a:schemeClr>
            </a:solidFill>
            <a:ln>
              <a:noFill/>
            </a:ln>
            <a:effectLst/>
          </c:spPr>
          <c:invertIfNegative val="0"/>
          <c:val>
            <c:numRef>
              <c:f>'LINEAS BASE 4'!$AH$145:$AS$145</c:f>
              <c:numCache>
                <c:formatCode>0.00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4445-DC45-BDE5-3C6152A0DF5F}"/>
            </c:ext>
          </c:extLst>
        </c:ser>
        <c:dLbls>
          <c:showLegendKey val="0"/>
          <c:showVal val="0"/>
          <c:showCatName val="0"/>
          <c:showSerName val="0"/>
          <c:showPercent val="0"/>
          <c:showBubbleSize val="0"/>
        </c:dLbls>
        <c:gapWidth val="219"/>
        <c:overlap val="-27"/>
        <c:axId val="223385472"/>
        <c:axId val="223387008"/>
      </c:barChart>
      <c:catAx>
        <c:axId val="22338547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s-AR"/>
          </a:p>
        </c:txPr>
        <c:crossAx val="223387008"/>
        <c:crosses val="autoZero"/>
        <c:auto val="1"/>
        <c:lblAlgn val="ctr"/>
        <c:lblOffset val="100"/>
        <c:noMultiLvlLbl val="0"/>
      </c:catAx>
      <c:valAx>
        <c:axId val="223387008"/>
        <c:scaling>
          <c:orientation val="minMax"/>
        </c:scaling>
        <c:delete val="1"/>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crossAx val="2233854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a:pPr>
      <a:endParaRPr lang="es-AR"/>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lumMod val="60000"/>
                <a:lumOff val="40000"/>
              </a:schemeClr>
            </a:solidFill>
            <a:ln>
              <a:noFill/>
            </a:ln>
            <a:effectLst/>
          </c:spPr>
          <c:invertIfNegative val="0"/>
          <c:val>
            <c:numRef>
              <c:f>ENERGÍA!$AJ$149:$AU$149</c:f>
            </c:numRef>
          </c:val>
          <c:extLst>
            <c:ext xmlns:c16="http://schemas.microsoft.com/office/drawing/2014/chart" uri="{C3380CC4-5D6E-409C-BE32-E72D297353CC}">
              <c16:uniqueId val="{00000000-F2E2-284D-B234-B30B30D4CCAB}"/>
            </c:ext>
          </c:extLst>
        </c:ser>
        <c:ser>
          <c:idx val="2"/>
          <c:order val="1"/>
          <c:spPr>
            <a:solidFill>
              <a:schemeClr val="accent6">
                <a:lumMod val="40000"/>
                <a:lumOff val="60000"/>
              </a:schemeClr>
            </a:solidFill>
            <a:ln>
              <a:noFill/>
            </a:ln>
            <a:effectLst/>
          </c:spPr>
          <c:invertIfNegative val="0"/>
          <c:val>
            <c:numRef>
              <c:f>ENERGÍA!$AJ$151:$AU$151</c:f>
            </c:numRef>
          </c:val>
          <c:extLst>
            <c:ext xmlns:c16="http://schemas.microsoft.com/office/drawing/2014/chart" uri="{C3380CC4-5D6E-409C-BE32-E72D297353CC}">
              <c16:uniqueId val="{00000002-F2E2-284D-B234-B30B30D4CCAB}"/>
            </c:ext>
          </c:extLst>
        </c:ser>
        <c:dLbls>
          <c:showLegendKey val="0"/>
          <c:showVal val="0"/>
          <c:showCatName val="0"/>
          <c:showSerName val="0"/>
          <c:showPercent val="0"/>
          <c:showBubbleSize val="0"/>
        </c:dLbls>
        <c:gapWidth val="219"/>
        <c:overlap val="-27"/>
        <c:axId val="210301696"/>
        <c:axId val="210303232"/>
      </c:barChart>
      <c:catAx>
        <c:axId val="21030169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s-AR"/>
          </a:p>
        </c:txPr>
        <c:crossAx val="210303232"/>
        <c:crosses val="autoZero"/>
        <c:auto val="1"/>
        <c:lblAlgn val="ctr"/>
        <c:lblOffset val="100"/>
        <c:noMultiLvlLbl val="0"/>
      </c:catAx>
      <c:valAx>
        <c:axId val="210303232"/>
        <c:scaling>
          <c:orientation val="minMax"/>
        </c:scaling>
        <c:delete val="1"/>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crossAx val="2103016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a:pPr>
      <a:endParaRPr lang="es-AR"/>
    </a:p>
  </c:txPr>
  <c:printSettings>
    <c:headerFooter/>
    <c:pageMargins b="0.75000000000000011" l="0.70000000000000007" r="0.70000000000000007" t="0.75000000000000011" header="0.30000000000000004" footer="0.30000000000000004"/>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lumMod val="60000"/>
                <a:lumOff val="40000"/>
              </a:schemeClr>
            </a:solidFill>
            <a:ln>
              <a:noFill/>
            </a:ln>
            <a:effectLst/>
          </c:spPr>
          <c:invertIfNegative val="0"/>
          <c:val>
            <c:numRef>
              <c:f>'LINEAS BASE 5'!$AH$143:$AS$143</c:f>
              <c:numCache>
                <c:formatCode>0.00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968C-AD47-8CC8-966A13D52383}"/>
            </c:ext>
          </c:extLst>
        </c:ser>
        <c:ser>
          <c:idx val="2"/>
          <c:order val="1"/>
          <c:spPr>
            <a:solidFill>
              <a:schemeClr val="accent6">
                <a:lumMod val="40000"/>
                <a:lumOff val="60000"/>
              </a:schemeClr>
            </a:solidFill>
            <a:ln>
              <a:noFill/>
            </a:ln>
            <a:effectLst/>
          </c:spPr>
          <c:invertIfNegative val="0"/>
          <c:val>
            <c:numRef>
              <c:f>'LINEAS BASE 5'!$AH$145:$AS$145</c:f>
              <c:numCache>
                <c:formatCode>0.00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968C-AD47-8CC8-966A13D52383}"/>
            </c:ext>
          </c:extLst>
        </c:ser>
        <c:dLbls>
          <c:showLegendKey val="0"/>
          <c:showVal val="0"/>
          <c:showCatName val="0"/>
          <c:showSerName val="0"/>
          <c:showPercent val="0"/>
          <c:showBubbleSize val="0"/>
        </c:dLbls>
        <c:gapWidth val="219"/>
        <c:overlap val="-27"/>
        <c:axId val="223131904"/>
        <c:axId val="223133696"/>
      </c:barChart>
      <c:catAx>
        <c:axId val="22313190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s-AR"/>
          </a:p>
        </c:txPr>
        <c:crossAx val="223133696"/>
        <c:crosses val="autoZero"/>
        <c:auto val="1"/>
        <c:lblAlgn val="ctr"/>
        <c:lblOffset val="100"/>
        <c:noMultiLvlLbl val="0"/>
      </c:catAx>
      <c:valAx>
        <c:axId val="223133696"/>
        <c:scaling>
          <c:orientation val="minMax"/>
        </c:scaling>
        <c:delete val="1"/>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crossAx val="2231319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a:pPr>
      <a:endParaRPr lang="es-AR"/>
    </a:p>
  </c:txPr>
  <c:printSettings>
    <c:headerFooter/>
    <c:pageMargins b="0.75000000000000011" l="0.70000000000000007" r="0.70000000000000007" t="0.75000000000000011" header="0.30000000000000004" footer="0.30000000000000004"/>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lumMod val="60000"/>
                <a:lumOff val="40000"/>
              </a:schemeClr>
            </a:solidFill>
            <a:ln>
              <a:noFill/>
            </a:ln>
            <a:effectLst/>
          </c:spPr>
          <c:invertIfNegative val="0"/>
          <c:val>
            <c:numRef>
              <c:f>'LINEAS BASE 6'!$AH$143:$AS$143</c:f>
              <c:numCache>
                <c:formatCode>0.00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2D19-B64E-A93E-7825A49E7D5E}"/>
            </c:ext>
          </c:extLst>
        </c:ser>
        <c:ser>
          <c:idx val="2"/>
          <c:order val="1"/>
          <c:spPr>
            <a:solidFill>
              <a:schemeClr val="accent6">
                <a:lumMod val="40000"/>
                <a:lumOff val="60000"/>
              </a:schemeClr>
            </a:solidFill>
            <a:ln>
              <a:noFill/>
            </a:ln>
            <a:effectLst/>
          </c:spPr>
          <c:invertIfNegative val="0"/>
          <c:val>
            <c:numRef>
              <c:f>'LINEAS BASE 6'!$AH$145:$AS$145</c:f>
              <c:numCache>
                <c:formatCode>0.00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2D19-B64E-A93E-7825A49E7D5E}"/>
            </c:ext>
          </c:extLst>
        </c:ser>
        <c:dLbls>
          <c:showLegendKey val="0"/>
          <c:showVal val="0"/>
          <c:showCatName val="0"/>
          <c:showSerName val="0"/>
          <c:showPercent val="0"/>
          <c:showBubbleSize val="0"/>
        </c:dLbls>
        <c:gapWidth val="219"/>
        <c:overlap val="-27"/>
        <c:axId val="224025216"/>
        <c:axId val="224043392"/>
      </c:barChart>
      <c:catAx>
        <c:axId val="22402521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s-AR"/>
          </a:p>
        </c:txPr>
        <c:crossAx val="224043392"/>
        <c:crosses val="autoZero"/>
        <c:auto val="1"/>
        <c:lblAlgn val="ctr"/>
        <c:lblOffset val="100"/>
        <c:noMultiLvlLbl val="0"/>
      </c:catAx>
      <c:valAx>
        <c:axId val="224043392"/>
        <c:scaling>
          <c:orientation val="minMax"/>
        </c:scaling>
        <c:delete val="1"/>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crossAx val="2240252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a:pPr>
      <a:endParaRPr lang="es-AR"/>
    </a:p>
  </c:txPr>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tx2"/>
            </a:solidFill>
            <a:ln>
              <a:noFill/>
            </a:ln>
            <a:effectLst/>
          </c:spPr>
          <c:invertIfNegative val="0"/>
          <c:cat>
            <c:strRef>
              <c:f>ENERGÍA!$BP$142:$CA$142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ENERGÍA!$BP$138:$CA$138</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411-4E44-8C98-882653BB0026}"/>
            </c:ext>
          </c:extLst>
        </c:ser>
        <c:ser>
          <c:idx val="2"/>
          <c:order val="1"/>
          <c:spPr>
            <a:solidFill>
              <a:schemeClr val="accent1"/>
            </a:solidFill>
            <a:ln>
              <a:noFill/>
            </a:ln>
            <a:effectLst/>
          </c:spPr>
          <c:invertIfNegative val="0"/>
          <c:cat>
            <c:strRef>
              <c:f>ENERGÍA!$BP$142:$CA$142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ENERGÍA!$BP$140:$CA$140</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7411-4E44-8C98-882653BB0026}"/>
            </c:ext>
          </c:extLst>
        </c:ser>
        <c:dLbls>
          <c:showLegendKey val="0"/>
          <c:showVal val="0"/>
          <c:showCatName val="0"/>
          <c:showSerName val="0"/>
          <c:showPercent val="0"/>
          <c:showBubbleSize val="0"/>
        </c:dLbls>
        <c:gapWidth val="150"/>
        <c:axId val="211705216"/>
        <c:axId val="211711104"/>
      </c:barChart>
      <c:catAx>
        <c:axId val="21170521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s-AR"/>
          </a:p>
        </c:txPr>
        <c:crossAx val="211711104"/>
        <c:crosses val="autoZero"/>
        <c:auto val="1"/>
        <c:lblAlgn val="ctr"/>
        <c:lblOffset val="100"/>
        <c:noMultiLvlLbl val="0"/>
      </c:catAx>
      <c:valAx>
        <c:axId val="211711104"/>
        <c:scaling>
          <c:orientation val="minMax"/>
        </c:scaling>
        <c:delete val="1"/>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crossAx val="2117052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AR"/>
    </a:p>
  </c:txPr>
  <c:printSettings>
    <c:headerFooter/>
    <c:pageMargins b="0.75000000000000011" l="0.70000000000000007" r="0.70000000000000007" t="0.75000000000000011" header="0.30000000000000004" footer="0.30000000000000004"/>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chemeClr val="tx2"/>
            </a:solidFill>
          </c:spPr>
          <c:dPt>
            <c:idx val="0"/>
            <c:bubble3D val="0"/>
            <c:spPr>
              <a:solidFill>
                <a:schemeClr val="tx2"/>
              </a:solidFill>
              <a:ln w="19050">
                <a:solidFill>
                  <a:schemeClr val="lt1"/>
                </a:solidFill>
              </a:ln>
              <a:effectLst/>
            </c:spPr>
            <c:extLst>
              <c:ext xmlns:c16="http://schemas.microsoft.com/office/drawing/2014/chart" uri="{C3380CC4-5D6E-409C-BE32-E72D297353CC}">
                <c16:uniqueId val="{00000001-5210-D24C-9C83-D3D8E38325D6}"/>
              </c:ext>
            </c:extLst>
          </c:dPt>
          <c:dPt>
            <c:idx val="1"/>
            <c:bubble3D val="0"/>
            <c:spPr>
              <a:solidFill>
                <a:schemeClr val="tx2"/>
              </a:solidFill>
              <a:ln w="19050">
                <a:solidFill>
                  <a:schemeClr val="lt1"/>
                </a:solidFill>
              </a:ln>
              <a:effectLst/>
            </c:spPr>
            <c:extLst>
              <c:ext xmlns:c16="http://schemas.microsoft.com/office/drawing/2014/chart" uri="{C3380CC4-5D6E-409C-BE32-E72D297353CC}">
                <c16:uniqueId val="{00000003-5210-D24C-9C83-D3D8E38325D6}"/>
              </c:ext>
            </c:extLst>
          </c:dPt>
          <c:dPt>
            <c:idx val="2"/>
            <c:bubble3D val="0"/>
            <c:spPr>
              <a:solidFill>
                <a:schemeClr val="tx2"/>
              </a:solidFill>
              <a:ln w="19050">
                <a:solidFill>
                  <a:schemeClr val="lt1"/>
                </a:solidFill>
              </a:ln>
              <a:effectLst/>
            </c:spPr>
            <c:extLst>
              <c:ext xmlns:c16="http://schemas.microsoft.com/office/drawing/2014/chart" uri="{C3380CC4-5D6E-409C-BE32-E72D297353CC}">
                <c16:uniqueId val="{00000005-5210-D24C-9C83-D3D8E38325D6}"/>
              </c:ext>
            </c:extLst>
          </c:dPt>
          <c:dPt>
            <c:idx val="3"/>
            <c:bubble3D val="0"/>
            <c:spPr>
              <a:solidFill>
                <a:schemeClr val="tx2"/>
              </a:solidFill>
              <a:ln w="19050">
                <a:solidFill>
                  <a:schemeClr val="lt1"/>
                </a:solidFill>
              </a:ln>
              <a:effectLst/>
            </c:spPr>
            <c:extLst>
              <c:ext xmlns:c16="http://schemas.microsoft.com/office/drawing/2014/chart" uri="{C3380CC4-5D6E-409C-BE32-E72D297353CC}">
                <c16:uniqueId val="{00000007-5210-D24C-9C83-D3D8E38325D6}"/>
              </c:ext>
            </c:extLst>
          </c:dPt>
          <c:dPt>
            <c:idx val="4"/>
            <c:bubble3D val="0"/>
            <c:spPr>
              <a:solidFill>
                <a:schemeClr val="tx2"/>
              </a:solidFill>
              <a:ln w="19050">
                <a:solidFill>
                  <a:schemeClr val="lt1"/>
                </a:solidFill>
              </a:ln>
              <a:effectLst/>
            </c:spPr>
            <c:extLst>
              <c:ext xmlns:c16="http://schemas.microsoft.com/office/drawing/2014/chart" uri="{C3380CC4-5D6E-409C-BE32-E72D297353CC}">
                <c16:uniqueId val="{00000009-5210-D24C-9C83-D3D8E38325D6}"/>
              </c:ext>
            </c:extLst>
          </c:dPt>
          <c:dPt>
            <c:idx val="5"/>
            <c:bubble3D val="0"/>
            <c:spPr>
              <a:solidFill>
                <a:schemeClr val="tx2"/>
              </a:solidFill>
              <a:ln w="19050">
                <a:solidFill>
                  <a:schemeClr val="lt1"/>
                </a:solidFill>
              </a:ln>
              <a:effectLst/>
            </c:spPr>
            <c:extLst>
              <c:ext xmlns:c16="http://schemas.microsoft.com/office/drawing/2014/chart" uri="{C3380CC4-5D6E-409C-BE32-E72D297353CC}">
                <c16:uniqueId val="{0000000B-5210-D24C-9C83-D3D8E38325D6}"/>
              </c:ext>
            </c:extLst>
          </c:dPt>
          <c:dPt>
            <c:idx val="6"/>
            <c:bubble3D val="0"/>
            <c:spPr>
              <a:solidFill>
                <a:schemeClr val="tx2"/>
              </a:solidFill>
              <a:ln w="19050">
                <a:solidFill>
                  <a:schemeClr val="lt1"/>
                </a:solidFill>
              </a:ln>
              <a:effectLst/>
            </c:spPr>
            <c:extLst>
              <c:ext xmlns:c16="http://schemas.microsoft.com/office/drawing/2014/chart" uri="{C3380CC4-5D6E-409C-BE32-E72D297353CC}">
                <c16:uniqueId val="{0000000D-5210-D24C-9C83-D3D8E38325D6}"/>
              </c:ext>
            </c:extLst>
          </c:dPt>
          <c:dPt>
            <c:idx val="7"/>
            <c:bubble3D val="0"/>
            <c:spPr>
              <a:solidFill>
                <a:schemeClr val="tx2"/>
              </a:solidFill>
              <a:ln w="19050">
                <a:solidFill>
                  <a:schemeClr val="lt1"/>
                </a:solidFill>
              </a:ln>
              <a:effectLst/>
            </c:spPr>
            <c:extLst>
              <c:ext xmlns:c16="http://schemas.microsoft.com/office/drawing/2014/chart" uri="{C3380CC4-5D6E-409C-BE32-E72D297353CC}">
                <c16:uniqueId val="{0000000F-5210-D24C-9C83-D3D8E38325D6}"/>
              </c:ext>
            </c:extLst>
          </c:dPt>
          <c:dPt>
            <c:idx val="8"/>
            <c:bubble3D val="0"/>
            <c:spPr>
              <a:solidFill>
                <a:schemeClr val="tx2"/>
              </a:solidFill>
              <a:ln w="19050">
                <a:solidFill>
                  <a:schemeClr val="lt1"/>
                </a:solidFill>
              </a:ln>
              <a:effectLst/>
            </c:spPr>
            <c:extLst>
              <c:ext xmlns:c16="http://schemas.microsoft.com/office/drawing/2014/chart" uri="{C3380CC4-5D6E-409C-BE32-E72D297353CC}">
                <c16:uniqueId val="{00000011-5210-D24C-9C83-D3D8E38325D6}"/>
              </c:ext>
            </c:extLst>
          </c:dPt>
          <c:dPt>
            <c:idx val="9"/>
            <c:bubble3D val="0"/>
            <c:spPr>
              <a:solidFill>
                <a:schemeClr val="tx2"/>
              </a:solidFill>
              <a:ln w="19050">
                <a:solidFill>
                  <a:schemeClr val="lt1"/>
                </a:solidFill>
              </a:ln>
              <a:effectLst/>
            </c:spPr>
            <c:extLst>
              <c:ext xmlns:c16="http://schemas.microsoft.com/office/drawing/2014/chart" uri="{C3380CC4-5D6E-409C-BE32-E72D297353CC}">
                <c16:uniqueId val="{00000013-5210-D24C-9C83-D3D8E38325D6}"/>
              </c:ext>
            </c:extLst>
          </c:dPt>
          <c:dPt>
            <c:idx val="10"/>
            <c:bubble3D val="0"/>
            <c:spPr>
              <a:solidFill>
                <a:schemeClr val="tx2"/>
              </a:solidFill>
              <a:ln w="19050">
                <a:solidFill>
                  <a:schemeClr val="lt1"/>
                </a:solidFill>
              </a:ln>
              <a:effectLst/>
            </c:spPr>
            <c:extLst>
              <c:ext xmlns:c16="http://schemas.microsoft.com/office/drawing/2014/chart" uri="{C3380CC4-5D6E-409C-BE32-E72D297353CC}">
                <c16:uniqueId val="{00000015-5210-D24C-9C83-D3D8E38325D6}"/>
              </c:ext>
            </c:extLst>
          </c:dPt>
          <c:dPt>
            <c:idx val="11"/>
            <c:bubble3D val="0"/>
            <c:spPr>
              <a:solidFill>
                <a:schemeClr val="tx2"/>
              </a:solidFill>
              <a:ln w="19050">
                <a:solidFill>
                  <a:schemeClr val="lt1"/>
                </a:solidFill>
              </a:ln>
              <a:effectLst/>
            </c:spPr>
            <c:extLst>
              <c:ext xmlns:c16="http://schemas.microsoft.com/office/drawing/2014/chart" uri="{C3380CC4-5D6E-409C-BE32-E72D297353CC}">
                <c16:uniqueId val="{00000017-5210-D24C-9C83-D3D8E38325D6}"/>
              </c:ext>
            </c:extLst>
          </c:dPt>
          <c:dPt>
            <c:idx val="12"/>
            <c:bubble3D val="0"/>
            <c:spPr>
              <a:solidFill>
                <a:schemeClr val="tx2"/>
              </a:solidFill>
              <a:ln w="19050">
                <a:solidFill>
                  <a:schemeClr val="lt1"/>
                </a:solidFill>
              </a:ln>
              <a:effectLst/>
            </c:spPr>
            <c:extLst>
              <c:ext xmlns:c16="http://schemas.microsoft.com/office/drawing/2014/chart" uri="{C3380CC4-5D6E-409C-BE32-E72D297353CC}">
                <c16:uniqueId val="{00000019-5210-D24C-9C83-D3D8E38325D6}"/>
              </c:ext>
            </c:extLst>
          </c:dPt>
          <c:dPt>
            <c:idx val="13"/>
            <c:bubble3D val="0"/>
            <c:spPr>
              <a:solidFill>
                <a:schemeClr val="tx2"/>
              </a:solidFill>
              <a:ln w="19050">
                <a:solidFill>
                  <a:schemeClr val="lt1"/>
                </a:solidFill>
              </a:ln>
              <a:effectLst/>
            </c:spPr>
            <c:extLst>
              <c:ext xmlns:c16="http://schemas.microsoft.com/office/drawing/2014/chart" uri="{C3380CC4-5D6E-409C-BE32-E72D297353CC}">
                <c16:uniqueId val="{0000001B-5210-D24C-9C83-D3D8E38325D6}"/>
              </c:ext>
            </c:extLst>
          </c:dPt>
          <c:dPt>
            <c:idx val="14"/>
            <c:bubble3D val="0"/>
            <c:spPr>
              <a:solidFill>
                <a:schemeClr val="tx2"/>
              </a:solidFill>
              <a:ln w="19050">
                <a:solidFill>
                  <a:schemeClr val="lt1"/>
                </a:solidFill>
              </a:ln>
              <a:effectLst/>
            </c:spPr>
            <c:extLst>
              <c:ext xmlns:c16="http://schemas.microsoft.com/office/drawing/2014/chart" uri="{C3380CC4-5D6E-409C-BE32-E72D297353CC}">
                <c16:uniqueId val="{0000001D-5210-D24C-9C83-D3D8E38325D6}"/>
              </c:ext>
            </c:extLst>
          </c:dPt>
          <c:dPt>
            <c:idx val="15"/>
            <c:bubble3D val="0"/>
            <c:spPr>
              <a:solidFill>
                <a:schemeClr val="tx2"/>
              </a:solidFill>
              <a:ln w="19050">
                <a:solidFill>
                  <a:schemeClr val="lt1"/>
                </a:solidFill>
              </a:ln>
              <a:effectLst/>
            </c:spPr>
            <c:extLst>
              <c:ext xmlns:c16="http://schemas.microsoft.com/office/drawing/2014/chart" uri="{C3380CC4-5D6E-409C-BE32-E72D297353CC}">
                <c16:uniqueId val="{0000001F-5210-D24C-9C83-D3D8E38325D6}"/>
              </c:ext>
            </c:extLst>
          </c:dPt>
          <c:dPt>
            <c:idx val="16"/>
            <c:bubble3D val="0"/>
            <c:spPr>
              <a:solidFill>
                <a:schemeClr val="tx2"/>
              </a:solidFill>
              <a:ln w="19050">
                <a:solidFill>
                  <a:schemeClr val="lt1"/>
                </a:solidFill>
              </a:ln>
              <a:effectLst/>
            </c:spPr>
            <c:extLst>
              <c:ext xmlns:c16="http://schemas.microsoft.com/office/drawing/2014/chart" uri="{C3380CC4-5D6E-409C-BE32-E72D297353CC}">
                <c16:uniqueId val="{00000021-5210-D24C-9C83-D3D8E38325D6}"/>
              </c:ext>
            </c:extLst>
          </c:dPt>
          <c:dPt>
            <c:idx val="17"/>
            <c:bubble3D val="0"/>
            <c:spPr>
              <a:solidFill>
                <a:schemeClr val="tx2"/>
              </a:solidFill>
              <a:ln w="19050">
                <a:solidFill>
                  <a:schemeClr val="lt1"/>
                </a:solidFill>
              </a:ln>
              <a:effectLst/>
            </c:spPr>
            <c:extLst>
              <c:ext xmlns:c16="http://schemas.microsoft.com/office/drawing/2014/chart" uri="{C3380CC4-5D6E-409C-BE32-E72D297353CC}">
                <c16:uniqueId val="{00000023-5210-D24C-9C83-D3D8E38325D6}"/>
              </c:ext>
            </c:extLst>
          </c:dPt>
          <c:dPt>
            <c:idx val="18"/>
            <c:bubble3D val="0"/>
            <c:spPr>
              <a:solidFill>
                <a:schemeClr val="tx2"/>
              </a:solidFill>
              <a:ln w="19050">
                <a:solidFill>
                  <a:schemeClr val="lt1"/>
                </a:solidFill>
              </a:ln>
              <a:effectLst/>
            </c:spPr>
            <c:extLst>
              <c:ext xmlns:c16="http://schemas.microsoft.com/office/drawing/2014/chart" uri="{C3380CC4-5D6E-409C-BE32-E72D297353CC}">
                <c16:uniqueId val="{00000025-5210-D24C-9C83-D3D8E38325D6}"/>
              </c:ext>
            </c:extLst>
          </c:dPt>
          <c:dPt>
            <c:idx val="19"/>
            <c:bubble3D val="0"/>
            <c:spPr>
              <a:solidFill>
                <a:schemeClr val="tx2"/>
              </a:solidFill>
              <a:ln w="19050">
                <a:solidFill>
                  <a:schemeClr val="lt1"/>
                </a:solidFill>
              </a:ln>
              <a:effectLst/>
            </c:spPr>
            <c:extLst>
              <c:ext xmlns:c16="http://schemas.microsoft.com/office/drawing/2014/chart" uri="{C3380CC4-5D6E-409C-BE32-E72D297353CC}">
                <c16:uniqueId val="{00000027-5210-D24C-9C83-D3D8E38325D6}"/>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5210-D24C-9C83-D3D8E38325D6}"/>
            </c:ext>
          </c:extLst>
        </c:ser>
        <c:dLbls>
          <c:showLegendKey val="0"/>
          <c:showVal val="0"/>
          <c:showCatName val="0"/>
          <c:showSerName val="0"/>
          <c:showPercent val="0"/>
          <c:showBubbleSize val="0"/>
          <c:showLeaderLines val="0"/>
        </c:dLbls>
        <c:firstSliceAng val="0"/>
        <c:holeSize val="57"/>
      </c:doughnutChart>
      <c:pieChart>
        <c:varyColors val="1"/>
        <c:ser>
          <c:idx val="1"/>
          <c:order val="1"/>
          <c:dPt>
            <c:idx val="0"/>
            <c:bubble3D val="0"/>
            <c:spPr>
              <a:noFill/>
              <a:ln w="19050">
                <a:solidFill>
                  <a:schemeClr val="lt1"/>
                </a:solidFill>
              </a:ln>
              <a:effectLst/>
            </c:spPr>
            <c:extLst>
              <c:ext xmlns:c16="http://schemas.microsoft.com/office/drawing/2014/chart" uri="{C3380CC4-5D6E-409C-BE32-E72D297353CC}">
                <c16:uniqueId val="{0000002A-5210-D24C-9C83-D3D8E38325D6}"/>
              </c:ext>
            </c:extLst>
          </c:dPt>
          <c:dPt>
            <c:idx val="1"/>
            <c:bubble3D val="0"/>
            <c:spPr>
              <a:solidFill>
                <a:sysClr val="window" lastClr="FFFFFF">
                  <a:alpha val="70000"/>
                </a:sysClr>
              </a:solidFill>
              <a:ln w="19050">
                <a:solidFill>
                  <a:schemeClr val="lt1"/>
                </a:solidFill>
              </a:ln>
              <a:effectLst/>
            </c:spPr>
            <c:extLst>
              <c:ext xmlns:c16="http://schemas.microsoft.com/office/drawing/2014/chart" uri="{C3380CC4-5D6E-409C-BE32-E72D297353CC}">
                <c16:uniqueId val="{0000002C-5210-D24C-9C83-D3D8E38325D6}"/>
              </c:ext>
            </c:extLst>
          </c:dPt>
          <c:val>
            <c:numRef>
              <c:f>ENERGÍA!$BL$2:$BM$2</c:f>
              <c:numCache>
                <c:formatCode>0%</c:formatCode>
                <c:ptCount val="2"/>
                <c:pt idx="0">
                  <c:v>0</c:v>
                </c:pt>
                <c:pt idx="1">
                  <c:v>0</c:v>
                </c:pt>
              </c:numCache>
            </c:numRef>
          </c:val>
          <c:extLst>
            <c:ext xmlns:c16="http://schemas.microsoft.com/office/drawing/2014/chart" uri="{C3380CC4-5D6E-409C-BE32-E72D297353CC}">
              <c16:uniqueId val="{0000002D-5210-D24C-9C83-D3D8E38325D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AR"/>
    </a:p>
  </c:txPr>
  <c:printSettings>
    <c:headerFooter/>
    <c:pageMargins b="0.75000000000000011" l="0.70000000000000007" r="0.70000000000000007" t="0.75000000000000011" header="0.30000000000000004" footer="0.30000000000000004"/>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chemeClr val="tx2"/>
            </a:solidFill>
          </c:spPr>
          <c:dPt>
            <c:idx val="0"/>
            <c:bubble3D val="0"/>
            <c:spPr>
              <a:solidFill>
                <a:schemeClr val="tx2"/>
              </a:solidFill>
              <a:ln w="19050">
                <a:solidFill>
                  <a:schemeClr val="lt1"/>
                </a:solidFill>
              </a:ln>
              <a:effectLst/>
            </c:spPr>
            <c:extLst>
              <c:ext xmlns:c16="http://schemas.microsoft.com/office/drawing/2014/chart" uri="{C3380CC4-5D6E-409C-BE32-E72D297353CC}">
                <c16:uniqueId val="{00000001-9CC6-1646-B2FB-AFBADD4F394A}"/>
              </c:ext>
            </c:extLst>
          </c:dPt>
          <c:dPt>
            <c:idx val="1"/>
            <c:bubble3D val="0"/>
            <c:spPr>
              <a:solidFill>
                <a:schemeClr val="tx2"/>
              </a:solidFill>
              <a:ln w="19050">
                <a:solidFill>
                  <a:schemeClr val="lt1"/>
                </a:solidFill>
              </a:ln>
              <a:effectLst/>
            </c:spPr>
            <c:extLst>
              <c:ext xmlns:c16="http://schemas.microsoft.com/office/drawing/2014/chart" uri="{C3380CC4-5D6E-409C-BE32-E72D297353CC}">
                <c16:uniqueId val="{00000003-9CC6-1646-B2FB-AFBADD4F394A}"/>
              </c:ext>
            </c:extLst>
          </c:dPt>
          <c:dPt>
            <c:idx val="2"/>
            <c:bubble3D val="0"/>
            <c:spPr>
              <a:solidFill>
                <a:schemeClr val="tx2"/>
              </a:solidFill>
              <a:ln w="19050">
                <a:solidFill>
                  <a:schemeClr val="lt1"/>
                </a:solidFill>
              </a:ln>
              <a:effectLst/>
            </c:spPr>
            <c:extLst>
              <c:ext xmlns:c16="http://schemas.microsoft.com/office/drawing/2014/chart" uri="{C3380CC4-5D6E-409C-BE32-E72D297353CC}">
                <c16:uniqueId val="{00000005-9CC6-1646-B2FB-AFBADD4F394A}"/>
              </c:ext>
            </c:extLst>
          </c:dPt>
          <c:dPt>
            <c:idx val="3"/>
            <c:bubble3D val="0"/>
            <c:spPr>
              <a:solidFill>
                <a:schemeClr val="tx2"/>
              </a:solidFill>
              <a:ln w="19050">
                <a:solidFill>
                  <a:schemeClr val="lt1"/>
                </a:solidFill>
              </a:ln>
              <a:effectLst/>
            </c:spPr>
            <c:extLst>
              <c:ext xmlns:c16="http://schemas.microsoft.com/office/drawing/2014/chart" uri="{C3380CC4-5D6E-409C-BE32-E72D297353CC}">
                <c16:uniqueId val="{00000007-9CC6-1646-B2FB-AFBADD4F394A}"/>
              </c:ext>
            </c:extLst>
          </c:dPt>
          <c:dPt>
            <c:idx val="4"/>
            <c:bubble3D val="0"/>
            <c:spPr>
              <a:solidFill>
                <a:schemeClr val="tx2"/>
              </a:solidFill>
              <a:ln w="19050">
                <a:solidFill>
                  <a:schemeClr val="lt1"/>
                </a:solidFill>
              </a:ln>
              <a:effectLst/>
            </c:spPr>
            <c:extLst>
              <c:ext xmlns:c16="http://schemas.microsoft.com/office/drawing/2014/chart" uri="{C3380CC4-5D6E-409C-BE32-E72D297353CC}">
                <c16:uniqueId val="{00000009-9CC6-1646-B2FB-AFBADD4F394A}"/>
              </c:ext>
            </c:extLst>
          </c:dPt>
          <c:dPt>
            <c:idx val="5"/>
            <c:bubble3D val="0"/>
            <c:spPr>
              <a:solidFill>
                <a:schemeClr val="tx2"/>
              </a:solidFill>
              <a:ln w="19050">
                <a:solidFill>
                  <a:schemeClr val="lt1"/>
                </a:solidFill>
              </a:ln>
              <a:effectLst/>
            </c:spPr>
            <c:extLst>
              <c:ext xmlns:c16="http://schemas.microsoft.com/office/drawing/2014/chart" uri="{C3380CC4-5D6E-409C-BE32-E72D297353CC}">
                <c16:uniqueId val="{0000000B-9CC6-1646-B2FB-AFBADD4F394A}"/>
              </c:ext>
            </c:extLst>
          </c:dPt>
          <c:dPt>
            <c:idx val="6"/>
            <c:bubble3D val="0"/>
            <c:spPr>
              <a:solidFill>
                <a:schemeClr val="tx2"/>
              </a:solidFill>
              <a:ln w="19050">
                <a:solidFill>
                  <a:schemeClr val="lt1"/>
                </a:solidFill>
              </a:ln>
              <a:effectLst/>
            </c:spPr>
            <c:extLst>
              <c:ext xmlns:c16="http://schemas.microsoft.com/office/drawing/2014/chart" uri="{C3380CC4-5D6E-409C-BE32-E72D297353CC}">
                <c16:uniqueId val="{0000000D-9CC6-1646-B2FB-AFBADD4F394A}"/>
              </c:ext>
            </c:extLst>
          </c:dPt>
          <c:dPt>
            <c:idx val="7"/>
            <c:bubble3D val="0"/>
            <c:spPr>
              <a:solidFill>
                <a:schemeClr val="tx2"/>
              </a:solidFill>
              <a:ln w="19050">
                <a:solidFill>
                  <a:schemeClr val="lt1"/>
                </a:solidFill>
              </a:ln>
              <a:effectLst/>
            </c:spPr>
            <c:extLst>
              <c:ext xmlns:c16="http://schemas.microsoft.com/office/drawing/2014/chart" uri="{C3380CC4-5D6E-409C-BE32-E72D297353CC}">
                <c16:uniqueId val="{0000000F-9CC6-1646-B2FB-AFBADD4F394A}"/>
              </c:ext>
            </c:extLst>
          </c:dPt>
          <c:dPt>
            <c:idx val="8"/>
            <c:bubble3D val="0"/>
            <c:spPr>
              <a:solidFill>
                <a:schemeClr val="tx2"/>
              </a:solidFill>
              <a:ln w="19050">
                <a:solidFill>
                  <a:schemeClr val="lt1"/>
                </a:solidFill>
              </a:ln>
              <a:effectLst/>
            </c:spPr>
            <c:extLst>
              <c:ext xmlns:c16="http://schemas.microsoft.com/office/drawing/2014/chart" uri="{C3380CC4-5D6E-409C-BE32-E72D297353CC}">
                <c16:uniqueId val="{00000011-9CC6-1646-B2FB-AFBADD4F394A}"/>
              </c:ext>
            </c:extLst>
          </c:dPt>
          <c:dPt>
            <c:idx val="9"/>
            <c:bubble3D val="0"/>
            <c:spPr>
              <a:solidFill>
                <a:schemeClr val="tx2"/>
              </a:solidFill>
              <a:ln w="19050">
                <a:solidFill>
                  <a:schemeClr val="lt1"/>
                </a:solidFill>
              </a:ln>
              <a:effectLst/>
            </c:spPr>
            <c:extLst>
              <c:ext xmlns:c16="http://schemas.microsoft.com/office/drawing/2014/chart" uri="{C3380CC4-5D6E-409C-BE32-E72D297353CC}">
                <c16:uniqueId val="{00000013-9CC6-1646-B2FB-AFBADD4F394A}"/>
              </c:ext>
            </c:extLst>
          </c:dPt>
          <c:dPt>
            <c:idx val="10"/>
            <c:bubble3D val="0"/>
            <c:spPr>
              <a:solidFill>
                <a:schemeClr val="tx2"/>
              </a:solidFill>
              <a:ln w="19050">
                <a:solidFill>
                  <a:schemeClr val="lt1"/>
                </a:solidFill>
              </a:ln>
              <a:effectLst/>
            </c:spPr>
            <c:extLst>
              <c:ext xmlns:c16="http://schemas.microsoft.com/office/drawing/2014/chart" uri="{C3380CC4-5D6E-409C-BE32-E72D297353CC}">
                <c16:uniqueId val="{00000015-9CC6-1646-B2FB-AFBADD4F394A}"/>
              </c:ext>
            </c:extLst>
          </c:dPt>
          <c:dPt>
            <c:idx val="11"/>
            <c:bubble3D val="0"/>
            <c:spPr>
              <a:solidFill>
                <a:schemeClr val="tx2"/>
              </a:solidFill>
              <a:ln w="19050">
                <a:solidFill>
                  <a:schemeClr val="lt1"/>
                </a:solidFill>
              </a:ln>
              <a:effectLst/>
            </c:spPr>
            <c:extLst>
              <c:ext xmlns:c16="http://schemas.microsoft.com/office/drawing/2014/chart" uri="{C3380CC4-5D6E-409C-BE32-E72D297353CC}">
                <c16:uniqueId val="{00000017-9CC6-1646-B2FB-AFBADD4F394A}"/>
              </c:ext>
            </c:extLst>
          </c:dPt>
          <c:dPt>
            <c:idx val="12"/>
            <c:bubble3D val="0"/>
            <c:spPr>
              <a:solidFill>
                <a:schemeClr val="tx2"/>
              </a:solidFill>
              <a:ln w="19050">
                <a:solidFill>
                  <a:schemeClr val="lt1"/>
                </a:solidFill>
              </a:ln>
              <a:effectLst/>
            </c:spPr>
            <c:extLst>
              <c:ext xmlns:c16="http://schemas.microsoft.com/office/drawing/2014/chart" uri="{C3380CC4-5D6E-409C-BE32-E72D297353CC}">
                <c16:uniqueId val="{00000019-9CC6-1646-B2FB-AFBADD4F394A}"/>
              </c:ext>
            </c:extLst>
          </c:dPt>
          <c:dPt>
            <c:idx val="13"/>
            <c:bubble3D val="0"/>
            <c:spPr>
              <a:solidFill>
                <a:schemeClr val="tx2"/>
              </a:solidFill>
              <a:ln w="19050">
                <a:solidFill>
                  <a:schemeClr val="lt1"/>
                </a:solidFill>
              </a:ln>
              <a:effectLst/>
            </c:spPr>
            <c:extLst>
              <c:ext xmlns:c16="http://schemas.microsoft.com/office/drawing/2014/chart" uri="{C3380CC4-5D6E-409C-BE32-E72D297353CC}">
                <c16:uniqueId val="{0000001B-9CC6-1646-B2FB-AFBADD4F394A}"/>
              </c:ext>
            </c:extLst>
          </c:dPt>
          <c:dPt>
            <c:idx val="14"/>
            <c:bubble3D val="0"/>
            <c:spPr>
              <a:solidFill>
                <a:schemeClr val="tx2"/>
              </a:solidFill>
              <a:ln w="19050">
                <a:solidFill>
                  <a:schemeClr val="lt1"/>
                </a:solidFill>
              </a:ln>
              <a:effectLst/>
            </c:spPr>
            <c:extLst>
              <c:ext xmlns:c16="http://schemas.microsoft.com/office/drawing/2014/chart" uri="{C3380CC4-5D6E-409C-BE32-E72D297353CC}">
                <c16:uniqueId val="{0000001D-9CC6-1646-B2FB-AFBADD4F394A}"/>
              </c:ext>
            </c:extLst>
          </c:dPt>
          <c:dPt>
            <c:idx val="15"/>
            <c:bubble3D val="0"/>
            <c:spPr>
              <a:solidFill>
                <a:schemeClr val="tx2"/>
              </a:solidFill>
              <a:ln w="19050">
                <a:solidFill>
                  <a:schemeClr val="lt1"/>
                </a:solidFill>
              </a:ln>
              <a:effectLst/>
            </c:spPr>
            <c:extLst>
              <c:ext xmlns:c16="http://schemas.microsoft.com/office/drawing/2014/chart" uri="{C3380CC4-5D6E-409C-BE32-E72D297353CC}">
                <c16:uniqueId val="{0000001F-9CC6-1646-B2FB-AFBADD4F394A}"/>
              </c:ext>
            </c:extLst>
          </c:dPt>
          <c:dPt>
            <c:idx val="16"/>
            <c:bubble3D val="0"/>
            <c:spPr>
              <a:solidFill>
                <a:schemeClr val="tx2"/>
              </a:solidFill>
              <a:ln w="19050">
                <a:solidFill>
                  <a:schemeClr val="lt1"/>
                </a:solidFill>
              </a:ln>
              <a:effectLst/>
            </c:spPr>
            <c:extLst>
              <c:ext xmlns:c16="http://schemas.microsoft.com/office/drawing/2014/chart" uri="{C3380CC4-5D6E-409C-BE32-E72D297353CC}">
                <c16:uniqueId val="{00000021-9CC6-1646-B2FB-AFBADD4F394A}"/>
              </c:ext>
            </c:extLst>
          </c:dPt>
          <c:dPt>
            <c:idx val="17"/>
            <c:bubble3D val="0"/>
            <c:spPr>
              <a:solidFill>
                <a:schemeClr val="tx2"/>
              </a:solidFill>
              <a:ln w="19050">
                <a:solidFill>
                  <a:schemeClr val="lt1"/>
                </a:solidFill>
              </a:ln>
              <a:effectLst/>
            </c:spPr>
            <c:extLst>
              <c:ext xmlns:c16="http://schemas.microsoft.com/office/drawing/2014/chart" uri="{C3380CC4-5D6E-409C-BE32-E72D297353CC}">
                <c16:uniqueId val="{00000023-9CC6-1646-B2FB-AFBADD4F394A}"/>
              </c:ext>
            </c:extLst>
          </c:dPt>
          <c:dPt>
            <c:idx val="18"/>
            <c:bubble3D val="0"/>
            <c:spPr>
              <a:solidFill>
                <a:schemeClr val="tx2"/>
              </a:solidFill>
              <a:ln w="19050">
                <a:solidFill>
                  <a:schemeClr val="lt1"/>
                </a:solidFill>
              </a:ln>
              <a:effectLst/>
            </c:spPr>
            <c:extLst>
              <c:ext xmlns:c16="http://schemas.microsoft.com/office/drawing/2014/chart" uri="{C3380CC4-5D6E-409C-BE32-E72D297353CC}">
                <c16:uniqueId val="{00000025-9CC6-1646-B2FB-AFBADD4F394A}"/>
              </c:ext>
            </c:extLst>
          </c:dPt>
          <c:dPt>
            <c:idx val="19"/>
            <c:bubble3D val="0"/>
            <c:spPr>
              <a:solidFill>
                <a:schemeClr val="tx2"/>
              </a:solidFill>
              <a:ln w="19050">
                <a:solidFill>
                  <a:schemeClr val="lt1"/>
                </a:solidFill>
              </a:ln>
              <a:effectLst/>
            </c:spPr>
            <c:extLst>
              <c:ext xmlns:c16="http://schemas.microsoft.com/office/drawing/2014/chart" uri="{C3380CC4-5D6E-409C-BE32-E72D297353CC}">
                <c16:uniqueId val="{00000027-9CC6-1646-B2FB-AFBADD4F394A}"/>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00-B73F-B34B-B9E4-9E0F9D7925C5}"/>
            </c:ext>
          </c:extLst>
        </c:ser>
        <c:dLbls>
          <c:showLegendKey val="0"/>
          <c:showVal val="0"/>
          <c:showCatName val="0"/>
          <c:showSerName val="0"/>
          <c:showPercent val="0"/>
          <c:showBubbleSize val="0"/>
          <c:showLeaderLines val="0"/>
        </c:dLbls>
        <c:firstSliceAng val="0"/>
        <c:holeSize val="57"/>
      </c:doughnutChart>
      <c:pieChart>
        <c:varyColors val="1"/>
        <c:ser>
          <c:idx val="1"/>
          <c:order val="1"/>
          <c:dPt>
            <c:idx val="0"/>
            <c:bubble3D val="0"/>
            <c:spPr>
              <a:noFill/>
              <a:ln w="19050">
                <a:solidFill>
                  <a:schemeClr val="lt1"/>
                </a:solidFill>
              </a:ln>
              <a:effectLst/>
            </c:spPr>
            <c:extLst>
              <c:ext xmlns:c16="http://schemas.microsoft.com/office/drawing/2014/chart" uri="{C3380CC4-5D6E-409C-BE32-E72D297353CC}">
                <c16:uniqueId val="{00000029-6463-DE4D-9FDC-37560A913A50}"/>
              </c:ext>
            </c:extLst>
          </c:dPt>
          <c:dPt>
            <c:idx val="1"/>
            <c:bubble3D val="0"/>
            <c:spPr>
              <a:solidFill>
                <a:sysClr val="window" lastClr="FFFFFF">
                  <a:alpha val="70000"/>
                </a:sysClr>
              </a:solidFill>
              <a:ln w="19050">
                <a:solidFill>
                  <a:schemeClr val="lt1"/>
                </a:solidFill>
              </a:ln>
              <a:effectLst/>
            </c:spPr>
            <c:extLst>
              <c:ext xmlns:c16="http://schemas.microsoft.com/office/drawing/2014/chart" uri="{C3380CC4-5D6E-409C-BE32-E72D297353CC}">
                <c16:uniqueId val="{0000002B-6463-DE4D-9FDC-37560A913A50}"/>
              </c:ext>
            </c:extLst>
          </c:dPt>
          <c:val>
            <c:numRef>
              <c:f>AGUA!$BD$2:$BE$2</c:f>
              <c:numCache>
                <c:formatCode>0.00</c:formatCode>
                <c:ptCount val="2"/>
                <c:pt idx="0">
                  <c:v>0</c:v>
                </c:pt>
                <c:pt idx="1">
                  <c:v>0</c:v>
                </c:pt>
              </c:numCache>
            </c:numRef>
          </c:val>
          <c:extLst>
            <c:ext xmlns:c16="http://schemas.microsoft.com/office/drawing/2014/chart" uri="{C3380CC4-5D6E-409C-BE32-E72D297353CC}">
              <c16:uniqueId val="{00000028-9CC6-1646-B2FB-AFBADD4F394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AR"/>
    </a:p>
  </c:txPr>
  <c:printSettings>
    <c:headerFooter/>
    <c:pageMargins b="0.75000000000000011" l="0.70000000000000007" r="0.70000000000000007" t="0.75000000000000011" header="0.30000000000000004" footer="0.30000000000000004"/>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0108166646081099E-2"/>
          <c:y val="2.1297907211895617E-2"/>
          <c:w val="0.95387243934112964"/>
          <c:h val="0.85595899082734628"/>
        </c:manualLayout>
      </c:layout>
      <c:barChart>
        <c:barDir val="col"/>
        <c:grouping val="clustered"/>
        <c:varyColors val="0"/>
        <c:ser>
          <c:idx val="0"/>
          <c:order val="0"/>
          <c:tx>
            <c:strRef>
              <c:f>BASE!$GR$55</c:f>
              <c:strCache>
                <c:ptCount val="1"/>
                <c:pt idx="0">
                  <c:v>Línea Base 2007</c:v>
                </c:pt>
              </c:strCache>
            </c:strRef>
          </c:tx>
          <c:spPr>
            <a:solidFill>
              <a:schemeClr val="accent5">
                <a:lumMod val="75000"/>
              </a:schemeClr>
            </a:solidFill>
            <a:ln>
              <a:noFill/>
            </a:ln>
            <a:effectLst/>
          </c:spPr>
          <c:invertIfNegative val="0"/>
          <c:cat>
            <c:strRef>
              <c:f>BASE!$GQ$56:$GQ$59</c:f>
              <c:strCache>
                <c:ptCount val="4"/>
                <c:pt idx="0">
                  <c:v>Calefacción</c:v>
                </c:pt>
                <c:pt idx="1">
                  <c:v>Refrigeración</c:v>
                </c:pt>
                <c:pt idx="2">
                  <c:v>Iluminación</c:v>
                </c:pt>
                <c:pt idx="3">
                  <c:v>Equipamiento</c:v>
                </c:pt>
              </c:strCache>
            </c:strRef>
          </c:cat>
          <c:val>
            <c:numRef>
              <c:f>BASE!$GR$56:$GR$59</c:f>
              <c:numCache>
                <c:formatCode>#,##0.00</c:formatCode>
                <c:ptCount val="4"/>
                <c:pt idx="0">
                  <c:v>0</c:v>
                </c:pt>
                <c:pt idx="1">
                  <c:v>#N/A</c:v>
                </c:pt>
                <c:pt idx="2">
                  <c:v>111.69</c:v>
                </c:pt>
                <c:pt idx="3">
                  <c:v>1139.53</c:v>
                </c:pt>
              </c:numCache>
            </c:numRef>
          </c:val>
          <c:extLst>
            <c:ext xmlns:c16="http://schemas.microsoft.com/office/drawing/2014/chart" uri="{C3380CC4-5D6E-409C-BE32-E72D297353CC}">
              <c16:uniqueId val="{00000000-8136-A14A-A145-3999D69927E2}"/>
            </c:ext>
          </c:extLst>
        </c:ser>
        <c:ser>
          <c:idx val="1"/>
          <c:order val="1"/>
          <c:tx>
            <c:strRef>
              <c:f>BASE!$GS$55</c:f>
              <c:strCache>
                <c:ptCount val="1"/>
                <c:pt idx="0">
                  <c:v>Línea Base 2019</c:v>
                </c:pt>
              </c:strCache>
            </c:strRef>
          </c:tx>
          <c:spPr>
            <a:solidFill>
              <a:schemeClr val="accent5">
                <a:lumMod val="90000"/>
              </a:schemeClr>
            </a:solidFill>
            <a:ln>
              <a:noFill/>
            </a:ln>
            <a:effectLst/>
          </c:spPr>
          <c:invertIfNegative val="0"/>
          <c:cat>
            <c:strRef>
              <c:f>BASE!$GQ$56:$GQ$59</c:f>
              <c:strCache>
                <c:ptCount val="4"/>
                <c:pt idx="0">
                  <c:v>Calefacción</c:v>
                </c:pt>
                <c:pt idx="1">
                  <c:v>Refrigeración</c:v>
                </c:pt>
                <c:pt idx="2">
                  <c:v>Iluminación</c:v>
                </c:pt>
                <c:pt idx="3">
                  <c:v>Equipamiento</c:v>
                </c:pt>
              </c:strCache>
            </c:strRef>
          </c:cat>
          <c:val>
            <c:numRef>
              <c:f>BASE!$GS$56:$GS$59</c:f>
              <c:numCache>
                <c:formatCode>#,##0.00</c:formatCode>
                <c:ptCount val="4"/>
                <c:pt idx="0">
                  <c:v>#N/A</c:v>
                </c:pt>
                <c:pt idx="1">
                  <c:v>#N/A</c:v>
                </c:pt>
                <c:pt idx="2">
                  <c:v>55.844999999999999</c:v>
                </c:pt>
                <c:pt idx="3">
                  <c:v>0</c:v>
                </c:pt>
              </c:numCache>
            </c:numRef>
          </c:val>
          <c:extLst>
            <c:ext xmlns:c16="http://schemas.microsoft.com/office/drawing/2014/chart" uri="{C3380CC4-5D6E-409C-BE32-E72D297353CC}">
              <c16:uniqueId val="{00000001-8136-A14A-A145-3999D69927E2}"/>
            </c:ext>
          </c:extLst>
        </c:ser>
        <c:ser>
          <c:idx val="2"/>
          <c:order val="2"/>
          <c:tx>
            <c:strRef>
              <c:f>BASE!$GT$55</c:f>
              <c:strCache>
                <c:ptCount val="1"/>
                <c:pt idx="0">
                  <c:v>Vivienda Evaluada</c:v>
                </c:pt>
              </c:strCache>
            </c:strRef>
          </c:tx>
          <c:spPr>
            <a:solidFill>
              <a:schemeClr val="bg2"/>
            </a:solidFill>
          </c:spPr>
          <c:invertIfNegative val="0"/>
          <c:cat>
            <c:strRef>
              <c:f>BASE!$GQ$56:$GQ$59</c:f>
              <c:strCache>
                <c:ptCount val="4"/>
                <c:pt idx="0">
                  <c:v>Calefacción</c:v>
                </c:pt>
                <c:pt idx="1">
                  <c:v>Refrigeración</c:v>
                </c:pt>
                <c:pt idx="2">
                  <c:v>Iluminación</c:v>
                </c:pt>
                <c:pt idx="3">
                  <c:v>Equipamiento</c:v>
                </c:pt>
              </c:strCache>
            </c:strRef>
          </c:cat>
          <c:val>
            <c:numRef>
              <c:f>BASE!$GT$56:$GT$59</c:f>
              <c:numCache>
                <c:formatCode>#,##0.00</c:formatCode>
                <c:ptCount val="4"/>
                <c:pt idx="0">
                  <c:v>0</c:v>
                </c:pt>
                <c:pt idx="1">
                  <c:v>0</c:v>
                </c:pt>
                <c:pt idx="2">
                  <c:v>55.844999999999999</c:v>
                </c:pt>
                <c:pt idx="3">
                  <c:v>653.35</c:v>
                </c:pt>
              </c:numCache>
            </c:numRef>
          </c:val>
          <c:extLst>
            <c:ext xmlns:c16="http://schemas.microsoft.com/office/drawing/2014/chart" uri="{C3380CC4-5D6E-409C-BE32-E72D297353CC}">
              <c16:uniqueId val="{00000000-2045-5945-A21C-49F2CBE6E6FC}"/>
            </c:ext>
          </c:extLst>
        </c:ser>
        <c:dLbls>
          <c:showLegendKey val="0"/>
          <c:showVal val="0"/>
          <c:showCatName val="0"/>
          <c:showSerName val="0"/>
          <c:showPercent val="0"/>
          <c:showBubbleSize val="0"/>
        </c:dLbls>
        <c:gapWidth val="219"/>
        <c:overlap val="-27"/>
        <c:axId val="210237312"/>
        <c:axId val="210238848"/>
      </c:barChart>
      <c:catAx>
        <c:axId val="210237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AR"/>
          </a:p>
        </c:txPr>
        <c:crossAx val="210238848"/>
        <c:crosses val="autoZero"/>
        <c:auto val="1"/>
        <c:lblAlgn val="ctr"/>
        <c:lblOffset val="100"/>
        <c:noMultiLvlLbl val="0"/>
      </c:catAx>
      <c:valAx>
        <c:axId val="210238848"/>
        <c:scaling>
          <c:orientation val="minMax"/>
        </c:scaling>
        <c:delete val="1"/>
        <c:axPos val="l"/>
        <c:numFmt formatCode="#,##0.00" sourceLinked="1"/>
        <c:majorTickMark val="none"/>
        <c:minorTickMark val="none"/>
        <c:tickLblPos val="nextTo"/>
        <c:crossAx val="2102373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AR"/>
    </a:p>
  </c:txPr>
  <c:printSettings>
    <c:headerFooter/>
    <c:pageMargins b="0.75000000000000011" l="0.70000000000000007" r="0.70000000000000007" t="0.75000000000000011" header="0.30000000000000004" footer="0.30000000000000004"/>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382623782196716E-2"/>
          <c:y val="8.916288492491287E-3"/>
          <c:w val="0.94889683704791139"/>
          <c:h val="0.86385286773101699"/>
        </c:manualLayout>
      </c:layout>
      <c:barChart>
        <c:barDir val="col"/>
        <c:grouping val="clustered"/>
        <c:varyColors val="0"/>
        <c:ser>
          <c:idx val="0"/>
          <c:order val="0"/>
          <c:tx>
            <c:strRef>
              <c:f>BASE!$GR$55</c:f>
              <c:strCache>
                <c:ptCount val="1"/>
                <c:pt idx="0">
                  <c:v>Línea Base 2007</c:v>
                </c:pt>
              </c:strCache>
            </c:strRef>
          </c:tx>
          <c:spPr>
            <a:solidFill>
              <a:schemeClr val="accent5">
                <a:lumMod val="75000"/>
              </a:schemeClr>
            </a:solidFill>
            <a:ln>
              <a:noFill/>
            </a:ln>
            <a:effectLst/>
          </c:spPr>
          <c:invertIfNegative val="0"/>
          <c:cat>
            <c:strRef>
              <c:f>BASE!$GQ$62:$GQ$63</c:f>
              <c:strCache>
                <c:ptCount val="2"/>
                <c:pt idx="0">
                  <c:v>Artefactos Sanitarios</c:v>
                </c:pt>
                <c:pt idx="1">
                  <c:v>Paisajismo</c:v>
                </c:pt>
              </c:strCache>
            </c:strRef>
          </c:cat>
          <c:val>
            <c:numRef>
              <c:f>BASE!$GR$62:$GR$63</c:f>
              <c:numCache>
                <c:formatCode>#,##0.00</c:formatCode>
                <c:ptCount val="2"/>
                <c:pt idx="0">
                  <c:v>0</c:v>
                </c:pt>
                <c:pt idx="1">
                  <c:v>0</c:v>
                </c:pt>
              </c:numCache>
            </c:numRef>
          </c:val>
          <c:extLst>
            <c:ext xmlns:c16="http://schemas.microsoft.com/office/drawing/2014/chart" uri="{C3380CC4-5D6E-409C-BE32-E72D297353CC}">
              <c16:uniqueId val="{00000000-A8EC-2845-9010-A9A59A4AE725}"/>
            </c:ext>
          </c:extLst>
        </c:ser>
        <c:ser>
          <c:idx val="1"/>
          <c:order val="1"/>
          <c:tx>
            <c:strRef>
              <c:f>BASE!$GS$55</c:f>
              <c:strCache>
                <c:ptCount val="1"/>
                <c:pt idx="0">
                  <c:v>Línea Base 2019</c:v>
                </c:pt>
              </c:strCache>
            </c:strRef>
          </c:tx>
          <c:spPr>
            <a:solidFill>
              <a:schemeClr val="accent5">
                <a:lumMod val="90000"/>
              </a:schemeClr>
            </a:solidFill>
            <a:ln>
              <a:noFill/>
            </a:ln>
            <a:effectLst/>
          </c:spPr>
          <c:invertIfNegative val="0"/>
          <c:cat>
            <c:strRef>
              <c:f>BASE!$GQ$62:$GQ$63</c:f>
              <c:strCache>
                <c:ptCount val="2"/>
                <c:pt idx="0">
                  <c:v>Artefactos Sanitarios</c:v>
                </c:pt>
                <c:pt idx="1">
                  <c:v>Paisajismo</c:v>
                </c:pt>
              </c:strCache>
            </c:strRef>
          </c:cat>
          <c:val>
            <c:numRef>
              <c:f>BASE!$GS$62:$GS$63</c:f>
              <c:numCache>
                <c:formatCode>#,##0.00</c:formatCode>
                <c:ptCount val="2"/>
                <c:pt idx="0">
                  <c:v>0</c:v>
                </c:pt>
                <c:pt idx="1">
                  <c:v>0</c:v>
                </c:pt>
              </c:numCache>
            </c:numRef>
          </c:val>
          <c:extLst>
            <c:ext xmlns:c16="http://schemas.microsoft.com/office/drawing/2014/chart" uri="{C3380CC4-5D6E-409C-BE32-E72D297353CC}">
              <c16:uniqueId val="{00000001-A8EC-2845-9010-A9A59A4AE725}"/>
            </c:ext>
          </c:extLst>
        </c:ser>
        <c:ser>
          <c:idx val="2"/>
          <c:order val="2"/>
          <c:tx>
            <c:strRef>
              <c:f>BASE!$GT$55</c:f>
              <c:strCache>
                <c:ptCount val="1"/>
                <c:pt idx="0">
                  <c:v>Vivienda Evaluada</c:v>
                </c:pt>
              </c:strCache>
            </c:strRef>
          </c:tx>
          <c:spPr>
            <a:solidFill>
              <a:schemeClr val="bg2"/>
            </a:solidFill>
          </c:spPr>
          <c:invertIfNegative val="0"/>
          <c:cat>
            <c:strRef>
              <c:f>BASE!$GQ$62:$GQ$63</c:f>
              <c:strCache>
                <c:ptCount val="2"/>
                <c:pt idx="0">
                  <c:v>Artefactos Sanitarios</c:v>
                </c:pt>
                <c:pt idx="1">
                  <c:v>Paisajismo</c:v>
                </c:pt>
              </c:strCache>
            </c:strRef>
          </c:cat>
          <c:val>
            <c:numRef>
              <c:f>BASE!$GT$62:$GT$63</c:f>
              <c:numCache>
                <c:formatCode>#,##0.00</c:formatCode>
                <c:ptCount val="2"/>
                <c:pt idx="0">
                  <c:v>0</c:v>
                </c:pt>
                <c:pt idx="1">
                  <c:v>0</c:v>
                </c:pt>
              </c:numCache>
            </c:numRef>
          </c:val>
          <c:extLst>
            <c:ext xmlns:c16="http://schemas.microsoft.com/office/drawing/2014/chart" uri="{C3380CC4-5D6E-409C-BE32-E72D297353CC}">
              <c16:uniqueId val="{00000002-A8EC-2845-9010-A9A59A4AE725}"/>
            </c:ext>
          </c:extLst>
        </c:ser>
        <c:dLbls>
          <c:showLegendKey val="0"/>
          <c:showVal val="0"/>
          <c:showCatName val="0"/>
          <c:showSerName val="0"/>
          <c:showPercent val="0"/>
          <c:showBubbleSize val="0"/>
        </c:dLbls>
        <c:gapWidth val="219"/>
        <c:overlap val="-27"/>
        <c:axId val="211777408"/>
        <c:axId val="211778944"/>
      </c:barChart>
      <c:catAx>
        <c:axId val="211777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AR"/>
          </a:p>
        </c:txPr>
        <c:crossAx val="211778944"/>
        <c:crosses val="autoZero"/>
        <c:auto val="1"/>
        <c:lblAlgn val="ctr"/>
        <c:lblOffset val="100"/>
        <c:noMultiLvlLbl val="0"/>
      </c:catAx>
      <c:valAx>
        <c:axId val="211778944"/>
        <c:scaling>
          <c:orientation val="minMax"/>
        </c:scaling>
        <c:delete val="1"/>
        <c:axPos val="l"/>
        <c:numFmt formatCode="#,##0.00" sourceLinked="1"/>
        <c:majorTickMark val="none"/>
        <c:minorTickMark val="none"/>
        <c:tickLblPos val="nextTo"/>
        <c:crossAx val="2117774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AR"/>
    </a:p>
  </c:txPr>
  <c:printSettings>
    <c:headerFooter/>
    <c:pageMargins b="0.75000000000000011" l="0.70000000000000007" r="0.70000000000000007" t="0.75000000000000011" header="0.30000000000000004" footer="0.30000000000000004"/>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203396493329898E-2"/>
          <c:y val="6.9539370078740247E-3"/>
          <c:w val="0.93482027413158908"/>
          <c:h val="0.75576141732283464"/>
        </c:manualLayout>
      </c:layout>
      <c:barChart>
        <c:barDir val="col"/>
        <c:grouping val="clustered"/>
        <c:varyColors val="0"/>
        <c:ser>
          <c:idx val="0"/>
          <c:order val="0"/>
          <c:tx>
            <c:strRef>
              <c:f>BASE!$GR$55</c:f>
              <c:strCache>
                <c:ptCount val="1"/>
                <c:pt idx="0">
                  <c:v>Línea Base 2007</c:v>
                </c:pt>
              </c:strCache>
            </c:strRef>
          </c:tx>
          <c:spPr>
            <a:solidFill>
              <a:schemeClr val="accent5">
                <a:lumMod val="75000"/>
              </a:schemeClr>
            </a:solidFill>
            <a:ln>
              <a:noFill/>
            </a:ln>
            <a:effectLst/>
          </c:spPr>
          <c:invertIfNegative val="0"/>
          <c:cat>
            <c:strRef>
              <c:f>BASE!$GQ$70:$GQ$72</c:f>
              <c:strCache>
                <c:ptCount val="3"/>
                <c:pt idx="0">
                  <c:v>Sitio</c:v>
                </c:pt>
                <c:pt idx="1">
                  <c:v>Energia</c:v>
                </c:pt>
                <c:pt idx="2">
                  <c:v>Gas</c:v>
                </c:pt>
              </c:strCache>
            </c:strRef>
          </c:cat>
          <c:val>
            <c:numRef>
              <c:f>BASE!$GR$70:$GR$72</c:f>
              <c:numCache>
                <c:formatCode>#,##0.00</c:formatCode>
                <c:ptCount val="3"/>
                <c:pt idx="0">
                  <c:v>0</c:v>
                </c:pt>
                <c:pt idx="1">
                  <c:v>0</c:v>
                </c:pt>
                <c:pt idx="2">
                  <c:v>0</c:v>
                </c:pt>
              </c:numCache>
            </c:numRef>
          </c:val>
          <c:extLst>
            <c:ext xmlns:c16="http://schemas.microsoft.com/office/drawing/2014/chart" uri="{C3380CC4-5D6E-409C-BE32-E72D297353CC}">
              <c16:uniqueId val="{00000000-B08D-F14A-8D7F-4EE0A37ABEA7}"/>
            </c:ext>
          </c:extLst>
        </c:ser>
        <c:ser>
          <c:idx val="1"/>
          <c:order val="1"/>
          <c:tx>
            <c:strRef>
              <c:f>BASE!$GS$55</c:f>
              <c:strCache>
                <c:ptCount val="1"/>
                <c:pt idx="0">
                  <c:v>Línea Base 2019</c:v>
                </c:pt>
              </c:strCache>
            </c:strRef>
          </c:tx>
          <c:spPr>
            <a:solidFill>
              <a:schemeClr val="accent5">
                <a:lumMod val="90000"/>
              </a:schemeClr>
            </a:solidFill>
            <a:ln>
              <a:noFill/>
            </a:ln>
            <a:effectLst/>
          </c:spPr>
          <c:invertIfNegative val="0"/>
          <c:cat>
            <c:strRef>
              <c:f>BASE!$GQ$70:$GQ$72</c:f>
              <c:strCache>
                <c:ptCount val="3"/>
                <c:pt idx="0">
                  <c:v>Sitio</c:v>
                </c:pt>
                <c:pt idx="1">
                  <c:v>Energia</c:v>
                </c:pt>
                <c:pt idx="2">
                  <c:v>Gas</c:v>
                </c:pt>
              </c:strCache>
            </c:strRef>
          </c:cat>
          <c:val>
            <c:numRef>
              <c:f>BASE!$GS$70:$GS$72</c:f>
              <c:numCache>
                <c:formatCode>#,##0.00</c:formatCode>
                <c:ptCount val="3"/>
                <c:pt idx="0">
                  <c:v>0</c:v>
                </c:pt>
                <c:pt idx="1">
                  <c:v>0</c:v>
                </c:pt>
                <c:pt idx="2">
                  <c:v>0</c:v>
                </c:pt>
              </c:numCache>
            </c:numRef>
          </c:val>
          <c:extLst>
            <c:ext xmlns:c16="http://schemas.microsoft.com/office/drawing/2014/chart" uri="{C3380CC4-5D6E-409C-BE32-E72D297353CC}">
              <c16:uniqueId val="{00000001-B08D-F14A-8D7F-4EE0A37ABEA7}"/>
            </c:ext>
          </c:extLst>
        </c:ser>
        <c:ser>
          <c:idx val="2"/>
          <c:order val="2"/>
          <c:tx>
            <c:strRef>
              <c:f>BASE!$GT$55</c:f>
              <c:strCache>
                <c:ptCount val="1"/>
                <c:pt idx="0">
                  <c:v>Vivienda Evaluada</c:v>
                </c:pt>
              </c:strCache>
            </c:strRef>
          </c:tx>
          <c:spPr>
            <a:solidFill>
              <a:schemeClr val="bg2"/>
            </a:solidFill>
          </c:spPr>
          <c:invertIfNegative val="0"/>
          <c:cat>
            <c:strRef>
              <c:f>BASE!$GQ$70:$GQ$72</c:f>
              <c:strCache>
                <c:ptCount val="3"/>
                <c:pt idx="0">
                  <c:v>Sitio</c:v>
                </c:pt>
                <c:pt idx="1">
                  <c:v>Energia</c:v>
                </c:pt>
                <c:pt idx="2">
                  <c:v>Gas</c:v>
                </c:pt>
              </c:strCache>
            </c:strRef>
          </c:cat>
          <c:val>
            <c:numRef>
              <c:f>BASE!$GT$70:$GT$72</c:f>
              <c:numCache>
                <c:formatCode>#,##0.00</c:formatCode>
                <c:ptCount val="3"/>
                <c:pt idx="0">
                  <c:v>0</c:v>
                </c:pt>
                <c:pt idx="1">
                  <c:v>0</c:v>
                </c:pt>
                <c:pt idx="2">
                  <c:v>0</c:v>
                </c:pt>
              </c:numCache>
            </c:numRef>
          </c:val>
          <c:extLst>
            <c:ext xmlns:c16="http://schemas.microsoft.com/office/drawing/2014/chart" uri="{C3380CC4-5D6E-409C-BE32-E72D297353CC}">
              <c16:uniqueId val="{00000002-B08D-F14A-8D7F-4EE0A37ABEA7}"/>
            </c:ext>
          </c:extLst>
        </c:ser>
        <c:dLbls>
          <c:showLegendKey val="0"/>
          <c:showVal val="0"/>
          <c:showCatName val="0"/>
          <c:showSerName val="0"/>
          <c:showPercent val="0"/>
          <c:showBubbleSize val="0"/>
        </c:dLbls>
        <c:gapWidth val="219"/>
        <c:overlap val="-27"/>
        <c:axId val="211810176"/>
        <c:axId val="211811712"/>
      </c:barChart>
      <c:catAx>
        <c:axId val="211810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AR"/>
          </a:p>
        </c:txPr>
        <c:crossAx val="211811712"/>
        <c:crosses val="autoZero"/>
        <c:auto val="1"/>
        <c:lblAlgn val="ctr"/>
        <c:lblOffset val="100"/>
        <c:noMultiLvlLbl val="0"/>
      </c:catAx>
      <c:valAx>
        <c:axId val="211811712"/>
        <c:scaling>
          <c:orientation val="minMax"/>
        </c:scaling>
        <c:delete val="1"/>
        <c:axPos val="l"/>
        <c:numFmt formatCode="#,##0.00" sourceLinked="1"/>
        <c:majorTickMark val="none"/>
        <c:minorTickMark val="none"/>
        <c:tickLblPos val="nextTo"/>
        <c:crossAx val="211810176"/>
        <c:crosses val="autoZero"/>
        <c:crossBetween val="between"/>
      </c:valAx>
      <c:spPr>
        <a:noFill/>
        <a:ln>
          <a:noFill/>
        </a:ln>
        <a:effectLst/>
      </c:spPr>
    </c:plotArea>
    <c:legend>
      <c:legendPos val="b"/>
      <c:layout>
        <c:manualLayout>
          <c:xMode val="edge"/>
          <c:yMode val="edge"/>
          <c:x val="0"/>
          <c:y val="0.92982755905511816"/>
          <c:w val="1"/>
          <c:h val="6.8980945899515297E-2"/>
        </c:manualLayout>
      </c:layout>
      <c:overlay val="0"/>
      <c:spPr>
        <a:noFill/>
        <a:ln>
          <a:noFill/>
        </a:ln>
        <a:effectLst/>
      </c:spPr>
      <c:txPr>
        <a:bodyPr rot="0" spcFirstLastPara="1" vertOverflow="ellipsis" vert="horz" wrap="square" anchor="ctr" anchorCtr="1"/>
        <a:lstStyle/>
        <a:p>
          <a:pPr>
            <a:defRPr lang="en-US"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A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AR"/>
    </a:p>
  </c:txPr>
  <c:printSettings>
    <c:headerFooter/>
    <c:pageMargins b="0.75000000000000011" l="0.70000000000000007" r="0.70000000000000007" t="0.75000000000000011" header="0.30000000000000004" footer="0.30000000000000004"/>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950853662890307E-2"/>
          <c:y val="6.4315232801570189E-3"/>
          <c:w val="0.93169306296697274"/>
          <c:h val="0.87594672722908784"/>
        </c:manualLayout>
      </c:layout>
      <c:barChart>
        <c:barDir val="col"/>
        <c:grouping val="clustered"/>
        <c:varyColors val="0"/>
        <c:ser>
          <c:idx val="0"/>
          <c:order val="0"/>
          <c:tx>
            <c:strRef>
              <c:f>BASE!$GR$55</c:f>
              <c:strCache>
                <c:ptCount val="1"/>
                <c:pt idx="0">
                  <c:v>Línea Base 2007</c:v>
                </c:pt>
              </c:strCache>
            </c:strRef>
          </c:tx>
          <c:spPr>
            <a:solidFill>
              <a:schemeClr val="accent5">
                <a:lumMod val="75000"/>
              </a:schemeClr>
            </a:solidFill>
            <a:ln>
              <a:noFill/>
            </a:ln>
            <a:effectLst/>
          </c:spPr>
          <c:invertIfNegative val="0"/>
          <c:cat>
            <c:strRef>
              <c:f>BASE!$GQ$67:$GQ$68</c:f>
              <c:strCache>
                <c:ptCount val="2"/>
                <c:pt idx="0">
                  <c:v>Calefacción</c:v>
                </c:pt>
                <c:pt idx="1">
                  <c:v>Equipamiento</c:v>
                </c:pt>
              </c:strCache>
            </c:strRef>
          </c:cat>
          <c:val>
            <c:numRef>
              <c:f>BASE!$GR$67:$GR$68</c:f>
              <c:numCache>
                <c:formatCode>#,##0.00</c:formatCode>
                <c:ptCount val="2"/>
                <c:pt idx="0">
                  <c:v>0</c:v>
                </c:pt>
                <c:pt idx="1">
                  <c:v>0</c:v>
                </c:pt>
              </c:numCache>
            </c:numRef>
          </c:val>
          <c:extLst>
            <c:ext xmlns:c16="http://schemas.microsoft.com/office/drawing/2014/chart" uri="{C3380CC4-5D6E-409C-BE32-E72D297353CC}">
              <c16:uniqueId val="{00000000-CA13-174C-899F-836FD94C677D}"/>
            </c:ext>
          </c:extLst>
        </c:ser>
        <c:ser>
          <c:idx val="1"/>
          <c:order val="1"/>
          <c:tx>
            <c:strRef>
              <c:f>BASE!$GS$55</c:f>
              <c:strCache>
                <c:ptCount val="1"/>
                <c:pt idx="0">
                  <c:v>Línea Base 2019</c:v>
                </c:pt>
              </c:strCache>
            </c:strRef>
          </c:tx>
          <c:spPr>
            <a:solidFill>
              <a:schemeClr val="accent5">
                <a:lumMod val="90000"/>
              </a:schemeClr>
            </a:solidFill>
            <a:ln>
              <a:noFill/>
            </a:ln>
            <a:effectLst/>
          </c:spPr>
          <c:invertIfNegative val="0"/>
          <c:cat>
            <c:strRef>
              <c:f>BASE!$GQ$67:$GQ$68</c:f>
              <c:strCache>
                <c:ptCount val="2"/>
                <c:pt idx="0">
                  <c:v>Calefacción</c:v>
                </c:pt>
                <c:pt idx="1">
                  <c:v>Equipamiento</c:v>
                </c:pt>
              </c:strCache>
            </c:strRef>
          </c:cat>
          <c:val>
            <c:numRef>
              <c:f>BASE!$GS$67:$GS$68</c:f>
              <c:numCache>
                <c:formatCode>#,##0.00</c:formatCode>
                <c:ptCount val="2"/>
                <c:pt idx="0">
                  <c:v>#N/A</c:v>
                </c:pt>
                <c:pt idx="1">
                  <c:v>0</c:v>
                </c:pt>
              </c:numCache>
            </c:numRef>
          </c:val>
          <c:extLst>
            <c:ext xmlns:c16="http://schemas.microsoft.com/office/drawing/2014/chart" uri="{C3380CC4-5D6E-409C-BE32-E72D297353CC}">
              <c16:uniqueId val="{00000001-CA13-174C-899F-836FD94C677D}"/>
            </c:ext>
          </c:extLst>
        </c:ser>
        <c:ser>
          <c:idx val="2"/>
          <c:order val="2"/>
          <c:tx>
            <c:strRef>
              <c:f>BASE!$GT$55</c:f>
              <c:strCache>
                <c:ptCount val="1"/>
                <c:pt idx="0">
                  <c:v>Vivienda Evaluada</c:v>
                </c:pt>
              </c:strCache>
            </c:strRef>
          </c:tx>
          <c:spPr>
            <a:solidFill>
              <a:schemeClr val="bg2"/>
            </a:solidFill>
          </c:spPr>
          <c:invertIfNegative val="0"/>
          <c:cat>
            <c:strRef>
              <c:f>BASE!$GQ$67:$GQ$68</c:f>
              <c:strCache>
                <c:ptCount val="2"/>
                <c:pt idx="0">
                  <c:v>Calefacción</c:v>
                </c:pt>
                <c:pt idx="1">
                  <c:v>Equipamiento</c:v>
                </c:pt>
              </c:strCache>
            </c:strRef>
          </c:cat>
          <c:val>
            <c:numRef>
              <c:f>BASE!$GT$67:$GT$68</c:f>
              <c:numCache>
                <c:formatCode>#,##0.00</c:formatCode>
                <c:ptCount val="2"/>
                <c:pt idx="0">
                  <c:v>0</c:v>
                </c:pt>
                <c:pt idx="1">
                  <c:v>0</c:v>
                </c:pt>
              </c:numCache>
            </c:numRef>
          </c:val>
          <c:extLst>
            <c:ext xmlns:c16="http://schemas.microsoft.com/office/drawing/2014/chart" uri="{C3380CC4-5D6E-409C-BE32-E72D297353CC}">
              <c16:uniqueId val="{00000002-CA13-174C-899F-836FD94C677D}"/>
            </c:ext>
          </c:extLst>
        </c:ser>
        <c:dLbls>
          <c:showLegendKey val="0"/>
          <c:showVal val="0"/>
          <c:showCatName val="0"/>
          <c:showSerName val="0"/>
          <c:showPercent val="0"/>
          <c:showBubbleSize val="0"/>
        </c:dLbls>
        <c:gapWidth val="219"/>
        <c:overlap val="-27"/>
        <c:axId val="211912960"/>
        <c:axId val="211927040"/>
      </c:barChart>
      <c:catAx>
        <c:axId val="211912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AR"/>
          </a:p>
        </c:txPr>
        <c:crossAx val="211927040"/>
        <c:crosses val="autoZero"/>
        <c:auto val="1"/>
        <c:lblAlgn val="ctr"/>
        <c:lblOffset val="100"/>
        <c:noMultiLvlLbl val="0"/>
      </c:catAx>
      <c:valAx>
        <c:axId val="211927040"/>
        <c:scaling>
          <c:orientation val="minMax"/>
        </c:scaling>
        <c:delete val="1"/>
        <c:axPos val="l"/>
        <c:numFmt formatCode="#,##0.00" sourceLinked="1"/>
        <c:majorTickMark val="none"/>
        <c:minorTickMark val="none"/>
        <c:tickLblPos val="nextTo"/>
        <c:crossAx val="2119129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AR"/>
    </a:p>
  </c:tx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3.xml"/><Relationship Id="rId13" Type="http://schemas.openxmlformats.org/officeDocument/2006/relationships/image" Target="../media/image8.png"/><Relationship Id="rId3" Type="http://schemas.openxmlformats.org/officeDocument/2006/relationships/chart" Target="../charts/chart8.xml"/><Relationship Id="rId7" Type="http://schemas.openxmlformats.org/officeDocument/2006/relationships/chart" Target="../charts/chart12.xml"/><Relationship Id="rId12" Type="http://schemas.openxmlformats.org/officeDocument/2006/relationships/image" Target="../media/image7.png"/><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image" Target="../media/image6.png"/><Relationship Id="rId5" Type="http://schemas.openxmlformats.org/officeDocument/2006/relationships/chart" Target="../charts/chart10.xml"/><Relationship Id="rId15" Type="http://schemas.openxmlformats.org/officeDocument/2006/relationships/image" Target="../media/image10.png"/><Relationship Id="rId10" Type="http://schemas.openxmlformats.org/officeDocument/2006/relationships/chart" Target="../charts/chart15.xml"/><Relationship Id="rId4" Type="http://schemas.openxmlformats.org/officeDocument/2006/relationships/chart" Target="../charts/chart9.xml"/><Relationship Id="rId9" Type="http://schemas.openxmlformats.org/officeDocument/2006/relationships/chart" Target="../charts/chart14.xml"/><Relationship Id="rId14"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8.xml"/></Relationships>
</file>

<file path=xl/drawings/drawing1.xml><?xml version="1.0" encoding="utf-8"?>
<xdr:wsDr xmlns:xdr="http://schemas.openxmlformats.org/drawingml/2006/spreadsheetDrawing" xmlns:a="http://schemas.openxmlformats.org/drawingml/2006/main">
  <xdr:twoCellAnchor>
    <xdr:from>
      <xdr:col>0</xdr:col>
      <xdr:colOff>163510</xdr:colOff>
      <xdr:row>1</xdr:row>
      <xdr:rowOff>0</xdr:rowOff>
    </xdr:from>
    <xdr:to>
      <xdr:col>7</xdr:col>
      <xdr:colOff>52387</xdr:colOff>
      <xdr:row>2</xdr:row>
      <xdr:rowOff>26217</xdr:rowOff>
    </xdr:to>
    <xdr:sp macro="" textlink="">
      <xdr:nvSpPr>
        <xdr:cNvPr id="2" name="1 Rectángulo redondeado">
          <a:extLst>
            <a:ext uri="{FF2B5EF4-FFF2-40B4-BE49-F238E27FC236}">
              <a16:creationId xmlns:a16="http://schemas.microsoft.com/office/drawing/2014/main" id="{00000000-0008-0000-0000-000002000000}"/>
            </a:ext>
          </a:extLst>
        </xdr:cNvPr>
        <xdr:cNvSpPr/>
      </xdr:nvSpPr>
      <xdr:spPr>
        <a:xfrm>
          <a:off x="163510" y="190500"/>
          <a:ext cx="8766177" cy="343717"/>
        </a:xfrm>
        <a:prstGeom prst="round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AR" sz="1600" b="1">
              <a:solidFill>
                <a:schemeClr val="bg1"/>
              </a:solidFill>
              <a:latin typeface="Times New Roman" panose="02020603050405020304" pitchFamily="18" charset="0"/>
              <a:cs typeface="Times New Roman" panose="02020603050405020304" pitchFamily="18" charset="0"/>
            </a:rPr>
            <a:t>SELLO DE VIVIENDA SUSTENTABLE</a:t>
          </a:r>
        </a:p>
      </xdr:txBody>
    </xdr:sp>
    <xdr:clientData/>
  </xdr:twoCellAnchor>
  <xdr:twoCellAnchor editAs="oneCell">
    <xdr:from>
      <xdr:col>9</xdr:col>
      <xdr:colOff>715418</xdr:colOff>
      <xdr:row>85</xdr:row>
      <xdr:rowOff>174626</xdr:rowOff>
    </xdr:from>
    <xdr:to>
      <xdr:col>10</xdr:col>
      <xdr:colOff>1053972</xdr:colOff>
      <xdr:row>95</xdr:row>
      <xdr:rowOff>63500</xdr:rowOff>
    </xdr:to>
    <xdr:pic>
      <xdr:nvPicPr>
        <xdr:cNvPr id="7" name="Picture 6" descr="esultado de imagen para Programa de Etiquetado de Viviendas de la Secretaría de En">
          <a:extLst>
            <a:ext uri="{FF2B5EF4-FFF2-40B4-BE49-F238E27FC236}">
              <a16:creationId xmlns:a16="http://schemas.microsoft.com/office/drawing/2014/main" id="{A08E4E21-6C9E-CA49-9932-06E880F33C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77043" y="14319251"/>
          <a:ext cx="1564104" cy="1650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1174749</xdr:colOff>
      <xdr:row>87</xdr:row>
      <xdr:rowOff>105860</xdr:rowOff>
    </xdr:from>
    <xdr:to>
      <xdr:col>15</xdr:col>
      <xdr:colOff>852100</xdr:colOff>
      <xdr:row>93</xdr:row>
      <xdr:rowOff>70742</xdr:rowOff>
    </xdr:to>
    <xdr:pic>
      <xdr:nvPicPr>
        <xdr:cNvPr id="8" name="Picture 7" descr="magen relacionada">
          <a:extLst>
            <a:ext uri="{FF2B5EF4-FFF2-40B4-BE49-F238E27FC236}">
              <a16:creationId xmlns:a16="http://schemas.microsoft.com/office/drawing/2014/main" id="{B4C7515B-D162-9E4F-9219-82A27B010A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049374" y="14710860"/>
          <a:ext cx="3519101" cy="8856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420691</xdr:colOff>
      <xdr:row>1</xdr:row>
      <xdr:rowOff>226221</xdr:rowOff>
    </xdr:from>
    <xdr:to>
      <xdr:col>10</xdr:col>
      <xdr:colOff>642937</xdr:colOff>
      <xdr:row>8</xdr:row>
      <xdr:rowOff>7439</xdr:rowOff>
    </xdr:to>
    <xdr:pic>
      <xdr:nvPicPr>
        <xdr:cNvPr id="9" name="Imagen 8">
          <a:extLst>
            <a:ext uri="{FF2B5EF4-FFF2-40B4-BE49-F238E27FC236}">
              <a16:creationId xmlns:a16="http://schemas.microsoft.com/office/drawing/2014/main" id="{5C4A1AE7-BA14-7745-A484-E1A97D302C0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600410" y="416721"/>
          <a:ext cx="1281902" cy="1329031"/>
        </a:xfrm>
        <a:prstGeom prst="rect">
          <a:avLst/>
        </a:prstGeom>
      </xdr:spPr>
    </xdr:pic>
    <xdr:clientData/>
  </xdr:twoCellAnchor>
  <xdr:twoCellAnchor editAs="oneCell">
    <xdr:from>
      <xdr:col>11</xdr:col>
      <xdr:colOff>95250</xdr:colOff>
      <xdr:row>3</xdr:row>
      <xdr:rowOff>15875</xdr:rowOff>
    </xdr:from>
    <xdr:to>
      <xdr:col>15</xdr:col>
      <xdr:colOff>1057275</xdr:colOff>
      <xdr:row>9</xdr:row>
      <xdr:rowOff>174625</xdr:rowOff>
    </xdr:to>
    <xdr:pic>
      <xdr:nvPicPr>
        <xdr:cNvPr id="11" name="Imagen 10">
          <a:extLst>
            <a:ext uri="{FF2B5EF4-FFF2-40B4-BE49-F238E27FC236}">
              <a16:creationId xmlns:a16="http://schemas.microsoft.com/office/drawing/2014/main" id="{6D4204B3-43EC-E345-AAEB-294DBE8785C3}"/>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34664" b="61004"/>
        <a:stretch/>
      </xdr:blipFill>
      <xdr:spPr>
        <a:xfrm>
          <a:off x="12969875" y="857250"/>
          <a:ext cx="4937125" cy="1158875"/>
        </a:xfrm>
        <a:prstGeom prst="rect">
          <a:avLst/>
        </a:prstGeom>
      </xdr:spPr>
    </xdr:pic>
    <xdr:clientData/>
  </xdr:twoCellAnchor>
  <xdr:twoCellAnchor editAs="oneCell">
    <xdr:from>
      <xdr:col>11</xdr:col>
      <xdr:colOff>492124</xdr:colOff>
      <xdr:row>0</xdr:row>
      <xdr:rowOff>31750</xdr:rowOff>
    </xdr:from>
    <xdr:to>
      <xdr:col>14</xdr:col>
      <xdr:colOff>71613</xdr:colOff>
      <xdr:row>3</xdr:row>
      <xdr:rowOff>349250</xdr:rowOff>
    </xdr:to>
    <xdr:pic>
      <xdr:nvPicPr>
        <xdr:cNvPr id="13" name="Imagen 12">
          <a:extLst>
            <a:ext uri="{FF2B5EF4-FFF2-40B4-BE49-F238E27FC236}">
              <a16:creationId xmlns:a16="http://schemas.microsoft.com/office/drawing/2014/main" id="{79A37C0C-A896-DF48-9AE1-D698C70F6CC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3366749" y="31750"/>
          <a:ext cx="2214739" cy="11588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176109</xdr:colOff>
      <xdr:row>0</xdr:row>
      <xdr:rowOff>167640</xdr:rowOff>
    </xdr:from>
    <xdr:to>
      <xdr:col>12</xdr:col>
      <xdr:colOff>31750</xdr:colOff>
      <xdr:row>2</xdr:row>
      <xdr:rowOff>14152</xdr:rowOff>
    </xdr:to>
    <xdr:sp macro="" textlink="">
      <xdr:nvSpPr>
        <xdr:cNvPr id="2" name="1 Rectángulo redondeado">
          <a:extLst>
            <a:ext uri="{FF2B5EF4-FFF2-40B4-BE49-F238E27FC236}">
              <a16:creationId xmlns:a16="http://schemas.microsoft.com/office/drawing/2014/main" id="{00000000-0008-0000-0B00-000002000000}"/>
            </a:ext>
          </a:extLst>
        </xdr:cNvPr>
        <xdr:cNvSpPr/>
      </xdr:nvSpPr>
      <xdr:spPr>
        <a:xfrm>
          <a:off x="176109" y="167640"/>
          <a:ext cx="12111141" cy="354512"/>
        </a:xfrm>
        <a:prstGeom prst="round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AR" sz="1600" b="1">
              <a:solidFill>
                <a:schemeClr val="tx1"/>
              </a:solidFill>
              <a:latin typeface="Times New Roman" panose="02020603050405020304" pitchFamily="18" charset="0"/>
              <a:cs typeface="Times New Roman" panose="02020603050405020304" pitchFamily="18" charset="0"/>
            </a:rPr>
            <a:t>EFICIENCIA ENERGÉTICA</a:t>
          </a:r>
        </a:p>
      </xdr:txBody>
    </xdr:sp>
    <xdr:clientData/>
  </xdr:twoCellAnchor>
  <xdr:twoCellAnchor>
    <xdr:from>
      <xdr:col>13</xdr:col>
      <xdr:colOff>176109</xdr:colOff>
      <xdr:row>0</xdr:row>
      <xdr:rowOff>167640</xdr:rowOff>
    </xdr:from>
    <xdr:to>
      <xdr:col>22</xdr:col>
      <xdr:colOff>31750</xdr:colOff>
      <xdr:row>2</xdr:row>
      <xdr:rowOff>14152</xdr:rowOff>
    </xdr:to>
    <xdr:sp macro="" textlink="">
      <xdr:nvSpPr>
        <xdr:cNvPr id="3" name="1 Rectángulo redondeado">
          <a:extLst>
            <a:ext uri="{FF2B5EF4-FFF2-40B4-BE49-F238E27FC236}">
              <a16:creationId xmlns:a16="http://schemas.microsoft.com/office/drawing/2014/main" id="{00000000-0008-0000-0B00-000003000000}"/>
            </a:ext>
          </a:extLst>
        </xdr:cNvPr>
        <xdr:cNvSpPr/>
      </xdr:nvSpPr>
      <xdr:spPr>
        <a:xfrm>
          <a:off x="12647509" y="167640"/>
          <a:ext cx="13571641" cy="354512"/>
        </a:xfrm>
        <a:prstGeom prst="round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AR" sz="1600" b="1">
              <a:solidFill>
                <a:schemeClr val="tx1"/>
              </a:solidFill>
            </a:rPr>
            <a:t>EFICIENCIA ENERGÉTICA: Línea Base</a:t>
          </a:r>
        </a:p>
      </xdr:txBody>
    </xdr:sp>
    <xdr:clientData/>
  </xdr:twoCellAnchor>
  <xdr:twoCellAnchor>
    <xdr:from>
      <xdr:col>23</xdr:col>
      <xdr:colOff>0</xdr:colOff>
      <xdr:row>1</xdr:row>
      <xdr:rowOff>0</xdr:rowOff>
    </xdr:from>
    <xdr:to>
      <xdr:col>49</xdr:col>
      <xdr:colOff>0</xdr:colOff>
      <xdr:row>2</xdr:row>
      <xdr:rowOff>37012</xdr:rowOff>
    </xdr:to>
    <xdr:sp macro="" textlink="">
      <xdr:nvSpPr>
        <xdr:cNvPr id="4" name="1 Rectángulo redondeado">
          <a:extLst>
            <a:ext uri="{FF2B5EF4-FFF2-40B4-BE49-F238E27FC236}">
              <a16:creationId xmlns:a16="http://schemas.microsoft.com/office/drawing/2014/main" id="{00000000-0008-0000-0B00-000004000000}"/>
            </a:ext>
          </a:extLst>
        </xdr:cNvPr>
        <xdr:cNvSpPr/>
      </xdr:nvSpPr>
      <xdr:spPr>
        <a:xfrm>
          <a:off x="27762200" y="190500"/>
          <a:ext cx="49390300" cy="354512"/>
        </a:xfrm>
        <a:prstGeom prst="round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AR" sz="1600" b="1">
              <a:solidFill>
                <a:schemeClr val="tx1"/>
              </a:solidFill>
              <a:latin typeface="Times New Roman" panose="02020603050405020304" pitchFamily="18" charset="0"/>
              <a:cs typeface="Times New Roman" panose="02020603050405020304" pitchFamily="18" charset="0"/>
            </a:rPr>
            <a:t>MOTOR DE CALCULO</a:t>
          </a:r>
        </a:p>
      </xdr:txBody>
    </xdr:sp>
    <xdr:clientData/>
  </xdr:twoCellAnchor>
  <xdr:twoCellAnchor>
    <xdr:from>
      <xdr:col>33</xdr:col>
      <xdr:colOff>0</xdr:colOff>
      <xdr:row>145</xdr:row>
      <xdr:rowOff>186265</xdr:rowOff>
    </xdr:from>
    <xdr:to>
      <xdr:col>45</xdr:col>
      <xdr:colOff>63498</xdr:colOff>
      <xdr:row>183</xdr:row>
      <xdr:rowOff>152397</xdr:rowOff>
    </xdr:to>
    <xdr:graphicFrame macro="">
      <xdr:nvGraphicFramePr>
        <xdr:cNvPr id="5" name="Chart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176109</xdr:colOff>
      <xdr:row>0</xdr:row>
      <xdr:rowOff>167640</xdr:rowOff>
    </xdr:from>
    <xdr:to>
      <xdr:col>12</xdr:col>
      <xdr:colOff>31750</xdr:colOff>
      <xdr:row>2</xdr:row>
      <xdr:rowOff>14152</xdr:rowOff>
    </xdr:to>
    <xdr:sp macro="" textlink="">
      <xdr:nvSpPr>
        <xdr:cNvPr id="2" name="1 Rectángulo redondeado">
          <a:extLst>
            <a:ext uri="{FF2B5EF4-FFF2-40B4-BE49-F238E27FC236}">
              <a16:creationId xmlns:a16="http://schemas.microsoft.com/office/drawing/2014/main" id="{00000000-0008-0000-0C00-000002000000}"/>
            </a:ext>
          </a:extLst>
        </xdr:cNvPr>
        <xdr:cNvSpPr/>
      </xdr:nvSpPr>
      <xdr:spPr>
        <a:xfrm>
          <a:off x="176109" y="167640"/>
          <a:ext cx="12111141" cy="354512"/>
        </a:xfrm>
        <a:prstGeom prst="round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AR" sz="1600" b="1">
              <a:solidFill>
                <a:schemeClr val="tx1"/>
              </a:solidFill>
              <a:latin typeface="Times New Roman" panose="02020603050405020304" pitchFamily="18" charset="0"/>
              <a:cs typeface="Times New Roman" panose="02020603050405020304" pitchFamily="18" charset="0"/>
            </a:rPr>
            <a:t>EFICIENCIA ENERGÉTICA</a:t>
          </a:r>
        </a:p>
      </xdr:txBody>
    </xdr:sp>
    <xdr:clientData/>
  </xdr:twoCellAnchor>
  <xdr:twoCellAnchor>
    <xdr:from>
      <xdr:col>13</xdr:col>
      <xdr:colOff>176109</xdr:colOff>
      <xdr:row>0</xdr:row>
      <xdr:rowOff>167640</xdr:rowOff>
    </xdr:from>
    <xdr:to>
      <xdr:col>22</xdr:col>
      <xdr:colOff>31750</xdr:colOff>
      <xdr:row>2</xdr:row>
      <xdr:rowOff>14152</xdr:rowOff>
    </xdr:to>
    <xdr:sp macro="" textlink="">
      <xdr:nvSpPr>
        <xdr:cNvPr id="3" name="1 Rectángulo redondeado">
          <a:extLst>
            <a:ext uri="{FF2B5EF4-FFF2-40B4-BE49-F238E27FC236}">
              <a16:creationId xmlns:a16="http://schemas.microsoft.com/office/drawing/2014/main" id="{00000000-0008-0000-0C00-000003000000}"/>
            </a:ext>
          </a:extLst>
        </xdr:cNvPr>
        <xdr:cNvSpPr/>
      </xdr:nvSpPr>
      <xdr:spPr>
        <a:xfrm>
          <a:off x="12647509" y="167640"/>
          <a:ext cx="13571641" cy="354512"/>
        </a:xfrm>
        <a:prstGeom prst="round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AR" sz="1600" b="1">
              <a:solidFill>
                <a:schemeClr val="tx1"/>
              </a:solidFill>
            </a:rPr>
            <a:t>EFICIENCIA ENERGÉTICA: Línea Base</a:t>
          </a:r>
        </a:p>
      </xdr:txBody>
    </xdr:sp>
    <xdr:clientData/>
  </xdr:twoCellAnchor>
  <xdr:twoCellAnchor>
    <xdr:from>
      <xdr:col>23</xdr:col>
      <xdr:colOff>0</xdr:colOff>
      <xdr:row>1</xdr:row>
      <xdr:rowOff>0</xdr:rowOff>
    </xdr:from>
    <xdr:to>
      <xdr:col>49</xdr:col>
      <xdr:colOff>0</xdr:colOff>
      <xdr:row>2</xdr:row>
      <xdr:rowOff>37012</xdr:rowOff>
    </xdr:to>
    <xdr:sp macro="" textlink="">
      <xdr:nvSpPr>
        <xdr:cNvPr id="4" name="1 Rectángulo redondeado">
          <a:extLst>
            <a:ext uri="{FF2B5EF4-FFF2-40B4-BE49-F238E27FC236}">
              <a16:creationId xmlns:a16="http://schemas.microsoft.com/office/drawing/2014/main" id="{00000000-0008-0000-0C00-000004000000}"/>
            </a:ext>
          </a:extLst>
        </xdr:cNvPr>
        <xdr:cNvSpPr/>
      </xdr:nvSpPr>
      <xdr:spPr>
        <a:xfrm>
          <a:off x="27762200" y="190500"/>
          <a:ext cx="49390300" cy="354512"/>
        </a:xfrm>
        <a:prstGeom prst="round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AR" sz="1600" b="1">
              <a:solidFill>
                <a:schemeClr val="tx1"/>
              </a:solidFill>
              <a:latin typeface="Times New Roman" panose="02020603050405020304" pitchFamily="18" charset="0"/>
              <a:cs typeface="Times New Roman" panose="02020603050405020304" pitchFamily="18" charset="0"/>
            </a:rPr>
            <a:t>MOTOR DE CALCULO</a:t>
          </a:r>
        </a:p>
      </xdr:txBody>
    </xdr:sp>
    <xdr:clientData/>
  </xdr:twoCellAnchor>
  <xdr:twoCellAnchor>
    <xdr:from>
      <xdr:col>33</xdr:col>
      <xdr:colOff>0</xdr:colOff>
      <xdr:row>145</xdr:row>
      <xdr:rowOff>186265</xdr:rowOff>
    </xdr:from>
    <xdr:to>
      <xdr:col>45</xdr:col>
      <xdr:colOff>63498</xdr:colOff>
      <xdr:row>183</xdr:row>
      <xdr:rowOff>152397</xdr:rowOff>
    </xdr:to>
    <xdr:graphicFrame macro="">
      <xdr:nvGraphicFramePr>
        <xdr:cNvPr id="5" name="Chart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176109</xdr:colOff>
      <xdr:row>0</xdr:row>
      <xdr:rowOff>167640</xdr:rowOff>
    </xdr:from>
    <xdr:to>
      <xdr:col>12</xdr:col>
      <xdr:colOff>31750</xdr:colOff>
      <xdr:row>2</xdr:row>
      <xdr:rowOff>14152</xdr:rowOff>
    </xdr:to>
    <xdr:sp macro="" textlink="">
      <xdr:nvSpPr>
        <xdr:cNvPr id="2" name="1 Rectángulo redondeado">
          <a:extLst>
            <a:ext uri="{FF2B5EF4-FFF2-40B4-BE49-F238E27FC236}">
              <a16:creationId xmlns:a16="http://schemas.microsoft.com/office/drawing/2014/main" id="{00000000-0008-0000-0D00-000002000000}"/>
            </a:ext>
          </a:extLst>
        </xdr:cNvPr>
        <xdr:cNvSpPr/>
      </xdr:nvSpPr>
      <xdr:spPr>
        <a:xfrm>
          <a:off x="176109" y="167640"/>
          <a:ext cx="12111141" cy="354512"/>
        </a:xfrm>
        <a:prstGeom prst="round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AR" sz="1600" b="1">
              <a:solidFill>
                <a:schemeClr val="tx1"/>
              </a:solidFill>
              <a:latin typeface="Times New Roman" panose="02020603050405020304" pitchFamily="18" charset="0"/>
              <a:cs typeface="Times New Roman" panose="02020603050405020304" pitchFamily="18" charset="0"/>
            </a:rPr>
            <a:t>EFICIENCIA ENERGÉTICA</a:t>
          </a:r>
        </a:p>
      </xdr:txBody>
    </xdr:sp>
    <xdr:clientData/>
  </xdr:twoCellAnchor>
  <xdr:twoCellAnchor>
    <xdr:from>
      <xdr:col>13</xdr:col>
      <xdr:colOff>176109</xdr:colOff>
      <xdr:row>0</xdr:row>
      <xdr:rowOff>167640</xdr:rowOff>
    </xdr:from>
    <xdr:to>
      <xdr:col>22</xdr:col>
      <xdr:colOff>31750</xdr:colOff>
      <xdr:row>2</xdr:row>
      <xdr:rowOff>14152</xdr:rowOff>
    </xdr:to>
    <xdr:sp macro="" textlink="">
      <xdr:nvSpPr>
        <xdr:cNvPr id="3" name="1 Rectángulo redondeado">
          <a:extLst>
            <a:ext uri="{FF2B5EF4-FFF2-40B4-BE49-F238E27FC236}">
              <a16:creationId xmlns:a16="http://schemas.microsoft.com/office/drawing/2014/main" id="{00000000-0008-0000-0D00-000003000000}"/>
            </a:ext>
          </a:extLst>
        </xdr:cNvPr>
        <xdr:cNvSpPr/>
      </xdr:nvSpPr>
      <xdr:spPr>
        <a:xfrm>
          <a:off x="12647509" y="167640"/>
          <a:ext cx="13571641" cy="354512"/>
        </a:xfrm>
        <a:prstGeom prst="round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AR" sz="1600" b="1">
              <a:solidFill>
                <a:schemeClr val="tx1"/>
              </a:solidFill>
            </a:rPr>
            <a:t>EFICIENCIA ENERGÉTICA: Línea Base</a:t>
          </a:r>
        </a:p>
      </xdr:txBody>
    </xdr:sp>
    <xdr:clientData/>
  </xdr:twoCellAnchor>
  <xdr:twoCellAnchor>
    <xdr:from>
      <xdr:col>23</xdr:col>
      <xdr:colOff>0</xdr:colOff>
      <xdr:row>1</xdr:row>
      <xdr:rowOff>0</xdr:rowOff>
    </xdr:from>
    <xdr:to>
      <xdr:col>49</xdr:col>
      <xdr:colOff>0</xdr:colOff>
      <xdr:row>2</xdr:row>
      <xdr:rowOff>37012</xdr:rowOff>
    </xdr:to>
    <xdr:sp macro="" textlink="">
      <xdr:nvSpPr>
        <xdr:cNvPr id="4" name="1 Rectángulo redondeado">
          <a:extLst>
            <a:ext uri="{FF2B5EF4-FFF2-40B4-BE49-F238E27FC236}">
              <a16:creationId xmlns:a16="http://schemas.microsoft.com/office/drawing/2014/main" id="{00000000-0008-0000-0D00-000004000000}"/>
            </a:ext>
          </a:extLst>
        </xdr:cNvPr>
        <xdr:cNvSpPr/>
      </xdr:nvSpPr>
      <xdr:spPr>
        <a:xfrm>
          <a:off x="27762200" y="190500"/>
          <a:ext cx="49390300" cy="354512"/>
        </a:xfrm>
        <a:prstGeom prst="round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AR" sz="1600" b="1">
              <a:solidFill>
                <a:schemeClr val="tx1"/>
              </a:solidFill>
              <a:latin typeface="Times New Roman" panose="02020603050405020304" pitchFamily="18" charset="0"/>
              <a:cs typeface="Times New Roman" panose="02020603050405020304" pitchFamily="18" charset="0"/>
            </a:rPr>
            <a:t>MOTOR DE CALCULO</a:t>
          </a:r>
        </a:p>
      </xdr:txBody>
    </xdr:sp>
    <xdr:clientData/>
  </xdr:twoCellAnchor>
  <xdr:twoCellAnchor>
    <xdr:from>
      <xdr:col>33</xdr:col>
      <xdr:colOff>0</xdr:colOff>
      <xdr:row>145</xdr:row>
      <xdr:rowOff>186265</xdr:rowOff>
    </xdr:from>
    <xdr:to>
      <xdr:col>45</xdr:col>
      <xdr:colOff>63498</xdr:colOff>
      <xdr:row>183</xdr:row>
      <xdr:rowOff>152397</xdr:rowOff>
    </xdr:to>
    <xdr:graphicFrame macro="">
      <xdr:nvGraphicFramePr>
        <xdr:cNvPr id="5" name="Chart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190379</xdr:colOff>
      <xdr:row>0</xdr:row>
      <xdr:rowOff>167640</xdr:rowOff>
    </xdr:from>
    <xdr:to>
      <xdr:col>12</xdr:col>
      <xdr:colOff>46020</xdr:colOff>
      <xdr:row>2</xdr:row>
      <xdr:rowOff>14152</xdr:rowOff>
    </xdr:to>
    <xdr:sp macro="" textlink="">
      <xdr:nvSpPr>
        <xdr:cNvPr id="3" name="1 Rectángulo redondeado">
          <a:extLst>
            <a:ext uri="{FF2B5EF4-FFF2-40B4-BE49-F238E27FC236}">
              <a16:creationId xmlns:a16="http://schemas.microsoft.com/office/drawing/2014/main" id="{00000000-0008-0000-0100-000003000000}"/>
            </a:ext>
          </a:extLst>
        </xdr:cNvPr>
        <xdr:cNvSpPr/>
      </xdr:nvSpPr>
      <xdr:spPr>
        <a:xfrm>
          <a:off x="190379" y="167640"/>
          <a:ext cx="9173731" cy="345950"/>
        </a:xfrm>
        <a:prstGeom prst="round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AR" sz="1600" b="1">
              <a:solidFill>
                <a:schemeClr val="bg1"/>
              </a:solidFill>
              <a:latin typeface="Times New Roman" panose="02020603050405020304" pitchFamily="18" charset="0"/>
              <a:cs typeface="Times New Roman" panose="02020603050405020304" pitchFamily="18" charset="0"/>
            </a:rPr>
            <a:t>SITIO</a:t>
          </a:r>
        </a:p>
      </xdr:txBody>
    </xdr:sp>
    <xdr:clientData/>
  </xdr:twoCellAnchor>
  <xdr:twoCellAnchor>
    <xdr:from>
      <xdr:col>30</xdr:col>
      <xdr:colOff>14270</xdr:colOff>
      <xdr:row>0</xdr:row>
      <xdr:rowOff>85619</xdr:rowOff>
    </xdr:from>
    <xdr:to>
      <xdr:col>32</xdr:col>
      <xdr:colOff>613595</xdr:colOff>
      <xdr:row>6</xdr:row>
      <xdr:rowOff>53837</xdr:rowOff>
    </xdr:to>
    <xdr:graphicFrame macro="">
      <xdr:nvGraphicFramePr>
        <xdr:cNvPr id="5" name="Gráfico 2">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176109</xdr:colOff>
      <xdr:row>0</xdr:row>
      <xdr:rowOff>167640</xdr:rowOff>
    </xdr:from>
    <xdr:to>
      <xdr:col>14</xdr:col>
      <xdr:colOff>0</xdr:colOff>
      <xdr:row>2</xdr:row>
      <xdr:rowOff>15876</xdr:rowOff>
    </xdr:to>
    <xdr:sp macro="" textlink="">
      <xdr:nvSpPr>
        <xdr:cNvPr id="2" name="1 Rectángulo redondeado">
          <a:extLst>
            <a:ext uri="{FF2B5EF4-FFF2-40B4-BE49-F238E27FC236}">
              <a16:creationId xmlns:a16="http://schemas.microsoft.com/office/drawing/2014/main" id="{00000000-0008-0000-0200-000002000000}"/>
            </a:ext>
          </a:extLst>
        </xdr:cNvPr>
        <xdr:cNvSpPr/>
      </xdr:nvSpPr>
      <xdr:spPr>
        <a:xfrm>
          <a:off x="176109" y="167640"/>
          <a:ext cx="12746141" cy="356236"/>
        </a:xfrm>
        <a:prstGeom prst="round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AR" sz="1600" b="1">
              <a:solidFill>
                <a:schemeClr val="bg1"/>
              </a:solidFill>
              <a:latin typeface="Times New Roman" panose="02020603050405020304" pitchFamily="18" charset="0"/>
              <a:cs typeface="Times New Roman" panose="02020603050405020304" pitchFamily="18" charset="0"/>
            </a:rPr>
            <a:t>EFICIENCIA ENERGÉTICA</a:t>
          </a:r>
        </a:p>
      </xdr:txBody>
    </xdr:sp>
    <xdr:clientData/>
  </xdr:twoCellAnchor>
  <xdr:twoCellAnchor>
    <xdr:from>
      <xdr:col>34</xdr:col>
      <xdr:colOff>2116364</xdr:colOff>
      <xdr:row>151</xdr:row>
      <xdr:rowOff>64707</xdr:rowOff>
    </xdr:from>
    <xdr:to>
      <xdr:col>46</xdr:col>
      <xdr:colOff>2053769</xdr:colOff>
      <xdr:row>189</xdr:row>
      <xdr:rowOff>70753</xdr:rowOff>
    </xdr:to>
    <xdr:graphicFrame macro="">
      <xdr:nvGraphicFramePr>
        <xdr:cNvPr id="5" name="Chart 4">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53</xdr:col>
      <xdr:colOff>70556</xdr:colOff>
      <xdr:row>191</xdr:row>
      <xdr:rowOff>123370</xdr:rowOff>
    </xdr:from>
    <xdr:to>
      <xdr:col>61</xdr:col>
      <xdr:colOff>677333</xdr:colOff>
      <xdr:row>206</xdr:row>
      <xdr:rowOff>174625</xdr:rowOff>
    </xdr:to>
    <xdr:graphicFrame macro="">
      <xdr:nvGraphicFramePr>
        <xdr:cNvPr id="13" name="Gráfico 12">
          <a:extLst>
            <a:ext uri="{FF2B5EF4-FFF2-40B4-BE49-F238E27FC236}">
              <a16:creationId xmlns:a16="http://schemas.microsoft.com/office/drawing/2014/main" id="{00000000-0008-0000-02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59</xdr:col>
      <xdr:colOff>33867</xdr:colOff>
      <xdr:row>0</xdr:row>
      <xdr:rowOff>135470</xdr:rowOff>
    </xdr:from>
    <xdr:to>
      <xdr:col>61</xdr:col>
      <xdr:colOff>694267</xdr:colOff>
      <xdr:row>5</xdr:row>
      <xdr:rowOff>3467</xdr:rowOff>
    </xdr:to>
    <xdr:graphicFrame macro="">
      <xdr:nvGraphicFramePr>
        <xdr:cNvPr id="8" name="Gráfico 2">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176109</xdr:colOff>
      <xdr:row>0</xdr:row>
      <xdr:rowOff>167640</xdr:rowOff>
    </xdr:from>
    <xdr:to>
      <xdr:col>10</xdr:col>
      <xdr:colOff>31750</xdr:colOff>
      <xdr:row>2</xdr:row>
      <xdr:rowOff>14152</xdr:rowOff>
    </xdr:to>
    <xdr:sp macro="" textlink="">
      <xdr:nvSpPr>
        <xdr:cNvPr id="2" name="1 Rectángulo redondeado">
          <a:extLst>
            <a:ext uri="{FF2B5EF4-FFF2-40B4-BE49-F238E27FC236}">
              <a16:creationId xmlns:a16="http://schemas.microsoft.com/office/drawing/2014/main" id="{00000000-0008-0000-0300-000002000000}"/>
            </a:ext>
          </a:extLst>
        </xdr:cNvPr>
        <xdr:cNvSpPr/>
      </xdr:nvSpPr>
      <xdr:spPr>
        <a:xfrm>
          <a:off x="176109" y="167640"/>
          <a:ext cx="6904141" cy="354512"/>
        </a:xfrm>
        <a:prstGeom prst="round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AR" sz="1600" b="1">
              <a:solidFill>
                <a:schemeClr val="bg1"/>
              </a:solidFill>
              <a:latin typeface="Times New Roman" panose="02020603050405020304" pitchFamily="18" charset="0"/>
              <a:cs typeface="Times New Roman" panose="02020603050405020304" pitchFamily="18" charset="0"/>
            </a:rPr>
            <a:t>EFICIENCIA EN EL CONSUMO DEL AGUA</a:t>
          </a:r>
        </a:p>
      </xdr:txBody>
    </xdr:sp>
    <xdr:clientData/>
  </xdr:twoCellAnchor>
  <xdr:twoCellAnchor>
    <xdr:from>
      <xdr:col>51</xdr:col>
      <xdr:colOff>14432</xdr:colOff>
      <xdr:row>0</xdr:row>
      <xdr:rowOff>86590</xdr:rowOff>
    </xdr:from>
    <xdr:to>
      <xdr:col>51</xdr:col>
      <xdr:colOff>2323523</xdr:colOff>
      <xdr:row>6</xdr:row>
      <xdr:rowOff>43295</xdr:rowOff>
    </xdr:to>
    <xdr:graphicFrame macro="">
      <xdr:nvGraphicFramePr>
        <xdr:cNvPr id="3" name="Gráfico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27</xdr:col>
      <xdr:colOff>14111</xdr:colOff>
      <xdr:row>9</xdr:row>
      <xdr:rowOff>0</xdr:rowOff>
    </xdr:from>
    <xdr:to>
      <xdr:col>38</xdr:col>
      <xdr:colOff>0</xdr:colOff>
      <xdr:row>20</xdr:row>
      <xdr:rowOff>0</xdr:rowOff>
    </xdr:to>
    <xdr:graphicFrame macro="">
      <xdr:nvGraphicFramePr>
        <xdr:cNvPr id="7" name="Gráfico 6">
          <a:extLst>
            <a:ext uri="{FF2B5EF4-FFF2-40B4-BE49-F238E27FC236}">
              <a16:creationId xmlns:a16="http://schemas.microsoft.com/office/drawing/2014/main" id="{00000000-0008-0000-0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84667</xdr:colOff>
      <xdr:row>23</xdr:row>
      <xdr:rowOff>42334</xdr:rowOff>
    </xdr:from>
    <xdr:to>
      <xdr:col>38</xdr:col>
      <xdr:colOff>0</xdr:colOff>
      <xdr:row>35</xdr:row>
      <xdr:rowOff>1</xdr:rowOff>
    </xdr:to>
    <xdr:graphicFrame macro="">
      <xdr:nvGraphicFramePr>
        <xdr:cNvPr id="26" name="Gráfico 6">
          <a:extLst>
            <a:ext uri="{FF2B5EF4-FFF2-40B4-BE49-F238E27FC236}">
              <a16:creationId xmlns:a16="http://schemas.microsoft.com/office/drawing/2014/main" id="{33A30917-1F5B-FC47-AC9E-9003C0B148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14110</xdr:colOff>
      <xdr:row>54</xdr:row>
      <xdr:rowOff>0</xdr:rowOff>
    </xdr:from>
    <xdr:to>
      <xdr:col>38</xdr:col>
      <xdr:colOff>14111</xdr:colOff>
      <xdr:row>70</xdr:row>
      <xdr:rowOff>25400</xdr:rowOff>
    </xdr:to>
    <xdr:graphicFrame macro="">
      <xdr:nvGraphicFramePr>
        <xdr:cNvPr id="36" name="Gráfico 6">
          <a:extLst>
            <a:ext uri="{FF2B5EF4-FFF2-40B4-BE49-F238E27FC236}">
              <a16:creationId xmlns:a16="http://schemas.microsoft.com/office/drawing/2014/main" id="{E556082A-7091-0046-AE22-BC44DE533C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98777</xdr:colOff>
      <xdr:row>38</xdr:row>
      <xdr:rowOff>0</xdr:rowOff>
    </xdr:from>
    <xdr:to>
      <xdr:col>37</xdr:col>
      <xdr:colOff>98777</xdr:colOff>
      <xdr:row>51</xdr:row>
      <xdr:rowOff>0</xdr:rowOff>
    </xdr:to>
    <xdr:graphicFrame macro="">
      <xdr:nvGraphicFramePr>
        <xdr:cNvPr id="24" name="Gráfico 6">
          <a:extLst>
            <a:ext uri="{FF2B5EF4-FFF2-40B4-BE49-F238E27FC236}">
              <a16:creationId xmlns:a16="http://schemas.microsoft.com/office/drawing/2014/main" id="{3B4E6A9B-0444-5C42-A0EF-58677E0E15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818433</xdr:colOff>
      <xdr:row>28</xdr:row>
      <xdr:rowOff>137584</xdr:rowOff>
    </xdr:from>
    <xdr:to>
      <xdr:col>15</xdr:col>
      <xdr:colOff>30386</xdr:colOff>
      <xdr:row>52</xdr:row>
      <xdr:rowOff>81423</xdr:rowOff>
    </xdr:to>
    <xdr:grpSp>
      <xdr:nvGrpSpPr>
        <xdr:cNvPr id="2" name="Group 1">
          <a:extLst>
            <a:ext uri="{FF2B5EF4-FFF2-40B4-BE49-F238E27FC236}">
              <a16:creationId xmlns:a16="http://schemas.microsoft.com/office/drawing/2014/main" id="{AE7F8B73-5944-C040-AC0A-01CE67220C7D}"/>
            </a:ext>
          </a:extLst>
        </xdr:cNvPr>
        <xdr:cNvGrpSpPr/>
      </xdr:nvGrpSpPr>
      <xdr:grpSpPr>
        <a:xfrm>
          <a:off x="1135933" y="5312834"/>
          <a:ext cx="8975078" cy="3880839"/>
          <a:chOff x="1193083" y="5350933"/>
          <a:chExt cx="10141361" cy="3926348"/>
        </a:xfrm>
      </xdr:grpSpPr>
      <xdr:graphicFrame macro="">
        <xdr:nvGraphicFramePr>
          <xdr:cNvPr id="30" name="Gráfico 42">
            <a:extLst>
              <a:ext uri="{FF2B5EF4-FFF2-40B4-BE49-F238E27FC236}">
                <a16:creationId xmlns:a16="http://schemas.microsoft.com/office/drawing/2014/main" id="{5E76E19F-8E5B-6744-99CD-FE03C8C66468}"/>
              </a:ext>
            </a:extLst>
          </xdr:cNvPr>
          <xdr:cNvGraphicFramePr>
            <a:graphicFrameLocks/>
          </xdr:cNvGraphicFramePr>
        </xdr:nvGraphicFramePr>
        <xdr:xfrm>
          <a:off x="8072938" y="5488690"/>
          <a:ext cx="3261506" cy="3680525"/>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42" name="Gráfico 42">
            <a:extLst>
              <a:ext uri="{FF2B5EF4-FFF2-40B4-BE49-F238E27FC236}">
                <a16:creationId xmlns:a16="http://schemas.microsoft.com/office/drawing/2014/main" id="{EE96C755-20CE-854A-B018-066DDF42C5DC}"/>
              </a:ext>
            </a:extLst>
          </xdr:cNvPr>
          <xdr:cNvGraphicFramePr>
            <a:graphicFrameLocks/>
          </xdr:cNvGraphicFramePr>
        </xdr:nvGraphicFramePr>
        <xdr:xfrm>
          <a:off x="4657438" y="5368153"/>
          <a:ext cx="3211348" cy="3909128"/>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44" name="Gráfico 42">
            <a:extLst>
              <a:ext uri="{FF2B5EF4-FFF2-40B4-BE49-F238E27FC236}">
                <a16:creationId xmlns:a16="http://schemas.microsoft.com/office/drawing/2014/main" id="{58C59F00-99E2-FB46-BAA8-8E975F81AF4F}"/>
              </a:ext>
            </a:extLst>
          </xdr:cNvPr>
          <xdr:cNvGraphicFramePr>
            <a:graphicFrameLocks/>
          </xdr:cNvGraphicFramePr>
        </xdr:nvGraphicFramePr>
        <xdr:xfrm>
          <a:off x="1193083" y="5350933"/>
          <a:ext cx="3177409" cy="3904381"/>
        </xdr:xfrm>
        <a:graphic>
          <a:graphicData uri="http://schemas.openxmlformats.org/drawingml/2006/chart">
            <c:chart xmlns:c="http://schemas.openxmlformats.org/drawingml/2006/chart" xmlns:r="http://schemas.openxmlformats.org/officeDocument/2006/relationships" r:id="rId7"/>
          </a:graphicData>
        </a:graphic>
      </xdr:graphicFrame>
      <xdr:sp macro="" textlink="BASE!GR45">
        <xdr:nvSpPr>
          <xdr:cNvPr id="3" name="CuadroTexto 2">
            <a:extLst>
              <a:ext uri="{FF2B5EF4-FFF2-40B4-BE49-F238E27FC236}">
                <a16:creationId xmlns:a16="http://schemas.microsoft.com/office/drawing/2014/main" id="{AA28D5C8-3779-204C-A2F1-C5892BA21E3B}"/>
              </a:ext>
            </a:extLst>
          </xdr:cNvPr>
          <xdr:cNvSpPr txBox="1">
            <a:spLocks noChangeAspect="1"/>
          </xdr:cNvSpPr>
        </xdr:nvSpPr>
        <xdr:spPr>
          <a:xfrm>
            <a:off x="5522323" y="7041694"/>
            <a:ext cx="1478582" cy="558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lstStyle/>
          <a:p>
            <a:pPr marL="0" indent="0" algn="ctr"/>
            <a:fld id="{A971C998-DAC3-0647-A207-563C196D7D98}" type="TxLink">
              <a:rPr lang="en-US" sz="2800" b="1" i="0" u="none" strike="noStrike">
                <a:solidFill>
                  <a:schemeClr val="accent3">
                    <a:lumMod val="60000"/>
                    <a:lumOff val="40000"/>
                  </a:schemeClr>
                </a:solidFill>
                <a:latin typeface="Arial" panose="020B0604020202020204" pitchFamily="34" charset="0"/>
                <a:ea typeface="+mn-ea"/>
                <a:cs typeface="Arial" panose="020B0604020202020204" pitchFamily="34" charset="0"/>
              </a:rPr>
              <a:pPr marL="0" indent="0" algn="ctr"/>
              <a:t>FALTAN DATOS</a:t>
            </a:fld>
            <a:endParaRPr lang="es-ES_tradnl" sz="2800" b="1" i="0" u="none" strike="noStrike">
              <a:solidFill>
                <a:schemeClr val="accent3">
                  <a:lumMod val="60000"/>
                  <a:lumOff val="40000"/>
                </a:schemeClr>
              </a:solidFill>
              <a:latin typeface="Arial" panose="020B0604020202020204" pitchFamily="34" charset="0"/>
              <a:ea typeface="+mn-ea"/>
              <a:cs typeface="Arial" panose="020B0604020202020204" pitchFamily="34" charset="0"/>
            </a:endParaRPr>
          </a:p>
        </xdr:txBody>
      </xdr:sp>
      <xdr:sp macro="" textlink="BASE!GR46">
        <xdr:nvSpPr>
          <xdr:cNvPr id="21" name="CuadroTexto 20">
            <a:extLst>
              <a:ext uri="{FF2B5EF4-FFF2-40B4-BE49-F238E27FC236}">
                <a16:creationId xmlns:a16="http://schemas.microsoft.com/office/drawing/2014/main" id="{4EF4F4B8-EE0C-284D-9C17-2F49E8586369}"/>
              </a:ext>
            </a:extLst>
          </xdr:cNvPr>
          <xdr:cNvSpPr txBox="1"/>
        </xdr:nvSpPr>
        <xdr:spPr>
          <a:xfrm>
            <a:off x="8957733" y="7059613"/>
            <a:ext cx="1473200" cy="550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lstStyle/>
          <a:p>
            <a:pPr marL="0" indent="0" algn="ctr"/>
            <a:fld id="{A441C1EE-1D84-8145-A5BB-40F76AF205A7}" type="TxLink">
              <a:rPr lang="en-US" sz="2800" b="1" i="0" u="none" strike="noStrike">
                <a:solidFill>
                  <a:schemeClr val="accent3">
                    <a:lumMod val="60000"/>
                    <a:lumOff val="40000"/>
                  </a:schemeClr>
                </a:solidFill>
                <a:latin typeface="Arial" panose="020B0604020202020204" pitchFamily="34" charset="0"/>
                <a:ea typeface="+mn-ea"/>
                <a:cs typeface="Arial" panose="020B0604020202020204" pitchFamily="34" charset="0"/>
              </a:rPr>
              <a:pPr marL="0" indent="0" algn="ctr"/>
              <a:t>FALTAN DATOS</a:t>
            </a:fld>
            <a:endParaRPr lang="es-ES_tradnl" sz="2800" b="1" i="0" u="none" strike="noStrike">
              <a:solidFill>
                <a:schemeClr val="accent3">
                  <a:lumMod val="60000"/>
                  <a:lumOff val="40000"/>
                </a:schemeClr>
              </a:solidFill>
              <a:latin typeface="Arial" panose="020B0604020202020204" pitchFamily="34" charset="0"/>
              <a:ea typeface="+mn-ea"/>
              <a:cs typeface="Arial" panose="020B0604020202020204" pitchFamily="34" charset="0"/>
            </a:endParaRPr>
          </a:p>
        </xdr:txBody>
      </xdr:sp>
      <xdr:sp macro="" textlink="BASE!GR47">
        <xdr:nvSpPr>
          <xdr:cNvPr id="22" name="CuadroTexto 21">
            <a:extLst>
              <a:ext uri="{FF2B5EF4-FFF2-40B4-BE49-F238E27FC236}">
                <a16:creationId xmlns:a16="http://schemas.microsoft.com/office/drawing/2014/main" id="{F593E6C4-9F73-5F4B-99AB-F8A15C9E7068}"/>
              </a:ext>
            </a:extLst>
          </xdr:cNvPr>
          <xdr:cNvSpPr txBox="1"/>
        </xdr:nvSpPr>
        <xdr:spPr>
          <a:xfrm>
            <a:off x="2056212" y="7067246"/>
            <a:ext cx="1423509" cy="4972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lstStyle/>
          <a:p>
            <a:pPr marL="0" indent="0" algn="ctr"/>
            <a:fld id="{361601C6-83CA-EA40-8CBB-50BE60283B01}" type="TxLink">
              <a:rPr lang="en-US" sz="2800" b="1" i="0" u="none" strike="noStrike">
                <a:solidFill>
                  <a:schemeClr val="accent3">
                    <a:lumMod val="60000"/>
                    <a:lumOff val="40000"/>
                  </a:schemeClr>
                </a:solidFill>
                <a:latin typeface="Arial" panose="020B0604020202020204" pitchFamily="34" charset="0"/>
                <a:ea typeface="+mn-ea"/>
                <a:cs typeface="Arial" panose="020B0604020202020204" pitchFamily="34" charset="0"/>
              </a:rPr>
              <a:pPr marL="0" indent="0" algn="ctr"/>
              <a:t>FALTAN DATOS</a:t>
            </a:fld>
            <a:endParaRPr lang="es-ES_tradnl" sz="2800" b="1" i="0" u="none" strike="noStrike">
              <a:solidFill>
                <a:schemeClr val="accent3">
                  <a:lumMod val="60000"/>
                  <a:lumOff val="40000"/>
                </a:schemeClr>
              </a:solidFill>
              <a:latin typeface="Arial" panose="020B0604020202020204" pitchFamily="34" charset="0"/>
              <a:ea typeface="+mn-ea"/>
              <a:cs typeface="Arial" panose="020B0604020202020204" pitchFamily="34" charset="0"/>
            </a:endParaRPr>
          </a:p>
        </xdr:txBody>
      </xdr:sp>
    </xdr:grpSp>
    <xdr:clientData/>
  </xdr:twoCellAnchor>
  <xdr:twoCellAnchor>
    <xdr:from>
      <xdr:col>4</xdr:col>
      <xdr:colOff>759880</xdr:colOff>
      <xdr:row>49</xdr:row>
      <xdr:rowOff>43471</xdr:rowOff>
    </xdr:from>
    <xdr:to>
      <xdr:col>15</xdr:col>
      <xdr:colOff>25176</xdr:colOff>
      <xdr:row>71</xdr:row>
      <xdr:rowOff>249993</xdr:rowOff>
    </xdr:to>
    <xdr:grpSp>
      <xdr:nvGrpSpPr>
        <xdr:cNvPr id="4" name="Group 3">
          <a:extLst>
            <a:ext uri="{FF2B5EF4-FFF2-40B4-BE49-F238E27FC236}">
              <a16:creationId xmlns:a16="http://schemas.microsoft.com/office/drawing/2014/main" id="{D1708187-43DB-7F46-9434-A2B80DDDF1A7}"/>
            </a:ext>
          </a:extLst>
        </xdr:cNvPr>
        <xdr:cNvGrpSpPr/>
      </xdr:nvGrpSpPr>
      <xdr:grpSpPr>
        <a:xfrm>
          <a:off x="1077380" y="8742971"/>
          <a:ext cx="9028421" cy="3873647"/>
          <a:chOff x="1134530" y="9321879"/>
          <a:chExt cx="10232804" cy="3931856"/>
        </a:xfrm>
      </xdr:grpSpPr>
      <xdr:graphicFrame macro="">
        <xdr:nvGraphicFramePr>
          <xdr:cNvPr id="47" name="Gráfico 46">
            <a:extLst>
              <a:ext uri="{FF2B5EF4-FFF2-40B4-BE49-F238E27FC236}">
                <a16:creationId xmlns:a16="http://schemas.microsoft.com/office/drawing/2014/main" id="{B684AAF2-705C-7546-ACD9-F32E5483C65A}"/>
              </a:ext>
            </a:extLst>
          </xdr:cNvPr>
          <xdr:cNvGraphicFramePr>
            <a:graphicFrameLocks/>
          </xdr:cNvGraphicFramePr>
        </xdr:nvGraphicFramePr>
        <xdr:xfrm>
          <a:off x="4657151" y="9328940"/>
          <a:ext cx="3255499" cy="3912927"/>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48" name="Gráfico 46">
            <a:extLst>
              <a:ext uri="{FF2B5EF4-FFF2-40B4-BE49-F238E27FC236}">
                <a16:creationId xmlns:a16="http://schemas.microsoft.com/office/drawing/2014/main" id="{1EDC80A0-2E31-4441-88AC-6F53E17AF963}"/>
              </a:ext>
            </a:extLst>
          </xdr:cNvPr>
          <xdr:cNvGraphicFramePr>
            <a:graphicFrameLocks/>
          </xdr:cNvGraphicFramePr>
        </xdr:nvGraphicFramePr>
        <xdr:xfrm>
          <a:off x="8080063" y="9321879"/>
          <a:ext cx="3287271" cy="3931856"/>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49" name="Gráfico 46">
            <a:extLst>
              <a:ext uri="{FF2B5EF4-FFF2-40B4-BE49-F238E27FC236}">
                <a16:creationId xmlns:a16="http://schemas.microsoft.com/office/drawing/2014/main" id="{04E82E8F-505B-444E-9A8E-B2AD2A078A23}"/>
              </a:ext>
            </a:extLst>
          </xdr:cNvPr>
          <xdr:cNvGraphicFramePr>
            <a:graphicFrameLocks/>
          </xdr:cNvGraphicFramePr>
        </xdr:nvGraphicFramePr>
        <xdr:xfrm>
          <a:off x="1134530" y="9516888"/>
          <a:ext cx="3277032" cy="3591656"/>
        </xdr:xfrm>
        <a:graphic>
          <a:graphicData uri="http://schemas.openxmlformats.org/drawingml/2006/chart">
            <c:chart xmlns:c="http://schemas.openxmlformats.org/drawingml/2006/chart" xmlns:r="http://schemas.openxmlformats.org/officeDocument/2006/relationships" r:id="rId10"/>
          </a:graphicData>
        </a:graphic>
      </xdr:graphicFrame>
      <xdr:sp macro="" textlink="BASE!GV45">
        <xdr:nvSpPr>
          <xdr:cNvPr id="23" name="CuadroTexto 22">
            <a:extLst>
              <a:ext uri="{FF2B5EF4-FFF2-40B4-BE49-F238E27FC236}">
                <a16:creationId xmlns:a16="http://schemas.microsoft.com/office/drawing/2014/main" id="{2F6469A7-281C-3342-8278-27D686A7B44B}"/>
              </a:ext>
            </a:extLst>
          </xdr:cNvPr>
          <xdr:cNvSpPr txBox="1"/>
        </xdr:nvSpPr>
        <xdr:spPr>
          <a:xfrm>
            <a:off x="5557931" y="11058676"/>
            <a:ext cx="1442974" cy="4656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lstStyle/>
          <a:p>
            <a:pPr marL="0" indent="0" algn="ctr"/>
            <a:fld id="{2CC7FC84-95DB-4A46-9279-6A443BC33075}" type="TxLink">
              <a:rPr lang="en-US" sz="2800" b="1" i="0" u="none" strike="noStrike">
                <a:solidFill>
                  <a:schemeClr val="accent2"/>
                </a:solidFill>
                <a:latin typeface="Arial" panose="020B0604020202020204" pitchFamily="34" charset="0"/>
                <a:ea typeface="+mn-ea"/>
                <a:cs typeface="Arial" panose="020B0604020202020204" pitchFamily="34" charset="0"/>
              </a:rPr>
              <a:pPr marL="0" indent="0" algn="ctr"/>
              <a:t>FALTAN DATOS</a:t>
            </a:fld>
            <a:endParaRPr lang="es-ES_tradnl" sz="2800" b="1" i="0" u="none" strike="noStrike">
              <a:solidFill>
                <a:schemeClr val="accent2"/>
              </a:solidFill>
              <a:latin typeface="Arial" panose="020B0604020202020204" pitchFamily="34" charset="0"/>
              <a:ea typeface="+mn-ea"/>
              <a:cs typeface="Arial" panose="020B0604020202020204" pitchFamily="34" charset="0"/>
            </a:endParaRPr>
          </a:p>
        </xdr:txBody>
      </xdr:sp>
      <xdr:sp macro="" textlink="BASE!GV46">
        <xdr:nvSpPr>
          <xdr:cNvPr id="25" name="CuadroTexto 24">
            <a:extLst>
              <a:ext uri="{FF2B5EF4-FFF2-40B4-BE49-F238E27FC236}">
                <a16:creationId xmlns:a16="http://schemas.microsoft.com/office/drawing/2014/main" id="{0326AA97-4437-394B-BC54-DEE34101E482}"/>
              </a:ext>
            </a:extLst>
          </xdr:cNvPr>
          <xdr:cNvSpPr txBox="1"/>
        </xdr:nvSpPr>
        <xdr:spPr>
          <a:xfrm>
            <a:off x="8947447" y="11065782"/>
            <a:ext cx="1510547" cy="489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lstStyle/>
          <a:p>
            <a:pPr marL="0" indent="0" algn="ctr"/>
            <a:fld id="{F0B12F0C-C691-AE45-A2C4-B0FA96A3373B}" type="TxLink">
              <a:rPr lang="en-US" sz="2800" b="1" i="0" u="none" strike="noStrike">
                <a:solidFill>
                  <a:schemeClr val="accent2"/>
                </a:solidFill>
                <a:latin typeface="Arial" panose="020B0604020202020204" pitchFamily="34" charset="0"/>
                <a:ea typeface="+mn-ea"/>
                <a:cs typeface="Arial" panose="020B0604020202020204" pitchFamily="34" charset="0"/>
              </a:rPr>
              <a:pPr marL="0" indent="0" algn="ctr"/>
              <a:t>FALTAN DATOS</a:t>
            </a:fld>
            <a:endParaRPr lang="es-ES_tradnl" sz="2800" b="1" i="0" u="none" strike="noStrike">
              <a:solidFill>
                <a:schemeClr val="accent2"/>
              </a:solidFill>
              <a:latin typeface="Arial" panose="020B0604020202020204" pitchFamily="34" charset="0"/>
              <a:ea typeface="+mn-ea"/>
              <a:cs typeface="Arial" panose="020B0604020202020204" pitchFamily="34" charset="0"/>
            </a:endParaRPr>
          </a:p>
        </xdr:txBody>
      </xdr:sp>
      <xdr:sp macro="" textlink="BASE!GV47">
        <xdr:nvSpPr>
          <xdr:cNvPr id="27" name="CuadroTexto 26">
            <a:extLst>
              <a:ext uri="{FF2B5EF4-FFF2-40B4-BE49-F238E27FC236}">
                <a16:creationId xmlns:a16="http://schemas.microsoft.com/office/drawing/2014/main" id="{E1DB15E2-3D38-CE46-BA28-797C45D4F4E6}"/>
              </a:ext>
            </a:extLst>
          </xdr:cNvPr>
          <xdr:cNvSpPr txBox="1"/>
        </xdr:nvSpPr>
        <xdr:spPr>
          <a:xfrm>
            <a:off x="2020604" y="11059355"/>
            <a:ext cx="1494725" cy="5237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lstStyle/>
          <a:p>
            <a:pPr marL="0" indent="0" algn="ctr"/>
            <a:fld id="{486BF3F2-B301-8B41-A598-5D8AEBC9CEAC}" type="TxLink">
              <a:rPr lang="en-US" sz="2800" b="1" i="0" u="none" strike="noStrike">
                <a:solidFill>
                  <a:schemeClr val="accent2"/>
                </a:solidFill>
                <a:latin typeface="Arial" panose="020B0604020202020204" pitchFamily="34" charset="0"/>
                <a:ea typeface="+mn-ea"/>
                <a:cs typeface="Arial" panose="020B0604020202020204" pitchFamily="34" charset="0"/>
              </a:rPr>
              <a:pPr marL="0" indent="0" algn="ctr"/>
              <a:t>FALTAN DATOS</a:t>
            </a:fld>
            <a:endParaRPr lang="es-ES_tradnl" sz="2800" b="1" i="0" u="none" strike="noStrike">
              <a:solidFill>
                <a:schemeClr val="accent2"/>
              </a:solidFill>
              <a:latin typeface="Arial" panose="020B0604020202020204" pitchFamily="34" charset="0"/>
              <a:ea typeface="+mn-ea"/>
              <a:cs typeface="Arial" panose="020B0604020202020204" pitchFamily="34" charset="0"/>
            </a:endParaRPr>
          </a:p>
        </xdr:txBody>
      </xdr:sp>
    </xdr:grpSp>
    <xdr:clientData/>
  </xdr:twoCellAnchor>
  <xdr:twoCellAnchor editAs="oneCell">
    <xdr:from>
      <xdr:col>13</xdr:col>
      <xdr:colOff>343377</xdr:colOff>
      <xdr:row>91</xdr:row>
      <xdr:rowOff>55001</xdr:rowOff>
    </xdr:from>
    <xdr:to>
      <xdr:col>14</xdr:col>
      <xdr:colOff>1737553</xdr:colOff>
      <xdr:row>94</xdr:row>
      <xdr:rowOff>13877</xdr:rowOff>
    </xdr:to>
    <xdr:pic>
      <xdr:nvPicPr>
        <xdr:cNvPr id="8" name="Picture 7">
          <a:extLst>
            <a:ext uri="{FF2B5EF4-FFF2-40B4-BE49-F238E27FC236}">
              <a16:creationId xmlns:a16="http://schemas.microsoft.com/office/drawing/2014/main" id="{74C4FD94-1CA1-3B48-84E6-F93789DABD29}"/>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1194" t="34549" r="13319" b="26937"/>
        <a:stretch/>
      </xdr:blipFill>
      <xdr:spPr>
        <a:xfrm>
          <a:off x="7439502" y="15644251"/>
          <a:ext cx="3918301" cy="911376"/>
        </a:xfrm>
        <a:prstGeom prst="rect">
          <a:avLst/>
        </a:prstGeom>
      </xdr:spPr>
    </xdr:pic>
    <xdr:clientData/>
  </xdr:twoCellAnchor>
  <xdr:twoCellAnchor editAs="oneCell">
    <xdr:from>
      <xdr:col>29</xdr:col>
      <xdr:colOff>1476389</xdr:colOff>
      <xdr:row>91</xdr:row>
      <xdr:rowOff>60806</xdr:rowOff>
    </xdr:from>
    <xdr:to>
      <xdr:col>36</xdr:col>
      <xdr:colOff>264790</xdr:colOff>
      <xdr:row>94</xdr:row>
      <xdr:rowOff>19682</xdr:rowOff>
    </xdr:to>
    <xdr:pic>
      <xdr:nvPicPr>
        <xdr:cNvPr id="31" name="Picture 30">
          <a:extLst>
            <a:ext uri="{FF2B5EF4-FFF2-40B4-BE49-F238E27FC236}">
              <a16:creationId xmlns:a16="http://schemas.microsoft.com/office/drawing/2014/main" id="{AF5F0B8C-BFAC-264A-965A-094F3245B379}"/>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21194" t="34549" r="13319" b="26937"/>
        <a:stretch/>
      </xdr:blipFill>
      <xdr:spPr>
        <a:xfrm>
          <a:off x="19843764" y="15650056"/>
          <a:ext cx="3900151" cy="911376"/>
        </a:xfrm>
        <a:prstGeom prst="rect">
          <a:avLst/>
        </a:prstGeom>
      </xdr:spPr>
    </xdr:pic>
    <xdr:clientData/>
  </xdr:twoCellAnchor>
  <xdr:twoCellAnchor editAs="oneCell">
    <xdr:from>
      <xdr:col>7</xdr:col>
      <xdr:colOff>1915782</xdr:colOff>
      <xdr:row>91</xdr:row>
      <xdr:rowOff>230424</xdr:rowOff>
    </xdr:from>
    <xdr:to>
      <xdr:col>13</xdr:col>
      <xdr:colOff>181834</xdr:colOff>
      <xdr:row>93</xdr:row>
      <xdr:rowOff>212695</xdr:rowOff>
    </xdr:to>
    <xdr:pic>
      <xdr:nvPicPr>
        <xdr:cNvPr id="6" name="Picture 5">
          <a:extLst>
            <a:ext uri="{FF2B5EF4-FFF2-40B4-BE49-F238E27FC236}">
              <a16:creationId xmlns:a16="http://schemas.microsoft.com/office/drawing/2014/main" id="{3F78D98C-ECED-2443-938B-C1ED42A324FE}"/>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 t="25045" r="57285" b="68952"/>
        <a:stretch/>
      </xdr:blipFill>
      <xdr:spPr>
        <a:xfrm>
          <a:off x="4154157" y="15819674"/>
          <a:ext cx="3012677" cy="617271"/>
        </a:xfrm>
        <a:prstGeom prst="rect">
          <a:avLst/>
        </a:prstGeom>
      </xdr:spPr>
    </xdr:pic>
    <xdr:clientData/>
  </xdr:twoCellAnchor>
  <xdr:twoCellAnchor editAs="oneCell">
    <xdr:from>
      <xdr:col>24</xdr:col>
      <xdr:colOff>1017794</xdr:colOff>
      <xdr:row>91</xdr:row>
      <xdr:rowOff>214545</xdr:rowOff>
    </xdr:from>
    <xdr:to>
      <xdr:col>29</xdr:col>
      <xdr:colOff>1138476</xdr:colOff>
      <xdr:row>93</xdr:row>
      <xdr:rowOff>183139</xdr:rowOff>
    </xdr:to>
    <xdr:pic>
      <xdr:nvPicPr>
        <xdr:cNvPr id="28" name="Picture 27">
          <a:extLst>
            <a:ext uri="{FF2B5EF4-FFF2-40B4-BE49-F238E27FC236}">
              <a16:creationId xmlns:a16="http://schemas.microsoft.com/office/drawing/2014/main" id="{35604A8F-B0E4-C24F-85A4-18A31CE024D3}"/>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 t="25045" r="57285" b="68952"/>
        <a:stretch/>
      </xdr:blipFill>
      <xdr:spPr>
        <a:xfrm>
          <a:off x="16495919" y="15803795"/>
          <a:ext cx="3009932" cy="603594"/>
        </a:xfrm>
        <a:prstGeom prst="rect">
          <a:avLst/>
        </a:prstGeom>
      </xdr:spPr>
    </xdr:pic>
    <xdr:clientData/>
  </xdr:twoCellAnchor>
  <xdr:twoCellAnchor editAs="oneCell">
    <xdr:from>
      <xdr:col>3</xdr:col>
      <xdr:colOff>100017</xdr:colOff>
      <xdr:row>5</xdr:row>
      <xdr:rowOff>176036</xdr:rowOff>
    </xdr:from>
    <xdr:to>
      <xdr:col>4</xdr:col>
      <xdr:colOff>1650999</xdr:colOff>
      <xdr:row>15</xdr:row>
      <xdr:rowOff>100215</xdr:rowOff>
    </xdr:to>
    <xdr:pic>
      <xdr:nvPicPr>
        <xdr:cNvPr id="16" name="Picture 15">
          <a:extLst>
            <a:ext uri="{FF2B5EF4-FFF2-40B4-BE49-F238E27FC236}">
              <a16:creationId xmlns:a16="http://schemas.microsoft.com/office/drawing/2014/main" id="{4BBA98A0-721A-B042-9B97-6C169F3E0FC9}"/>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17517" y="1424869"/>
          <a:ext cx="1656815" cy="168101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22</xdr:col>
      <xdr:colOff>622300</xdr:colOff>
      <xdr:row>4</xdr:row>
      <xdr:rowOff>48396</xdr:rowOff>
    </xdr:from>
    <xdr:ext cx="3001529" cy="2787937"/>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17238133" y="873896"/>
          <a:ext cx="3001529" cy="2787937"/>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twoCellAnchor>
    <xdr:from>
      <xdr:col>0</xdr:col>
      <xdr:colOff>176109</xdr:colOff>
      <xdr:row>0</xdr:row>
      <xdr:rowOff>167640</xdr:rowOff>
    </xdr:from>
    <xdr:to>
      <xdr:col>12</xdr:col>
      <xdr:colOff>31750</xdr:colOff>
      <xdr:row>2</xdr:row>
      <xdr:rowOff>14152</xdr:rowOff>
    </xdr:to>
    <xdr:sp macro="" textlink="">
      <xdr:nvSpPr>
        <xdr:cNvPr id="2" name="1 Rectángulo redondeado">
          <a:extLst>
            <a:ext uri="{FF2B5EF4-FFF2-40B4-BE49-F238E27FC236}">
              <a16:creationId xmlns:a16="http://schemas.microsoft.com/office/drawing/2014/main" id="{00000000-0008-0000-0800-000002000000}"/>
            </a:ext>
          </a:extLst>
        </xdr:cNvPr>
        <xdr:cNvSpPr/>
      </xdr:nvSpPr>
      <xdr:spPr>
        <a:xfrm>
          <a:off x="176109" y="167640"/>
          <a:ext cx="12111141" cy="354512"/>
        </a:xfrm>
        <a:prstGeom prst="round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AR" sz="1600" b="1">
              <a:solidFill>
                <a:schemeClr val="tx1"/>
              </a:solidFill>
              <a:latin typeface="Times New Roman" panose="02020603050405020304" pitchFamily="18" charset="0"/>
              <a:cs typeface="Times New Roman" panose="02020603050405020304" pitchFamily="18" charset="0"/>
            </a:rPr>
            <a:t>EFICIENCIA ENERGÉTICA</a:t>
          </a:r>
        </a:p>
      </xdr:txBody>
    </xdr:sp>
    <xdr:clientData/>
  </xdr:twoCellAnchor>
  <xdr:twoCellAnchor>
    <xdr:from>
      <xdr:col>13</xdr:col>
      <xdr:colOff>176109</xdr:colOff>
      <xdr:row>0</xdr:row>
      <xdr:rowOff>167640</xdr:rowOff>
    </xdr:from>
    <xdr:to>
      <xdr:col>22</xdr:col>
      <xdr:colOff>31750</xdr:colOff>
      <xdr:row>2</xdr:row>
      <xdr:rowOff>14152</xdr:rowOff>
    </xdr:to>
    <xdr:sp macro="" textlink="">
      <xdr:nvSpPr>
        <xdr:cNvPr id="3" name="1 Rectángulo redondeado">
          <a:extLst>
            <a:ext uri="{FF2B5EF4-FFF2-40B4-BE49-F238E27FC236}">
              <a16:creationId xmlns:a16="http://schemas.microsoft.com/office/drawing/2014/main" id="{00000000-0008-0000-0800-000003000000}"/>
            </a:ext>
          </a:extLst>
        </xdr:cNvPr>
        <xdr:cNvSpPr/>
      </xdr:nvSpPr>
      <xdr:spPr>
        <a:xfrm>
          <a:off x="12647509" y="167640"/>
          <a:ext cx="13571641" cy="354512"/>
        </a:xfrm>
        <a:prstGeom prst="round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AR" sz="1600" b="1">
              <a:solidFill>
                <a:schemeClr val="tx1"/>
              </a:solidFill>
            </a:rPr>
            <a:t>EFICIENCIA ENERGÉTICA: Línea Base</a:t>
          </a:r>
        </a:p>
      </xdr:txBody>
    </xdr:sp>
    <xdr:clientData/>
  </xdr:twoCellAnchor>
  <xdr:twoCellAnchor>
    <xdr:from>
      <xdr:col>23</xdr:col>
      <xdr:colOff>0</xdr:colOff>
      <xdr:row>1</xdr:row>
      <xdr:rowOff>0</xdr:rowOff>
    </xdr:from>
    <xdr:to>
      <xdr:col>49</xdr:col>
      <xdr:colOff>0</xdr:colOff>
      <xdr:row>2</xdr:row>
      <xdr:rowOff>37012</xdr:rowOff>
    </xdr:to>
    <xdr:sp macro="" textlink="">
      <xdr:nvSpPr>
        <xdr:cNvPr id="4" name="1 Rectángulo redondeado">
          <a:extLst>
            <a:ext uri="{FF2B5EF4-FFF2-40B4-BE49-F238E27FC236}">
              <a16:creationId xmlns:a16="http://schemas.microsoft.com/office/drawing/2014/main" id="{00000000-0008-0000-0800-000004000000}"/>
            </a:ext>
          </a:extLst>
        </xdr:cNvPr>
        <xdr:cNvSpPr/>
      </xdr:nvSpPr>
      <xdr:spPr>
        <a:xfrm>
          <a:off x="27762200" y="190500"/>
          <a:ext cx="49390300" cy="354512"/>
        </a:xfrm>
        <a:prstGeom prst="round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AR" sz="1600" b="1">
              <a:solidFill>
                <a:schemeClr val="tx1"/>
              </a:solidFill>
              <a:latin typeface="Times New Roman" panose="02020603050405020304" pitchFamily="18" charset="0"/>
              <a:cs typeface="Times New Roman" panose="02020603050405020304" pitchFamily="18" charset="0"/>
            </a:rPr>
            <a:t>MOTOR DE CALCULO</a:t>
          </a:r>
        </a:p>
      </xdr:txBody>
    </xdr:sp>
    <xdr:clientData/>
  </xdr:twoCellAnchor>
  <xdr:twoCellAnchor>
    <xdr:from>
      <xdr:col>33</xdr:col>
      <xdr:colOff>0</xdr:colOff>
      <xdr:row>145</xdr:row>
      <xdr:rowOff>186265</xdr:rowOff>
    </xdr:from>
    <xdr:to>
      <xdr:col>45</xdr:col>
      <xdr:colOff>63498</xdr:colOff>
      <xdr:row>183</xdr:row>
      <xdr:rowOff>152397</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176109</xdr:colOff>
      <xdr:row>0</xdr:row>
      <xdr:rowOff>167640</xdr:rowOff>
    </xdr:from>
    <xdr:to>
      <xdr:col>12</xdr:col>
      <xdr:colOff>31750</xdr:colOff>
      <xdr:row>2</xdr:row>
      <xdr:rowOff>14152</xdr:rowOff>
    </xdr:to>
    <xdr:sp macro="" textlink="">
      <xdr:nvSpPr>
        <xdr:cNvPr id="2" name="1 Rectángulo redondeado">
          <a:extLst>
            <a:ext uri="{FF2B5EF4-FFF2-40B4-BE49-F238E27FC236}">
              <a16:creationId xmlns:a16="http://schemas.microsoft.com/office/drawing/2014/main" id="{00000000-0008-0000-0900-000002000000}"/>
            </a:ext>
          </a:extLst>
        </xdr:cNvPr>
        <xdr:cNvSpPr/>
      </xdr:nvSpPr>
      <xdr:spPr>
        <a:xfrm>
          <a:off x="176109" y="167640"/>
          <a:ext cx="11526941" cy="354512"/>
        </a:xfrm>
        <a:prstGeom prst="round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AR" sz="1600" b="1">
              <a:solidFill>
                <a:schemeClr val="tx1"/>
              </a:solidFill>
              <a:latin typeface="Times New Roman" panose="02020603050405020304" pitchFamily="18" charset="0"/>
              <a:cs typeface="Times New Roman" panose="02020603050405020304" pitchFamily="18" charset="0"/>
            </a:rPr>
            <a:t>EFICIENCIA ENERGÉTICA</a:t>
          </a:r>
        </a:p>
      </xdr:txBody>
    </xdr:sp>
    <xdr:clientData/>
  </xdr:twoCellAnchor>
  <xdr:twoCellAnchor>
    <xdr:from>
      <xdr:col>13</xdr:col>
      <xdr:colOff>176109</xdr:colOff>
      <xdr:row>0</xdr:row>
      <xdr:rowOff>167640</xdr:rowOff>
    </xdr:from>
    <xdr:to>
      <xdr:col>22</xdr:col>
      <xdr:colOff>31750</xdr:colOff>
      <xdr:row>2</xdr:row>
      <xdr:rowOff>14152</xdr:rowOff>
    </xdr:to>
    <xdr:sp macro="" textlink="">
      <xdr:nvSpPr>
        <xdr:cNvPr id="3" name="1 Rectángulo redondeado">
          <a:extLst>
            <a:ext uri="{FF2B5EF4-FFF2-40B4-BE49-F238E27FC236}">
              <a16:creationId xmlns:a16="http://schemas.microsoft.com/office/drawing/2014/main" id="{00000000-0008-0000-0900-000003000000}"/>
            </a:ext>
          </a:extLst>
        </xdr:cNvPr>
        <xdr:cNvSpPr/>
      </xdr:nvSpPr>
      <xdr:spPr>
        <a:xfrm>
          <a:off x="12063309" y="167640"/>
          <a:ext cx="13571641" cy="354512"/>
        </a:xfrm>
        <a:prstGeom prst="round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AR" sz="1600" b="1">
              <a:solidFill>
                <a:schemeClr val="tx1"/>
              </a:solidFill>
            </a:rPr>
            <a:t>EFICIENCIA ENERGÉTICA: Línea Base</a:t>
          </a:r>
        </a:p>
      </xdr:txBody>
    </xdr:sp>
    <xdr:clientData/>
  </xdr:twoCellAnchor>
  <xdr:twoCellAnchor>
    <xdr:from>
      <xdr:col>23</xdr:col>
      <xdr:colOff>0</xdr:colOff>
      <xdr:row>1</xdr:row>
      <xdr:rowOff>0</xdr:rowOff>
    </xdr:from>
    <xdr:to>
      <xdr:col>49</xdr:col>
      <xdr:colOff>0</xdr:colOff>
      <xdr:row>2</xdr:row>
      <xdr:rowOff>37012</xdr:rowOff>
    </xdr:to>
    <xdr:sp macro="" textlink="">
      <xdr:nvSpPr>
        <xdr:cNvPr id="4" name="1 Rectángulo redondeado">
          <a:extLst>
            <a:ext uri="{FF2B5EF4-FFF2-40B4-BE49-F238E27FC236}">
              <a16:creationId xmlns:a16="http://schemas.microsoft.com/office/drawing/2014/main" id="{00000000-0008-0000-0900-000004000000}"/>
            </a:ext>
          </a:extLst>
        </xdr:cNvPr>
        <xdr:cNvSpPr/>
      </xdr:nvSpPr>
      <xdr:spPr>
        <a:xfrm>
          <a:off x="27178000" y="190500"/>
          <a:ext cx="49418522" cy="354512"/>
        </a:xfrm>
        <a:prstGeom prst="round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AR" sz="1600" b="1">
              <a:solidFill>
                <a:schemeClr val="tx1"/>
              </a:solidFill>
              <a:latin typeface="Times New Roman" panose="02020603050405020304" pitchFamily="18" charset="0"/>
              <a:cs typeface="Times New Roman" panose="02020603050405020304" pitchFamily="18" charset="0"/>
            </a:rPr>
            <a:t>MOTOR DE CALCULO</a:t>
          </a:r>
        </a:p>
      </xdr:txBody>
    </xdr:sp>
    <xdr:clientData/>
  </xdr:twoCellAnchor>
  <xdr:twoCellAnchor>
    <xdr:from>
      <xdr:col>33</xdr:col>
      <xdr:colOff>0</xdr:colOff>
      <xdr:row>145</xdr:row>
      <xdr:rowOff>186265</xdr:rowOff>
    </xdr:from>
    <xdr:to>
      <xdr:col>45</xdr:col>
      <xdr:colOff>63498</xdr:colOff>
      <xdr:row>183</xdr:row>
      <xdr:rowOff>152397</xdr:rowOff>
    </xdr:to>
    <xdr:graphicFrame macro="">
      <xdr:nvGraphicFramePr>
        <xdr:cNvPr id="5" name="Chart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176109</xdr:colOff>
      <xdr:row>0</xdr:row>
      <xdr:rowOff>167640</xdr:rowOff>
    </xdr:from>
    <xdr:to>
      <xdr:col>12</xdr:col>
      <xdr:colOff>31750</xdr:colOff>
      <xdr:row>2</xdr:row>
      <xdr:rowOff>14152</xdr:rowOff>
    </xdr:to>
    <xdr:sp macro="" textlink="">
      <xdr:nvSpPr>
        <xdr:cNvPr id="2" name="1 Rectángulo redondeado">
          <a:extLst>
            <a:ext uri="{FF2B5EF4-FFF2-40B4-BE49-F238E27FC236}">
              <a16:creationId xmlns:a16="http://schemas.microsoft.com/office/drawing/2014/main" id="{00000000-0008-0000-0A00-000002000000}"/>
            </a:ext>
          </a:extLst>
        </xdr:cNvPr>
        <xdr:cNvSpPr/>
      </xdr:nvSpPr>
      <xdr:spPr>
        <a:xfrm>
          <a:off x="176109" y="167640"/>
          <a:ext cx="12111141" cy="354512"/>
        </a:xfrm>
        <a:prstGeom prst="round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AR" sz="1600" b="1">
              <a:solidFill>
                <a:schemeClr val="tx1"/>
              </a:solidFill>
              <a:latin typeface="Times New Roman" panose="02020603050405020304" pitchFamily="18" charset="0"/>
              <a:cs typeface="Times New Roman" panose="02020603050405020304" pitchFamily="18" charset="0"/>
            </a:rPr>
            <a:t>EFICIENCIA ENERGÉTICA</a:t>
          </a:r>
        </a:p>
      </xdr:txBody>
    </xdr:sp>
    <xdr:clientData/>
  </xdr:twoCellAnchor>
  <xdr:twoCellAnchor>
    <xdr:from>
      <xdr:col>13</xdr:col>
      <xdr:colOff>176109</xdr:colOff>
      <xdr:row>0</xdr:row>
      <xdr:rowOff>167640</xdr:rowOff>
    </xdr:from>
    <xdr:to>
      <xdr:col>22</xdr:col>
      <xdr:colOff>31750</xdr:colOff>
      <xdr:row>2</xdr:row>
      <xdr:rowOff>14152</xdr:rowOff>
    </xdr:to>
    <xdr:sp macro="" textlink="">
      <xdr:nvSpPr>
        <xdr:cNvPr id="3" name="1 Rectángulo redondeado">
          <a:extLst>
            <a:ext uri="{FF2B5EF4-FFF2-40B4-BE49-F238E27FC236}">
              <a16:creationId xmlns:a16="http://schemas.microsoft.com/office/drawing/2014/main" id="{00000000-0008-0000-0A00-000003000000}"/>
            </a:ext>
          </a:extLst>
        </xdr:cNvPr>
        <xdr:cNvSpPr/>
      </xdr:nvSpPr>
      <xdr:spPr>
        <a:xfrm>
          <a:off x="12647509" y="167640"/>
          <a:ext cx="13571641" cy="354512"/>
        </a:xfrm>
        <a:prstGeom prst="round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AR" sz="1600" b="1">
              <a:solidFill>
                <a:schemeClr val="tx1"/>
              </a:solidFill>
            </a:rPr>
            <a:t>EFICIENCIA ENERGÉTICA: Línea Base</a:t>
          </a:r>
        </a:p>
      </xdr:txBody>
    </xdr:sp>
    <xdr:clientData/>
  </xdr:twoCellAnchor>
  <xdr:twoCellAnchor>
    <xdr:from>
      <xdr:col>23</xdr:col>
      <xdr:colOff>0</xdr:colOff>
      <xdr:row>1</xdr:row>
      <xdr:rowOff>0</xdr:rowOff>
    </xdr:from>
    <xdr:to>
      <xdr:col>49</xdr:col>
      <xdr:colOff>0</xdr:colOff>
      <xdr:row>2</xdr:row>
      <xdr:rowOff>37012</xdr:rowOff>
    </xdr:to>
    <xdr:sp macro="" textlink="">
      <xdr:nvSpPr>
        <xdr:cNvPr id="4" name="1 Rectángulo redondeado">
          <a:extLst>
            <a:ext uri="{FF2B5EF4-FFF2-40B4-BE49-F238E27FC236}">
              <a16:creationId xmlns:a16="http://schemas.microsoft.com/office/drawing/2014/main" id="{00000000-0008-0000-0A00-000004000000}"/>
            </a:ext>
          </a:extLst>
        </xdr:cNvPr>
        <xdr:cNvSpPr/>
      </xdr:nvSpPr>
      <xdr:spPr>
        <a:xfrm>
          <a:off x="27762200" y="190500"/>
          <a:ext cx="49390300" cy="354512"/>
        </a:xfrm>
        <a:prstGeom prst="round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AR" sz="1600" b="1">
              <a:solidFill>
                <a:schemeClr val="tx1"/>
              </a:solidFill>
              <a:latin typeface="Times New Roman" panose="02020603050405020304" pitchFamily="18" charset="0"/>
              <a:cs typeface="Times New Roman" panose="02020603050405020304" pitchFamily="18" charset="0"/>
            </a:rPr>
            <a:t>MOTOR DE CALCULO</a:t>
          </a:r>
        </a:p>
      </xdr:txBody>
    </xdr:sp>
    <xdr:clientData/>
  </xdr:twoCellAnchor>
  <xdr:twoCellAnchor>
    <xdr:from>
      <xdr:col>33</xdr:col>
      <xdr:colOff>0</xdr:colOff>
      <xdr:row>145</xdr:row>
      <xdr:rowOff>186265</xdr:rowOff>
    </xdr:from>
    <xdr:to>
      <xdr:col>45</xdr:col>
      <xdr:colOff>63498</xdr:colOff>
      <xdr:row>183</xdr:row>
      <xdr:rowOff>152397</xdr:rowOff>
    </xdr:to>
    <xdr:graphicFrame macro="">
      <xdr:nvGraphicFramePr>
        <xdr:cNvPr id="5" name="Chart 4">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icaelasmulevich/Dropbox/OFICINA%20INTERNO/CHILE/SODIMAC%20-MODASA/HOMECENTER%20MODASA.%20ATE/1%20DESARROLLO%20CERTIFICACIO&#769;N/2.-WE/WE%20c1.0/CALCULO/TABLA%20WEC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1"/>
    </sheet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TEMA BID">
      <a:dk1>
        <a:sysClr val="windowText" lastClr="000000"/>
      </a:dk1>
      <a:lt1>
        <a:sysClr val="window" lastClr="FFFFFF"/>
      </a:lt1>
      <a:dk2>
        <a:srgbClr val="007895"/>
      </a:dk2>
      <a:lt2>
        <a:srgbClr val="DBE120"/>
      </a:lt2>
      <a:accent1>
        <a:srgbClr val="00A2A9"/>
      </a:accent1>
      <a:accent2>
        <a:srgbClr val="0DB14B"/>
      </a:accent2>
      <a:accent3>
        <a:srgbClr val="525E66"/>
      </a:accent3>
      <a:accent4>
        <a:srgbClr val="7D8C96"/>
      </a:accent4>
      <a:accent5>
        <a:srgbClr val="D0D5D9"/>
      </a:accent5>
      <a:accent6>
        <a:srgbClr val="DFE3E5"/>
      </a:accent6>
      <a:hlink>
        <a:srgbClr val="007895"/>
      </a:hlink>
      <a:folHlink>
        <a:srgbClr val="B1BAC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www.selloviviendasustentable.com.ar/" TargetMode="External"/><Relationship Id="rId1" Type="http://schemas.openxmlformats.org/officeDocument/2006/relationships/hyperlink" Target="http://www.selloviviendasustentable.com.ar/"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2"/>
    <pageSetUpPr fitToPage="1"/>
  </sheetPr>
  <dimension ref="A2:X144"/>
  <sheetViews>
    <sheetView tabSelected="1" zoomScale="80" zoomScaleNormal="80" workbookViewId="0">
      <selection activeCell="G10" sqref="G10"/>
    </sheetView>
  </sheetViews>
  <sheetFormatPr baseColWidth="10" defaultColWidth="11.5" defaultRowHeight="15" customHeight="1" thickBottom="1"/>
  <cols>
    <col min="1" max="1" width="2.6640625" style="447" customWidth="1"/>
    <col min="2" max="2" width="32.5" style="236" customWidth="1"/>
    <col min="3" max="4" width="13.1640625" style="236" customWidth="1"/>
    <col min="5" max="5" width="5.83203125" style="236" customWidth="1"/>
    <col min="6" max="6" width="43.83203125" style="236" customWidth="1"/>
    <col min="7" max="7" width="20.6640625" style="236" customWidth="1"/>
    <col min="8" max="8" width="2.6640625" style="448" customWidth="1"/>
    <col min="9" max="9" width="2.83203125" style="86" customWidth="1"/>
    <col min="10" max="12" width="15.83203125" style="80" customWidth="1"/>
    <col min="13" max="13" width="2.83203125" style="80" customWidth="1"/>
    <col min="14" max="16" width="15.83203125" style="80" customWidth="1"/>
    <col min="17" max="17" width="2.83203125" style="80" customWidth="1"/>
    <col min="18" max="18" width="11.5" style="81"/>
    <col min="19" max="16384" width="11.5" style="82"/>
  </cols>
  <sheetData>
    <row r="2" spans="1:24" ht="45" customHeight="1" thickBot="1">
      <c r="B2" s="774"/>
      <c r="C2" s="774"/>
      <c r="D2" s="774"/>
      <c r="E2" s="774"/>
      <c r="F2" s="774"/>
      <c r="G2" s="774"/>
      <c r="J2" s="265"/>
      <c r="K2" s="266"/>
      <c r="L2" s="266"/>
      <c r="M2" s="266"/>
      <c r="N2" s="266"/>
      <c r="O2" s="266"/>
      <c r="P2" s="267"/>
    </row>
    <row r="3" spans="1:24" ht="6" customHeight="1" thickBot="1">
      <c r="J3" s="111"/>
      <c r="K3" s="112"/>
      <c r="L3" s="112"/>
      <c r="M3" s="112"/>
      <c r="N3" s="112"/>
      <c r="O3" s="112"/>
      <c r="P3" s="113"/>
    </row>
    <row r="4" spans="1:24" s="85" customFormat="1" ht="30" customHeight="1" thickBot="1">
      <c r="A4" s="201"/>
      <c r="B4" s="774" t="s">
        <v>1906</v>
      </c>
      <c r="C4" s="774"/>
      <c r="D4" s="774"/>
      <c r="E4" s="774"/>
      <c r="F4" s="774"/>
      <c r="G4" s="774"/>
      <c r="H4" s="448"/>
      <c r="I4" s="87"/>
      <c r="J4" s="111"/>
      <c r="K4" s="112"/>
      <c r="L4" s="112"/>
      <c r="M4" s="112"/>
      <c r="N4" s="112"/>
      <c r="O4" s="112"/>
      <c r="P4" s="113"/>
      <c r="Q4" s="83"/>
      <c r="R4" s="84"/>
      <c r="X4" s="89"/>
    </row>
    <row r="5" spans="1:24" ht="6" customHeight="1" thickBot="1">
      <c r="J5" s="111"/>
      <c r="K5" s="112"/>
      <c r="L5" s="112"/>
      <c r="M5" s="112"/>
      <c r="N5" s="112"/>
      <c r="O5" s="112"/>
      <c r="P5" s="113"/>
    </row>
    <row r="6" spans="1:24" ht="15" customHeight="1" thickBot="1">
      <c r="B6" s="416" t="s">
        <v>1309</v>
      </c>
      <c r="C6" s="772"/>
      <c r="D6" s="772"/>
      <c r="E6" s="772"/>
      <c r="F6" s="772"/>
      <c r="G6" s="772"/>
      <c r="J6" s="111"/>
      <c r="K6" s="112"/>
      <c r="L6" s="112"/>
      <c r="M6" s="112"/>
      <c r="N6" s="112"/>
      <c r="O6" s="112"/>
      <c r="P6" s="113"/>
    </row>
    <row r="7" spans="1:24" ht="6" customHeight="1" thickBot="1">
      <c r="B7" s="234"/>
      <c r="C7" s="472"/>
      <c r="D7" s="472"/>
      <c r="E7" s="472"/>
      <c r="F7" s="472"/>
      <c r="G7" s="472"/>
      <c r="J7" s="111"/>
      <c r="K7" s="112"/>
      <c r="L7" s="112"/>
      <c r="M7" s="112"/>
      <c r="N7" s="112"/>
      <c r="O7" s="112"/>
      <c r="P7" s="113"/>
    </row>
    <row r="8" spans="1:24" ht="15" customHeight="1" thickBot="1">
      <c r="B8" s="416" t="s">
        <v>1310</v>
      </c>
      <c r="C8" s="772"/>
      <c r="D8" s="772"/>
      <c r="E8" s="772"/>
      <c r="F8" s="772"/>
      <c r="G8" s="772"/>
      <c r="J8" s="111"/>
      <c r="K8" s="112"/>
      <c r="L8" s="112"/>
      <c r="M8" s="112"/>
      <c r="N8" s="112"/>
      <c r="O8" s="112"/>
      <c r="P8" s="113"/>
    </row>
    <row r="9" spans="1:24" ht="6" customHeight="1" thickBot="1">
      <c r="B9" s="234"/>
      <c r="J9" s="111"/>
      <c r="K9" s="112"/>
      <c r="L9" s="112"/>
      <c r="M9" s="112"/>
      <c r="N9" s="112"/>
      <c r="O9" s="112"/>
      <c r="P9" s="113"/>
    </row>
    <row r="10" spans="1:24" ht="15" customHeight="1" thickBot="1">
      <c r="B10" s="416" t="s">
        <v>1</v>
      </c>
      <c r="C10" s="775"/>
      <c r="D10" s="775"/>
      <c r="F10" s="416" t="s">
        <v>630</v>
      </c>
      <c r="G10" s="465"/>
      <c r="J10" s="474"/>
      <c r="K10" s="475"/>
      <c r="L10" s="475"/>
      <c r="M10" s="475"/>
      <c r="N10" s="475"/>
      <c r="O10" s="475"/>
      <c r="P10" s="476" t="e">
        <f>VLOOKUP(C10,dato1,2,FALSE)</f>
        <v>#N/A</v>
      </c>
    </row>
    <row r="11" spans="1:24" ht="15" customHeight="1" thickBot="1">
      <c r="B11" s="416" t="s">
        <v>9</v>
      </c>
      <c r="C11" s="775"/>
      <c r="D11" s="775"/>
      <c r="F11" s="416" t="s">
        <v>10</v>
      </c>
      <c r="G11" s="465"/>
    </row>
    <row r="12" spans="1:24" ht="15" customHeight="1" thickBot="1">
      <c r="B12" s="416" t="s">
        <v>0</v>
      </c>
      <c r="C12" s="772"/>
      <c r="D12" s="772"/>
      <c r="F12" s="416" t="s">
        <v>207</v>
      </c>
      <c r="G12" s="465"/>
      <c r="J12" s="780" t="s">
        <v>1475</v>
      </c>
      <c r="K12" s="780"/>
      <c r="L12" s="780"/>
      <c r="M12" s="780"/>
      <c r="N12" s="780"/>
      <c r="O12" s="780"/>
      <c r="P12" s="780"/>
    </row>
    <row r="13" spans="1:24" ht="6" customHeight="1" thickBot="1">
      <c r="B13" s="234"/>
      <c r="C13" s="472"/>
      <c r="D13" s="472"/>
      <c r="F13" s="234"/>
      <c r="G13" s="472"/>
      <c r="J13" s="780"/>
      <c r="K13" s="780"/>
      <c r="L13" s="780"/>
      <c r="M13" s="780"/>
      <c r="N13" s="780"/>
      <c r="O13" s="780"/>
      <c r="P13" s="780"/>
    </row>
    <row r="14" spans="1:24" ht="15" customHeight="1" thickBot="1">
      <c r="B14" s="416" t="s">
        <v>1045</v>
      </c>
      <c r="C14" s="775"/>
      <c r="D14" s="775"/>
      <c r="F14" s="98">
        <f>IF(C14=0,1,0)</f>
        <v>1</v>
      </c>
      <c r="G14" s="93"/>
      <c r="J14" s="780"/>
      <c r="K14" s="780"/>
      <c r="L14" s="780"/>
      <c r="M14" s="780"/>
      <c r="N14" s="780"/>
      <c r="O14" s="780"/>
      <c r="P14" s="780"/>
    </row>
    <row r="15" spans="1:24" ht="6" customHeight="1" thickBot="1">
      <c r="B15" s="234"/>
      <c r="C15" s="472"/>
      <c r="D15" s="472"/>
      <c r="F15" s="234"/>
      <c r="G15" s="472"/>
    </row>
    <row r="16" spans="1:24" ht="16" customHeight="1" thickBot="1">
      <c r="B16" s="416" t="s">
        <v>1111</v>
      </c>
      <c r="C16" s="773"/>
      <c r="D16" s="773"/>
      <c r="F16" s="416" t="s">
        <v>2022</v>
      </c>
      <c r="G16" s="484"/>
      <c r="J16" s="783" t="s">
        <v>1934</v>
      </c>
      <c r="K16" s="783"/>
      <c r="L16" s="783"/>
      <c r="M16" s="783"/>
      <c r="N16" s="783"/>
      <c r="O16" s="783"/>
      <c r="P16" s="783"/>
    </row>
    <row r="17" spans="1:23" ht="16" customHeight="1" thickBot="1">
      <c r="B17" s="416" t="s">
        <v>1112</v>
      </c>
      <c r="C17" s="776"/>
      <c r="D17" s="777"/>
      <c r="G17" s="472"/>
      <c r="J17" s="783" t="s">
        <v>1935</v>
      </c>
      <c r="K17" s="783"/>
      <c r="L17" s="783"/>
      <c r="M17" s="783"/>
      <c r="N17" s="783"/>
      <c r="O17" s="783"/>
      <c r="P17" s="783"/>
    </row>
    <row r="18" spans="1:23" ht="6" customHeight="1" thickBot="1">
      <c r="B18" s="234"/>
      <c r="C18" s="472"/>
      <c r="D18" s="472"/>
      <c r="F18" s="234"/>
      <c r="G18" s="472"/>
    </row>
    <row r="19" spans="1:23" ht="18" thickBot="1">
      <c r="B19" s="408" t="s">
        <v>655</v>
      </c>
      <c r="C19" s="772"/>
      <c r="D19" s="772"/>
      <c r="F19" s="416" t="s">
        <v>2</v>
      </c>
      <c r="G19" s="465"/>
      <c r="J19" s="784" t="s">
        <v>1936</v>
      </c>
      <c r="K19" s="784"/>
      <c r="L19" s="784"/>
      <c r="M19" s="784"/>
      <c r="N19" s="784"/>
      <c r="O19" s="784"/>
      <c r="P19" s="784"/>
    </row>
    <row r="20" spans="1:23" ht="15" customHeight="1" thickBot="1">
      <c r="B20" s="416" t="s">
        <v>2130</v>
      </c>
      <c r="C20" s="772"/>
      <c r="D20" s="772"/>
      <c r="F20" s="416" t="s">
        <v>774</v>
      </c>
      <c r="G20" s="465"/>
      <c r="H20" s="449"/>
      <c r="J20" s="785" t="s">
        <v>1937</v>
      </c>
      <c r="K20" s="785"/>
      <c r="L20" s="785"/>
      <c r="M20" s="785"/>
      <c r="N20" s="785"/>
      <c r="O20" s="785"/>
      <c r="P20" s="785"/>
    </row>
    <row r="21" spans="1:23" ht="6" customHeight="1" thickBot="1">
      <c r="J21" s="86"/>
      <c r="K21" s="86"/>
      <c r="L21" s="86"/>
      <c r="M21" s="86"/>
      <c r="N21" s="86"/>
      <c r="O21" s="86"/>
      <c r="P21" s="86"/>
    </row>
    <row r="22" spans="1:23" s="85" customFormat="1" ht="30" customHeight="1" thickBot="1">
      <c r="A22" s="201"/>
      <c r="B22" s="774" t="s">
        <v>1907</v>
      </c>
      <c r="C22" s="774"/>
      <c r="D22" s="774"/>
      <c r="E22" s="774"/>
      <c r="F22" s="774"/>
      <c r="G22" s="774"/>
      <c r="H22" s="449"/>
      <c r="I22" s="87">
        <f>C14</f>
        <v>0</v>
      </c>
      <c r="J22" s="781"/>
      <c r="K22" s="781"/>
      <c r="L22" s="781"/>
      <c r="M22" s="781"/>
      <c r="N22" s="781"/>
      <c r="O22" s="781"/>
      <c r="P22" s="781"/>
      <c r="Q22" s="83"/>
      <c r="R22" s="88"/>
      <c r="S22" s="89"/>
      <c r="T22" s="89"/>
      <c r="U22" s="89"/>
      <c r="V22" s="89"/>
      <c r="W22" s="89"/>
    </row>
    <row r="23" spans="1:23" ht="6" customHeight="1" thickBot="1">
      <c r="J23" s="781"/>
      <c r="K23" s="781"/>
      <c r="L23" s="781"/>
      <c r="M23" s="781"/>
      <c r="N23" s="781"/>
      <c r="O23" s="781"/>
      <c r="P23" s="781"/>
      <c r="R23" s="90"/>
      <c r="S23" s="91"/>
      <c r="T23" s="91"/>
      <c r="U23" s="91"/>
      <c r="V23" s="91"/>
      <c r="W23" s="91"/>
    </row>
    <row r="24" spans="1:23" ht="15" customHeight="1" thickBot="1">
      <c r="B24" s="416" t="s">
        <v>3</v>
      </c>
      <c r="C24" s="772"/>
      <c r="D24" s="772"/>
      <c r="F24" s="416" t="s">
        <v>4</v>
      </c>
      <c r="G24" s="425"/>
      <c r="J24" s="781"/>
      <c r="K24" s="781"/>
      <c r="L24" s="781"/>
      <c r="M24" s="781"/>
      <c r="N24" s="781"/>
      <c r="O24" s="781"/>
      <c r="P24" s="781"/>
      <c r="R24" s="90"/>
      <c r="S24" s="92"/>
      <c r="T24" s="91"/>
      <c r="U24" s="91"/>
      <c r="V24" s="91"/>
      <c r="W24" s="91"/>
    </row>
    <row r="25" spans="1:23" ht="6" customHeight="1" thickBot="1">
      <c r="B25" s="234"/>
      <c r="H25" s="449"/>
      <c r="I25" s="87"/>
      <c r="J25" s="781"/>
      <c r="K25" s="781"/>
      <c r="L25" s="781"/>
      <c r="M25" s="781"/>
      <c r="N25" s="781"/>
      <c r="O25" s="781"/>
      <c r="P25" s="781"/>
      <c r="R25" s="90"/>
      <c r="S25" s="91"/>
      <c r="T25" s="91"/>
      <c r="U25" s="91"/>
      <c r="V25" s="91"/>
      <c r="W25" s="91"/>
    </row>
    <row r="26" spans="1:23" ht="15" customHeight="1" thickBot="1">
      <c r="B26" s="408" t="s">
        <v>775</v>
      </c>
      <c r="C26" s="779"/>
      <c r="D26" s="779"/>
      <c r="F26" s="408" t="s">
        <v>2020</v>
      </c>
      <c r="G26" s="409"/>
      <c r="J26" s="786" t="s">
        <v>2017</v>
      </c>
      <c r="K26" s="786"/>
      <c r="L26" s="786"/>
      <c r="M26" s="786"/>
      <c r="N26" s="786"/>
      <c r="O26" s="786"/>
      <c r="P26" s="786"/>
      <c r="R26" s="90"/>
      <c r="S26" s="92"/>
      <c r="T26" s="91"/>
      <c r="U26" s="91"/>
      <c r="V26" s="91"/>
      <c r="W26" s="91"/>
    </row>
    <row r="27" spans="1:23" ht="6" customHeight="1" thickBot="1">
      <c r="H27" s="449"/>
      <c r="I27" s="87"/>
      <c r="J27" s="781"/>
      <c r="K27" s="781"/>
      <c r="L27" s="781"/>
      <c r="M27" s="781"/>
      <c r="N27" s="781"/>
      <c r="O27" s="781"/>
      <c r="P27" s="781"/>
      <c r="R27" s="90"/>
      <c r="T27" s="91"/>
      <c r="U27" s="91"/>
      <c r="V27" s="91"/>
      <c r="W27" s="91"/>
    </row>
    <row r="28" spans="1:23" ht="18" thickBot="1">
      <c r="B28" s="408" t="s">
        <v>5</v>
      </c>
      <c r="C28" s="772"/>
      <c r="D28" s="772"/>
      <c r="F28" s="408" t="s">
        <v>573</v>
      </c>
      <c r="G28" s="409"/>
      <c r="J28" s="781"/>
      <c r="K28" s="781"/>
      <c r="L28" s="781"/>
      <c r="M28" s="781"/>
      <c r="N28" s="781"/>
      <c r="O28" s="781"/>
      <c r="P28" s="781"/>
      <c r="R28" s="90"/>
      <c r="S28" s="91"/>
      <c r="T28" s="91"/>
      <c r="U28" s="91"/>
      <c r="V28" s="91"/>
      <c r="W28" s="91"/>
    </row>
    <row r="29" spans="1:23" s="94" customFormat="1" ht="15" customHeight="1" thickBot="1">
      <c r="A29" s="450"/>
      <c r="B29" s="416" t="s">
        <v>221</v>
      </c>
      <c r="C29" s="772"/>
      <c r="D29" s="772"/>
      <c r="E29" s="451"/>
      <c r="F29" s="416" t="s">
        <v>2021</v>
      </c>
      <c r="G29" s="426"/>
      <c r="H29" s="448"/>
      <c r="I29" s="86"/>
      <c r="J29" s="781"/>
      <c r="K29" s="781"/>
      <c r="L29" s="781"/>
      <c r="M29" s="781"/>
      <c r="N29" s="781"/>
      <c r="O29" s="781"/>
      <c r="P29" s="781"/>
      <c r="Q29" s="95"/>
      <c r="R29" s="96"/>
      <c r="S29" s="97"/>
      <c r="T29" s="97"/>
      <c r="U29" s="97"/>
      <c r="V29" s="97"/>
      <c r="W29" s="97"/>
    </row>
    <row r="30" spans="1:23" s="94" customFormat="1" ht="15" customHeight="1" thickBot="1">
      <c r="A30" s="450"/>
      <c r="E30" s="451"/>
      <c r="F30" s="451"/>
      <c r="G30" s="451"/>
      <c r="H30" s="448"/>
      <c r="I30" s="86"/>
      <c r="J30" s="781"/>
      <c r="K30" s="781"/>
      <c r="L30" s="781"/>
      <c r="M30" s="781"/>
      <c r="N30" s="781"/>
      <c r="O30" s="781"/>
      <c r="P30" s="781"/>
      <c r="Q30" s="95"/>
      <c r="R30" s="96"/>
      <c r="S30" s="97"/>
      <c r="T30" s="97"/>
      <c r="U30" s="97"/>
      <c r="V30" s="97"/>
      <c r="W30" s="97"/>
    </row>
    <row r="31" spans="1:23" ht="6" customHeight="1" thickBot="1">
      <c r="H31" s="449"/>
      <c r="I31" s="87"/>
      <c r="J31" s="87"/>
      <c r="K31" s="87"/>
      <c r="L31" s="86"/>
      <c r="M31" s="86"/>
      <c r="N31" s="86"/>
      <c r="O31" s="86"/>
      <c r="P31" s="86"/>
      <c r="R31" s="221"/>
      <c r="S31" s="218"/>
      <c r="T31" s="218"/>
      <c r="U31" s="218"/>
      <c r="V31" s="218"/>
      <c r="W31" s="91"/>
    </row>
    <row r="32" spans="1:23" ht="20" customHeight="1" thickBot="1">
      <c r="B32" s="778" t="s">
        <v>1908</v>
      </c>
      <c r="C32" s="778"/>
      <c r="D32" s="778"/>
      <c r="F32" s="778" t="s">
        <v>1909</v>
      </c>
      <c r="G32" s="778"/>
      <c r="I32" s="86">
        <f>C11</f>
        <v>0</v>
      </c>
      <c r="J32" s="790" t="s">
        <v>1952</v>
      </c>
      <c r="K32" s="790"/>
      <c r="L32" s="790"/>
      <c r="M32" s="790"/>
      <c r="N32" s="790"/>
      <c r="O32" s="790"/>
      <c r="P32" s="790"/>
      <c r="R32" s="221"/>
      <c r="S32" s="218"/>
      <c r="T32" s="218"/>
      <c r="U32" s="218"/>
      <c r="V32" s="218"/>
      <c r="W32" s="91"/>
    </row>
    <row r="33" spans="2:23" ht="6" customHeight="1" thickBot="1">
      <c r="J33" s="790"/>
      <c r="K33" s="790"/>
      <c r="L33" s="790"/>
      <c r="M33" s="790"/>
      <c r="N33" s="790"/>
      <c r="O33" s="790"/>
      <c r="P33" s="790"/>
      <c r="R33" s="221"/>
      <c r="S33" s="218"/>
      <c r="T33" s="218"/>
      <c r="U33" s="218"/>
      <c r="V33" s="218"/>
      <c r="W33" s="91"/>
    </row>
    <row r="34" spans="2:23" ht="15" customHeight="1" thickBot="1">
      <c r="B34" s="424"/>
      <c r="C34" s="768" t="s">
        <v>776</v>
      </c>
      <c r="D34" s="769"/>
      <c r="E34" s="230"/>
      <c r="F34" s="416" t="s">
        <v>1787</v>
      </c>
      <c r="G34" s="426"/>
      <c r="H34" s="449"/>
      <c r="I34" s="205"/>
      <c r="J34" s="386"/>
      <c r="K34" s="386"/>
      <c r="L34" s="386"/>
      <c r="M34" s="516"/>
      <c r="N34" s="386"/>
      <c r="O34" s="386"/>
      <c r="P34" s="386"/>
      <c r="R34" s="221"/>
      <c r="S34" s="218"/>
      <c r="T34" s="218"/>
      <c r="U34" s="218"/>
      <c r="V34" s="218"/>
      <c r="W34" s="91"/>
    </row>
    <row r="35" spans="2:23" ht="15" customHeight="1" thickBot="1">
      <c r="B35" s="416" t="s">
        <v>574</v>
      </c>
      <c r="C35" s="770"/>
      <c r="D35" s="771"/>
      <c r="E35" s="230"/>
      <c r="I35" s="523"/>
      <c r="J35" s="786"/>
      <c r="K35" s="786"/>
      <c r="L35" s="786"/>
      <c r="M35" s="515"/>
      <c r="N35" s="384"/>
      <c r="O35" s="384"/>
      <c r="P35" s="384"/>
      <c r="R35" s="221"/>
      <c r="S35" s="218"/>
      <c r="T35" s="218"/>
      <c r="U35" s="218"/>
      <c r="V35" s="218"/>
    </row>
    <row r="36" spans="2:23" ht="15" customHeight="1" thickBot="1">
      <c r="B36" s="416" t="s">
        <v>575</v>
      </c>
      <c r="C36" s="770"/>
      <c r="D36" s="771"/>
      <c r="E36" s="230">
        <f>IF($C$28&gt;=2,1,0)</f>
        <v>0</v>
      </c>
      <c r="F36" s="452" t="s">
        <v>763</v>
      </c>
      <c r="G36" s="410">
        <f>G37+G38</f>
        <v>0</v>
      </c>
      <c r="I36" s="523"/>
      <c r="J36" s="786"/>
      <c r="K36" s="786"/>
      <c r="L36" s="786"/>
      <c r="M36" s="515"/>
      <c r="N36" s="384"/>
      <c r="O36" s="384"/>
      <c r="P36" s="384"/>
      <c r="R36" s="221"/>
      <c r="S36" s="218"/>
      <c r="T36" s="218"/>
      <c r="U36" s="218"/>
      <c r="V36" s="218"/>
    </row>
    <row r="37" spans="2:23" ht="15" customHeight="1" thickBot="1">
      <c r="B37" s="416" t="s">
        <v>576</v>
      </c>
      <c r="C37" s="770"/>
      <c r="D37" s="771"/>
      <c r="E37" s="230">
        <f>IF($C$28&gt;=3,1,0)</f>
        <v>0</v>
      </c>
      <c r="F37" s="416" t="s">
        <v>1374</v>
      </c>
      <c r="G37" s="426"/>
      <c r="I37" s="523"/>
      <c r="J37" s="786"/>
      <c r="K37" s="786"/>
      <c r="L37" s="786"/>
      <c r="M37" s="515"/>
      <c r="N37" s="384"/>
      <c r="O37" s="384"/>
      <c r="P37" s="384"/>
      <c r="R37" s="221"/>
      <c r="S37" s="218"/>
      <c r="T37" s="218"/>
      <c r="U37" s="218"/>
      <c r="V37" s="218"/>
    </row>
    <row r="38" spans="2:23" ht="15" customHeight="1" thickBot="1">
      <c r="B38" s="416" t="s">
        <v>577</v>
      </c>
      <c r="C38" s="770"/>
      <c r="D38" s="771"/>
      <c r="E38" s="230">
        <f>IF($C$28&gt;=4,1,0)</f>
        <v>0</v>
      </c>
      <c r="F38" s="416" t="s">
        <v>1375</v>
      </c>
      <c r="G38" s="426"/>
      <c r="I38" s="523"/>
      <c r="J38" s="384"/>
      <c r="K38" s="384"/>
      <c r="L38" s="384"/>
      <c r="M38" s="515"/>
      <c r="N38" s="384"/>
      <c r="O38" s="384"/>
      <c r="P38" s="384"/>
      <c r="R38" s="221"/>
      <c r="S38" s="218"/>
      <c r="T38" s="218"/>
      <c r="U38" s="218"/>
      <c r="V38" s="218"/>
    </row>
    <row r="39" spans="2:23" ht="15" customHeight="1" thickBot="1">
      <c r="B39" s="416" t="s">
        <v>578</v>
      </c>
      <c r="C39" s="770"/>
      <c r="D39" s="771"/>
      <c r="E39" s="230">
        <f>IF($C$28&gt;=5,1,0)</f>
        <v>0</v>
      </c>
      <c r="I39" s="523"/>
      <c r="J39" s="384"/>
      <c r="K39" s="384"/>
      <c r="L39" s="384"/>
      <c r="M39" s="515"/>
      <c r="N39" s="384"/>
      <c r="O39" s="384"/>
      <c r="P39" s="384"/>
      <c r="R39" s="221"/>
      <c r="S39" s="218"/>
      <c r="T39" s="218"/>
      <c r="U39" s="218"/>
      <c r="V39" s="218"/>
    </row>
    <row r="40" spans="2:23" ht="15" customHeight="1" thickBot="1">
      <c r="B40" s="416" t="s">
        <v>579</v>
      </c>
      <c r="C40" s="770"/>
      <c r="D40" s="771"/>
      <c r="E40" s="230"/>
      <c r="I40" s="523"/>
      <c r="J40" s="786"/>
      <c r="K40" s="786"/>
      <c r="L40" s="786"/>
      <c r="M40" s="514"/>
      <c r="N40" s="384"/>
      <c r="O40" s="384"/>
      <c r="P40" s="384"/>
      <c r="R40" s="221"/>
      <c r="S40" s="218"/>
      <c r="T40" s="218"/>
      <c r="U40" s="218"/>
      <c r="V40" s="218"/>
    </row>
    <row r="41" spans="2:23" ht="15" customHeight="1" thickBot="1">
      <c r="B41" s="416" t="s">
        <v>580</v>
      </c>
      <c r="C41" s="770"/>
      <c r="D41" s="771"/>
      <c r="E41" s="230"/>
      <c r="I41" s="786"/>
      <c r="J41" s="786"/>
      <c r="K41" s="786"/>
      <c r="L41" s="786"/>
      <c r="M41" s="514"/>
      <c r="N41" s="786"/>
      <c r="O41" s="786"/>
      <c r="P41" s="786"/>
      <c r="R41" s="221"/>
      <c r="S41" s="218"/>
      <c r="T41" s="218"/>
      <c r="U41" s="218"/>
      <c r="V41" s="218"/>
    </row>
    <row r="42" spans="2:23" ht="15" customHeight="1" thickBot="1">
      <c r="B42" s="416" t="s">
        <v>581</v>
      </c>
      <c r="C42" s="770"/>
      <c r="D42" s="771"/>
      <c r="E42" s="230"/>
      <c r="I42" s="786"/>
      <c r="J42" s="786"/>
      <c r="K42" s="786"/>
      <c r="L42" s="786"/>
      <c r="M42" s="514"/>
      <c r="N42" s="786"/>
      <c r="O42" s="786"/>
      <c r="P42" s="786"/>
      <c r="R42" s="221"/>
      <c r="S42" s="218"/>
      <c r="T42" s="218"/>
      <c r="U42" s="218"/>
      <c r="V42" s="218"/>
    </row>
    <row r="43" spans="2:23" ht="15" customHeight="1" thickBot="1">
      <c r="B43" s="416" t="s">
        <v>582</v>
      </c>
      <c r="C43" s="770"/>
      <c r="D43" s="771"/>
      <c r="E43" s="230"/>
      <c r="I43" s="523"/>
      <c r="J43" s="786"/>
      <c r="K43" s="786"/>
      <c r="L43" s="786"/>
      <c r="M43" s="514"/>
      <c r="N43" s="384"/>
      <c r="O43" s="384"/>
      <c r="P43" s="384"/>
      <c r="R43" s="221"/>
      <c r="S43" s="218"/>
      <c r="T43" s="218"/>
      <c r="U43" s="218"/>
      <c r="V43" s="218"/>
    </row>
    <row r="44" spans="2:23" ht="15" customHeight="1" thickBot="1">
      <c r="B44" s="416" t="s">
        <v>583</v>
      </c>
      <c r="C44" s="770"/>
      <c r="D44" s="771"/>
      <c r="I44" s="523"/>
      <c r="J44" s="786"/>
      <c r="K44" s="786"/>
      <c r="L44" s="786"/>
      <c r="M44" s="514"/>
      <c r="N44" s="384"/>
      <c r="O44" s="384"/>
      <c r="P44" s="384"/>
      <c r="R44" s="221"/>
      <c r="S44" s="218"/>
      <c r="T44" s="218"/>
      <c r="U44" s="218"/>
      <c r="V44" s="218"/>
    </row>
    <row r="45" spans="2:23" ht="15" customHeight="1" thickBot="1">
      <c r="B45" s="416" t="s">
        <v>566</v>
      </c>
      <c r="C45" s="770"/>
      <c r="D45" s="771"/>
      <c r="I45" s="523"/>
      <c r="J45" s="390"/>
      <c r="K45" s="384"/>
      <c r="L45" s="384"/>
      <c r="M45" s="514"/>
      <c r="N45" s="390"/>
      <c r="O45" s="384"/>
      <c r="P45" s="384"/>
      <c r="R45" s="221"/>
      <c r="S45" s="218"/>
      <c r="T45" s="218"/>
      <c r="U45" s="218"/>
      <c r="V45" s="218"/>
    </row>
    <row r="46" spans="2:23" ht="15" customHeight="1" thickBot="1">
      <c r="B46" s="416" t="s">
        <v>572</v>
      </c>
      <c r="C46" s="770"/>
      <c r="D46" s="771"/>
      <c r="I46" s="523"/>
      <c r="J46" s="786"/>
      <c r="K46" s="786"/>
      <c r="L46" s="786"/>
      <c r="M46" s="514"/>
      <c r="N46" s="786"/>
      <c r="O46" s="786"/>
      <c r="P46" s="786"/>
      <c r="R46" s="221"/>
      <c r="S46" s="218"/>
      <c r="T46" s="218"/>
      <c r="U46" s="218"/>
      <c r="V46" s="218"/>
    </row>
    <row r="47" spans="2:23" ht="6" customHeight="1" thickBot="1">
      <c r="B47" s="234"/>
      <c r="C47" s="235"/>
      <c r="D47" s="235"/>
      <c r="I47" s="523"/>
      <c r="J47" s="384"/>
      <c r="K47" s="384"/>
      <c r="L47" s="384"/>
      <c r="M47" s="384"/>
      <c r="N47" s="384"/>
      <c r="O47" s="384"/>
      <c r="P47" s="384"/>
      <c r="R47" s="221"/>
      <c r="S47" s="218"/>
      <c r="T47" s="218"/>
      <c r="U47" s="218"/>
      <c r="V47" s="218"/>
    </row>
    <row r="48" spans="2:23" ht="15" customHeight="1" thickBot="1">
      <c r="B48" s="416" t="s">
        <v>8</v>
      </c>
      <c r="C48" s="410" t="s">
        <v>1080</v>
      </c>
      <c r="D48" s="410">
        <f>C26-SUM(C35:D46)-IF(ENERGÍA!L369="Si",ENERGÍA!L370,0)</f>
        <v>0</v>
      </c>
      <c r="I48" s="523"/>
      <c r="J48" s="786"/>
      <c r="K48" s="786"/>
      <c r="L48" s="786"/>
      <c r="M48" s="786"/>
      <c r="N48" s="786"/>
      <c r="O48" s="786"/>
      <c r="P48" s="786"/>
      <c r="R48" s="221"/>
      <c r="S48" s="218"/>
      <c r="T48" s="218"/>
      <c r="U48" s="218"/>
      <c r="V48" s="218"/>
    </row>
    <row r="49" spans="2:22" ht="6" customHeight="1" thickBot="1">
      <c r="B49" s="234"/>
      <c r="C49" s="235"/>
      <c r="D49" s="235"/>
      <c r="I49" s="523"/>
      <c r="J49" s="384"/>
      <c r="K49" s="384"/>
      <c r="L49" s="384"/>
      <c r="M49" s="384"/>
      <c r="N49" s="384"/>
      <c r="O49" s="384"/>
      <c r="P49" s="384"/>
      <c r="R49" s="221"/>
      <c r="S49" s="218"/>
      <c r="T49" s="218"/>
      <c r="U49" s="218"/>
      <c r="V49" s="218"/>
    </row>
    <row r="50" spans="2:22" ht="20" customHeight="1" thickBot="1">
      <c r="B50" s="778" t="s">
        <v>2024</v>
      </c>
      <c r="C50" s="778"/>
      <c r="D50" s="778"/>
      <c r="E50" s="778"/>
      <c r="F50" s="778"/>
      <c r="G50" s="778"/>
      <c r="I50" s="523"/>
      <c r="J50" s="384"/>
      <c r="K50" s="384"/>
      <c r="L50" s="384"/>
      <c r="M50" s="384"/>
      <c r="N50" s="384"/>
      <c r="O50" s="384"/>
      <c r="P50" s="384"/>
      <c r="R50" s="114"/>
      <c r="S50" s="98"/>
      <c r="T50" s="218"/>
      <c r="U50" s="218"/>
      <c r="V50" s="218"/>
    </row>
    <row r="51" spans="2:22" ht="6" customHeight="1" thickBot="1">
      <c r="I51" s="523"/>
      <c r="J51" s="384"/>
      <c r="K51" s="384"/>
      <c r="L51" s="384"/>
      <c r="M51" s="384"/>
      <c r="N51" s="384"/>
      <c r="O51" s="384"/>
      <c r="P51" s="384"/>
      <c r="R51" s="114"/>
      <c r="S51" s="98"/>
      <c r="T51" s="218"/>
      <c r="U51" s="218"/>
      <c r="V51" s="218"/>
    </row>
    <row r="52" spans="2:22" ht="15" customHeight="1" thickBot="1">
      <c r="B52" s="782" t="s">
        <v>1230</v>
      </c>
      <c r="C52" s="782"/>
      <c r="D52" s="782"/>
      <c r="E52" s="782"/>
      <c r="F52" s="782"/>
      <c r="G52" s="425" t="s">
        <v>7</v>
      </c>
      <c r="I52" s="523">
        <f>IF(ENERGÍA!X4=1,IF(DATOS!G52="Si",0,1),IF(ENERGÍA!X4=2,IF(DATOS!G52="Si",0,1),0))</f>
        <v>0</v>
      </c>
      <c r="J52" s="786" t="s">
        <v>1639</v>
      </c>
      <c r="K52" s="786"/>
      <c r="L52" s="786"/>
      <c r="M52" s="786"/>
      <c r="N52" s="786"/>
      <c r="O52" s="786"/>
      <c r="P52" s="786"/>
      <c r="R52" s="114">
        <f>IF(G52=0,0,1)</f>
        <v>1</v>
      </c>
      <c r="S52" s="98"/>
      <c r="T52" s="218"/>
      <c r="U52" s="218"/>
      <c r="V52" s="218"/>
    </row>
    <row r="53" spans="2:22" ht="15" customHeight="1" thickBot="1">
      <c r="B53" s="782" t="s">
        <v>1231</v>
      </c>
      <c r="C53" s="782"/>
      <c r="D53" s="782"/>
      <c r="E53" s="782"/>
      <c r="F53" s="782"/>
      <c r="G53" s="425" t="s">
        <v>7</v>
      </c>
      <c r="I53" s="523">
        <f>IF(ENERGÍA!X4=5,IF(DATOS!G53="Si",0,1),IF(ENERGÍA!X4=6,IF(DATOS!G53="Si",0,1),0))</f>
        <v>0</v>
      </c>
      <c r="J53" s="786" t="s">
        <v>1640</v>
      </c>
      <c r="K53" s="786"/>
      <c r="L53" s="786"/>
      <c r="M53" s="786"/>
      <c r="N53" s="786"/>
      <c r="O53" s="786"/>
      <c r="P53" s="786"/>
      <c r="R53" s="114">
        <f t="shared" ref="R53:R60" si="0">IF(G53=0,0,1)</f>
        <v>1</v>
      </c>
      <c r="S53" s="98"/>
      <c r="T53" s="218"/>
      <c r="U53" s="218"/>
      <c r="V53" s="218"/>
    </row>
    <row r="54" spans="2:22" ht="6" customHeight="1" thickBot="1">
      <c r="B54" s="234"/>
      <c r="C54" s="234"/>
      <c r="D54" s="234"/>
      <c r="E54" s="234"/>
      <c r="F54" s="234"/>
      <c r="I54" s="523"/>
      <c r="J54" s="384"/>
      <c r="K54" s="384"/>
      <c r="L54" s="384"/>
      <c r="M54" s="384"/>
      <c r="N54" s="384"/>
      <c r="O54" s="384"/>
      <c r="P54" s="384"/>
      <c r="R54" s="114"/>
      <c r="S54" s="98"/>
      <c r="T54" s="218"/>
      <c r="U54" s="218"/>
      <c r="V54" s="218"/>
    </row>
    <row r="55" spans="2:22" ht="15" customHeight="1" thickBot="1">
      <c r="B55" s="782" t="s">
        <v>1901</v>
      </c>
      <c r="C55" s="782"/>
      <c r="D55" s="782"/>
      <c r="E55" s="782"/>
      <c r="F55" s="782"/>
      <c r="G55" s="425" t="s">
        <v>7</v>
      </c>
      <c r="I55" s="523"/>
      <c r="J55" s="384"/>
      <c r="K55" s="384"/>
      <c r="L55" s="384"/>
      <c r="M55" s="384"/>
      <c r="N55" s="384"/>
      <c r="O55" s="384"/>
      <c r="P55" s="384"/>
      <c r="R55" s="114">
        <f t="shared" si="0"/>
        <v>1</v>
      </c>
      <c r="S55" s="98"/>
      <c r="T55" s="218"/>
      <c r="U55" s="218"/>
      <c r="V55" s="218"/>
    </row>
    <row r="56" spans="2:22" ht="15" customHeight="1" thickBot="1">
      <c r="B56" s="782" t="s">
        <v>1902</v>
      </c>
      <c r="C56" s="782"/>
      <c r="D56" s="782"/>
      <c r="E56" s="782"/>
      <c r="F56" s="782"/>
      <c r="G56" s="425" t="s">
        <v>7</v>
      </c>
      <c r="I56" s="523"/>
      <c r="J56" s="384"/>
      <c r="K56" s="384"/>
      <c r="L56" s="384"/>
      <c r="M56" s="384"/>
      <c r="N56" s="384"/>
      <c r="O56" s="384"/>
      <c r="P56" s="384"/>
      <c r="R56" s="114">
        <f t="shared" si="0"/>
        <v>1</v>
      </c>
      <c r="S56" s="98"/>
      <c r="T56" s="218"/>
      <c r="U56" s="218"/>
      <c r="V56" s="218"/>
    </row>
    <row r="57" spans="2:22" ht="6" customHeight="1" thickBot="1">
      <c r="B57" s="234"/>
      <c r="C57" s="234"/>
      <c r="D57" s="234"/>
      <c r="E57" s="234"/>
      <c r="F57" s="234"/>
      <c r="I57" s="556"/>
      <c r="J57" s="384"/>
      <c r="K57" s="384"/>
      <c r="L57" s="384"/>
      <c r="M57" s="384"/>
      <c r="N57" s="384"/>
      <c r="O57" s="384"/>
      <c r="P57" s="384"/>
      <c r="R57" s="114"/>
      <c r="S57" s="98"/>
      <c r="T57" s="218"/>
      <c r="U57" s="218"/>
      <c r="V57" s="218"/>
    </row>
    <row r="58" spans="2:22" ht="15" customHeight="1" thickBot="1">
      <c r="B58" s="782" t="s">
        <v>1903</v>
      </c>
      <c r="C58" s="782"/>
      <c r="D58" s="782"/>
      <c r="E58" s="782"/>
      <c r="F58" s="782"/>
      <c r="G58" s="425" t="s">
        <v>6</v>
      </c>
      <c r="I58" s="556">
        <f>IF(DATOS!G58="Si",0,1)</f>
        <v>0</v>
      </c>
      <c r="J58" s="786" t="s">
        <v>1641</v>
      </c>
      <c r="K58" s="786"/>
      <c r="L58" s="786"/>
      <c r="M58" s="786"/>
      <c r="N58" s="786"/>
      <c r="O58" s="786"/>
      <c r="P58" s="786"/>
      <c r="R58" s="114">
        <f t="shared" si="0"/>
        <v>1</v>
      </c>
      <c r="S58" s="98"/>
      <c r="T58" s="218"/>
      <c r="U58" s="218"/>
      <c r="V58" s="218"/>
    </row>
    <row r="59" spans="2:22" ht="15" customHeight="1" thickBot="1">
      <c r="B59" s="782" t="s">
        <v>1904</v>
      </c>
      <c r="C59" s="782"/>
      <c r="D59" s="782"/>
      <c r="E59" s="782"/>
      <c r="F59" s="782"/>
      <c r="G59" s="425" t="s">
        <v>7</v>
      </c>
      <c r="J59" s="384"/>
      <c r="K59" s="384"/>
      <c r="L59" s="384"/>
      <c r="M59" s="384"/>
      <c r="N59" s="384"/>
      <c r="O59" s="384"/>
      <c r="P59" s="384"/>
      <c r="R59" s="114">
        <f t="shared" si="0"/>
        <v>1</v>
      </c>
      <c r="S59" s="98"/>
      <c r="T59" s="218"/>
      <c r="U59" s="218"/>
      <c r="V59" s="218"/>
    </row>
    <row r="60" spans="2:22" ht="15" customHeight="1" thickBot="1">
      <c r="B60" s="782" t="s">
        <v>1905</v>
      </c>
      <c r="C60" s="782"/>
      <c r="D60" s="782"/>
      <c r="E60" s="782"/>
      <c r="F60" s="782"/>
      <c r="G60" s="425" t="s">
        <v>7</v>
      </c>
      <c r="J60" s="384"/>
      <c r="K60" s="384"/>
      <c r="L60" s="384"/>
      <c r="M60" s="384"/>
      <c r="N60" s="384"/>
      <c r="O60" s="384"/>
      <c r="P60" s="384"/>
      <c r="R60" s="114">
        <f t="shared" si="0"/>
        <v>1</v>
      </c>
      <c r="S60" s="98"/>
      <c r="T60" s="218"/>
      <c r="U60" s="218"/>
      <c r="V60" s="218"/>
    </row>
    <row r="61" spans="2:22" ht="6" customHeight="1" thickBot="1">
      <c r="J61" s="384"/>
      <c r="K61" s="384"/>
      <c r="L61" s="384"/>
      <c r="M61" s="384"/>
      <c r="N61" s="384"/>
      <c r="O61" s="384"/>
      <c r="P61" s="384"/>
      <c r="R61" s="114"/>
      <c r="S61" s="98"/>
      <c r="T61" s="218"/>
      <c r="U61" s="218"/>
      <c r="V61" s="218"/>
    </row>
    <row r="62" spans="2:22" ht="30" customHeight="1" thickBot="1">
      <c r="B62" s="774" t="s">
        <v>1308</v>
      </c>
      <c r="C62" s="774"/>
      <c r="D62" s="774"/>
      <c r="E62" s="774"/>
      <c r="F62" s="774"/>
      <c r="G62" s="774"/>
      <c r="I62" s="556">
        <f>SUM(I52:I60)</f>
        <v>0</v>
      </c>
      <c r="J62" s="390"/>
      <c r="K62" s="390"/>
      <c r="L62" s="390"/>
      <c r="M62" s="390"/>
      <c r="N62" s="390"/>
      <c r="O62" s="390"/>
      <c r="P62" s="390"/>
      <c r="R62" s="114">
        <f>(R52+R53+R55+R56+R58+R59+R60)/7</f>
        <v>1</v>
      </c>
      <c r="S62" s="98"/>
      <c r="T62" s="218"/>
      <c r="U62" s="218"/>
      <c r="V62" s="218"/>
    </row>
    <row r="63" spans="2:22" ht="6" customHeight="1" thickBot="1">
      <c r="J63" s="390"/>
      <c r="K63" s="390"/>
      <c r="L63" s="390"/>
      <c r="M63" s="390"/>
      <c r="N63" s="390"/>
      <c r="O63" s="390"/>
      <c r="P63" s="390"/>
      <c r="R63" s="221"/>
      <c r="S63" s="218"/>
      <c r="T63" s="218"/>
      <c r="U63" s="218"/>
      <c r="V63" s="218"/>
    </row>
    <row r="64" spans="2:22" ht="15" customHeight="1" thickBot="1">
      <c r="B64" s="794" t="s">
        <v>2100</v>
      </c>
      <c r="C64" s="795"/>
      <c r="D64" s="795"/>
      <c r="E64" s="795"/>
      <c r="F64" s="796"/>
      <c r="G64" s="557" t="s">
        <v>7</v>
      </c>
      <c r="I64" s="86">
        <f>+IF(G64="No",0,1)</f>
        <v>0</v>
      </c>
      <c r="J64" s="555"/>
      <c r="K64" s="555"/>
      <c r="L64" s="555"/>
      <c r="M64" s="555"/>
      <c r="N64" s="555"/>
      <c r="O64" s="555"/>
      <c r="P64" s="555"/>
      <c r="R64" s="221"/>
      <c r="S64" s="218"/>
      <c r="T64" s="218"/>
      <c r="U64" s="218"/>
      <c r="V64" s="218"/>
    </row>
    <row r="65" spans="2:22" ht="6" customHeight="1" thickBot="1">
      <c r="J65" s="555"/>
      <c r="K65" s="555"/>
      <c r="L65" s="555"/>
      <c r="M65" s="555"/>
      <c r="N65" s="555"/>
      <c r="O65" s="555"/>
      <c r="P65" s="555"/>
      <c r="R65" s="221"/>
      <c r="S65" s="218"/>
      <c r="T65" s="218"/>
      <c r="U65" s="218"/>
      <c r="V65" s="218"/>
    </row>
    <row r="66" spans="2:22" ht="15" customHeight="1" thickBot="1">
      <c r="B66" s="787" t="s">
        <v>675</v>
      </c>
      <c r="C66" s="787"/>
      <c r="D66" s="787"/>
      <c r="E66" s="787"/>
      <c r="F66" s="787"/>
      <c r="G66" s="787"/>
      <c r="J66" s="390"/>
      <c r="K66" s="390"/>
      <c r="L66" s="390"/>
      <c r="M66" s="390"/>
      <c r="N66" s="390"/>
      <c r="O66" s="390"/>
      <c r="P66" s="390"/>
      <c r="R66" s="221"/>
      <c r="S66" s="218"/>
      <c r="T66" s="218"/>
      <c r="U66" s="218"/>
      <c r="V66" s="218"/>
    </row>
    <row r="67" spans="2:22" ht="6" customHeight="1" thickBot="1">
      <c r="J67" s="390"/>
      <c r="K67" s="390"/>
      <c r="L67" s="390"/>
      <c r="M67" s="390"/>
      <c r="N67" s="390"/>
      <c r="O67" s="390"/>
      <c r="P67" s="390"/>
      <c r="R67" s="221"/>
      <c r="S67" s="218"/>
      <c r="T67" s="218"/>
      <c r="U67" s="218"/>
      <c r="V67" s="218"/>
    </row>
    <row r="68" spans="2:22" ht="15" customHeight="1" thickBot="1">
      <c r="B68" s="788" t="s">
        <v>1561</v>
      </c>
      <c r="C68" s="788"/>
      <c r="D68" s="788"/>
      <c r="E68" s="788"/>
      <c r="F68" s="788"/>
      <c r="G68" s="426"/>
      <c r="J68" s="789"/>
      <c r="K68" s="390"/>
      <c r="L68" s="390"/>
      <c r="M68" s="390"/>
      <c r="N68" s="390"/>
      <c r="O68" s="390"/>
      <c r="P68" s="390"/>
      <c r="R68" s="221"/>
      <c r="S68" s="218"/>
      <c r="T68" s="218"/>
      <c r="U68" s="218"/>
      <c r="V68" s="218"/>
    </row>
    <row r="69" spans="2:22" ht="15" customHeight="1" thickBot="1">
      <c r="B69" s="782" t="s">
        <v>1558</v>
      </c>
      <c r="C69" s="782"/>
      <c r="D69" s="782"/>
      <c r="E69" s="782"/>
      <c r="F69" s="782"/>
      <c r="G69" s="426"/>
      <c r="I69" s="86">
        <f>IF(I64=0,0,IF(SUM(G68:G70)&gt;0,1,0))</f>
        <v>0</v>
      </c>
      <c r="J69" s="789"/>
      <c r="K69" s="390"/>
      <c r="L69" s="390"/>
      <c r="M69" s="390"/>
      <c r="N69" s="390"/>
      <c r="O69" s="390"/>
      <c r="P69" s="390"/>
      <c r="R69" s="221"/>
      <c r="S69" s="218"/>
      <c r="T69" s="218"/>
      <c r="U69" s="218"/>
      <c r="V69" s="218"/>
    </row>
    <row r="70" spans="2:22" ht="15" customHeight="1" thickBot="1">
      <c r="B70" s="788" t="s">
        <v>1642</v>
      </c>
      <c r="C70" s="788"/>
      <c r="D70" s="788"/>
      <c r="E70" s="788"/>
      <c r="F70" s="788"/>
      <c r="G70" s="426"/>
      <c r="J70" s="789"/>
      <c r="K70" s="390"/>
      <c r="L70" s="390"/>
      <c r="M70" s="390"/>
      <c r="N70" s="390"/>
      <c r="O70" s="390"/>
      <c r="P70" s="390"/>
      <c r="R70" s="221"/>
      <c r="S70" s="218"/>
      <c r="T70" s="218"/>
      <c r="U70" s="218"/>
      <c r="V70" s="218"/>
    </row>
    <row r="71" spans="2:22" ht="6" customHeight="1" thickBot="1">
      <c r="J71" s="390"/>
      <c r="K71" s="390"/>
      <c r="L71" s="390"/>
      <c r="M71" s="390"/>
      <c r="N71" s="390"/>
      <c r="O71" s="390"/>
      <c r="P71" s="390"/>
      <c r="R71" s="221"/>
      <c r="S71" s="218"/>
      <c r="T71" s="218"/>
      <c r="U71" s="218"/>
      <c r="V71" s="218"/>
    </row>
    <row r="72" spans="2:22" ht="15" customHeight="1" thickBot="1">
      <c r="B72" s="787" t="s">
        <v>1560</v>
      </c>
      <c r="C72" s="787"/>
      <c r="D72" s="787"/>
      <c r="E72" s="787"/>
      <c r="F72" s="787"/>
      <c r="G72" s="787"/>
      <c r="J72" s="390"/>
      <c r="K72" s="390"/>
      <c r="L72" s="390"/>
      <c r="M72" s="390"/>
      <c r="N72" s="390"/>
      <c r="O72" s="390"/>
      <c r="P72" s="390"/>
      <c r="R72" s="221"/>
      <c r="S72" s="218"/>
      <c r="T72" s="218"/>
      <c r="U72" s="218"/>
      <c r="V72" s="218"/>
    </row>
    <row r="73" spans="2:22" ht="6" customHeight="1" thickBot="1">
      <c r="J73" s="390"/>
      <c r="K73" s="390"/>
      <c r="L73" s="390"/>
      <c r="M73" s="390"/>
      <c r="N73" s="390"/>
      <c r="O73" s="390"/>
      <c r="P73" s="390"/>
      <c r="R73" s="221"/>
      <c r="S73" s="218"/>
      <c r="T73" s="218"/>
      <c r="U73" s="218"/>
      <c r="V73" s="218"/>
    </row>
    <row r="74" spans="2:22" ht="15" customHeight="1" thickBot="1">
      <c r="B74" s="788" t="s">
        <v>2023</v>
      </c>
      <c r="C74" s="788"/>
      <c r="D74" s="788"/>
      <c r="E74" s="788"/>
      <c r="F74" s="788"/>
      <c r="G74" s="426"/>
      <c r="I74" s="86">
        <f>IF(I64=0,0,IF(SUM(G74:G75)&gt;1,1,0))</f>
        <v>0</v>
      </c>
      <c r="J74" s="390"/>
      <c r="K74" s="390"/>
      <c r="L74" s="390"/>
      <c r="M74" s="390"/>
      <c r="N74" s="390"/>
      <c r="O74" s="390"/>
      <c r="P74" s="390"/>
      <c r="R74" s="221"/>
      <c r="S74" s="218"/>
      <c r="T74" s="218"/>
      <c r="U74" s="218"/>
      <c r="V74" s="218"/>
    </row>
    <row r="75" spans="2:22" ht="15" customHeight="1" thickBot="1">
      <c r="B75" s="788" t="s">
        <v>1947</v>
      </c>
      <c r="C75" s="788"/>
      <c r="D75" s="788"/>
      <c r="E75" s="788"/>
      <c r="F75" s="788"/>
      <c r="G75" s="426"/>
      <c r="J75" s="390"/>
      <c r="K75" s="390"/>
      <c r="L75" s="390"/>
      <c r="M75" s="390"/>
      <c r="N75" s="390"/>
      <c r="O75" s="390"/>
      <c r="P75" s="390"/>
      <c r="R75" s="221"/>
      <c r="S75" s="218"/>
      <c r="T75" s="218"/>
      <c r="U75" s="218"/>
      <c r="V75" s="218"/>
    </row>
    <row r="76" spans="2:22" ht="6" customHeight="1" thickBot="1">
      <c r="B76" s="234"/>
      <c r="C76" s="235"/>
      <c r="J76" s="390"/>
      <c r="K76" s="390"/>
      <c r="L76" s="390"/>
      <c r="M76" s="390"/>
      <c r="N76" s="390"/>
      <c r="O76" s="390"/>
      <c r="P76" s="390"/>
      <c r="R76" s="221"/>
      <c r="S76" s="218"/>
      <c r="T76" s="218"/>
      <c r="U76" s="218"/>
      <c r="V76" s="218"/>
    </row>
    <row r="77" spans="2:22" ht="15" customHeight="1" thickBot="1">
      <c r="B77" s="787" t="s">
        <v>624</v>
      </c>
      <c r="C77" s="787"/>
      <c r="D77" s="787"/>
      <c r="E77" s="787"/>
      <c r="F77" s="787"/>
      <c r="G77" s="787"/>
      <c r="J77" s="390"/>
      <c r="K77" s="390"/>
      <c r="L77" s="390"/>
      <c r="M77" s="390"/>
      <c r="N77" s="390"/>
      <c r="O77" s="390"/>
      <c r="P77" s="390"/>
      <c r="R77" s="221"/>
      <c r="S77" s="218"/>
      <c r="T77" s="218"/>
      <c r="U77" s="218"/>
      <c r="V77" s="218"/>
    </row>
    <row r="78" spans="2:22" ht="6" customHeight="1" thickBot="1">
      <c r="J78" s="390"/>
      <c r="K78" s="390"/>
      <c r="L78" s="390"/>
      <c r="M78" s="390"/>
      <c r="N78" s="390"/>
      <c r="O78" s="390"/>
      <c r="P78" s="390"/>
      <c r="R78" s="221"/>
      <c r="S78" s="218"/>
      <c r="T78" s="218"/>
      <c r="U78" s="218"/>
      <c r="V78" s="218"/>
    </row>
    <row r="79" spans="2:22" ht="15" customHeight="1" thickBot="1">
      <c r="B79" s="788" t="s">
        <v>1950</v>
      </c>
      <c r="C79" s="788"/>
      <c r="D79" s="788"/>
      <c r="E79" s="788"/>
      <c r="F79" s="788"/>
      <c r="G79" s="425"/>
      <c r="J79" s="390"/>
      <c r="K79" s="390"/>
      <c r="L79" s="390"/>
      <c r="M79" s="390"/>
      <c r="N79" s="390"/>
      <c r="O79" s="390"/>
      <c r="P79" s="390"/>
      <c r="R79" s="221"/>
      <c r="S79" s="218"/>
      <c r="T79" s="218"/>
      <c r="U79" s="218"/>
      <c r="V79" s="218"/>
    </row>
    <row r="80" spans="2:22" ht="6" customHeight="1" thickBot="1">
      <c r="J80" s="390"/>
      <c r="K80" s="390"/>
      <c r="L80" s="390"/>
      <c r="M80" s="390"/>
      <c r="N80" s="390"/>
      <c r="O80" s="390"/>
      <c r="P80" s="390"/>
      <c r="R80" s="221"/>
      <c r="S80" s="218"/>
      <c r="T80" s="218"/>
      <c r="U80" s="218"/>
      <c r="V80" s="218"/>
    </row>
    <row r="81" spans="2:22" ht="15" customHeight="1" thickBot="1">
      <c r="B81" s="788" t="s">
        <v>1853</v>
      </c>
      <c r="C81" s="788"/>
      <c r="D81" s="788"/>
      <c r="E81" s="788"/>
      <c r="F81" s="788"/>
      <c r="G81" s="426"/>
      <c r="I81" s="86">
        <f>IF(I64=0,0,IF(SUM(G81:G84)&gt;0,1,0))</f>
        <v>0</v>
      </c>
      <c r="J81" s="390"/>
      <c r="K81" s="390"/>
      <c r="L81" s="390"/>
      <c r="M81" s="390"/>
      <c r="N81" s="390"/>
      <c r="O81" s="390"/>
      <c r="P81" s="390"/>
      <c r="R81" s="221"/>
      <c r="S81" s="218"/>
      <c r="T81" s="218"/>
      <c r="U81" s="218"/>
      <c r="V81" s="218"/>
    </row>
    <row r="82" spans="2:22" ht="15" customHeight="1" thickBot="1">
      <c r="B82" s="788" t="s">
        <v>1854</v>
      </c>
      <c r="C82" s="788"/>
      <c r="D82" s="788"/>
      <c r="E82" s="788"/>
      <c r="F82" s="788"/>
      <c r="G82" s="426"/>
      <c r="J82" s="390"/>
      <c r="K82" s="390"/>
      <c r="L82" s="390"/>
      <c r="M82" s="390"/>
      <c r="N82" s="390"/>
      <c r="O82" s="390"/>
      <c r="P82" s="390"/>
      <c r="R82" s="221"/>
      <c r="S82" s="218"/>
      <c r="T82" s="218"/>
      <c r="U82" s="218"/>
      <c r="V82" s="218"/>
    </row>
    <row r="83" spans="2:22" ht="6" customHeight="1" thickBot="1">
      <c r="J83" s="390"/>
      <c r="K83" s="390"/>
      <c r="L83" s="390"/>
      <c r="M83" s="390"/>
      <c r="N83" s="390"/>
      <c r="O83" s="390"/>
      <c r="P83" s="390"/>
      <c r="R83" s="221"/>
      <c r="S83" s="218"/>
      <c r="T83" s="218"/>
      <c r="U83" s="218"/>
      <c r="V83" s="218"/>
    </row>
    <row r="84" spans="2:22" ht="15" customHeight="1" thickBot="1">
      <c r="B84" s="788" t="s">
        <v>1949</v>
      </c>
      <c r="C84" s="788"/>
      <c r="D84" s="788"/>
      <c r="E84" s="788"/>
      <c r="F84" s="788"/>
      <c r="G84" s="426"/>
      <c r="J84" s="390"/>
      <c r="K84" s="390"/>
      <c r="L84" s="390"/>
      <c r="M84" s="390"/>
      <c r="N84" s="390"/>
      <c r="O84" s="390"/>
      <c r="P84" s="390"/>
      <c r="R84" s="221"/>
      <c r="S84" s="218"/>
      <c r="T84" s="218"/>
      <c r="U84" s="218"/>
      <c r="V84" s="218"/>
    </row>
    <row r="85" spans="2:22" ht="6" customHeight="1" thickBot="1">
      <c r="J85" s="390"/>
      <c r="K85" s="390"/>
      <c r="L85" s="390"/>
      <c r="M85" s="390"/>
      <c r="N85" s="390"/>
      <c r="O85" s="390"/>
      <c r="P85" s="390"/>
      <c r="R85" s="221"/>
      <c r="S85" s="218"/>
      <c r="T85" s="218"/>
      <c r="U85" s="218"/>
      <c r="V85" s="218"/>
    </row>
    <row r="86" spans="2:22" ht="30" customHeight="1" thickBot="1">
      <c r="B86" s="774" t="s">
        <v>2101</v>
      </c>
      <c r="C86" s="774"/>
      <c r="D86" s="774"/>
      <c r="E86" s="774"/>
      <c r="F86" s="774"/>
      <c r="G86" s="774"/>
      <c r="J86" s="563"/>
      <c r="K86" s="564"/>
      <c r="L86" s="564"/>
      <c r="M86" s="564"/>
      <c r="N86" s="564"/>
      <c r="O86" s="564"/>
      <c r="P86" s="565"/>
    </row>
    <row r="87" spans="2:22" ht="6" customHeight="1" thickBot="1">
      <c r="J87" s="566"/>
      <c r="K87" s="555"/>
      <c r="L87" s="555"/>
      <c r="M87" s="555"/>
      <c r="N87" s="555"/>
      <c r="O87" s="555"/>
      <c r="P87" s="567"/>
    </row>
    <row r="88" spans="2:22" ht="15" customHeight="1" thickBot="1">
      <c r="B88" s="794" t="s">
        <v>2102</v>
      </c>
      <c r="C88" s="795"/>
      <c r="D88" s="795"/>
      <c r="E88" s="795"/>
      <c r="F88" s="796"/>
      <c r="G88" s="557" t="s">
        <v>7</v>
      </c>
      <c r="I88" s="556">
        <f>+IF(G88="No",0,1)</f>
        <v>0</v>
      </c>
      <c r="J88" s="566"/>
      <c r="K88" s="555"/>
      <c r="L88" s="555"/>
      <c r="M88" s="555"/>
      <c r="N88" s="555"/>
      <c r="O88" s="555"/>
      <c r="P88" s="567"/>
    </row>
    <row r="89" spans="2:22" ht="6" customHeight="1" thickBot="1">
      <c r="I89" s="555"/>
      <c r="J89" s="566"/>
      <c r="K89" s="555"/>
      <c r="L89" s="555"/>
      <c r="M89" s="555"/>
      <c r="N89" s="555"/>
      <c r="O89" s="555"/>
      <c r="P89" s="567"/>
    </row>
    <row r="90" spans="2:22" ht="15" customHeight="1" thickBot="1">
      <c r="B90" s="791" t="s">
        <v>2103</v>
      </c>
      <c r="C90" s="792"/>
      <c r="D90" s="792"/>
      <c r="E90" s="792"/>
      <c r="F90" s="792"/>
      <c r="G90" s="793"/>
      <c r="I90" s="555"/>
      <c r="J90" s="566"/>
      <c r="K90" s="555"/>
      <c r="L90" s="555"/>
      <c r="M90" s="555"/>
      <c r="N90" s="555"/>
      <c r="O90" s="555"/>
      <c r="P90" s="567"/>
    </row>
    <row r="91" spans="2:22" ht="6" customHeight="1" thickBot="1">
      <c r="I91" s="555"/>
      <c r="J91" s="566"/>
      <c r="K91" s="555"/>
      <c r="L91" s="555"/>
      <c r="M91" s="555"/>
      <c r="N91" s="555"/>
      <c r="O91" s="555"/>
      <c r="P91" s="567"/>
    </row>
    <row r="92" spans="2:22" ht="15" customHeight="1" thickBot="1">
      <c r="F92" s="562" t="s">
        <v>2106</v>
      </c>
      <c r="G92" s="562" t="s">
        <v>2105</v>
      </c>
      <c r="I92" s="555"/>
      <c r="J92" s="566"/>
      <c r="K92" s="555"/>
      <c r="L92" s="555"/>
      <c r="M92" s="555"/>
      <c r="N92" s="555"/>
      <c r="O92" s="555"/>
      <c r="P92" s="567"/>
    </row>
    <row r="93" spans="2:22" ht="15" customHeight="1" thickBot="1">
      <c r="B93" s="791" t="s">
        <v>650</v>
      </c>
      <c r="C93" s="792"/>
      <c r="D93" s="792"/>
      <c r="E93" s="793"/>
      <c r="F93" s="561"/>
      <c r="G93" s="561"/>
      <c r="I93" s="555"/>
      <c r="J93" s="566"/>
      <c r="K93" s="555"/>
      <c r="L93" s="555"/>
      <c r="M93" s="555"/>
      <c r="N93" s="555"/>
      <c r="O93" s="555"/>
      <c r="P93" s="567"/>
    </row>
    <row r="94" spans="2:22" ht="15" customHeight="1" thickBot="1">
      <c r="B94" s="791" t="s">
        <v>2095</v>
      </c>
      <c r="C94" s="792"/>
      <c r="D94" s="792"/>
      <c r="E94" s="793"/>
      <c r="F94" s="561"/>
      <c r="G94" s="561"/>
      <c r="I94" s="555"/>
      <c r="J94" s="566"/>
      <c r="K94" s="555"/>
      <c r="L94" s="555"/>
      <c r="M94" s="555"/>
      <c r="N94" s="555"/>
      <c r="O94" s="555"/>
      <c r="P94" s="567"/>
    </row>
    <row r="95" spans="2:22" ht="15" customHeight="1" thickBot="1">
      <c r="B95" s="791" t="s">
        <v>760</v>
      </c>
      <c r="C95" s="792"/>
      <c r="D95" s="792"/>
      <c r="E95" s="793"/>
      <c r="F95" s="561"/>
      <c r="G95" s="558"/>
      <c r="I95" s="555"/>
      <c r="J95" s="566"/>
      <c r="K95" s="555"/>
      <c r="L95" s="555"/>
      <c r="M95" s="555"/>
      <c r="N95" s="555"/>
      <c r="O95" s="555"/>
      <c r="P95" s="567"/>
    </row>
    <row r="96" spans="2:22" ht="15" customHeight="1" thickBot="1">
      <c r="B96" s="791" t="s">
        <v>2104</v>
      </c>
      <c r="C96" s="792"/>
      <c r="D96" s="792"/>
      <c r="E96" s="793"/>
      <c r="F96" s="561"/>
      <c r="G96" s="561"/>
      <c r="I96" s="555"/>
      <c r="J96" s="568"/>
      <c r="K96" s="569"/>
      <c r="L96" s="569"/>
      <c r="M96" s="569"/>
      <c r="N96" s="569"/>
      <c r="O96" s="569"/>
      <c r="P96" s="570"/>
    </row>
    <row r="97" spans="4:16" ht="15" customHeight="1" thickBot="1">
      <c r="J97" s="555"/>
      <c r="K97" s="555"/>
      <c r="L97" s="555"/>
      <c r="M97" s="555"/>
      <c r="N97" s="555"/>
      <c r="O97" s="555"/>
      <c r="P97" s="555"/>
    </row>
    <row r="98" spans="4:16" ht="15" customHeight="1" thickBot="1">
      <c r="D98" s="82"/>
      <c r="J98" s="390"/>
      <c r="K98" s="390"/>
      <c r="L98" s="390"/>
      <c r="M98" s="390"/>
      <c r="N98" s="390"/>
      <c r="O98" s="390"/>
      <c r="P98" s="390"/>
    </row>
    <row r="99" spans="4:16" ht="15" customHeight="1" thickBot="1">
      <c r="J99" s="390"/>
      <c r="K99" s="390"/>
      <c r="L99" s="390"/>
      <c r="M99" s="390"/>
      <c r="N99" s="390"/>
      <c r="O99" s="390"/>
      <c r="P99" s="390"/>
    </row>
    <row r="100" spans="4:16" ht="15" customHeight="1" thickBot="1">
      <c r="J100" s="390"/>
      <c r="K100" s="390"/>
      <c r="L100" s="390"/>
      <c r="M100" s="390"/>
      <c r="N100" s="390"/>
      <c r="O100" s="390"/>
      <c r="P100" s="390"/>
    </row>
    <row r="101" spans="4:16" ht="15" customHeight="1" thickBot="1">
      <c r="J101" s="390"/>
      <c r="K101" s="390"/>
      <c r="L101" s="390"/>
      <c r="M101" s="390"/>
      <c r="N101" s="390"/>
      <c r="O101" s="390"/>
      <c r="P101" s="390"/>
    </row>
    <row r="102" spans="4:16" ht="15" customHeight="1" thickBot="1">
      <c r="J102" s="390"/>
      <c r="K102" s="390"/>
      <c r="L102" s="390"/>
      <c r="M102" s="390"/>
      <c r="N102" s="390"/>
      <c r="O102" s="390"/>
      <c r="P102" s="390"/>
    </row>
    <row r="103" spans="4:16" ht="15" customHeight="1" thickBot="1">
      <c r="J103" s="390"/>
      <c r="K103" s="390"/>
      <c r="L103" s="390"/>
      <c r="M103" s="390"/>
      <c r="N103" s="390"/>
      <c r="O103" s="390"/>
      <c r="P103" s="390"/>
    </row>
    <row r="104" spans="4:16" ht="15" customHeight="1" thickBot="1">
      <c r="J104" s="390"/>
      <c r="K104" s="390"/>
      <c r="L104" s="390"/>
      <c r="M104" s="390"/>
      <c r="N104" s="390"/>
      <c r="O104" s="390"/>
      <c r="P104" s="390"/>
    </row>
    <row r="105" spans="4:16" ht="15" customHeight="1" thickBot="1">
      <c r="J105" s="390"/>
      <c r="K105" s="390"/>
      <c r="L105" s="390"/>
      <c r="M105" s="390"/>
      <c r="N105" s="390"/>
      <c r="O105" s="390"/>
      <c r="P105" s="390"/>
    </row>
    <row r="106" spans="4:16" ht="15" customHeight="1" thickBot="1">
      <c r="J106" s="390"/>
      <c r="K106" s="390"/>
      <c r="L106" s="390"/>
      <c r="M106" s="390"/>
      <c r="N106" s="390"/>
      <c r="O106" s="390"/>
      <c r="P106" s="390"/>
    </row>
    <row r="107" spans="4:16" ht="15" customHeight="1" thickBot="1">
      <c r="J107" s="390"/>
      <c r="K107" s="390"/>
      <c r="L107" s="390"/>
      <c r="M107" s="390"/>
      <c r="N107" s="390"/>
      <c r="O107" s="390"/>
      <c r="P107" s="390"/>
    </row>
    <row r="108" spans="4:16" ht="15" customHeight="1" thickBot="1">
      <c r="J108" s="390"/>
      <c r="K108" s="390"/>
      <c r="L108" s="390"/>
      <c r="M108" s="390"/>
      <c r="N108" s="390"/>
      <c r="O108" s="390"/>
      <c r="P108" s="390"/>
    </row>
    <row r="109" spans="4:16" ht="15" customHeight="1" thickBot="1">
      <c r="J109" s="390"/>
      <c r="K109" s="390"/>
      <c r="L109" s="390"/>
      <c r="M109" s="390"/>
      <c r="N109" s="390"/>
      <c r="O109" s="390"/>
      <c r="P109" s="390"/>
    </row>
    <row r="110" spans="4:16" ht="15" customHeight="1" thickBot="1">
      <c r="J110" s="390"/>
      <c r="K110" s="390"/>
      <c r="L110" s="390"/>
      <c r="M110" s="390"/>
      <c r="N110" s="390"/>
      <c r="O110" s="390"/>
      <c r="P110" s="390"/>
    </row>
    <row r="111" spans="4:16" ht="15" customHeight="1" thickBot="1">
      <c r="J111" s="390"/>
      <c r="K111" s="390"/>
      <c r="L111" s="390"/>
      <c r="M111" s="390"/>
      <c r="N111" s="390"/>
      <c r="O111" s="390"/>
      <c r="P111" s="390"/>
    </row>
    <row r="112" spans="4:16" ht="15" customHeight="1" thickBot="1">
      <c r="J112" s="390"/>
      <c r="K112" s="390"/>
      <c r="L112" s="390"/>
      <c r="M112" s="390"/>
      <c r="N112" s="390"/>
      <c r="O112" s="390"/>
      <c r="P112" s="390"/>
    </row>
    <row r="113" spans="10:16" ht="15" customHeight="1" thickBot="1">
      <c r="J113" s="390"/>
      <c r="K113" s="390"/>
      <c r="L113" s="390"/>
      <c r="M113" s="390"/>
      <c r="N113" s="390"/>
      <c r="O113" s="390"/>
      <c r="P113" s="390"/>
    </row>
    <row r="114" spans="10:16" ht="15" customHeight="1" thickBot="1">
      <c r="J114" s="390"/>
      <c r="K114" s="390"/>
      <c r="L114" s="390"/>
      <c r="M114" s="390"/>
      <c r="N114" s="390"/>
      <c r="O114" s="390"/>
      <c r="P114" s="390"/>
    </row>
    <row r="115" spans="10:16" ht="15" customHeight="1" thickBot="1">
      <c r="J115" s="390"/>
      <c r="K115" s="390"/>
      <c r="L115" s="390"/>
      <c r="M115" s="390"/>
      <c r="N115" s="390"/>
      <c r="O115" s="390"/>
      <c r="P115" s="390"/>
    </row>
    <row r="116" spans="10:16" ht="15" customHeight="1" thickBot="1">
      <c r="J116" s="390"/>
      <c r="K116" s="390"/>
      <c r="L116" s="390"/>
      <c r="M116" s="390"/>
      <c r="N116" s="390"/>
      <c r="O116" s="390"/>
      <c r="P116" s="390"/>
    </row>
    <row r="117" spans="10:16" ht="15" customHeight="1" thickBot="1">
      <c r="J117" s="390"/>
      <c r="K117" s="390"/>
      <c r="L117" s="390"/>
      <c r="M117" s="390"/>
      <c r="N117" s="390"/>
      <c r="O117" s="390"/>
      <c r="P117" s="390"/>
    </row>
    <row r="118" spans="10:16" ht="15" customHeight="1" thickBot="1">
      <c r="J118" s="390"/>
      <c r="K118" s="390"/>
      <c r="L118" s="390"/>
      <c r="M118" s="390"/>
      <c r="N118" s="390"/>
      <c r="O118" s="390"/>
      <c r="P118" s="390"/>
    </row>
    <row r="119" spans="10:16" ht="15" customHeight="1" thickBot="1">
      <c r="J119" s="390"/>
      <c r="K119" s="390"/>
      <c r="L119" s="390"/>
      <c r="M119" s="390"/>
      <c r="N119" s="390"/>
      <c r="O119" s="390"/>
      <c r="P119" s="390"/>
    </row>
    <row r="120" spans="10:16" ht="15" customHeight="1" thickBot="1">
      <c r="J120" s="390"/>
      <c r="K120" s="390"/>
      <c r="L120" s="390"/>
      <c r="M120" s="390"/>
      <c r="N120" s="390"/>
      <c r="O120" s="390"/>
      <c r="P120" s="390"/>
    </row>
    <row r="121" spans="10:16" ht="15" customHeight="1" thickBot="1">
      <c r="J121" s="390"/>
      <c r="K121" s="390"/>
      <c r="L121" s="390"/>
      <c r="M121" s="390"/>
      <c r="N121" s="390"/>
      <c r="O121" s="390"/>
      <c r="P121" s="390"/>
    </row>
    <row r="122" spans="10:16" ht="15" customHeight="1" thickBot="1">
      <c r="J122" s="390"/>
      <c r="K122" s="390"/>
      <c r="L122" s="390"/>
      <c r="M122" s="390"/>
      <c r="N122" s="390"/>
      <c r="O122" s="390"/>
      <c r="P122" s="390"/>
    </row>
    <row r="123" spans="10:16" ht="15" customHeight="1" thickBot="1">
      <c r="J123" s="390"/>
      <c r="K123" s="390"/>
      <c r="L123" s="390"/>
      <c r="M123" s="390"/>
      <c r="N123" s="390"/>
      <c r="O123" s="390"/>
      <c r="P123" s="390"/>
    </row>
    <row r="124" spans="10:16" ht="15" customHeight="1" thickBot="1">
      <c r="J124" s="390"/>
      <c r="K124" s="390"/>
      <c r="L124" s="390"/>
      <c r="M124" s="390"/>
      <c r="N124" s="390"/>
      <c r="O124" s="390"/>
      <c r="P124" s="390"/>
    </row>
    <row r="125" spans="10:16" ht="15" customHeight="1" thickBot="1">
      <c r="J125" s="390"/>
      <c r="K125" s="390"/>
      <c r="L125" s="390"/>
      <c r="M125" s="390"/>
      <c r="N125" s="390"/>
      <c r="O125" s="390"/>
      <c r="P125" s="390"/>
    </row>
    <row r="126" spans="10:16" ht="15" customHeight="1" thickBot="1">
      <c r="J126" s="390"/>
      <c r="K126" s="390"/>
      <c r="L126" s="390"/>
      <c r="M126" s="390"/>
      <c r="N126" s="390"/>
      <c r="O126" s="390"/>
      <c r="P126" s="390"/>
    </row>
    <row r="127" spans="10:16" ht="15" customHeight="1" thickBot="1">
      <c r="J127" s="390"/>
      <c r="K127" s="390"/>
      <c r="L127" s="390"/>
      <c r="M127" s="390"/>
      <c r="N127" s="390"/>
      <c r="O127" s="390"/>
      <c r="P127" s="390"/>
    </row>
    <row r="128" spans="10:16" ht="15" customHeight="1" thickBot="1">
      <c r="J128" s="390"/>
      <c r="K128" s="390"/>
      <c r="L128" s="390"/>
      <c r="M128" s="390"/>
      <c r="N128" s="390"/>
      <c r="O128" s="390"/>
      <c r="P128" s="390"/>
    </row>
    <row r="129" spans="10:16" ht="15" customHeight="1" thickBot="1">
      <c r="J129" s="390"/>
      <c r="K129" s="390"/>
      <c r="L129" s="390"/>
      <c r="M129" s="390"/>
      <c r="N129" s="390"/>
      <c r="O129" s="390"/>
      <c r="P129" s="390"/>
    </row>
    <row r="130" spans="10:16" ht="15" customHeight="1" thickBot="1">
      <c r="J130" s="390"/>
      <c r="K130" s="390"/>
      <c r="L130" s="390"/>
      <c r="M130" s="390"/>
      <c r="N130" s="390"/>
      <c r="O130" s="390"/>
      <c r="P130" s="390"/>
    </row>
    <row r="131" spans="10:16" ht="15" customHeight="1" thickBot="1">
      <c r="J131" s="390"/>
      <c r="K131" s="390"/>
      <c r="L131" s="390"/>
      <c r="M131" s="390"/>
      <c r="N131" s="390"/>
      <c r="O131" s="390"/>
      <c r="P131" s="390"/>
    </row>
    <row r="132" spans="10:16" ht="15" customHeight="1" thickBot="1">
      <c r="J132" s="390"/>
      <c r="K132" s="390"/>
      <c r="L132" s="390"/>
      <c r="M132" s="390"/>
      <c r="N132" s="390"/>
      <c r="O132" s="390"/>
      <c r="P132" s="390"/>
    </row>
    <row r="133" spans="10:16" ht="15" customHeight="1" thickBot="1">
      <c r="J133" s="390"/>
      <c r="K133" s="390"/>
      <c r="L133" s="390"/>
      <c r="M133" s="390"/>
      <c r="N133" s="390"/>
      <c r="O133" s="390"/>
      <c r="P133" s="390"/>
    </row>
    <row r="134" spans="10:16" ht="15" customHeight="1" thickBot="1">
      <c r="J134" s="390"/>
      <c r="K134" s="390"/>
      <c r="L134" s="390"/>
      <c r="M134" s="390"/>
      <c r="N134" s="390"/>
      <c r="O134" s="390"/>
      <c r="P134" s="390"/>
    </row>
    <row r="135" spans="10:16" ht="15" customHeight="1" thickBot="1">
      <c r="J135" s="390"/>
      <c r="K135" s="390"/>
      <c r="L135" s="390"/>
      <c r="M135" s="390"/>
      <c r="N135" s="390"/>
      <c r="O135" s="390"/>
      <c r="P135" s="390"/>
    </row>
    <row r="136" spans="10:16" ht="15" customHeight="1" thickBot="1">
      <c r="J136" s="390"/>
      <c r="K136" s="390"/>
      <c r="L136" s="390"/>
      <c r="M136" s="390"/>
      <c r="N136" s="390"/>
      <c r="O136" s="390"/>
      <c r="P136" s="390"/>
    </row>
    <row r="137" spans="10:16" ht="15" customHeight="1" thickBot="1">
      <c r="J137" s="390"/>
      <c r="K137" s="390"/>
      <c r="L137" s="390"/>
      <c r="M137" s="390"/>
      <c r="N137" s="390"/>
      <c r="O137" s="390"/>
      <c r="P137" s="390"/>
    </row>
    <row r="138" spans="10:16" ht="15" customHeight="1" thickBot="1">
      <c r="J138" s="390"/>
      <c r="K138" s="390"/>
      <c r="L138" s="390"/>
      <c r="M138" s="390"/>
      <c r="N138" s="390"/>
      <c r="O138" s="390"/>
      <c r="P138" s="390"/>
    </row>
    <row r="139" spans="10:16" ht="15" customHeight="1" thickBot="1">
      <c r="J139" s="390"/>
      <c r="K139" s="390"/>
      <c r="L139" s="390"/>
      <c r="M139" s="390"/>
      <c r="N139" s="390"/>
      <c r="O139" s="390"/>
      <c r="P139" s="390"/>
    </row>
    <row r="140" spans="10:16" ht="15" customHeight="1"/>
    <row r="141" spans="10:16" ht="15" customHeight="1"/>
    <row r="142" spans="10:16" ht="15" customHeight="1"/>
    <row r="143" spans="10:16" ht="15" customHeight="1"/>
    <row r="144" spans="10:16" ht="15" customHeight="1"/>
  </sheetData>
  <sheetProtection password="ACCE" sheet="1" objects="1" scenarios="1" selectLockedCells="1"/>
  <mergeCells count="94">
    <mergeCell ref="B94:E94"/>
    <mergeCell ref="B95:E95"/>
    <mergeCell ref="B96:E96"/>
    <mergeCell ref="B93:E93"/>
    <mergeCell ref="B64:F64"/>
    <mergeCell ref="B86:G86"/>
    <mergeCell ref="B88:F88"/>
    <mergeCell ref="B90:G90"/>
    <mergeCell ref="B84:F84"/>
    <mergeCell ref="B79:F79"/>
    <mergeCell ref="B75:F75"/>
    <mergeCell ref="B82:F82"/>
    <mergeCell ref="B74:F74"/>
    <mergeCell ref="B77:G77"/>
    <mergeCell ref="B81:F81"/>
    <mergeCell ref="C42:D42"/>
    <mergeCell ref="C43:D43"/>
    <mergeCell ref="C44:D44"/>
    <mergeCell ref="C45:D45"/>
    <mergeCell ref="C46:D46"/>
    <mergeCell ref="C37:D37"/>
    <mergeCell ref="C38:D38"/>
    <mergeCell ref="C39:D39"/>
    <mergeCell ref="C40:D40"/>
    <mergeCell ref="C41:D41"/>
    <mergeCell ref="J68:J70"/>
    <mergeCell ref="J25:P25"/>
    <mergeCell ref="J26:P26"/>
    <mergeCell ref="J27:P27"/>
    <mergeCell ref="J28:P28"/>
    <mergeCell ref="J29:P29"/>
    <mergeCell ref="J32:P33"/>
    <mergeCell ref="J48:P48"/>
    <mergeCell ref="J58:P58"/>
    <mergeCell ref="J52:P52"/>
    <mergeCell ref="J53:P53"/>
    <mergeCell ref="I41:I42"/>
    <mergeCell ref="N41:P41"/>
    <mergeCell ref="N42:P42"/>
    <mergeCell ref="J43:L43"/>
    <mergeCell ref="J46:L46"/>
    <mergeCell ref="N46:P46"/>
    <mergeCell ref="J41:L41"/>
    <mergeCell ref="J42:L42"/>
    <mergeCell ref="J44:L44"/>
    <mergeCell ref="B50:G50"/>
    <mergeCell ref="B62:G62"/>
    <mergeCell ref="B66:G66"/>
    <mergeCell ref="B72:G72"/>
    <mergeCell ref="B68:F68"/>
    <mergeCell ref="B70:F70"/>
    <mergeCell ref="B69:F69"/>
    <mergeCell ref="B60:F60"/>
    <mergeCell ref="B53:F53"/>
    <mergeCell ref="B55:F55"/>
    <mergeCell ref="B58:F58"/>
    <mergeCell ref="B56:F56"/>
    <mergeCell ref="J12:P14"/>
    <mergeCell ref="J22:P22"/>
    <mergeCell ref="J23:P23"/>
    <mergeCell ref="J24:P24"/>
    <mergeCell ref="B59:F59"/>
    <mergeCell ref="B52:F52"/>
    <mergeCell ref="J16:P16"/>
    <mergeCell ref="J17:P17"/>
    <mergeCell ref="J19:P19"/>
    <mergeCell ref="J20:P20"/>
    <mergeCell ref="J30:P30"/>
    <mergeCell ref="J35:L35"/>
    <mergeCell ref="J36:L36"/>
    <mergeCell ref="J37:L37"/>
    <mergeCell ref="J40:L40"/>
    <mergeCell ref="C20:D20"/>
    <mergeCell ref="B2:G2"/>
    <mergeCell ref="B4:G4"/>
    <mergeCell ref="C6:G6"/>
    <mergeCell ref="C11:D11"/>
    <mergeCell ref="C10:D10"/>
    <mergeCell ref="C8:G8"/>
    <mergeCell ref="C34:D34"/>
    <mergeCell ref="C35:D35"/>
    <mergeCell ref="C36:D36"/>
    <mergeCell ref="C12:D12"/>
    <mergeCell ref="C16:D16"/>
    <mergeCell ref="C19:D19"/>
    <mergeCell ref="B22:G22"/>
    <mergeCell ref="C14:D14"/>
    <mergeCell ref="C17:D17"/>
    <mergeCell ref="F32:G32"/>
    <mergeCell ref="C24:D24"/>
    <mergeCell ref="C28:D28"/>
    <mergeCell ref="B32:D32"/>
    <mergeCell ref="C29:D29"/>
    <mergeCell ref="C26:D26"/>
  </mergeCells>
  <conditionalFormatting sqref="J52:P52">
    <cfRule type="expression" dxfId="1464" priority="31">
      <formula>$I$52=1</formula>
    </cfRule>
  </conditionalFormatting>
  <conditionalFormatting sqref="J53:P53">
    <cfRule type="expression" dxfId="1463" priority="30">
      <formula>$I$53=1</formula>
    </cfRule>
  </conditionalFormatting>
  <conditionalFormatting sqref="J58:P58">
    <cfRule type="expression" dxfId="1462" priority="199">
      <formula>$G$58="No"</formula>
    </cfRule>
  </conditionalFormatting>
  <conditionalFormatting sqref="C26:D26">
    <cfRule type="expression" dxfId="1461" priority="18">
      <formula>$D$48&lt;0</formula>
    </cfRule>
  </conditionalFormatting>
  <conditionalFormatting sqref="B17:D17 F16:G16">
    <cfRule type="expression" dxfId="1460" priority="17">
      <formula>$C$14="Vivienda Proyectada"</formula>
    </cfRule>
  </conditionalFormatting>
  <conditionalFormatting sqref="B16:D17">
    <cfRule type="expression" dxfId="1459" priority="16">
      <formula>$C$14="Vivienda Existente"</formula>
    </cfRule>
  </conditionalFormatting>
  <conditionalFormatting sqref="B81:G82">
    <cfRule type="expression" dxfId="1458" priority="15">
      <formula>$G$79="No"</formula>
    </cfRule>
  </conditionalFormatting>
  <conditionalFormatting sqref="B84:G84">
    <cfRule type="expression" dxfId="1457" priority="14">
      <formula>$G$79="Si"</formula>
    </cfRule>
  </conditionalFormatting>
  <conditionalFormatting sqref="J32">
    <cfRule type="expression" dxfId="1456" priority="13">
      <formula>$I$32=0</formula>
    </cfRule>
  </conditionalFormatting>
  <conditionalFormatting sqref="B22:G33 I26:Q26 B47:G61 B34:C46 E34:G46 B65:G85 B64 G64 B63:G63">
    <cfRule type="expression" dxfId="1455" priority="8">
      <formula>$I$22=0</formula>
    </cfRule>
  </conditionalFormatting>
  <conditionalFormatting sqref="J71:P85 K69:P70 J34:P68">
    <cfRule type="expression" dxfId="1454" priority="10">
      <formula>$I$22=0</formula>
    </cfRule>
  </conditionalFormatting>
  <conditionalFormatting sqref="C35:D48">
    <cfRule type="expression" dxfId="1453" priority="21">
      <formula>$C$26=0</formula>
    </cfRule>
  </conditionalFormatting>
  <conditionalFormatting sqref="J35:P46">
    <cfRule type="expression" dxfId="1452" priority="362">
      <formula>$C$26=0</formula>
    </cfRule>
  </conditionalFormatting>
  <conditionalFormatting sqref="J26:P26">
    <cfRule type="expression" dxfId="1451" priority="11">
      <formula>$C$26&lt;=27</formula>
    </cfRule>
  </conditionalFormatting>
  <conditionalFormatting sqref="C36:D39">
    <cfRule type="expression" dxfId="1450" priority="7">
      <formula>E36=0</formula>
    </cfRule>
  </conditionalFormatting>
  <conditionalFormatting sqref="B66:G84">
    <cfRule type="expression" dxfId="1449" priority="6">
      <formula>$I$64=0</formula>
    </cfRule>
  </conditionalFormatting>
  <conditionalFormatting sqref="B88 G88">
    <cfRule type="expression" dxfId="1448" priority="2">
      <formula>$I$22=0</formula>
    </cfRule>
  </conditionalFormatting>
  <conditionalFormatting sqref="B86:G86">
    <cfRule type="expression" dxfId="1447" priority="4">
      <formula>$I$22=0</formula>
    </cfRule>
  </conditionalFormatting>
  <conditionalFormatting sqref="B62:G62">
    <cfRule type="expression" dxfId="1446" priority="3">
      <formula>$I$22=0</formula>
    </cfRule>
  </conditionalFormatting>
  <conditionalFormatting sqref="B90:G96">
    <cfRule type="expression" dxfId="1445" priority="1">
      <formula>$I$88=0</formula>
    </cfRule>
  </conditionalFormatting>
  <dataValidations count="5">
    <dataValidation type="list" allowBlank="1" showInputMessage="1" showErrorMessage="1" sqref="G24" xr:uid="{00000000-0002-0000-0000-000000000000}">
      <formula1>TIPO</formula1>
    </dataValidation>
    <dataValidation type="list" allowBlank="1" showInputMessage="1" showErrorMessage="1" sqref="C14:D14" xr:uid="{00000000-0002-0000-0000-000001000000}">
      <formula1>CERTIFICACION</formula1>
    </dataValidation>
    <dataValidation type="list" allowBlank="1" showInputMessage="1" showErrorMessage="1" sqref="G52:G53 G58:G60 G55:G56 G79 G64 G88" xr:uid="{00000000-0002-0000-0000-000002000000}">
      <formula1>SI_NO</formula1>
    </dataValidation>
    <dataValidation type="list" allowBlank="1" showInputMessage="1" showErrorMessage="1" sqref="C10" xr:uid="{00000000-0002-0000-0000-000003000000}">
      <formula1>provincias</formula1>
    </dataValidation>
    <dataValidation type="list" allowBlank="1" showInputMessage="1" showErrorMessage="1" sqref="C11:D11" xr:uid="{00000000-0002-0000-0000-000004000000}">
      <formula1>INDIRECT(P10)</formula1>
    </dataValidation>
  </dataValidations>
  <printOptions gridLines="1"/>
  <pageMargins left="0.25" right="0.25" top="0.75" bottom="0.75" header="0.3" footer="0.3"/>
  <pageSetup paperSize="9" scale="27"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2060"/>
  </sheetPr>
  <dimension ref="A1:BT394"/>
  <sheetViews>
    <sheetView zoomScale="90" zoomScaleNormal="90" zoomScalePageLayoutView="90" workbookViewId="0">
      <pane ySplit="6" topLeftCell="A7" activePane="bottomLeft" state="frozen"/>
      <selection pane="bottomLeft" activeCell="C35" sqref="C35"/>
    </sheetView>
  </sheetViews>
  <sheetFormatPr baseColWidth="10" defaultColWidth="11.5" defaultRowHeight="15" customHeight="1"/>
  <cols>
    <col min="1" max="1" width="2.6640625" style="126" customWidth="1"/>
    <col min="2" max="2" width="26.83203125" style="126" customWidth="1"/>
    <col min="3" max="3" width="16.6640625" style="126" customWidth="1"/>
    <col min="4" max="5" width="10" style="580" customWidth="1"/>
    <col min="6" max="6" width="12.5" style="126" customWidth="1"/>
    <col min="7" max="7" width="11.1640625" style="126" customWidth="1"/>
    <col min="8" max="8" width="13.6640625" style="126" customWidth="1"/>
    <col min="9" max="9" width="12.33203125" style="126" bestFit="1" customWidth="1"/>
    <col min="10" max="10" width="14.1640625" style="126" customWidth="1"/>
    <col min="11" max="11" width="19" style="580" customWidth="1"/>
    <col min="12" max="12" width="11.83203125" style="580" customWidth="1"/>
    <col min="13" max="14" width="2.83203125" style="126" customWidth="1"/>
    <col min="15" max="15" width="28.1640625" style="126" customWidth="1"/>
    <col min="16" max="16" width="24.5" style="126" customWidth="1"/>
    <col min="17" max="17" width="14" style="580" customWidth="1"/>
    <col min="18" max="18" width="10.83203125" style="580" customWidth="1"/>
    <col min="19" max="19" width="19.1640625" style="126" customWidth="1"/>
    <col min="20" max="20" width="41.5" style="126" customWidth="1"/>
    <col min="21" max="21" width="19.5" style="126" customWidth="1"/>
    <col min="22" max="22" width="19.5" style="580" customWidth="1"/>
    <col min="23" max="23" width="20.6640625" style="126" customWidth="1"/>
    <col min="24" max="24" width="20.1640625" style="581" customWidth="1"/>
    <col min="25" max="25" width="24.33203125" style="126" customWidth="1"/>
    <col min="26" max="26" width="16.6640625" style="126" customWidth="1"/>
    <col min="27" max="27" width="20" style="126" customWidth="1"/>
    <col min="28" max="28" width="25.33203125" style="126" customWidth="1"/>
    <col min="29" max="29" width="31.5" style="126" customWidth="1"/>
    <col min="30" max="30" width="32.33203125" style="126" customWidth="1"/>
    <col min="31" max="31" width="31.6640625" style="126" customWidth="1"/>
    <col min="32" max="32" width="13.6640625" style="126" customWidth="1"/>
    <col min="33" max="33" width="29.1640625" style="126" customWidth="1"/>
    <col min="34" max="34" width="24" style="126" customWidth="1"/>
    <col min="35" max="35" width="15" style="126" customWidth="1"/>
    <col min="36" max="36" width="25" style="126" customWidth="1"/>
    <col min="37" max="37" width="20.1640625" style="126" customWidth="1"/>
    <col min="38" max="38" width="20" style="126" customWidth="1"/>
    <col min="39" max="39" width="31.5" style="126" customWidth="1"/>
    <col min="40" max="40" width="14.33203125" style="126" customWidth="1"/>
    <col min="41" max="41" width="24.5" style="126" customWidth="1"/>
    <col min="42" max="42" width="22.33203125" style="126" customWidth="1"/>
    <col min="43" max="43" width="31" style="126" customWidth="1"/>
    <col min="44" max="44" width="31.83203125" style="126" customWidth="1"/>
    <col min="45" max="45" width="27.6640625" style="126" customWidth="1"/>
    <col min="46" max="46" width="26.6640625" style="126" customWidth="1"/>
    <col min="47" max="47" width="25.33203125" style="126" customWidth="1"/>
    <col min="48" max="48" width="32.33203125" style="126" customWidth="1"/>
    <col min="49" max="49" width="31.6640625" style="126" customWidth="1"/>
    <col min="50" max="50" width="11.5" style="126" customWidth="1"/>
    <col min="51" max="53" width="11.5" style="126"/>
    <col min="54" max="54" width="14.1640625" style="126" customWidth="1"/>
    <col min="55" max="58" width="11.5" style="126"/>
    <col min="59" max="60" width="15.33203125" style="126" customWidth="1"/>
    <col min="61" max="62" width="11.5" style="126"/>
    <col min="63" max="63" width="18" style="126" bestFit="1" customWidth="1"/>
    <col min="64" max="65" width="11.5" style="126"/>
    <col min="66" max="66" width="20.33203125" style="126" bestFit="1" customWidth="1"/>
    <col min="67" max="67" width="17.5" style="126" bestFit="1" customWidth="1"/>
    <col min="68" max="68" width="11.5" style="126"/>
    <col min="69" max="69" width="39" style="126" bestFit="1" customWidth="1"/>
    <col min="70" max="70" width="11.6640625" style="126" bestFit="1" customWidth="1"/>
    <col min="71" max="71" width="17.1640625" style="126" bestFit="1" customWidth="1"/>
    <col min="72" max="72" width="20.33203125" style="126" bestFit="1" customWidth="1"/>
    <col min="73" max="16384" width="11.5" style="126"/>
  </cols>
  <sheetData>
    <row r="1" spans="1:72" ht="15" customHeight="1">
      <c r="Y1" s="148"/>
      <c r="Z1" s="148"/>
      <c r="AA1" s="148"/>
    </row>
    <row r="2" spans="1:72" s="102" customFormat="1" ht="25" customHeight="1">
      <c r="B2" s="159" t="s">
        <v>220</v>
      </c>
      <c r="D2" s="148"/>
      <c r="E2" s="148"/>
      <c r="K2" s="148"/>
      <c r="L2" s="148"/>
      <c r="M2" s="1392">
        <f>ENERGÍA!Q41</f>
        <v>0</v>
      </c>
      <c r="N2" s="1394"/>
      <c r="O2" s="159" t="s">
        <v>220</v>
      </c>
      <c r="Q2" s="148"/>
      <c r="R2" s="148"/>
      <c r="V2" s="148"/>
      <c r="X2" s="582"/>
      <c r="Y2" s="148"/>
      <c r="Z2" s="148"/>
      <c r="AA2" s="148"/>
      <c r="AX2" s="136"/>
      <c r="AY2" s="114"/>
      <c r="AZ2" s="1306" t="s">
        <v>1690</v>
      </c>
      <c r="BA2" s="1307"/>
      <c r="BB2" s="1307"/>
      <c r="BC2" s="1307"/>
      <c r="BD2" s="1307"/>
      <c r="BE2" s="1307"/>
      <c r="BF2" s="1307"/>
      <c r="BG2" s="1307"/>
      <c r="BH2" s="1308"/>
      <c r="BI2" s="98"/>
      <c r="BJ2" s="98"/>
      <c r="BK2" s="1312" t="s">
        <v>1484</v>
      </c>
      <c r="BL2" s="1313"/>
      <c r="BM2" s="1313"/>
      <c r="BN2" s="1313"/>
      <c r="BO2" s="1313"/>
      <c r="BP2" s="1313"/>
      <c r="BQ2" s="1313"/>
      <c r="BR2" s="1313"/>
      <c r="BS2" s="1313"/>
      <c r="BT2" s="1313"/>
    </row>
    <row r="3" spans="1:72" ht="6" customHeight="1">
      <c r="M3" s="1398"/>
      <c r="N3" s="1399"/>
      <c r="Y3" s="148"/>
      <c r="Z3" s="148"/>
      <c r="AA3" s="148"/>
      <c r="AY3" s="114"/>
      <c r="AZ3" s="1309"/>
      <c r="BA3" s="1310"/>
      <c r="BB3" s="1310"/>
      <c r="BC3" s="1310"/>
      <c r="BD3" s="1310"/>
      <c r="BE3" s="1310"/>
      <c r="BF3" s="1310"/>
      <c r="BG3" s="1310"/>
      <c r="BH3" s="1311"/>
      <c r="BI3" s="98"/>
      <c r="BJ3" s="98"/>
      <c r="BK3" s="1314"/>
      <c r="BL3" s="1315"/>
      <c r="BM3" s="1315"/>
      <c r="BN3" s="1315"/>
      <c r="BO3" s="1315"/>
      <c r="BP3" s="1315"/>
      <c r="BQ3" s="1315"/>
      <c r="BR3" s="1315"/>
      <c r="BS3" s="1315"/>
      <c r="BT3" s="1315"/>
    </row>
    <row r="4" spans="1:72" s="148" customFormat="1" ht="20" customHeight="1">
      <c r="B4" s="1392" t="s">
        <v>1790</v>
      </c>
      <c r="C4" s="1393"/>
      <c r="D4" s="1393"/>
      <c r="E4" s="1393"/>
      <c r="F4" s="1393"/>
      <c r="G4" s="1393"/>
      <c r="H4" s="1393"/>
      <c r="I4" s="1393"/>
      <c r="J4" s="1394"/>
      <c r="K4" s="1392" t="s">
        <v>1789</v>
      </c>
      <c r="L4" s="1394"/>
      <c r="M4" s="1398"/>
      <c r="N4" s="1399"/>
      <c r="O4" s="1392">
        <f>M2</f>
        <v>0</v>
      </c>
      <c r="P4" s="1393"/>
      <c r="Q4" s="1393"/>
      <c r="R4" s="1393"/>
      <c r="S4" s="1393"/>
      <c r="T4" s="1394"/>
      <c r="U4" s="1273" t="s">
        <v>12</v>
      </c>
      <c r="V4" s="1273">
        <f>M2</f>
        <v>0</v>
      </c>
      <c r="X4" s="1392" t="s">
        <v>779</v>
      </c>
      <c r="Y4" s="1393"/>
      <c r="Z4" s="1393"/>
      <c r="AA4" s="1393"/>
      <c r="AB4" s="1393"/>
      <c r="AC4" s="1393"/>
      <c r="AD4" s="1393"/>
      <c r="AE4" s="1393"/>
      <c r="AF4" s="1393"/>
      <c r="AG4" s="1393"/>
      <c r="AH4" s="1393"/>
      <c r="AI4" s="1393"/>
      <c r="AJ4" s="1393"/>
      <c r="AK4" s="1393"/>
      <c r="AL4" s="1393"/>
      <c r="AM4" s="1393"/>
      <c r="AN4" s="1393"/>
      <c r="AO4" s="1393"/>
      <c r="AP4" s="1393"/>
      <c r="AQ4" s="1393"/>
      <c r="AR4" s="1393"/>
      <c r="AS4" s="1393"/>
      <c r="AT4" s="1393"/>
      <c r="AU4" s="1393"/>
      <c r="AV4" s="1393"/>
      <c r="AW4" s="1394"/>
      <c r="AY4" s="114"/>
      <c r="AZ4" s="1291" t="s">
        <v>9</v>
      </c>
      <c r="BA4" s="1325">
        <f>AGUA!N4</f>
        <v>0</v>
      </c>
      <c r="BB4" s="1325" t="s">
        <v>208</v>
      </c>
      <c r="BC4" s="1291">
        <f>AGUA!P4</f>
        <v>0</v>
      </c>
      <c r="BD4" s="1291"/>
      <c r="BE4" s="200" t="s">
        <v>563</v>
      </c>
      <c r="BF4" s="197">
        <f>AGUA!S4</f>
        <v>0</v>
      </c>
      <c r="BG4" s="197" t="s">
        <v>758</v>
      </c>
      <c r="BH4" s="197">
        <f>AGUA!U4</f>
        <v>0</v>
      </c>
      <c r="BI4" s="98"/>
      <c r="BJ4" s="98"/>
      <c r="BK4" s="98"/>
      <c r="BL4" s="200"/>
      <c r="BM4" s="200"/>
      <c r="BN4" s="200"/>
      <c r="BO4" s="200"/>
      <c r="BP4" s="98"/>
      <c r="BQ4" s="98"/>
      <c r="BR4" s="98"/>
      <c r="BS4" s="98"/>
      <c r="BT4" s="98"/>
    </row>
    <row r="5" spans="1:72" s="148" customFormat="1" ht="20" customHeight="1">
      <c r="B5" s="1395"/>
      <c r="C5" s="1396"/>
      <c r="D5" s="1396"/>
      <c r="E5" s="1396"/>
      <c r="F5" s="1396"/>
      <c r="G5" s="1396"/>
      <c r="H5" s="1396"/>
      <c r="I5" s="1396"/>
      <c r="J5" s="1397"/>
      <c r="K5" s="1395"/>
      <c r="L5" s="1397"/>
      <c r="M5" s="1398"/>
      <c r="N5" s="1399"/>
      <c r="O5" s="1395"/>
      <c r="P5" s="1396"/>
      <c r="Q5" s="1396"/>
      <c r="R5" s="1396"/>
      <c r="S5" s="1396"/>
      <c r="T5" s="1397"/>
      <c r="U5" s="1273"/>
      <c r="V5" s="1273"/>
      <c r="X5" s="1395"/>
      <c r="Y5" s="1396"/>
      <c r="Z5" s="1396"/>
      <c r="AA5" s="1396"/>
      <c r="AB5" s="1396"/>
      <c r="AC5" s="1396"/>
      <c r="AD5" s="1396"/>
      <c r="AE5" s="1396"/>
      <c r="AF5" s="1396"/>
      <c r="AG5" s="1396"/>
      <c r="AH5" s="1396"/>
      <c r="AI5" s="1396"/>
      <c r="AJ5" s="1396"/>
      <c r="AK5" s="1396"/>
      <c r="AL5" s="1396"/>
      <c r="AM5" s="1396"/>
      <c r="AN5" s="1396"/>
      <c r="AO5" s="1396"/>
      <c r="AP5" s="1396"/>
      <c r="AQ5" s="1396"/>
      <c r="AR5" s="1396"/>
      <c r="AS5" s="1396"/>
      <c r="AT5" s="1396"/>
      <c r="AU5" s="1396"/>
      <c r="AV5" s="1396"/>
      <c r="AW5" s="1397"/>
      <c r="AY5" s="583"/>
      <c r="AZ5" s="1291"/>
      <c r="BA5" s="1325"/>
      <c r="BB5" s="1325"/>
      <c r="BC5" s="1291"/>
      <c r="BD5" s="1291"/>
      <c r="BE5" s="200" t="s">
        <v>564</v>
      </c>
      <c r="BF5" s="197">
        <f>AGUA!S5</f>
        <v>0</v>
      </c>
      <c r="BG5" s="197" t="s">
        <v>1691</v>
      </c>
      <c r="BH5" s="197">
        <f>AGUA!U5</f>
        <v>0</v>
      </c>
      <c r="BI5" s="200"/>
      <c r="BJ5" s="200"/>
      <c r="BK5" s="1291" t="s">
        <v>779</v>
      </c>
      <c r="BL5" s="1291"/>
      <c r="BM5" s="1291"/>
      <c r="BN5" s="1291"/>
      <c r="BO5" s="1291"/>
      <c r="BP5" s="1291"/>
      <c r="BQ5" s="1291"/>
      <c r="BR5" s="1291"/>
      <c r="BS5" s="1297" t="s">
        <v>1446</v>
      </c>
      <c r="BT5" s="1298">
        <f>IF(BJ10=0,0,BS15+BT24)</f>
        <v>0</v>
      </c>
    </row>
    <row r="6" spans="1:72" ht="6" customHeight="1">
      <c r="M6" s="1395"/>
      <c r="N6" s="1397"/>
      <c r="Y6" s="148"/>
      <c r="Z6" s="148"/>
      <c r="AA6" s="148"/>
      <c r="AI6" s="148"/>
      <c r="AJ6" s="148"/>
      <c r="AK6" s="148"/>
      <c r="AY6" s="583"/>
      <c r="BI6" s="200"/>
      <c r="BJ6" s="200"/>
      <c r="BK6" s="1291"/>
      <c r="BL6" s="1291"/>
      <c r="BM6" s="1291"/>
      <c r="BN6" s="1291"/>
      <c r="BO6" s="1291"/>
      <c r="BP6" s="1291"/>
      <c r="BQ6" s="1291"/>
      <c r="BR6" s="1291"/>
      <c r="BS6" s="1297"/>
      <c r="BT6" s="1299"/>
    </row>
    <row r="7" spans="1:72" ht="15" customHeight="1">
      <c r="B7" s="1317" t="s">
        <v>1130</v>
      </c>
      <c r="C7" s="1318"/>
      <c r="D7" s="1318"/>
      <c r="E7" s="1318"/>
      <c r="F7" s="1318"/>
      <c r="G7" s="1318"/>
      <c r="H7" s="1318"/>
      <c r="I7" s="1318"/>
      <c r="J7" s="1318"/>
      <c r="K7" s="1318"/>
      <c r="L7" s="1319"/>
      <c r="O7" s="1320" t="s">
        <v>1083</v>
      </c>
      <c r="P7" s="1321"/>
      <c r="Q7" s="1321"/>
      <c r="R7" s="1321"/>
      <c r="S7" s="1321"/>
      <c r="T7" s="1321"/>
      <c r="U7" s="1321"/>
      <c r="V7" s="1321"/>
      <c r="W7" s="1321"/>
      <c r="X7" s="1321"/>
      <c r="Y7" s="1321"/>
      <c r="Z7" s="1321"/>
      <c r="AA7" s="1321"/>
      <c r="AB7" s="1321"/>
      <c r="AC7" s="1321"/>
      <c r="AD7" s="1321"/>
      <c r="AE7" s="1321"/>
      <c r="AF7" s="1321"/>
      <c r="AG7" s="1321"/>
      <c r="AH7" s="1321"/>
      <c r="AI7" s="1321"/>
      <c r="AJ7" s="1321"/>
      <c r="AK7" s="1321"/>
      <c r="AL7" s="1321"/>
      <c r="AM7" s="1321"/>
      <c r="AN7" s="1321"/>
      <c r="AO7" s="1321"/>
      <c r="AP7" s="1321"/>
      <c r="AQ7" s="1321"/>
      <c r="AR7" s="1321"/>
      <c r="AS7" s="1321"/>
      <c r="AT7" s="1321"/>
      <c r="AU7" s="1321"/>
      <c r="AV7" s="1321"/>
      <c r="AW7" s="1322"/>
      <c r="AY7" s="114"/>
      <c r="AZ7" s="98"/>
      <c r="BA7" s="98"/>
      <c r="BB7" s="200"/>
      <c r="BC7" s="200"/>
      <c r="BD7" s="200"/>
      <c r="BE7" s="98"/>
      <c r="BF7" s="98"/>
      <c r="BG7" s="98"/>
      <c r="BH7" s="98"/>
      <c r="BI7" s="98"/>
      <c r="BJ7" s="98"/>
      <c r="BK7" s="98"/>
      <c r="BL7" s="200"/>
      <c r="BM7" s="200"/>
      <c r="BN7" s="200"/>
      <c r="BO7" s="200"/>
      <c r="BP7" s="98"/>
      <c r="BQ7" s="98"/>
      <c r="BR7" s="98"/>
      <c r="BS7" s="98"/>
      <c r="BT7" s="98"/>
    </row>
    <row r="8" spans="1:72" ht="6" customHeight="1">
      <c r="X8" s="173"/>
      <c r="AY8" s="122"/>
      <c r="AZ8" s="1306" t="s">
        <v>663</v>
      </c>
      <c r="BA8" s="1307"/>
      <c r="BB8" s="1307"/>
      <c r="BC8" s="1307"/>
      <c r="BD8" s="1307"/>
      <c r="BE8" s="1307"/>
      <c r="BF8" s="1307"/>
      <c r="BG8" s="1307"/>
      <c r="BH8" s="1308"/>
      <c r="BI8" s="123"/>
      <c r="BJ8" s="123"/>
      <c r="BK8" s="1306" t="s">
        <v>663</v>
      </c>
      <c r="BL8" s="1307"/>
      <c r="BM8" s="1307"/>
      <c r="BN8" s="1307"/>
      <c r="BO8" s="1307"/>
      <c r="BP8" s="1307"/>
      <c r="BQ8" s="1307"/>
      <c r="BR8" s="1307"/>
      <c r="BS8" s="1307"/>
      <c r="BT8" s="1308"/>
    </row>
    <row r="9" spans="1:72" s="153" customFormat="1" ht="45" customHeight="1">
      <c r="A9" s="584"/>
      <c r="B9" s="1400">
        <f>M2</f>
        <v>0</v>
      </c>
      <c r="C9" s="1401"/>
      <c r="D9" s="1401"/>
      <c r="E9" s="1401"/>
      <c r="F9" s="1401"/>
      <c r="G9" s="1401"/>
      <c r="H9" s="1401"/>
      <c r="I9" s="1401"/>
      <c r="J9" s="1401"/>
      <c r="K9" s="1401"/>
      <c r="L9" s="1402"/>
      <c r="M9" s="584"/>
      <c r="N9" s="584"/>
      <c r="O9" s="584"/>
      <c r="P9" s="1409" t="s">
        <v>2045</v>
      </c>
      <c r="Q9" s="1410"/>
      <c r="R9" s="1410"/>
      <c r="S9" s="1410"/>
      <c r="T9" s="1411"/>
      <c r="U9" s="584"/>
      <c r="V9" s="584"/>
      <c r="W9" s="584"/>
      <c r="AY9" s="114"/>
      <c r="AZ9" s="1309"/>
      <c r="BA9" s="1310"/>
      <c r="BB9" s="1310"/>
      <c r="BC9" s="1310"/>
      <c r="BD9" s="1310"/>
      <c r="BE9" s="1310"/>
      <c r="BF9" s="1310"/>
      <c r="BG9" s="1310"/>
      <c r="BH9" s="1311"/>
      <c r="BI9" s="98"/>
      <c r="BJ9" s="98"/>
      <c r="BK9" s="1309"/>
      <c r="BL9" s="1310"/>
      <c r="BM9" s="1310"/>
      <c r="BN9" s="1310"/>
      <c r="BO9" s="1310"/>
      <c r="BP9" s="1310"/>
      <c r="BQ9" s="1310"/>
      <c r="BR9" s="1310"/>
      <c r="BS9" s="1310"/>
      <c r="BT9" s="1311"/>
    </row>
    <row r="10" spans="1:72" s="153" customFormat="1" ht="45" customHeight="1">
      <c r="B10" s="1403"/>
      <c r="C10" s="1404"/>
      <c r="D10" s="1404"/>
      <c r="E10" s="1404"/>
      <c r="F10" s="1404"/>
      <c r="G10" s="1404"/>
      <c r="H10" s="1404"/>
      <c r="I10" s="1404"/>
      <c r="J10" s="1404"/>
      <c r="K10" s="1404"/>
      <c r="L10" s="1405"/>
      <c r="P10" s="1409" t="s">
        <v>2046</v>
      </c>
      <c r="Q10" s="1410"/>
      <c r="R10" s="1410"/>
      <c r="S10" s="1410"/>
      <c r="T10" s="1411"/>
      <c r="AY10" s="114"/>
      <c r="AZ10" s="98"/>
      <c r="BA10" s="98"/>
      <c r="BB10" s="1291" t="s">
        <v>565</v>
      </c>
      <c r="BC10" s="1291"/>
      <c r="BD10" s="200"/>
      <c r="BE10" s="98"/>
      <c r="BF10" s="98"/>
      <c r="BG10" s="1291" t="s">
        <v>565</v>
      </c>
      <c r="BH10" s="1291"/>
      <c r="BI10" s="98">
        <f>+AGUA!V9</f>
        <v>0</v>
      </c>
      <c r="BJ10" s="1294">
        <f>IF(AVERAGE(BI10:BI16)=1,1,0)</f>
        <v>0</v>
      </c>
      <c r="BK10" s="98"/>
      <c r="BL10" s="200" t="s">
        <v>802</v>
      </c>
      <c r="BM10" s="200" t="s">
        <v>803</v>
      </c>
      <c r="BN10" s="200" t="s">
        <v>804</v>
      </c>
      <c r="BO10" s="200" t="s">
        <v>818</v>
      </c>
      <c r="BP10" s="98"/>
      <c r="BQ10" s="98"/>
      <c r="BR10" s="200" t="s">
        <v>802</v>
      </c>
      <c r="BS10" s="200" t="s">
        <v>803</v>
      </c>
      <c r="BT10" s="200" t="s">
        <v>804</v>
      </c>
    </row>
    <row r="11" spans="1:72" s="153" customFormat="1" ht="45" customHeight="1">
      <c r="B11" s="1403"/>
      <c r="C11" s="1404"/>
      <c r="D11" s="1404"/>
      <c r="E11" s="1404"/>
      <c r="F11" s="1404"/>
      <c r="G11" s="1404"/>
      <c r="H11" s="1404"/>
      <c r="I11" s="1404"/>
      <c r="J11" s="1404"/>
      <c r="K11" s="1404"/>
      <c r="L11" s="1405"/>
      <c r="AY11" s="114"/>
      <c r="AZ11" s="1292" t="s">
        <v>665</v>
      </c>
      <c r="BA11" s="1292"/>
      <c r="BB11" s="1290">
        <f>'BASE DE DATOS'!GI31</f>
        <v>20</v>
      </c>
      <c r="BC11" s="1290"/>
      <c r="BD11" s="197"/>
      <c r="BE11" s="98"/>
      <c r="BF11" s="98"/>
      <c r="BG11" s="1300" t="s">
        <v>704</v>
      </c>
      <c r="BH11" s="1301"/>
      <c r="BI11" s="98">
        <f>+AGUA!V10</f>
        <v>0</v>
      </c>
      <c r="BJ11" s="1295"/>
      <c r="BK11" s="585" t="s">
        <v>796</v>
      </c>
      <c r="BL11" s="200">
        <v>1</v>
      </c>
      <c r="BM11" s="200">
        <v>0</v>
      </c>
      <c r="BN11" s="197">
        <f>(((BL11*$BF$4)+(BM11*$BF$5))*BB11)*365</f>
        <v>0</v>
      </c>
      <c r="BO11" s="197">
        <f>((BB11*((BL11*$BF$4)+(BM11*$BF$5))*365)/60)</f>
        <v>0</v>
      </c>
      <c r="BP11" s="98"/>
      <c r="BQ11" s="585" t="s">
        <v>805</v>
      </c>
      <c r="BR11" s="200">
        <v>5</v>
      </c>
      <c r="BS11" s="200">
        <v>0.5</v>
      </c>
      <c r="BT11" s="197">
        <f>(((BR11*BF4)+(BS11*BF5))*BG12)*365</f>
        <v>0</v>
      </c>
    </row>
    <row r="12" spans="1:72" s="153" customFormat="1" ht="45" customHeight="1">
      <c r="B12" s="1403"/>
      <c r="C12" s="1404"/>
      <c r="D12" s="1404"/>
      <c r="E12" s="1404"/>
      <c r="F12" s="1404"/>
      <c r="G12" s="1404"/>
      <c r="H12" s="1404"/>
      <c r="I12" s="1404"/>
      <c r="J12" s="1404"/>
      <c r="K12" s="1404"/>
      <c r="L12" s="1405"/>
      <c r="O12" s="1421" t="s">
        <v>2047</v>
      </c>
      <c r="P12" s="1422"/>
      <c r="Q12" s="1422"/>
      <c r="R12" s="1422"/>
      <c r="S12" s="1422"/>
      <c r="T12" s="1422"/>
      <c r="U12" s="1422"/>
      <c r="V12" s="1423"/>
      <c r="AY12" s="114"/>
      <c r="AZ12" s="1292" t="s">
        <v>666</v>
      </c>
      <c r="BA12" s="1292"/>
      <c r="BB12" s="1290">
        <f>'BASE DE DATOS'!GI32</f>
        <v>18</v>
      </c>
      <c r="BC12" s="1290"/>
      <c r="BD12" s="197"/>
      <c r="BE12" s="1316" t="s">
        <v>664</v>
      </c>
      <c r="BF12" s="1316"/>
      <c r="BG12" s="1302">
        <f>'BASE DE DATOS'!GI37</f>
        <v>12</v>
      </c>
      <c r="BH12" s="1303"/>
      <c r="BI12" s="98">
        <f>+AGUA!V11</f>
        <v>0</v>
      </c>
      <c r="BJ12" s="1295"/>
      <c r="BK12" s="585" t="s">
        <v>797</v>
      </c>
      <c r="BL12" s="200">
        <v>4</v>
      </c>
      <c r="BM12" s="200">
        <v>0</v>
      </c>
      <c r="BN12" s="197">
        <f t="shared" ref="BN12:BN15" si="0">(((BL12*$BF$4)+(BM12*$BF$5))*BB12)*365</f>
        <v>0</v>
      </c>
      <c r="BO12" s="197">
        <f t="shared" ref="BO12:BO16" si="1">((BB12*((BL12*$BF$4)+(BM12*$BF$5))*365)/60)</f>
        <v>0</v>
      </c>
      <c r="BP12" s="98"/>
      <c r="BQ12" s="585"/>
      <c r="BR12" s="200"/>
      <c r="BS12" s="200"/>
      <c r="BT12" s="197"/>
    </row>
    <row r="13" spans="1:72" s="153" customFormat="1" ht="45" customHeight="1">
      <c r="B13" s="1403"/>
      <c r="C13" s="1404"/>
      <c r="D13" s="1404"/>
      <c r="E13" s="1404"/>
      <c r="F13" s="1404"/>
      <c r="G13" s="1404"/>
      <c r="H13" s="1404"/>
      <c r="I13" s="1404"/>
      <c r="J13" s="1404"/>
      <c r="K13" s="1404"/>
      <c r="L13" s="1405"/>
      <c r="O13" s="1412" t="e">
        <f>AO192+AF215+AF232</f>
        <v>#DIV/0!</v>
      </c>
      <c r="P13" s="1413"/>
      <c r="Q13" s="1413"/>
      <c r="R13" s="1413"/>
      <c r="S13" s="1413"/>
      <c r="T13" s="1413"/>
      <c r="U13" s="1413"/>
      <c r="V13" s="1414"/>
      <c r="AY13" s="114"/>
      <c r="AZ13" s="1292" t="s">
        <v>667</v>
      </c>
      <c r="BA13" s="1292"/>
      <c r="BB13" s="1290">
        <f>'BASE DE DATOS'!GI33</f>
        <v>12</v>
      </c>
      <c r="BC13" s="1290"/>
      <c r="BD13" s="197"/>
      <c r="BE13" s="1316"/>
      <c r="BF13" s="1316"/>
      <c r="BG13" s="1304"/>
      <c r="BH13" s="1305"/>
      <c r="BI13" s="98">
        <f>+AGUA!V12</f>
        <v>0</v>
      </c>
      <c r="BJ13" s="1295"/>
      <c r="BK13" s="585" t="s">
        <v>798</v>
      </c>
      <c r="BL13" s="200">
        <v>4</v>
      </c>
      <c r="BM13" s="200">
        <v>0.5</v>
      </c>
      <c r="BN13" s="197">
        <f t="shared" si="0"/>
        <v>0</v>
      </c>
      <c r="BO13" s="197">
        <f t="shared" si="1"/>
        <v>0</v>
      </c>
      <c r="BP13" s="98"/>
      <c r="BQ13" s="98"/>
      <c r="BR13" s="98"/>
      <c r="BS13" s="98"/>
      <c r="BT13" s="98"/>
    </row>
    <row r="14" spans="1:72" s="153" customFormat="1" ht="25" customHeight="1">
      <c r="B14" s="1403"/>
      <c r="C14" s="1404"/>
      <c r="D14" s="1404"/>
      <c r="E14" s="1404"/>
      <c r="F14" s="1404"/>
      <c r="G14" s="1404"/>
      <c r="H14" s="1404"/>
      <c r="I14" s="1404"/>
      <c r="J14" s="1404"/>
      <c r="K14" s="1404"/>
      <c r="L14" s="1405"/>
      <c r="O14" s="1415"/>
      <c r="P14" s="1416"/>
      <c r="Q14" s="1416"/>
      <c r="R14" s="1416"/>
      <c r="S14" s="1416"/>
      <c r="T14" s="1416"/>
      <c r="U14" s="1416"/>
      <c r="V14" s="1417"/>
      <c r="AY14" s="114"/>
      <c r="AZ14" s="1292" t="s">
        <v>668</v>
      </c>
      <c r="BA14" s="1292"/>
      <c r="BB14" s="1290">
        <f>'BASE DE DATOS'!GI34</f>
        <v>20</v>
      </c>
      <c r="BC14" s="1290"/>
      <c r="BD14" s="197"/>
      <c r="BE14" s="98"/>
      <c r="BF14" s="98"/>
      <c r="BG14" s="98"/>
      <c r="BH14" s="98"/>
      <c r="BI14" s="98">
        <f>+AGUA!V13</f>
        <v>1</v>
      </c>
      <c r="BJ14" s="1295"/>
      <c r="BK14" s="585" t="s">
        <v>799</v>
      </c>
      <c r="BL14" s="200">
        <v>2</v>
      </c>
      <c r="BM14" s="200">
        <v>0</v>
      </c>
      <c r="BN14" s="197">
        <f t="shared" si="0"/>
        <v>0</v>
      </c>
      <c r="BO14" s="197">
        <f t="shared" si="1"/>
        <v>0</v>
      </c>
      <c r="BP14" s="98"/>
      <c r="BQ14" s="123"/>
      <c r="BR14" s="123" t="s">
        <v>808</v>
      </c>
      <c r="BS14" s="204" t="s">
        <v>759</v>
      </c>
      <c r="BT14" s="200" t="s">
        <v>1302</v>
      </c>
    </row>
    <row r="15" spans="1:72" s="153" customFormat="1" ht="25" customHeight="1">
      <c r="B15" s="1403"/>
      <c r="C15" s="1404"/>
      <c r="D15" s="1404"/>
      <c r="E15" s="1404"/>
      <c r="F15" s="1404"/>
      <c r="G15" s="1404"/>
      <c r="H15" s="1404"/>
      <c r="I15" s="1404"/>
      <c r="J15" s="1404"/>
      <c r="K15" s="1404"/>
      <c r="L15" s="1405"/>
      <c r="O15" s="1415"/>
      <c r="P15" s="1416"/>
      <c r="Q15" s="1416"/>
      <c r="R15" s="1416"/>
      <c r="S15" s="1416"/>
      <c r="T15" s="1416"/>
      <c r="U15" s="1416"/>
      <c r="V15" s="1417"/>
      <c r="AY15" s="114"/>
      <c r="AZ15" s="1292" t="s">
        <v>669</v>
      </c>
      <c r="BA15" s="1292"/>
      <c r="BB15" s="1290">
        <f>'BASE DE DATOS'!GI35</f>
        <v>25</v>
      </c>
      <c r="BC15" s="1290"/>
      <c r="BD15" s="197"/>
      <c r="BE15" s="98"/>
      <c r="BF15" s="98"/>
      <c r="BG15" s="98"/>
      <c r="BH15" s="98"/>
      <c r="BI15" s="98">
        <f>+AGUA!V14</f>
        <v>1</v>
      </c>
      <c r="BJ15" s="1295"/>
      <c r="BK15" s="585" t="s">
        <v>800</v>
      </c>
      <c r="BL15" s="200">
        <v>0.5</v>
      </c>
      <c r="BM15" s="200">
        <v>0</v>
      </c>
      <c r="BN15" s="197">
        <f t="shared" si="0"/>
        <v>0</v>
      </c>
      <c r="BO15" s="197">
        <f t="shared" si="1"/>
        <v>0</v>
      </c>
      <c r="BP15" s="98"/>
      <c r="BQ15" s="1293" t="s">
        <v>807</v>
      </c>
      <c r="BR15" s="1289">
        <f>SUM(BN11:BN16)+BT11</f>
        <v>0</v>
      </c>
      <c r="BS15" s="1289">
        <f>BR15*0.001</f>
        <v>0</v>
      </c>
      <c r="BT15" s="1290">
        <f>SUM(BO11:BO16)*0.6-200</f>
        <v>-200</v>
      </c>
    </row>
    <row r="16" spans="1:72" s="153" customFormat="1" ht="25" customHeight="1">
      <c r="B16" s="1403"/>
      <c r="C16" s="1404"/>
      <c r="D16" s="1404"/>
      <c r="E16" s="1404"/>
      <c r="F16" s="1404"/>
      <c r="G16" s="1404"/>
      <c r="H16" s="1404"/>
      <c r="I16" s="1404"/>
      <c r="J16" s="1404"/>
      <c r="K16" s="1404"/>
      <c r="L16" s="1405"/>
      <c r="O16" s="1415"/>
      <c r="P16" s="1416"/>
      <c r="Q16" s="1416"/>
      <c r="R16" s="1416"/>
      <c r="S16" s="1416"/>
      <c r="T16" s="1416"/>
      <c r="U16" s="1416"/>
      <c r="V16" s="1417"/>
      <c r="AY16" s="114"/>
      <c r="AZ16" s="1292" t="s">
        <v>670</v>
      </c>
      <c r="BA16" s="1292"/>
      <c r="BB16" s="1290">
        <f>'BASE DE DATOS'!GI36</f>
        <v>150</v>
      </c>
      <c r="BC16" s="1290"/>
      <c r="BD16" s="197"/>
      <c r="BE16" s="98"/>
      <c r="BF16" s="98"/>
      <c r="BG16" s="98"/>
      <c r="BH16" s="98"/>
      <c r="BI16" s="98">
        <f>+AGUA!V15</f>
        <v>1</v>
      </c>
      <c r="BJ16" s="1296"/>
      <c r="BK16" s="585" t="s">
        <v>801</v>
      </c>
      <c r="BL16" s="200">
        <v>1</v>
      </c>
      <c r="BM16" s="200">
        <v>0</v>
      </c>
      <c r="BN16" s="197">
        <f>(((BL16*$BF$4)+(BM16*$BF$5))*BB16)*365</f>
        <v>0</v>
      </c>
      <c r="BO16" s="197">
        <f t="shared" si="1"/>
        <v>0</v>
      </c>
      <c r="BP16" s="98"/>
      <c r="BQ16" s="1293"/>
      <c r="BR16" s="1289"/>
      <c r="BS16" s="1289"/>
      <c r="BT16" s="1291"/>
    </row>
    <row r="17" spans="2:72" s="153" customFormat="1" ht="25" customHeight="1">
      <c r="B17" s="1403"/>
      <c r="C17" s="1404"/>
      <c r="D17" s="1404"/>
      <c r="E17" s="1404"/>
      <c r="F17" s="1404"/>
      <c r="G17" s="1404"/>
      <c r="H17" s="1404"/>
      <c r="I17" s="1404"/>
      <c r="J17" s="1404"/>
      <c r="K17" s="1404"/>
      <c r="L17" s="1405"/>
      <c r="O17" s="1415"/>
      <c r="P17" s="1416"/>
      <c r="Q17" s="1416"/>
      <c r="R17" s="1416"/>
      <c r="S17" s="1416"/>
      <c r="T17" s="1416"/>
      <c r="U17" s="1416"/>
      <c r="V17" s="1417"/>
      <c r="AY17" s="114"/>
      <c r="AZ17" s="98"/>
      <c r="BA17" s="98"/>
      <c r="BB17" s="200"/>
      <c r="BC17" s="200"/>
      <c r="BD17" s="200"/>
      <c r="BE17" s="98"/>
      <c r="BF17" s="98"/>
      <c r="BG17" s="98"/>
      <c r="BH17" s="98"/>
      <c r="BI17" s="123"/>
      <c r="BJ17" s="98"/>
      <c r="BK17" s="98"/>
      <c r="BL17" s="200"/>
      <c r="BM17" s="200"/>
      <c r="BN17" s="200"/>
      <c r="BO17" s="200"/>
      <c r="BP17" s="98"/>
      <c r="BQ17" s="98"/>
      <c r="BR17" s="98"/>
      <c r="BS17" s="98"/>
      <c r="BT17" s="98"/>
    </row>
    <row r="18" spans="2:72" ht="15" customHeight="1">
      <c r="B18" s="1403"/>
      <c r="C18" s="1404"/>
      <c r="D18" s="1404"/>
      <c r="E18" s="1404"/>
      <c r="F18" s="1404"/>
      <c r="G18" s="1404"/>
      <c r="H18" s="1404"/>
      <c r="I18" s="1404"/>
      <c r="J18" s="1404"/>
      <c r="K18" s="1404"/>
      <c r="L18" s="1405"/>
      <c r="O18" s="1415"/>
      <c r="P18" s="1416"/>
      <c r="Q18" s="1416"/>
      <c r="R18" s="1416"/>
      <c r="S18" s="1416"/>
      <c r="T18" s="1416"/>
      <c r="U18" s="1416"/>
      <c r="V18" s="1417"/>
      <c r="X18" s="126"/>
    </row>
    <row r="19" spans="2:72" ht="15" customHeight="1">
      <c r="B19" s="1403"/>
      <c r="C19" s="1404"/>
      <c r="D19" s="1404"/>
      <c r="E19" s="1404"/>
      <c r="F19" s="1404"/>
      <c r="G19" s="1404"/>
      <c r="H19" s="1404"/>
      <c r="I19" s="1404"/>
      <c r="J19" s="1404"/>
      <c r="K19" s="1404"/>
      <c r="L19" s="1405"/>
      <c r="O19" s="1415"/>
      <c r="P19" s="1416"/>
      <c r="Q19" s="1416"/>
      <c r="R19" s="1416"/>
      <c r="S19" s="1416"/>
      <c r="T19" s="1416"/>
      <c r="U19" s="1416"/>
      <c r="V19" s="1417"/>
      <c r="X19" s="126"/>
    </row>
    <row r="20" spans="2:72" ht="15" customHeight="1">
      <c r="B20" s="1403"/>
      <c r="C20" s="1404"/>
      <c r="D20" s="1404"/>
      <c r="E20" s="1404"/>
      <c r="F20" s="1404"/>
      <c r="G20" s="1404"/>
      <c r="H20" s="1404"/>
      <c r="I20" s="1404"/>
      <c r="J20" s="1404"/>
      <c r="K20" s="1404"/>
      <c r="L20" s="1405"/>
      <c r="O20" s="1415"/>
      <c r="P20" s="1416"/>
      <c r="Q20" s="1416"/>
      <c r="R20" s="1416"/>
      <c r="S20" s="1416"/>
      <c r="T20" s="1416"/>
      <c r="U20" s="1416"/>
      <c r="V20" s="1417"/>
      <c r="X20" s="126"/>
    </row>
    <row r="21" spans="2:72" ht="15" customHeight="1">
      <c r="B21" s="1403"/>
      <c r="C21" s="1404"/>
      <c r="D21" s="1404"/>
      <c r="E21" s="1404"/>
      <c r="F21" s="1404"/>
      <c r="G21" s="1404"/>
      <c r="H21" s="1404"/>
      <c r="I21" s="1404"/>
      <c r="J21" s="1404"/>
      <c r="K21" s="1404"/>
      <c r="L21" s="1405"/>
      <c r="O21" s="1415"/>
      <c r="P21" s="1416"/>
      <c r="Q21" s="1416"/>
      <c r="R21" s="1416"/>
      <c r="S21" s="1416"/>
      <c r="T21" s="1416"/>
      <c r="U21" s="1416"/>
      <c r="V21" s="1417"/>
      <c r="X21" s="126"/>
    </row>
    <row r="22" spans="2:72" ht="15" customHeight="1">
      <c r="B22" s="1403"/>
      <c r="C22" s="1404"/>
      <c r="D22" s="1404"/>
      <c r="E22" s="1404"/>
      <c r="F22" s="1404"/>
      <c r="G22" s="1404"/>
      <c r="H22" s="1404"/>
      <c r="I22" s="1404"/>
      <c r="J22" s="1404"/>
      <c r="K22" s="1404"/>
      <c r="L22" s="1405"/>
      <c r="O22" s="1415"/>
      <c r="P22" s="1416"/>
      <c r="Q22" s="1416"/>
      <c r="R22" s="1416"/>
      <c r="S22" s="1416"/>
      <c r="T22" s="1416"/>
      <c r="U22" s="1416"/>
      <c r="V22" s="1417"/>
      <c r="X22" s="126"/>
    </row>
    <row r="23" spans="2:72" ht="15" customHeight="1">
      <c r="B23" s="1403"/>
      <c r="C23" s="1404"/>
      <c r="D23" s="1404"/>
      <c r="E23" s="1404"/>
      <c r="F23" s="1404"/>
      <c r="G23" s="1404"/>
      <c r="H23" s="1404"/>
      <c r="I23" s="1404"/>
      <c r="J23" s="1404"/>
      <c r="K23" s="1404"/>
      <c r="L23" s="1405"/>
      <c r="O23" s="1415"/>
      <c r="P23" s="1416"/>
      <c r="Q23" s="1416"/>
      <c r="R23" s="1416"/>
      <c r="S23" s="1416"/>
      <c r="T23" s="1416"/>
      <c r="U23" s="1416"/>
      <c r="V23" s="1417"/>
      <c r="X23" s="126"/>
    </row>
    <row r="24" spans="2:72" ht="15" customHeight="1">
      <c r="B24" s="1403"/>
      <c r="C24" s="1404"/>
      <c r="D24" s="1404"/>
      <c r="E24" s="1404"/>
      <c r="F24" s="1404"/>
      <c r="G24" s="1404"/>
      <c r="H24" s="1404"/>
      <c r="I24" s="1404"/>
      <c r="J24" s="1404"/>
      <c r="K24" s="1404"/>
      <c r="L24" s="1405"/>
      <c r="O24" s="1418"/>
      <c r="P24" s="1419"/>
      <c r="Q24" s="1419"/>
      <c r="R24" s="1419"/>
      <c r="S24" s="1419"/>
      <c r="T24" s="1419"/>
      <c r="U24" s="1419"/>
      <c r="V24" s="1420"/>
      <c r="X24" s="126"/>
    </row>
    <row r="25" spans="2:72" ht="15" customHeight="1">
      <c r="B25" s="1403"/>
      <c r="C25" s="1404"/>
      <c r="D25" s="1404"/>
      <c r="E25" s="1404"/>
      <c r="F25" s="1404"/>
      <c r="G25" s="1404"/>
      <c r="H25" s="1404"/>
      <c r="I25" s="1404"/>
      <c r="J25" s="1404"/>
      <c r="K25" s="1404"/>
      <c r="L25" s="1405"/>
      <c r="Q25" s="126"/>
      <c r="R25" s="126"/>
      <c r="V25" s="126"/>
      <c r="X25" s="126"/>
    </row>
    <row r="26" spans="2:72" ht="15" customHeight="1">
      <c r="B26" s="1403"/>
      <c r="C26" s="1404"/>
      <c r="D26" s="1404"/>
      <c r="E26" s="1404"/>
      <c r="F26" s="1404"/>
      <c r="G26" s="1404"/>
      <c r="H26" s="1404"/>
      <c r="I26" s="1404"/>
      <c r="J26" s="1404"/>
      <c r="K26" s="1404"/>
      <c r="L26" s="1405"/>
      <c r="Q26" s="126"/>
      <c r="R26" s="126"/>
      <c r="V26" s="126"/>
      <c r="X26" s="126"/>
    </row>
    <row r="27" spans="2:72" ht="20" customHeight="1">
      <c r="B27" s="1403"/>
      <c r="C27" s="1404"/>
      <c r="D27" s="1404"/>
      <c r="E27" s="1404"/>
      <c r="F27" s="1404"/>
      <c r="G27" s="1404"/>
      <c r="H27" s="1404"/>
      <c r="I27" s="1404"/>
      <c r="J27" s="1404"/>
      <c r="K27" s="1404"/>
      <c r="L27" s="1405"/>
      <c r="Q27" s="126"/>
      <c r="R27" s="126"/>
      <c r="V27" s="126"/>
      <c r="X27" s="126"/>
    </row>
    <row r="28" spans="2:72" ht="20" customHeight="1">
      <c r="B28" s="1403"/>
      <c r="C28" s="1404"/>
      <c r="D28" s="1404"/>
      <c r="E28" s="1404"/>
      <c r="F28" s="1404"/>
      <c r="G28" s="1404"/>
      <c r="H28" s="1404"/>
      <c r="I28" s="1404"/>
      <c r="J28" s="1404"/>
      <c r="K28" s="1404"/>
      <c r="L28" s="1405"/>
      <c r="Q28" s="126"/>
      <c r="R28" s="126"/>
      <c r="V28" s="126"/>
      <c r="X28" s="126"/>
    </row>
    <row r="29" spans="2:72" ht="40" customHeight="1">
      <c r="B29" s="1403"/>
      <c r="C29" s="1404"/>
      <c r="D29" s="1404"/>
      <c r="E29" s="1404"/>
      <c r="F29" s="1404"/>
      <c r="G29" s="1404"/>
      <c r="H29" s="1404"/>
      <c r="I29" s="1404"/>
      <c r="J29" s="1404"/>
      <c r="K29" s="1404"/>
      <c r="L29" s="1405"/>
      <c r="Q29" s="126"/>
      <c r="R29" s="126"/>
      <c r="V29" s="126"/>
      <c r="X29" s="126"/>
    </row>
    <row r="30" spans="2:72" ht="15" customHeight="1">
      <c r="B30" s="1406"/>
      <c r="C30" s="1407"/>
      <c r="D30" s="1407"/>
      <c r="E30" s="1407"/>
      <c r="F30" s="1407"/>
      <c r="G30" s="1407"/>
      <c r="H30" s="1407"/>
      <c r="I30" s="1407"/>
      <c r="J30" s="1407"/>
      <c r="K30" s="1407"/>
      <c r="L30" s="1408"/>
      <c r="Q30" s="126"/>
      <c r="R30" s="126"/>
      <c r="V30" s="126"/>
      <c r="X30" s="126"/>
    </row>
    <row r="31" spans="2:72" ht="6" customHeight="1">
      <c r="K31" s="148"/>
      <c r="L31" s="148"/>
      <c r="M31" s="148"/>
      <c r="N31" s="148"/>
      <c r="Q31" s="126"/>
      <c r="R31" s="126"/>
      <c r="V31" s="126"/>
      <c r="X31" s="126"/>
    </row>
    <row r="32" spans="2:72" s="159" customFormat="1" ht="15" customHeight="1">
      <c r="B32" s="1280" t="s">
        <v>585</v>
      </c>
      <c r="C32" s="1280"/>
      <c r="D32" s="1280"/>
      <c r="E32" s="1280"/>
      <c r="F32" s="1280"/>
      <c r="G32" s="1280"/>
      <c r="H32" s="1280"/>
      <c r="I32" s="1280"/>
      <c r="J32" s="1280"/>
      <c r="K32" s="1280"/>
      <c r="L32" s="1280"/>
      <c r="M32" s="148"/>
      <c r="N32" s="148"/>
      <c r="O32" s="126"/>
      <c r="P32" s="126"/>
      <c r="Q32" s="126"/>
      <c r="R32" s="126"/>
      <c r="S32" s="126"/>
      <c r="T32" s="126"/>
      <c r="U32" s="126"/>
      <c r="V32" s="126"/>
      <c r="W32" s="126"/>
    </row>
    <row r="33" spans="2:50" ht="6" customHeight="1">
      <c r="M33" s="148"/>
      <c r="N33" s="148"/>
      <c r="O33" s="159"/>
      <c r="P33" s="159"/>
      <c r="Q33" s="159"/>
      <c r="R33" s="159"/>
      <c r="S33" s="159"/>
      <c r="T33" s="159"/>
      <c r="U33" s="159"/>
      <c r="V33" s="159"/>
      <c r="W33" s="159"/>
      <c r="X33" s="126"/>
    </row>
    <row r="34" spans="2:50" ht="30" customHeight="1">
      <c r="B34" s="1273" t="s">
        <v>589</v>
      </c>
      <c r="C34" s="1273"/>
      <c r="D34" s="1357" t="s">
        <v>1181</v>
      </c>
      <c r="E34" s="1391"/>
      <c r="F34" s="1358"/>
      <c r="G34" s="1357" t="s">
        <v>596</v>
      </c>
      <c r="H34" s="1391"/>
      <c r="I34" s="1391"/>
      <c r="J34" s="1358"/>
      <c r="K34" s="1357" t="s">
        <v>1793</v>
      </c>
      <c r="L34" s="1358"/>
      <c r="M34" s="148"/>
      <c r="N34" s="148"/>
      <c r="O34" s="1357" t="s">
        <v>591</v>
      </c>
      <c r="P34" s="1358"/>
      <c r="Q34" s="148" t="s">
        <v>1017</v>
      </c>
      <c r="R34" s="126"/>
      <c r="V34" s="126"/>
      <c r="X34" s="126"/>
    </row>
    <row r="35" spans="2:50" ht="15" customHeight="1">
      <c r="B35" s="582" t="s">
        <v>590</v>
      </c>
      <c r="C35" s="586">
        <f>ENERGÍA!C37</f>
        <v>0</v>
      </c>
      <c r="D35" s="1385" t="e">
        <f>O35/G35</f>
        <v>#N/A</v>
      </c>
      <c r="E35" s="1386"/>
      <c r="F35" s="1387"/>
      <c r="G35" s="1388">
        <f>ENERGÍA!H37+ENERGÍA!L37</f>
        <v>0</v>
      </c>
      <c r="H35" s="1389"/>
      <c r="I35" s="1389"/>
      <c r="J35" s="1390"/>
      <c r="K35" s="1388" t="e">
        <f>VLOOKUP(C35,BASE!$ER$5:$FE$20,2,FALSE)</f>
        <v>#N/A</v>
      </c>
      <c r="L35" s="1390"/>
      <c r="M35" s="148"/>
      <c r="N35" s="148"/>
      <c r="O35" s="1383" t="e">
        <f>G35*(K35)</f>
        <v>#N/A</v>
      </c>
      <c r="P35" s="1384"/>
      <c r="Q35" s="580" t="e">
        <f>VLOOKUP(C35,BASE!$ER$5:$FE$20,3,FALSE)</f>
        <v>#N/A</v>
      </c>
      <c r="R35" s="580" t="e">
        <f>IF($B$9=1,'LINEAS BASE 1 y 2'!R35,IF($B$9=2,'LINEAS BASE 1 y 2'!R35,IF($B$9=3,'LINEAS BASE 3'!R35,IF($B$9=4,'LINEAS BASE 4'!R35,IF($B$9=5,'LINEAS BASE 5'!R35,'LINEAS BASE 6'!R35)))))</f>
        <v>#N/A</v>
      </c>
      <c r="V35" s="126"/>
      <c r="X35" s="126"/>
      <c r="AR35" s="126">
        <f t="shared" ref="AR35:AW38" si="2">IF(A35=0,1,0)</f>
        <v>1</v>
      </c>
      <c r="AS35" s="126">
        <f t="shared" si="2"/>
        <v>0</v>
      </c>
      <c r="AT35" s="126">
        <f t="shared" si="2"/>
        <v>1</v>
      </c>
      <c r="AU35" s="126" t="e">
        <f t="shared" si="2"/>
        <v>#N/A</v>
      </c>
      <c r="AV35" s="126">
        <f t="shared" si="2"/>
        <v>1</v>
      </c>
      <c r="AW35" s="126">
        <f t="shared" si="2"/>
        <v>1</v>
      </c>
      <c r="AX35" s="126">
        <f>IF(G35=0,1,0)</f>
        <v>1</v>
      </c>
    </row>
    <row r="36" spans="2:50" ht="15" customHeight="1">
      <c r="B36" s="582" t="s">
        <v>586</v>
      </c>
      <c r="C36" s="586">
        <f>ENERGÍA!C38</f>
        <v>0</v>
      </c>
      <c r="D36" s="1385" t="e">
        <f t="shared" ref="D36:D38" si="3">O36/G36</f>
        <v>#N/A</v>
      </c>
      <c r="E36" s="1386"/>
      <c r="F36" s="1387"/>
      <c r="G36" s="1388">
        <f>ENERGÍA!H38+ENERGÍA!L38</f>
        <v>0</v>
      </c>
      <c r="H36" s="1389"/>
      <c r="I36" s="1389"/>
      <c r="J36" s="1390"/>
      <c r="K36" s="1388" t="e">
        <f>VLOOKUP(C36,BASE!$ER$5:$FE$20,2,FALSE)</f>
        <v>#N/A</v>
      </c>
      <c r="L36" s="1390"/>
      <c r="M36" s="148"/>
      <c r="N36" s="148"/>
      <c r="O36" s="1383" t="e">
        <f t="shared" ref="O36:O38" si="4">G36*(K36)</f>
        <v>#N/A</v>
      </c>
      <c r="P36" s="1384"/>
      <c r="Q36" s="580" t="e">
        <f>VLOOKUP(C36,BASE!$ER$5:$FE$20,3,FALSE)</f>
        <v>#N/A</v>
      </c>
      <c r="R36" s="580" t="e">
        <f>IF($B$9=1,'LINEAS BASE 1 y 2'!R36,IF($B$9=2,'LINEAS BASE 1 y 2'!R36,IF($B$9=3,'LINEAS BASE 3'!R36,IF($B$9=4,'LINEAS BASE 4'!R36,IF($B$9=5,'LINEAS BASE 5'!R36,'LINEAS BASE 6'!R36)))))</f>
        <v>#N/A</v>
      </c>
      <c r="V36" s="126"/>
      <c r="X36" s="126"/>
      <c r="AR36" s="126">
        <f t="shared" si="2"/>
        <v>1</v>
      </c>
      <c r="AS36" s="126">
        <f t="shared" si="2"/>
        <v>0</v>
      </c>
      <c r="AT36" s="126">
        <f t="shared" si="2"/>
        <v>1</v>
      </c>
      <c r="AU36" s="126" t="e">
        <f t="shared" si="2"/>
        <v>#N/A</v>
      </c>
      <c r="AV36" s="126">
        <f t="shared" si="2"/>
        <v>1</v>
      </c>
      <c r="AW36" s="126">
        <f t="shared" si="2"/>
        <v>1</v>
      </c>
      <c r="AX36" s="126">
        <f>IF(G36=0,1,0)</f>
        <v>1</v>
      </c>
    </row>
    <row r="37" spans="2:50" ht="15" customHeight="1">
      <c r="B37" s="582" t="s">
        <v>587</v>
      </c>
      <c r="C37" s="586">
        <f>ENERGÍA!C39</f>
        <v>0</v>
      </c>
      <c r="D37" s="1385" t="e">
        <f t="shared" si="3"/>
        <v>#N/A</v>
      </c>
      <c r="E37" s="1386"/>
      <c r="F37" s="1387"/>
      <c r="G37" s="1388">
        <f>ENERGÍA!H39+ENERGÍA!L39</f>
        <v>0</v>
      </c>
      <c r="H37" s="1389"/>
      <c r="I37" s="1389"/>
      <c r="J37" s="1390"/>
      <c r="K37" s="1388" t="e">
        <f>VLOOKUP(C37,BASE!$ER$5:$FE$20,2,FALSE)</f>
        <v>#N/A</v>
      </c>
      <c r="L37" s="1390"/>
      <c r="M37" s="148"/>
      <c r="N37" s="148"/>
      <c r="O37" s="1383" t="e">
        <f t="shared" si="4"/>
        <v>#N/A</v>
      </c>
      <c r="P37" s="1384"/>
      <c r="Q37" s="580" t="e">
        <f>VLOOKUP(C37,BASE!$ER$5:$FE$20,3,FALSE)</f>
        <v>#N/A</v>
      </c>
      <c r="R37" s="580" t="e">
        <f>IF($B$9=1,'LINEAS BASE 1 y 2'!R37,IF($B$9=2,'LINEAS BASE 1 y 2'!R37,IF($B$9=3,'LINEAS BASE 3'!R37,IF($B$9=4,'LINEAS BASE 4'!R37,IF($B$9=5,'LINEAS BASE 5'!R37,'LINEAS BASE 6'!R37)))))</f>
        <v>#N/A</v>
      </c>
      <c r="V37" s="126"/>
      <c r="X37" s="126"/>
      <c r="AR37" s="126">
        <f t="shared" si="2"/>
        <v>1</v>
      </c>
      <c r="AS37" s="126">
        <f t="shared" si="2"/>
        <v>0</v>
      </c>
      <c r="AT37" s="126">
        <f t="shared" si="2"/>
        <v>1</v>
      </c>
      <c r="AU37" s="126" t="e">
        <f t="shared" si="2"/>
        <v>#N/A</v>
      </c>
      <c r="AV37" s="126">
        <f t="shared" si="2"/>
        <v>1</v>
      </c>
      <c r="AW37" s="126">
        <f t="shared" si="2"/>
        <v>1</v>
      </c>
      <c r="AX37" s="126">
        <f>IF(G37=0,1,0)</f>
        <v>1</v>
      </c>
    </row>
    <row r="38" spans="2:50" ht="15" customHeight="1">
      <c r="B38" s="582" t="s">
        <v>588</v>
      </c>
      <c r="C38" s="586">
        <f>ENERGÍA!C40</f>
        <v>0</v>
      </c>
      <c r="D38" s="1385" t="e">
        <f t="shared" si="3"/>
        <v>#N/A</v>
      </c>
      <c r="E38" s="1386"/>
      <c r="F38" s="1387"/>
      <c r="G38" s="1388">
        <f>ENERGÍA!H40+ENERGÍA!L40</f>
        <v>0</v>
      </c>
      <c r="H38" s="1389"/>
      <c r="I38" s="1389"/>
      <c r="J38" s="1390"/>
      <c r="K38" s="1388" t="e">
        <f>VLOOKUP(C38,BASE!$ER$5:$FE$20,2,FALSE)</f>
        <v>#N/A</v>
      </c>
      <c r="L38" s="1390"/>
      <c r="M38" s="148"/>
      <c r="N38" s="148"/>
      <c r="O38" s="1383" t="e">
        <f t="shared" si="4"/>
        <v>#N/A</v>
      </c>
      <c r="P38" s="1384"/>
      <c r="Q38" s="580" t="e">
        <f>VLOOKUP(C38,BASE!$ER$5:$FE$20,3,FALSE)</f>
        <v>#N/A</v>
      </c>
      <c r="R38" s="580" t="e">
        <f>IF($B$9=1,'LINEAS BASE 1 y 2'!R38,IF($B$9=2,'LINEAS BASE 1 y 2'!R38,IF($B$9=3,'LINEAS BASE 3'!R38,IF($B$9=4,'LINEAS BASE 4'!R38,IF($B$9=5,'LINEAS BASE 5'!R38,'LINEAS BASE 6'!R38)))))</f>
        <v>#N/A</v>
      </c>
      <c r="V38" s="126"/>
      <c r="X38" s="126"/>
      <c r="AR38" s="126">
        <f t="shared" si="2"/>
        <v>1</v>
      </c>
      <c r="AS38" s="126">
        <f t="shared" si="2"/>
        <v>0</v>
      </c>
      <c r="AT38" s="126">
        <f t="shared" si="2"/>
        <v>1</v>
      </c>
      <c r="AU38" s="126" t="e">
        <f t="shared" si="2"/>
        <v>#N/A</v>
      </c>
      <c r="AV38" s="126">
        <f t="shared" si="2"/>
        <v>1</v>
      </c>
      <c r="AW38" s="126">
        <f t="shared" si="2"/>
        <v>1</v>
      </c>
      <c r="AX38" s="126">
        <f>IF(G38=0,1,0)</f>
        <v>1</v>
      </c>
    </row>
    <row r="39" spans="2:50" ht="6" customHeight="1">
      <c r="B39" s="582"/>
      <c r="C39" s="148"/>
      <c r="D39" s="176"/>
      <c r="E39" s="176"/>
      <c r="F39" s="176"/>
      <c r="G39" s="176"/>
      <c r="H39" s="176"/>
      <c r="I39" s="176"/>
      <c r="J39" s="587"/>
      <c r="K39" s="587"/>
      <c r="L39" s="587"/>
      <c r="M39" s="148"/>
      <c r="N39" s="148"/>
      <c r="X39" s="126"/>
    </row>
    <row r="40" spans="2:50" s="159" customFormat="1" ht="15" customHeight="1">
      <c r="B40" s="1280" t="s">
        <v>592</v>
      </c>
      <c r="C40" s="1280"/>
      <c r="D40" s="1280"/>
      <c r="E40" s="1280"/>
      <c r="F40" s="1280"/>
      <c r="G40" s="1280"/>
      <c r="H40" s="1280"/>
      <c r="I40" s="1280"/>
      <c r="J40" s="1280"/>
      <c r="K40" s="1280"/>
      <c r="L40" s="1280"/>
      <c r="M40" s="148"/>
      <c r="N40" s="148"/>
      <c r="O40" s="1317" t="s">
        <v>592</v>
      </c>
      <c r="P40" s="1318"/>
      <c r="Q40" s="1318"/>
      <c r="R40" s="1318"/>
      <c r="S40" s="1318"/>
      <c r="T40" s="1318"/>
      <c r="U40" s="1318"/>
      <c r="V40" s="1318"/>
      <c r="W40" s="1319"/>
      <c r="Y40" s="1280" t="s">
        <v>894</v>
      </c>
      <c r="Z40" s="1280"/>
      <c r="AA40" s="1280"/>
      <c r="AB40" s="1280"/>
      <c r="AC40" s="1280"/>
      <c r="AD40" s="1280"/>
      <c r="AE40" s="1280"/>
      <c r="AG40" s="1357" t="s">
        <v>762</v>
      </c>
      <c r="AH40" s="1391"/>
      <c r="AI40" s="1391"/>
      <c r="AJ40" s="1358"/>
    </row>
    <row r="41" spans="2:50" ht="6" customHeight="1">
      <c r="O41" s="148"/>
      <c r="P41" s="581"/>
      <c r="Q41" s="126"/>
      <c r="R41" s="126"/>
      <c r="V41" s="148"/>
    </row>
    <row r="42" spans="2:50" ht="15" customHeight="1">
      <c r="B42" s="1323" t="s">
        <v>218</v>
      </c>
      <c r="C42" s="1323"/>
      <c r="D42" s="1323"/>
      <c r="E42" s="1323"/>
      <c r="F42" s="1323"/>
      <c r="G42" s="1323"/>
      <c r="H42" s="1323"/>
      <c r="I42" s="1323"/>
      <c r="J42" s="1323"/>
      <c r="K42" s="1323"/>
      <c r="L42" s="1323"/>
      <c r="O42" s="1320" t="s">
        <v>218</v>
      </c>
      <c r="P42" s="1321"/>
      <c r="Q42" s="1321"/>
      <c r="R42" s="1321"/>
      <c r="S42" s="1321"/>
      <c r="T42" s="1321"/>
      <c r="U42" s="1321"/>
      <c r="V42" s="1321"/>
      <c r="W42" s="1322"/>
      <c r="Y42" s="1350" t="s">
        <v>1139</v>
      </c>
      <c r="Z42" s="1350"/>
      <c r="AA42" s="1350"/>
      <c r="AB42" s="1350"/>
      <c r="AC42" s="1350"/>
      <c r="AD42" s="588" t="s">
        <v>999</v>
      </c>
      <c r="AE42" s="175" t="e">
        <f>AE44</f>
        <v>#N/A</v>
      </c>
      <c r="AG42" s="166"/>
      <c r="AH42" s="166" t="s">
        <v>996</v>
      </c>
      <c r="AI42" s="166" t="s">
        <v>1519</v>
      </c>
      <c r="AJ42" s="166" t="s">
        <v>1520</v>
      </c>
    </row>
    <row r="43" spans="2:50" ht="6" customHeight="1">
      <c r="B43" s="584"/>
      <c r="C43" s="584"/>
      <c r="D43" s="584"/>
      <c r="E43" s="126"/>
      <c r="O43" s="148"/>
      <c r="P43" s="581"/>
      <c r="Q43" s="584"/>
      <c r="R43" s="584"/>
      <c r="AG43" s="148"/>
      <c r="AH43" s="148"/>
      <c r="AI43" s="148"/>
      <c r="AJ43" s="148"/>
    </row>
    <row r="44" spans="2:50" s="166" customFormat="1" ht="15" customHeight="1">
      <c r="B44" s="1360"/>
      <c r="C44" s="1363" t="s">
        <v>222</v>
      </c>
      <c r="D44" s="1364"/>
      <c r="E44" s="1364"/>
      <c r="F44" s="1364"/>
      <c r="G44" s="1365"/>
      <c r="H44" s="1357" t="s">
        <v>1788</v>
      </c>
      <c r="I44" s="1358"/>
      <c r="J44" s="1360" t="s">
        <v>594</v>
      </c>
      <c r="K44" s="1360" t="s">
        <v>1356</v>
      </c>
      <c r="L44" s="1275" t="s">
        <v>644</v>
      </c>
      <c r="O44" s="1360" t="s">
        <v>1354</v>
      </c>
      <c r="P44" s="1360" t="s">
        <v>729</v>
      </c>
      <c r="Q44" s="1360" t="s">
        <v>849</v>
      </c>
      <c r="R44" s="1360" t="s">
        <v>850</v>
      </c>
      <c r="S44" s="1360" t="s">
        <v>1357</v>
      </c>
      <c r="T44" s="1360" t="s">
        <v>851</v>
      </c>
      <c r="U44" s="1360" t="s">
        <v>891</v>
      </c>
      <c r="V44" s="1360" t="s">
        <v>1359</v>
      </c>
      <c r="Y44" s="1275" t="s">
        <v>1140</v>
      </c>
      <c r="Z44" s="1344" t="e">
        <f>AW90</f>
        <v>#N/A</v>
      </c>
      <c r="AA44" s="1345"/>
      <c r="AB44" s="1275" t="s">
        <v>895</v>
      </c>
      <c r="AC44" s="1286">
        <f>AW74</f>
        <v>-24</v>
      </c>
      <c r="AD44" s="1379" t="s">
        <v>1023</v>
      </c>
      <c r="AE44" s="1381" t="e">
        <f>Z44*AC44</f>
        <v>#N/A</v>
      </c>
      <c r="AG44" s="148" t="str">
        <f>Y52</f>
        <v>Agua Caliente</v>
      </c>
      <c r="AH44" s="148">
        <v>933</v>
      </c>
      <c r="AI44" s="148">
        <v>450</v>
      </c>
      <c r="AJ44" s="148">
        <f>IF(Z52=1,15,0)</f>
        <v>0</v>
      </c>
    </row>
    <row r="45" spans="2:50" s="166" customFormat="1" ht="15" customHeight="1">
      <c r="B45" s="1361"/>
      <c r="C45" s="1366"/>
      <c r="D45" s="1367"/>
      <c r="E45" s="1367"/>
      <c r="F45" s="1367"/>
      <c r="G45" s="1368"/>
      <c r="H45" s="166" t="s">
        <v>749</v>
      </c>
      <c r="I45" s="166" t="s">
        <v>750</v>
      </c>
      <c r="J45" s="1361"/>
      <c r="K45" s="1361"/>
      <c r="L45" s="1277"/>
      <c r="O45" s="1361"/>
      <c r="P45" s="1361"/>
      <c r="Q45" s="1361"/>
      <c r="R45" s="1361"/>
      <c r="S45" s="1361"/>
      <c r="T45" s="1361"/>
      <c r="U45" s="1361"/>
      <c r="V45" s="1361"/>
      <c r="Y45" s="1277"/>
      <c r="Z45" s="1348"/>
      <c r="AA45" s="1349"/>
      <c r="AB45" s="1277"/>
      <c r="AC45" s="1288"/>
      <c r="AD45" s="1380"/>
      <c r="AE45" s="1382"/>
    </row>
    <row r="46" spans="2:50" ht="15" customHeight="1">
      <c r="B46" s="581" t="s">
        <v>228</v>
      </c>
      <c r="C46" s="1359"/>
      <c r="D46" s="1359"/>
      <c r="E46" s="1359"/>
      <c r="F46" s="1359"/>
      <c r="G46" s="1359"/>
      <c r="H46" s="1344" t="s">
        <v>2044</v>
      </c>
      <c r="I46" s="1345"/>
      <c r="J46" s="589">
        <f>ENERGÍA!L50</f>
        <v>0</v>
      </c>
      <c r="K46" s="589">
        <f>ENERGÍA!M50</f>
        <v>0</v>
      </c>
      <c r="L46" s="589"/>
      <c r="O46" s="176">
        <f>IF(J46=0,0,VLOOKUP(K46,adyacentem,2,FALSE))</f>
        <v>0</v>
      </c>
      <c r="P46" s="590">
        <f>IF(J46=0,0,IF($B$9=1,'Materiales Personalizados'!$AA$62,IF($B$9=2,'Materiales Personalizados'!$AA$62,IF($B$9=3,'Materiales Personalizados'!$AA$63,IF($B$9=4,'Materiales Personalizados'!$AA$63,IF($B$9=5,'Materiales Personalizados'!$AA$64,'Materiales Personalizados'!$AA$64))))))</f>
        <v>0</v>
      </c>
      <c r="Q46" s="176">
        <f>IF('BASE DE DATOS'!GI6="A",'Materiales Personalizados'!BA37,IF('BASE DE DATOS'!GI6="B",'Materiales Personalizados'!BA38,'Materiales Personalizados'!$BA$39))</f>
        <v>1</v>
      </c>
      <c r="R46" s="590">
        <f>Q46*J46</f>
        <v>0</v>
      </c>
      <c r="S46" s="590">
        <f>IF(J46=0,0,(O46*R46))</f>
        <v>0</v>
      </c>
      <c r="T46" s="590" t="e">
        <f>IF('BASE DE DATOS'!GI6="A",'Materiales Personalizados'!BA43,IF('BASE DE DATOS'!GI6="B",'Materiales Personalizados'!BA44,'Materiales Personalizados'!BA45))</f>
        <v>#N/A</v>
      </c>
      <c r="U46" s="590" t="e">
        <f>T46*J46</f>
        <v>#N/A</v>
      </c>
      <c r="V46" s="590">
        <f>IF(J46=0,0,U46*O46)</f>
        <v>0</v>
      </c>
      <c r="W46" s="581"/>
      <c r="X46" s="580">
        <f>IF(J46&gt;0,1,0)</f>
        <v>0</v>
      </c>
      <c r="AG46" s="148" t="str">
        <f>Y54</f>
        <v>Cocina</v>
      </c>
      <c r="AH46" s="148">
        <v>977</v>
      </c>
      <c r="AI46" s="148">
        <v>472</v>
      </c>
      <c r="AJ46" s="148">
        <f>IF(Z54=1,15,0)</f>
        <v>15</v>
      </c>
    </row>
    <row r="47" spans="2:50" ht="15" customHeight="1">
      <c r="B47" s="581" t="s">
        <v>229</v>
      </c>
      <c r="C47" s="1359"/>
      <c r="D47" s="1359"/>
      <c r="E47" s="1359"/>
      <c r="F47" s="1359"/>
      <c r="G47" s="1359"/>
      <c r="H47" s="1346"/>
      <c r="I47" s="1347"/>
      <c r="J47" s="589">
        <f>ENERGÍA!L51</f>
        <v>0</v>
      </c>
      <c r="K47" s="589">
        <f>ENERGÍA!M51</f>
        <v>0</v>
      </c>
      <c r="L47" s="589"/>
      <c r="O47" s="176">
        <f>IF(J47=0,0,VLOOKUP(K47,adyacentem,2,FALSE))</f>
        <v>0</v>
      </c>
      <c r="P47" s="590">
        <f>IF(J47=0,0,IF($B$9=1,'Materiales Personalizados'!$AA$62,IF($B$9=2,'Materiales Personalizados'!$AA$62,IF($B$9=3,'Materiales Personalizados'!$AA$63,IF($B$9=4,'Materiales Personalizados'!$AA$63,IF($B$9=5,'Materiales Personalizados'!$AA$64,'Materiales Personalizados'!$AA$64))))))</f>
        <v>0</v>
      </c>
      <c r="Q47" s="176">
        <f>Q46</f>
        <v>1</v>
      </c>
      <c r="R47" s="590">
        <f>Q47*J47</f>
        <v>0</v>
      </c>
      <c r="S47" s="590">
        <f t="shared" ref="S47:S48" si="5">IF(J47=0,0,(O47*R47))</f>
        <v>0</v>
      </c>
      <c r="T47" s="590" t="e">
        <f>T46</f>
        <v>#N/A</v>
      </c>
      <c r="U47" s="590" t="e">
        <f>T47*J47</f>
        <v>#N/A</v>
      </c>
      <c r="V47" s="590">
        <f t="shared" ref="V47:V48" si="6">IF(J47=0,0,U47*O47)</f>
        <v>0</v>
      </c>
      <c r="W47" s="581"/>
      <c r="X47" s="580">
        <f t="shared" ref="X47:X90" si="7">IF(J47&gt;0,1,0)</f>
        <v>0</v>
      </c>
      <c r="Y47" s="1350" t="s">
        <v>1000</v>
      </c>
      <c r="Z47" s="1350"/>
      <c r="AA47" s="1350"/>
      <c r="AB47" s="1350"/>
      <c r="AC47" s="1350"/>
      <c r="AD47" s="588" t="s">
        <v>999</v>
      </c>
      <c r="AE47" s="175">
        <f>AE66+AD60+AE52+Z60</f>
        <v>366.75</v>
      </c>
      <c r="AG47" s="148" t="str">
        <f>Y56</f>
        <v>Lavarropa</v>
      </c>
      <c r="AH47" s="148">
        <v>300</v>
      </c>
      <c r="AI47" s="148">
        <v>0</v>
      </c>
      <c r="AJ47" s="148">
        <f>IF(Z56=1,9,0)</f>
        <v>9</v>
      </c>
    </row>
    <row r="48" spans="2:50" ht="15" customHeight="1">
      <c r="B48" s="581" t="s">
        <v>631</v>
      </c>
      <c r="C48" s="1342"/>
      <c r="D48" s="1340"/>
      <c r="E48" s="1340"/>
      <c r="F48" s="1340"/>
      <c r="G48" s="1340"/>
      <c r="H48" s="1348"/>
      <c r="I48" s="1349"/>
      <c r="J48" s="589">
        <f>ENERGÍA!L52</f>
        <v>0</v>
      </c>
      <c r="K48" s="589">
        <f>ENERGÍA!M52</f>
        <v>0</v>
      </c>
      <c r="L48" s="589"/>
      <c r="O48" s="176">
        <f>IF(J48=0,0,VLOOKUP(K48,adyacentem,2,FALSE))</f>
        <v>0</v>
      </c>
      <c r="P48" s="590">
        <f>IF(J48=0,0,IF($B$9=1,'Materiales Personalizados'!$AA$62,IF($B$9=2,'Materiales Personalizados'!$AA$62,IF($B$9=3,'Materiales Personalizados'!$AA$63,IF($B$9=4,'Materiales Personalizados'!$AA$63,IF($B$9=5,'Materiales Personalizados'!$AA$64,'Materiales Personalizados'!$AA$64))))))</f>
        <v>0</v>
      </c>
      <c r="Q48" s="176">
        <f>Q47</f>
        <v>1</v>
      </c>
      <c r="R48" s="590">
        <f>Q48*J48</f>
        <v>0</v>
      </c>
      <c r="S48" s="590">
        <f t="shared" si="5"/>
        <v>0</v>
      </c>
      <c r="T48" s="590" t="e">
        <f>T47</f>
        <v>#N/A</v>
      </c>
      <c r="U48" s="590" t="e">
        <f>T48*J48</f>
        <v>#N/A</v>
      </c>
      <c r="V48" s="590">
        <f t="shared" si="6"/>
        <v>0</v>
      </c>
      <c r="W48" s="581"/>
      <c r="X48" s="580">
        <f t="shared" si="7"/>
        <v>0</v>
      </c>
      <c r="Y48" s="1350" t="s">
        <v>994</v>
      </c>
      <c r="Z48" s="1350"/>
      <c r="AA48" s="1350"/>
      <c r="AB48" s="1350"/>
      <c r="AC48" s="1350"/>
      <c r="AD48" s="1350"/>
      <c r="AE48" s="1350"/>
      <c r="AG48" s="148" t="str">
        <f>Y57</f>
        <v>Heladera</v>
      </c>
      <c r="AH48" s="148">
        <v>310</v>
      </c>
      <c r="AI48" s="148">
        <v>0</v>
      </c>
      <c r="AJ48" s="148">
        <f>IF(Z57=1,45,0)</f>
        <v>45</v>
      </c>
    </row>
    <row r="49" spans="2:49" ht="6" customHeight="1">
      <c r="O49" s="148"/>
      <c r="P49" s="581"/>
      <c r="Q49" s="126"/>
      <c r="R49" s="126"/>
      <c r="V49" s="126"/>
      <c r="X49" s="580">
        <f t="shared" si="7"/>
        <v>0</v>
      </c>
      <c r="AG49" s="148"/>
      <c r="AH49" s="148"/>
      <c r="AI49" s="148"/>
      <c r="AJ49" s="148"/>
    </row>
    <row r="50" spans="2:49" ht="15" customHeight="1">
      <c r="B50" s="1320" t="s">
        <v>219</v>
      </c>
      <c r="C50" s="1321"/>
      <c r="D50" s="1321"/>
      <c r="E50" s="1321"/>
      <c r="F50" s="1321"/>
      <c r="G50" s="1321"/>
      <c r="H50" s="1321"/>
      <c r="I50" s="1321"/>
      <c r="J50" s="1321"/>
      <c r="K50" s="1321"/>
      <c r="L50" s="1322"/>
      <c r="O50" s="1320" t="s">
        <v>219</v>
      </c>
      <c r="P50" s="1321"/>
      <c r="Q50" s="1321"/>
      <c r="R50" s="1321"/>
      <c r="S50" s="1321"/>
      <c r="T50" s="1321"/>
      <c r="U50" s="1321"/>
      <c r="V50" s="1321"/>
      <c r="W50" s="1322"/>
      <c r="X50" s="580">
        <f t="shared" si="7"/>
        <v>0</v>
      </c>
      <c r="Y50" s="148"/>
      <c r="Z50" s="148" t="s">
        <v>995</v>
      </c>
      <c r="AA50" s="148" t="s">
        <v>996</v>
      </c>
      <c r="AB50" s="148" t="s">
        <v>997</v>
      </c>
      <c r="AC50" s="148" t="s">
        <v>998</v>
      </c>
      <c r="AD50" s="148" t="s">
        <v>898</v>
      </c>
      <c r="AE50" s="591" t="s">
        <v>1023</v>
      </c>
      <c r="AJ50" s="148">
        <f>SUM(AJ44:AJ49)</f>
        <v>69</v>
      </c>
    </row>
    <row r="51" spans="2:49" ht="6" customHeight="1">
      <c r="D51" s="126"/>
      <c r="E51" s="126"/>
      <c r="K51" s="126"/>
      <c r="L51" s="126"/>
      <c r="O51" s="148"/>
      <c r="Q51" s="126"/>
      <c r="R51" s="126"/>
      <c r="V51" s="126"/>
      <c r="X51" s="580">
        <f t="shared" si="7"/>
        <v>0</v>
      </c>
      <c r="AG51" s="148"/>
      <c r="AH51" s="148"/>
      <c r="AI51" s="148"/>
      <c r="AJ51" s="148"/>
    </row>
    <row r="52" spans="2:49" ht="15" customHeight="1">
      <c r="B52" s="1323">
        <f>C35</f>
        <v>0</v>
      </c>
      <c r="C52" s="1323"/>
      <c r="D52" s="1323"/>
      <c r="E52" s="1323"/>
      <c r="F52" s="1323"/>
      <c r="G52" s="1323"/>
      <c r="H52" s="1323"/>
      <c r="I52" s="1323"/>
      <c r="J52" s="1323"/>
      <c r="K52" s="1323"/>
      <c r="L52" s="1323"/>
      <c r="O52" s="1320">
        <f>B52</f>
        <v>0</v>
      </c>
      <c r="P52" s="1321"/>
      <c r="Q52" s="1321"/>
      <c r="R52" s="1321"/>
      <c r="S52" s="1321"/>
      <c r="T52" s="1321"/>
      <c r="U52" s="1321"/>
      <c r="V52" s="1321"/>
      <c r="W52" s="1322"/>
      <c r="X52" s="580">
        <f t="shared" si="7"/>
        <v>0</v>
      </c>
      <c r="Y52" s="148" t="s">
        <v>618</v>
      </c>
      <c r="Z52" s="148">
        <f>ENERGÍA!AA56</f>
        <v>0</v>
      </c>
      <c r="AA52" s="148">
        <f>ENERGÍA!AB56</f>
        <v>933</v>
      </c>
      <c r="AB52" s="148">
        <f>ENERGÍA!AC56</f>
        <v>25</v>
      </c>
      <c r="AC52" s="148">
        <f>AA52*AB52/100</f>
        <v>233.25</v>
      </c>
      <c r="AD52" s="148">
        <f>AC52*Z52</f>
        <v>0</v>
      </c>
      <c r="AE52" s="1282">
        <f>SUM(AD52:AD57)</f>
        <v>366.75</v>
      </c>
      <c r="AG52" s="580" t="s">
        <v>1522</v>
      </c>
      <c r="AH52" s="590">
        <f>SUM(G35:J38)</f>
        <v>0</v>
      </c>
      <c r="AI52" s="590">
        <f>SUM(W56:W90)</f>
        <v>0</v>
      </c>
      <c r="AJ52" s="580">
        <f>IF(AH52=AI52,0,((AI52*100)/AH52)/1000)</f>
        <v>0</v>
      </c>
    </row>
    <row r="53" spans="2:49" ht="6" customHeight="1">
      <c r="B53" s="584"/>
      <c r="C53" s="584"/>
      <c r="D53" s="584"/>
      <c r="E53" s="126"/>
      <c r="L53" s="126"/>
      <c r="O53" s="148"/>
      <c r="P53" s="581"/>
      <c r="Q53" s="126"/>
      <c r="R53" s="126"/>
      <c r="V53" s="126"/>
      <c r="X53" s="580">
        <f t="shared" si="7"/>
        <v>0</v>
      </c>
      <c r="AE53" s="1282"/>
    </row>
    <row r="54" spans="2:49" ht="15" customHeight="1">
      <c r="B54" s="1360"/>
      <c r="C54" s="1363" t="s">
        <v>222</v>
      </c>
      <c r="D54" s="1364"/>
      <c r="E54" s="1364"/>
      <c r="F54" s="1364"/>
      <c r="G54" s="1365"/>
      <c r="H54" s="1357" t="s">
        <v>1788</v>
      </c>
      <c r="I54" s="1358"/>
      <c r="J54" s="1360" t="s">
        <v>594</v>
      </c>
      <c r="K54" s="1360" t="s">
        <v>1356</v>
      </c>
      <c r="L54" s="1275" t="s">
        <v>644</v>
      </c>
      <c r="O54" s="1360" t="s">
        <v>1354</v>
      </c>
      <c r="P54" s="1360" t="s">
        <v>729</v>
      </c>
      <c r="Q54" s="1360" t="s">
        <v>849</v>
      </c>
      <c r="R54" s="1360" t="s">
        <v>850</v>
      </c>
      <c r="S54" s="1360" t="s">
        <v>1357</v>
      </c>
      <c r="T54" s="1360" t="s">
        <v>851</v>
      </c>
      <c r="U54" s="1360" t="s">
        <v>891</v>
      </c>
      <c r="V54" s="1360" t="s">
        <v>1359</v>
      </c>
      <c r="W54" s="1360" t="s">
        <v>1358</v>
      </c>
      <c r="X54" s="580">
        <f t="shared" si="7"/>
        <v>1</v>
      </c>
      <c r="Y54" s="148" t="s">
        <v>572</v>
      </c>
      <c r="Z54" s="148">
        <f>ENERGÍA!AA58</f>
        <v>1</v>
      </c>
      <c r="AA54" s="148">
        <f>ENERGÍA!AB58</f>
        <v>977</v>
      </c>
      <c r="AB54" s="148">
        <f>ENERGÍA!AC58</f>
        <v>25</v>
      </c>
      <c r="AC54" s="148">
        <f>AA54*AB54/100</f>
        <v>244.25</v>
      </c>
      <c r="AD54" s="148">
        <f>AC54*Z54</f>
        <v>244.25</v>
      </c>
      <c r="AE54" s="1282"/>
      <c r="AG54" s="580" t="s">
        <v>1523</v>
      </c>
      <c r="AH54" s="1320" t="e">
        <f>(AVERAGEIF(X46:X90,1,P46:P90))/5</f>
        <v>#DIV/0!</v>
      </c>
      <c r="AI54" s="1321"/>
      <c r="AJ54" s="1322"/>
    </row>
    <row r="55" spans="2:49" ht="15" customHeight="1">
      <c r="B55" s="1361"/>
      <c r="C55" s="1366"/>
      <c r="D55" s="1367"/>
      <c r="E55" s="1367"/>
      <c r="F55" s="1367"/>
      <c r="G55" s="1368"/>
      <c r="H55" s="1357" t="s">
        <v>731</v>
      </c>
      <c r="I55" s="1358"/>
      <c r="J55" s="1361"/>
      <c r="K55" s="1361"/>
      <c r="L55" s="1277"/>
      <c r="O55" s="1361"/>
      <c r="P55" s="1361"/>
      <c r="Q55" s="1361"/>
      <c r="R55" s="1361"/>
      <c r="S55" s="1361"/>
      <c r="T55" s="1361"/>
      <c r="U55" s="1361"/>
      <c r="V55" s="1361"/>
      <c r="W55" s="1361"/>
      <c r="X55" s="580">
        <f t="shared" si="7"/>
        <v>0</v>
      </c>
      <c r="Y55" s="580"/>
      <c r="Z55" s="580"/>
      <c r="AA55" s="580"/>
      <c r="AB55" s="580"/>
      <c r="AC55" s="580"/>
      <c r="AD55" s="580"/>
      <c r="AE55" s="1282"/>
      <c r="AG55" s="580"/>
      <c r="AH55" s="592"/>
      <c r="AI55" s="593"/>
      <c r="AJ55" s="594"/>
    </row>
    <row r="56" spans="2:49" ht="15" customHeight="1">
      <c r="B56" s="581" t="s">
        <v>223</v>
      </c>
      <c r="C56" s="1359"/>
      <c r="D56" s="1359"/>
      <c r="E56" s="1359"/>
      <c r="F56" s="1359"/>
      <c r="G56" s="1359"/>
      <c r="H56" s="1344" t="s">
        <v>2043</v>
      </c>
      <c r="I56" s="1345"/>
      <c r="J56" s="589">
        <f>ENERGÍA!L60</f>
        <v>0</v>
      </c>
      <c r="K56" s="589">
        <f>ENERGÍA!M60</f>
        <v>0</v>
      </c>
      <c r="L56" s="589"/>
      <c r="O56" s="176">
        <f>IF(J56=0,0,VLOOKUP(K56,adyacentem,2,FALSE))</f>
        <v>0</v>
      </c>
      <c r="P56" s="590">
        <f>IF(J56=0,0,IF($B$9=1,'Materiales Personalizados'!$AA$62,IF($B$9=2,'Materiales Personalizados'!$AA$62,IF($B$9=3,'Materiales Personalizados'!$AA$63,IF($B$9=4,'Materiales Personalizados'!$AA$63,IF($B$9=5,'Materiales Personalizados'!$AA$64,'Materiales Personalizados'!$AA$64))))))</f>
        <v>0</v>
      </c>
      <c r="Q56" s="176">
        <f>IF('BASE DE DATOS'!GI7="A",'Materiales Personalizados'!AV37,IF('BASE DE DATOS'!GI7="B",'Materiales Personalizados'!AV38,'Materiales Personalizados'!$AV$39))</f>
        <v>1.85</v>
      </c>
      <c r="R56" s="590">
        <f>Q56*J56</f>
        <v>0</v>
      </c>
      <c r="S56" s="590">
        <f>IF(J56=0,0,(O56*R56))</f>
        <v>0</v>
      </c>
      <c r="T56" s="590">
        <f>Q56</f>
        <v>1.85</v>
      </c>
      <c r="U56" s="590">
        <f>T56*J56</f>
        <v>0</v>
      </c>
      <c r="V56" s="590">
        <f>IF(J56=0,0,(O56*U56))</f>
        <v>0</v>
      </c>
      <c r="W56" s="590">
        <f>IF(K56=BASE!$DA$7,J56,0)</f>
        <v>0</v>
      </c>
      <c r="X56" s="580">
        <f t="shared" si="7"/>
        <v>0</v>
      </c>
      <c r="Y56" s="148" t="s">
        <v>620</v>
      </c>
      <c r="Z56" s="148">
        <f>ENERGÍA!AA60</f>
        <v>1</v>
      </c>
      <c r="AA56" s="148">
        <f>ENERGÍA!AB60</f>
        <v>300</v>
      </c>
      <c r="AB56" s="148">
        <f>ENERGÍA!AC60</f>
        <v>15</v>
      </c>
      <c r="AC56" s="148">
        <f>AA56*AB56/100</f>
        <v>45</v>
      </c>
      <c r="AD56" s="148">
        <f>AC56*Z56</f>
        <v>45</v>
      </c>
      <c r="AE56" s="1282"/>
    </row>
    <row r="57" spans="2:49" ht="15" customHeight="1">
      <c r="B57" s="581" t="s">
        <v>224</v>
      </c>
      <c r="C57" s="1359"/>
      <c r="D57" s="1359"/>
      <c r="E57" s="1359"/>
      <c r="F57" s="1359"/>
      <c r="G57" s="1359"/>
      <c r="H57" s="1346"/>
      <c r="I57" s="1347"/>
      <c r="J57" s="589">
        <f>ENERGÍA!L61</f>
        <v>0</v>
      </c>
      <c r="K57" s="589">
        <f>ENERGÍA!M61</f>
        <v>0</v>
      </c>
      <c r="L57" s="589"/>
      <c r="O57" s="176">
        <f>IF(J57=0,0,VLOOKUP(K57,adyacentem,2,FALSE))</f>
        <v>0</v>
      </c>
      <c r="P57" s="590">
        <f>IF(J57=0,0,IF($B$9=1,'Materiales Personalizados'!$AA$62,IF($B$9=2,'Materiales Personalizados'!$AA$62,IF($B$9=3,'Materiales Personalizados'!$AA$63,IF($B$9=4,'Materiales Personalizados'!$AA$63,IF($B$9=5,'Materiales Personalizados'!$AA$64,'Materiales Personalizados'!$AA$64))))))</f>
        <v>0</v>
      </c>
      <c r="Q57" s="176">
        <f>Q56</f>
        <v>1.85</v>
      </c>
      <c r="R57" s="590">
        <f>Q57*J57</f>
        <v>0</v>
      </c>
      <c r="S57" s="590">
        <f t="shared" ref="S57:S60" si="8">IF(J57=0,0,(O57*R57))</f>
        <v>0</v>
      </c>
      <c r="T57" s="590">
        <f>Q57</f>
        <v>1.85</v>
      </c>
      <c r="U57" s="590">
        <f>T57*J57</f>
        <v>0</v>
      </c>
      <c r="V57" s="590">
        <f t="shared" ref="V57:V60" si="9">IF(J57=0,0,(O57*U57))</f>
        <v>0</v>
      </c>
      <c r="W57" s="590">
        <f>IF(K57=BASE!$DA$7,J57,0)</f>
        <v>0</v>
      </c>
      <c r="X57" s="580">
        <f t="shared" si="7"/>
        <v>0</v>
      </c>
      <c r="Y57" s="148" t="s">
        <v>619</v>
      </c>
      <c r="Z57" s="148">
        <f>ENERGÍA!AA61</f>
        <v>1</v>
      </c>
      <c r="AA57" s="148">
        <f>ENERGÍA!AB61</f>
        <v>310</v>
      </c>
      <c r="AB57" s="148">
        <f>ENERGÍA!AC61</f>
        <v>25</v>
      </c>
      <c r="AC57" s="148">
        <f>AA57*AB57/100</f>
        <v>77.5</v>
      </c>
      <c r="AD57" s="148">
        <f>AC57*Z57</f>
        <v>77.5</v>
      </c>
      <c r="AE57" s="1282"/>
    </row>
    <row r="58" spans="2:49" ht="15" customHeight="1">
      <c r="B58" s="581" t="s">
        <v>1516</v>
      </c>
      <c r="C58" s="1342"/>
      <c r="D58" s="1340"/>
      <c r="E58" s="1340"/>
      <c r="F58" s="1340"/>
      <c r="G58" s="1340"/>
      <c r="H58" s="1346"/>
      <c r="I58" s="1347"/>
      <c r="J58" s="589">
        <f>ENERGÍA!L62</f>
        <v>0</v>
      </c>
      <c r="K58" s="589">
        <f>ENERGÍA!M62</f>
        <v>0</v>
      </c>
      <c r="L58" s="589"/>
      <c r="O58" s="176">
        <f>IF(J58=0,0,VLOOKUP(K58,adyacentem,2,FALSE))</f>
        <v>0</v>
      </c>
      <c r="P58" s="590">
        <f>IF(J58=0,0,IF($B$9=1,'Materiales Personalizados'!$AA$62,IF($B$9=2,'Materiales Personalizados'!$AA$62,IF($B$9=3,'Materiales Personalizados'!$AA$63,IF($B$9=4,'Materiales Personalizados'!$AA$63,IF($B$9=5,'Materiales Personalizados'!$AA$64,'Materiales Personalizados'!$AA$64))))))</f>
        <v>0</v>
      </c>
      <c r="Q58" s="176">
        <f t="shared" ref="Q58:Q60" si="10">Q57</f>
        <v>1.85</v>
      </c>
      <c r="R58" s="590">
        <f>Q58*J58</f>
        <v>0</v>
      </c>
      <c r="S58" s="590">
        <f t="shared" si="8"/>
        <v>0</v>
      </c>
      <c r="T58" s="590">
        <f>Q58</f>
        <v>1.85</v>
      </c>
      <c r="U58" s="590">
        <f>T58*J58</f>
        <v>0</v>
      </c>
      <c r="V58" s="590">
        <f t="shared" si="9"/>
        <v>0</v>
      </c>
      <c r="W58" s="590">
        <f>IF(K58=BASE!$DA$7,J58,0)</f>
        <v>0</v>
      </c>
      <c r="X58" s="580">
        <f t="shared" si="7"/>
        <v>0</v>
      </c>
      <c r="Y58" s="581"/>
    </row>
    <row r="59" spans="2:49" ht="15" customHeight="1">
      <c r="B59" s="581" t="s">
        <v>632</v>
      </c>
      <c r="C59" s="1342"/>
      <c r="D59" s="1340"/>
      <c r="E59" s="1340"/>
      <c r="F59" s="1340"/>
      <c r="G59" s="1340"/>
      <c r="H59" s="1346"/>
      <c r="I59" s="1347"/>
      <c r="J59" s="589">
        <f>ENERGÍA!L63</f>
        <v>0</v>
      </c>
      <c r="K59" s="589">
        <f>ENERGÍA!M63</f>
        <v>0</v>
      </c>
      <c r="L59" s="589"/>
      <c r="O59" s="176">
        <f>IF(J59=0,0,VLOOKUP(K59,adyacentem,2,FALSE))</f>
        <v>0</v>
      </c>
      <c r="P59" s="590">
        <f>IF(J59=0,0,IF($B$9=1,'Materiales Personalizados'!$AA$62,IF($B$9=2,'Materiales Personalizados'!$AA$62,IF($B$9=3,'Materiales Personalizados'!$AA$63,IF($B$9=4,'Materiales Personalizados'!$AA$63,IF($B$9=5,'Materiales Personalizados'!$AA$64,'Materiales Personalizados'!$AA$64))))))</f>
        <v>0</v>
      </c>
      <c r="Q59" s="176">
        <f t="shared" si="10"/>
        <v>1.85</v>
      </c>
      <c r="R59" s="590">
        <f>Q59*J59</f>
        <v>0</v>
      </c>
      <c r="S59" s="590">
        <f t="shared" si="8"/>
        <v>0</v>
      </c>
      <c r="T59" s="590">
        <f>Q59</f>
        <v>1.85</v>
      </c>
      <c r="U59" s="590">
        <f>T59*J59</f>
        <v>0</v>
      </c>
      <c r="V59" s="590">
        <f t="shared" si="9"/>
        <v>0</v>
      </c>
      <c r="W59" s="590">
        <f>IF(K59=BASE!$DA$7,J59,0)</f>
        <v>0</v>
      </c>
      <c r="X59" s="580">
        <f t="shared" si="7"/>
        <v>0</v>
      </c>
      <c r="Y59" s="1377" t="s">
        <v>601</v>
      </c>
      <c r="Z59" s="1377"/>
      <c r="AA59" s="581"/>
      <c r="AB59" s="581"/>
      <c r="AC59" s="1377" t="s">
        <v>602</v>
      </c>
      <c r="AD59" s="1377"/>
      <c r="AE59" s="581"/>
      <c r="AG59" s="1378" t="s">
        <v>1054</v>
      </c>
      <c r="AH59" s="1378"/>
      <c r="AI59" s="1378"/>
      <c r="AJ59" s="1378"/>
      <c r="AK59" s="1378"/>
      <c r="AL59" s="1378"/>
      <c r="AM59" s="1378"/>
      <c r="AN59" s="1378"/>
      <c r="AO59" s="1378"/>
      <c r="AP59" s="1378"/>
      <c r="AQ59" s="1378"/>
      <c r="AR59" s="1378"/>
      <c r="AS59" s="1378"/>
      <c r="AV59" s="595" t="s">
        <v>888</v>
      </c>
      <c r="AW59" s="166">
        <v>18</v>
      </c>
    </row>
    <row r="60" spans="2:49" ht="15" customHeight="1">
      <c r="B60" s="581" t="s">
        <v>631</v>
      </c>
      <c r="C60" s="1342"/>
      <c r="D60" s="1340"/>
      <c r="E60" s="1340"/>
      <c r="F60" s="1340"/>
      <c r="G60" s="1340"/>
      <c r="H60" s="1348"/>
      <c r="I60" s="1349"/>
      <c r="J60" s="589">
        <f>ENERGÍA!L64</f>
        <v>0</v>
      </c>
      <c r="K60" s="589">
        <f>ENERGÍA!M64</f>
        <v>0</v>
      </c>
      <c r="L60" s="589"/>
      <c r="O60" s="176">
        <f>IF(J60=0,0,VLOOKUP(K60,adyacentem,2,FALSE))</f>
        <v>0</v>
      </c>
      <c r="P60" s="590">
        <f>IF(J60=0,0,IF($B$9=1,'Materiales Personalizados'!$AA$62,IF($B$9=2,'Materiales Personalizados'!$AA$62,IF($B$9=3,'Materiales Personalizados'!$AA$63,IF($B$9=4,'Materiales Personalizados'!$AA$63,IF($B$9=5,'Materiales Personalizados'!$AA$64,'Materiales Personalizados'!$AA$64))))))</f>
        <v>0</v>
      </c>
      <c r="Q60" s="176">
        <f t="shared" si="10"/>
        <v>1.85</v>
      </c>
      <c r="R60" s="590">
        <f>Q60*J60</f>
        <v>0</v>
      </c>
      <c r="S60" s="590">
        <f t="shared" si="8"/>
        <v>0</v>
      </c>
      <c r="T60" s="590">
        <f>Q60</f>
        <v>1.85</v>
      </c>
      <c r="U60" s="590">
        <f>T60*J60</f>
        <v>0</v>
      </c>
      <c r="V60" s="590">
        <f t="shared" si="9"/>
        <v>0</v>
      </c>
      <c r="W60" s="590">
        <f>IF(K60=BASE!$DA$7,J60,0)</f>
        <v>0</v>
      </c>
      <c r="X60" s="580">
        <f t="shared" si="7"/>
        <v>0</v>
      </c>
      <c r="Y60" s="588" t="s">
        <v>1023</v>
      </c>
      <c r="Z60" s="175">
        <f>(AB175*365)*0.55</f>
        <v>0</v>
      </c>
      <c r="AA60" s="581"/>
      <c r="AB60" s="581"/>
      <c r="AC60" s="588" t="s">
        <v>1023</v>
      </c>
      <c r="AD60" s="175">
        <f>ENERGÍA!AE64</f>
        <v>0</v>
      </c>
      <c r="AE60" s="581"/>
      <c r="AG60" s="580" t="s">
        <v>848</v>
      </c>
      <c r="AH60" s="596" t="s">
        <v>823</v>
      </c>
      <c r="AI60" s="596" t="s">
        <v>824</v>
      </c>
      <c r="AJ60" s="596" t="s">
        <v>825</v>
      </c>
      <c r="AK60" s="226" t="s">
        <v>826</v>
      </c>
      <c r="AL60" s="226" t="s">
        <v>827</v>
      </c>
      <c r="AM60" s="226" t="s">
        <v>828</v>
      </c>
      <c r="AN60" s="226" t="s">
        <v>829</v>
      </c>
      <c r="AO60" s="226" t="s">
        <v>830</v>
      </c>
      <c r="AP60" s="226" t="s">
        <v>831</v>
      </c>
      <c r="AQ60" s="226" t="s">
        <v>832</v>
      </c>
      <c r="AR60" s="226" t="s">
        <v>833</v>
      </c>
      <c r="AS60" s="226" t="s">
        <v>834</v>
      </c>
      <c r="AV60" s="595" t="s">
        <v>889</v>
      </c>
      <c r="AW60" s="166">
        <v>24</v>
      </c>
    </row>
    <row r="61" spans="2:49" ht="6" customHeight="1">
      <c r="L61" s="126"/>
      <c r="O61" s="148"/>
      <c r="P61" s="581"/>
      <c r="Q61" s="597"/>
      <c r="R61" s="597"/>
      <c r="S61" s="597"/>
      <c r="X61" s="580">
        <f t="shared" si="7"/>
        <v>0</v>
      </c>
      <c r="Y61" s="581"/>
      <c r="Z61" s="581"/>
      <c r="AA61" s="581"/>
      <c r="AB61" s="581"/>
      <c r="AC61" s="581"/>
      <c r="AD61" s="581"/>
      <c r="AE61" s="581"/>
    </row>
    <row r="62" spans="2:49" ht="15" customHeight="1">
      <c r="B62" s="1323">
        <f>C36</f>
        <v>0</v>
      </c>
      <c r="C62" s="1323"/>
      <c r="D62" s="1323"/>
      <c r="E62" s="1323"/>
      <c r="F62" s="1323"/>
      <c r="G62" s="1323"/>
      <c r="H62" s="1323"/>
      <c r="I62" s="1323"/>
      <c r="J62" s="1323"/>
      <c r="K62" s="1323"/>
      <c r="L62" s="1323"/>
      <c r="O62" s="1320">
        <f>B62</f>
        <v>0</v>
      </c>
      <c r="P62" s="1321"/>
      <c r="Q62" s="1321"/>
      <c r="R62" s="1321"/>
      <c r="S62" s="1321"/>
      <c r="T62" s="1321"/>
      <c r="U62" s="1321"/>
      <c r="V62" s="1321"/>
      <c r="W62" s="1322"/>
      <c r="X62" s="580">
        <f t="shared" si="7"/>
        <v>0</v>
      </c>
      <c r="Y62" s="581"/>
      <c r="Z62" s="581"/>
      <c r="AA62" s="581"/>
      <c r="AB62" s="581"/>
      <c r="AC62" s="581"/>
      <c r="AD62" s="581"/>
      <c r="AE62" s="581"/>
      <c r="AG62" s="598" t="s">
        <v>1035</v>
      </c>
      <c r="AH62" s="176">
        <f>ENERGÍA!AJ66</f>
        <v>0</v>
      </c>
      <c r="AI62" s="176">
        <f>ENERGÍA!AK66</f>
        <v>0</v>
      </c>
      <c r="AJ62" s="176">
        <f>ENERGÍA!AL66</f>
        <v>0</v>
      </c>
      <c r="AK62" s="176">
        <f>ENERGÍA!AM66</f>
        <v>0</v>
      </c>
      <c r="AL62" s="176">
        <f>ENERGÍA!AN66</f>
        <v>0</v>
      </c>
      <c r="AM62" s="176">
        <f>ENERGÍA!AO66</f>
        <v>0</v>
      </c>
      <c r="AN62" s="176">
        <f>ENERGÍA!AP66</f>
        <v>0</v>
      </c>
      <c r="AO62" s="176">
        <f>ENERGÍA!AQ66</f>
        <v>0</v>
      </c>
      <c r="AP62" s="176">
        <f>ENERGÍA!AR66</f>
        <v>0</v>
      </c>
      <c r="AQ62" s="176">
        <f>ENERGÍA!AS66</f>
        <v>0</v>
      </c>
      <c r="AR62" s="176">
        <f>ENERGÍA!AT66</f>
        <v>0</v>
      </c>
      <c r="AS62" s="176">
        <f>ENERGÍA!AU66</f>
        <v>0</v>
      </c>
      <c r="AV62" s="582" t="s">
        <v>1018</v>
      </c>
      <c r="AW62" s="176">
        <v>50</v>
      </c>
    </row>
    <row r="63" spans="2:49" ht="6" customHeight="1">
      <c r="B63" s="584"/>
      <c r="C63" s="584"/>
      <c r="D63" s="584"/>
      <c r="E63" s="126"/>
      <c r="K63" s="126"/>
      <c r="L63" s="126"/>
      <c r="O63" s="580"/>
      <c r="P63" s="581"/>
      <c r="Q63" s="126"/>
      <c r="R63" s="126"/>
      <c r="V63" s="126"/>
      <c r="X63" s="580">
        <f t="shared" si="7"/>
        <v>0</v>
      </c>
      <c r="AG63" s="597"/>
      <c r="AH63" s="597"/>
      <c r="AI63" s="597"/>
      <c r="AJ63" s="597"/>
      <c r="AK63" s="597"/>
      <c r="AL63" s="597"/>
      <c r="AM63" s="597"/>
      <c r="AN63" s="597"/>
      <c r="AO63" s="597"/>
      <c r="AP63" s="597"/>
      <c r="AQ63" s="597"/>
      <c r="AR63" s="597"/>
      <c r="AS63" s="597"/>
    </row>
    <row r="64" spans="2:49" ht="15" customHeight="1">
      <c r="B64" s="1360"/>
      <c r="C64" s="1363" t="s">
        <v>222</v>
      </c>
      <c r="D64" s="1364"/>
      <c r="E64" s="1364"/>
      <c r="F64" s="1364"/>
      <c r="G64" s="1365"/>
      <c r="H64" s="1357" t="s">
        <v>1788</v>
      </c>
      <c r="I64" s="1358"/>
      <c r="J64" s="1360" t="s">
        <v>594</v>
      </c>
      <c r="K64" s="1360" t="s">
        <v>1356</v>
      </c>
      <c r="L64" s="1275" t="s">
        <v>644</v>
      </c>
      <c r="O64" s="1360" t="s">
        <v>1354</v>
      </c>
      <c r="P64" s="1360" t="s">
        <v>729</v>
      </c>
      <c r="Q64" s="1360" t="s">
        <v>849</v>
      </c>
      <c r="R64" s="1360" t="s">
        <v>850</v>
      </c>
      <c r="S64" s="1360" t="s">
        <v>1357</v>
      </c>
      <c r="T64" s="1360" t="s">
        <v>851</v>
      </c>
      <c r="U64" s="1360" t="s">
        <v>891</v>
      </c>
      <c r="V64" s="1360" t="s">
        <v>1359</v>
      </c>
      <c r="W64" s="1360" t="s">
        <v>1358</v>
      </c>
      <c r="X64" s="580">
        <f t="shared" si="7"/>
        <v>1</v>
      </c>
      <c r="Y64" s="1369" t="s">
        <v>992</v>
      </c>
      <c r="Z64" s="1370"/>
      <c r="AA64" s="1370"/>
      <c r="AB64" s="1370"/>
      <c r="AC64" s="1370"/>
      <c r="AD64" s="1371"/>
      <c r="AE64" s="1375" t="s">
        <v>1023</v>
      </c>
      <c r="AG64" s="597"/>
      <c r="AH64" s="176">
        <f>IF(AH62&lt;=$AW$60,0,AH62-$AW$60)</f>
        <v>0</v>
      </c>
      <c r="AI64" s="176">
        <f t="shared" ref="AI64:AS64" si="11">IF(AI62&lt;=$AW$60,0,AI62-$AW$60)</f>
        <v>0</v>
      </c>
      <c r="AJ64" s="176">
        <f t="shared" si="11"/>
        <v>0</v>
      </c>
      <c r="AK64" s="176">
        <f t="shared" si="11"/>
        <v>0</v>
      </c>
      <c r="AL64" s="176">
        <f t="shared" si="11"/>
        <v>0</v>
      </c>
      <c r="AM64" s="176">
        <f t="shared" si="11"/>
        <v>0</v>
      </c>
      <c r="AN64" s="176">
        <f t="shared" si="11"/>
        <v>0</v>
      </c>
      <c r="AO64" s="176">
        <f t="shared" si="11"/>
        <v>0</v>
      </c>
      <c r="AP64" s="176">
        <f t="shared" si="11"/>
        <v>0</v>
      </c>
      <c r="AQ64" s="176">
        <f t="shared" si="11"/>
        <v>0</v>
      </c>
      <c r="AR64" s="176">
        <f t="shared" si="11"/>
        <v>0</v>
      </c>
      <c r="AS64" s="176">
        <f t="shared" si="11"/>
        <v>0</v>
      </c>
      <c r="AV64" s="595" t="s">
        <v>890</v>
      </c>
      <c r="AW64" s="176">
        <f>DATOS!C26*DATOS!G29</f>
        <v>0</v>
      </c>
    </row>
    <row r="65" spans="2:49" ht="15" customHeight="1">
      <c r="B65" s="1361"/>
      <c r="C65" s="1366"/>
      <c r="D65" s="1367"/>
      <c r="E65" s="1367"/>
      <c r="F65" s="1367"/>
      <c r="G65" s="1368"/>
      <c r="H65" s="1357" t="s">
        <v>731</v>
      </c>
      <c r="I65" s="1358"/>
      <c r="J65" s="1361"/>
      <c r="K65" s="1361"/>
      <c r="L65" s="1277"/>
      <c r="O65" s="1361"/>
      <c r="P65" s="1361"/>
      <c r="Q65" s="1361"/>
      <c r="R65" s="1361"/>
      <c r="S65" s="1361"/>
      <c r="T65" s="1361"/>
      <c r="U65" s="1361"/>
      <c r="V65" s="1361"/>
      <c r="W65" s="1361"/>
      <c r="X65" s="580">
        <f t="shared" si="7"/>
        <v>0</v>
      </c>
      <c r="Y65" s="1372"/>
      <c r="Z65" s="1373"/>
      <c r="AA65" s="1373"/>
      <c r="AB65" s="1373"/>
      <c r="AC65" s="1373"/>
      <c r="AD65" s="1374"/>
      <c r="AE65" s="1376"/>
      <c r="AG65" s="597"/>
      <c r="AH65" s="597"/>
      <c r="AI65" s="597"/>
      <c r="AJ65" s="597"/>
      <c r="AK65" s="597"/>
      <c r="AL65" s="597"/>
      <c r="AM65" s="597"/>
      <c r="AN65" s="597"/>
      <c r="AO65" s="597"/>
      <c r="AP65" s="597"/>
      <c r="AQ65" s="597"/>
      <c r="AR65" s="597"/>
      <c r="AS65" s="597"/>
    </row>
    <row r="66" spans="2:49" ht="15" customHeight="1">
      <c r="B66" s="581" t="s">
        <v>223</v>
      </c>
      <c r="C66" s="1359"/>
      <c r="D66" s="1359"/>
      <c r="E66" s="1359"/>
      <c r="F66" s="1359"/>
      <c r="G66" s="1359"/>
      <c r="H66" s="1344" t="s">
        <v>2043</v>
      </c>
      <c r="I66" s="1345"/>
      <c r="J66" s="589">
        <f>ENERGÍA!L70</f>
        <v>0</v>
      </c>
      <c r="K66" s="589">
        <f>ENERGÍA!M70</f>
        <v>0</v>
      </c>
      <c r="L66" s="589"/>
      <c r="O66" s="176">
        <f>IF(J66=0,0,VLOOKUP(K66,adyacentem,2,FALSE))</f>
        <v>0</v>
      </c>
      <c r="P66" s="590">
        <f>IF(J66=0,0,IF($B$9=1,'Materiales Personalizados'!$AA$62,IF($B$9=2,'Materiales Personalizados'!$AA$62,IF($B$9=3,'Materiales Personalizados'!$AA$63,IF($B$9=4,'Materiales Personalizados'!$AA$63,IF($B$9=5,'Materiales Personalizados'!$AA$64,'Materiales Personalizados'!$AA$64))))))</f>
        <v>0</v>
      </c>
      <c r="Q66" s="176">
        <f>Q60</f>
        <v>1.85</v>
      </c>
      <c r="R66" s="590">
        <f>Q66*J66</f>
        <v>0</v>
      </c>
      <c r="S66" s="590">
        <f>IF(J66=0,0,(O66*R66))</f>
        <v>0</v>
      </c>
      <c r="T66" s="590">
        <f>Q66</f>
        <v>1.85</v>
      </c>
      <c r="U66" s="590">
        <f>T66*J66</f>
        <v>0</v>
      </c>
      <c r="V66" s="590">
        <f>IF(J66=0,0,(O66*U66))</f>
        <v>0</v>
      </c>
      <c r="W66" s="590">
        <f>IF(K66=BASE!$DA$7,J66,0)</f>
        <v>0</v>
      </c>
      <c r="X66" s="580">
        <f t="shared" si="7"/>
        <v>0</v>
      </c>
      <c r="Y66" s="599" t="s">
        <v>1183</v>
      </c>
      <c r="Z66" s="148">
        <f>DATOS!C29</f>
        <v>0</v>
      </c>
      <c r="AA66" s="599" t="s">
        <v>1120</v>
      </c>
      <c r="AB66" s="1284">
        <f>ENERGÍA!AC70</f>
        <v>47</v>
      </c>
      <c r="AC66" s="1338"/>
      <c r="AD66" s="1285"/>
      <c r="AE66" s="175">
        <f>AB66*Z66</f>
        <v>0</v>
      </c>
      <c r="AG66" s="597"/>
      <c r="AH66" s="176">
        <f t="shared" ref="AH66:AS66" si="12">IF(AH62&lt;=$AW$59,(AH62-$AW$59)*-1,0)</f>
        <v>18</v>
      </c>
      <c r="AI66" s="176">
        <f t="shared" si="12"/>
        <v>18</v>
      </c>
      <c r="AJ66" s="176">
        <f t="shared" si="12"/>
        <v>18</v>
      </c>
      <c r="AK66" s="176">
        <f t="shared" si="12"/>
        <v>18</v>
      </c>
      <c r="AL66" s="176">
        <f t="shared" si="12"/>
        <v>18</v>
      </c>
      <c r="AM66" s="176">
        <f t="shared" si="12"/>
        <v>18</v>
      </c>
      <c r="AN66" s="176">
        <f t="shared" si="12"/>
        <v>18</v>
      </c>
      <c r="AO66" s="176">
        <f t="shared" si="12"/>
        <v>18</v>
      </c>
      <c r="AP66" s="176">
        <f t="shared" si="12"/>
        <v>18</v>
      </c>
      <c r="AQ66" s="176">
        <f t="shared" si="12"/>
        <v>18</v>
      </c>
      <c r="AR66" s="176">
        <f t="shared" si="12"/>
        <v>18</v>
      </c>
      <c r="AS66" s="176">
        <f t="shared" si="12"/>
        <v>18</v>
      </c>
    </row>
    <row r="67" spans="2:49" ht="15" customHeight="1">
      <c r="B67" s="581" t="s">
        <v>224</v>
      </c>
      <c r="C67" s="1359"/>
      <c r="D67" s="1359"/>
      <c r="E67" s="1359"/>
      <c r="F67" s="1359"/>
      <c r="G67" s="1359"/>
      <c r="H67" s="1346"/>
      <c r="I67" s="1347"/>
      <c r="J67" s="589">
        <f>ENERGÍA!L71</f>
        <v>0</v>
      </c>
      <c r="K67" s="589">
        <f>ENERGÍA!M71</f>
        <v>0</v>
      </c>
      <c r="L67" s="589"/>
      <c r="O67" s="176">
        <f>IF(J67=0,0,VLOOKUP(K67,adyacentem,2,FALSE))</f>
        <v>0</v>
      </c>
      <c r="P67" s="590">
        <f>IF(J67=0,0,IF($B$9=1,'Materiales Personalizados'!$AA$62,IF($B$9=2,'Materiales Personalizados'!$AA$62,IF($B$9=3,'Materiales Personalizados'!$AA$63,IF($B$9=4,'Materiales Personalizados'!$AA$63,IF($B$9=5,'Materiales Personalizados'!$AA$64,'Materiales Personalizados'!$AA$64))))))</f>
        <v>0</v>
      </c>
      <c r="Q67" s="176">
        <f>Q66</f>
        <v>1.85</v>
      </c>
      <c r="R67" s="590">
        <f>Q67*J67</f>
        <v>0</v>
      </c>
      <c r="S67" s="590">
        <f t="shared" ref="S67:S70" si="13">IF(J67=0,0,(O67*R67))</f>
        <v>0</v>
      </c>
      <c r="T67" s="590">
        <f>Q67</f>
        <v>1.85</v>
      </c>
      <c r="U67" s="590">
        <f>T67*J67</f>
        <v>0</v>
      </c>
      <c r="V67" s="590">
        <f t="shared" ref="V67:V70" si="14">IF(J67=0,0,(O67*U67))</f>
        <v>0</v>
      </c>
      <c r="W67" s="590">
        <f>IF(K67=BASE!$DA$7,J67,0)</f>
        <v>0</v>
      </c>
      <c r="X67" s="580">
        <f t="shared" si="7"/>
        <v>0</v>
      </c>
      <c r="AG67" s="598" t="s">
        <v>1028</v>
      </c>
      <c r="AH67" s="176">
        <f>-(AM67-AI67)/4+AI67</f>
        <v>0</v>
      </c>
      <c r="AI67" s="176">
        <f>ENERGÍA!AK71</f>
        <v>0</v>
      </c>
      <c r="AJ67" s="176">
        <f>(AM67-AI67)/4+AI67</f>
        <v>0</v>
      </c>
      <c r="AK67" s="176">
        <f>(AN67-AI67)*2/4+AI67</f>
        <v>0</v>
      </c>
      <c r="AL67" s="176">
        <f>(AO67-AI67)*3/4+AI67</f>
        <v>0</v>
      </c>
      <c r="AM67" s="176">
        <f>ENERGÍA!AO71</f>
        <v>0</v>
      </c>
      <c r="AN67" s="176">
        <f>(AM67-AI67)/4+AM67</f>
        <v>0</v>
      </c>
      <c r="AO67" s="176">
        <f>AM67</f>
        <v>0</v>
      </c>
      <c r="AP67" s="176">
        <f>AL67</f>
        <v>0</v>
      </c>
      <c r="AQ67" s="176">
        <f>AK67</f>
        <v>0</v>
      </c>
      <c r="AR67" s="176">
        <f>AJ67</f>
        <v>0</v>
      </c>
      <c r="AS67" s="176">
        <f>ENERGÍA!AU71</f>
        <v>0</v>
      </c>
      <c r="AV67" s="582" t="s">
        <v>986</v>
      </c>
      <c r="AW67" s="148">
        <f>ENERGÍA!AY71</f>
        <v>1</v>
      </c>
    </row>
    <row r="68" spans="2:49" ht="15" customHeight="1">
      <c r="B68" s="581" t="s">
        <v>1516</v>
      </c>
      <c r="C68" s="1342"/>
      <c r="D68" s="1340"/>
      <c r="E68" s="1340"/>
      <c r="F68" s="1340"/>
      <c r="G68" s="1340"/>
      <c r="H68" s="1346"/>
      <c r="I68" s="1347"/>
      <c r="J68" s="589">
        <f>ENERGÍA!L72</f>
        <v>0</v>
      </c>
      <c r="K68" s="589">
        <f>ENERGÍA!M72</f>
        <v>0</v>
      </c>
      <c r="L68" s="589"/>
      <c r="O68" s="176">
        <f>IF(J68=0,0,VLOOKUP(K68,adyacentem,2,FALSE))</f>
        <v>0</v>
      </c>
      <c r="P68" s="590">
        <f>IF(J68=0,0,IF($B$9=1,'Materiales Personalizados'!$AA$62,IF($B$9=2,'Materiales Personalizados'!$AA$62,IF($B$9=3,'Materiales Personalizados'!$AA$63,IF($B$9=4,'Materiales Personalizados'!$AA$63,IF($B$9=5,'Materiales Personalizados'!$AA$64,'Materiales Personalizados'!$AA$64))))))</f>
        <v>0</v>
      </c>
      <c r="Q68" s="176">
        <f t="shared" ref="Q68:Q70" si="15">Q67</f>
        <v>1.85</v>
      </c>
      <c r="R68" s="590">
        <f>Q68*J68</f>
        <v>0</v>
      </c>
      <c r="S68" s="590">
        <f t="shared" si="13"/>
        <v>0</v>
      </c>
      <c r="T68" s="590">
        <f>Q68</f>
        <v>1.85</v>
      </c>
      <c r="U68" s="590">
        <f>T68*J68</f>
        <v>0</v>
      </c>
      <c r="V68" s="590">
        <f t="shared" si="14"/>
        <v>0</v>
      </c>
      <c r="W68" s="590">
        <f>IF(K68=BASE!$DA$7,J68,0)</f>
        <v>0</v>
      </c>
      <c r="X68" s="580">
        <f t="shared" si="7"/>
        <v>0</v>
      </c>
      <c r="Y68" s="1350" t="s">
        <v>1101</v>
      </c>
      <c r="Z68" s="1350"/>
      <c r="AA68" s="1350"/>
      <c r="AB68" s="1350"/>
      <c r="AC68" s="1350"/>
      <c r="AD68" s="588" t="s">
        <v>999</v>
      </c>
      <c r="AE68" s="175" t="e">
        <f>AE70</f>
        <v>#N/A</v>
      </c>
      <c r="AG68" s="598" t="s">
        <v>1029</v>
      </c>
      <c r="AH68" s="176">
        <f t="shared" ref="AH68:AS68" si="16">(6.108*EXP((17.27*AH62)/(AH62+237.3)))*AH67/100</f>
        <v>0</v>
      </c>
      <c r="AI68" s="176">
        <f t="shared" si="16"/>
        <v>0</v>
      </c>
      <c r="AJ68" s="176">
        <f t="shared" si="16"/>
        <v>0</v>
      </c>
      <c r="AK68" s="176">
        <f t="shared" si="16"/>
        <v>0</v>
      </c>
      <c r="AL68" s="176">
        <f t="shared" si="16"/>
        <v>0</v>
      </c>
      <c r="AM68" s="176">
        <f t="shared" si="16"/>
        <v>0</v>
      </c>
      <c r="AN68" s="176">
        <f t="shared" si="16"/>
        <v>0</v>
      </c>
      <c r="AO68" s="176">
        <f t="shared" si="16"/>
        <v>0</v>
      </c>
      <c r="AP68" s="176">
        <f t="shared" si="16"/>
        <v>0</v>
      </c>
      <c r="AQ68" s="176">
        <f t="shared" si="16"/>
        <v>0</v>
      </c>
      <c r="AR68" s="176">
        <f t="shared" si="16"/>
        <v>0</v>
      </c>
      <c r="AS68" s="176">
        <f t="shared" si="16"/>
        <v>0</v>
      </c>
    </row>
    <row r="69" spans="2:49" ht="15" customHeight="1">
      <c r="B69" s="581" t="s">
        <v>632</v>
      </c>
      <c r="C69" s="1342"/>
      <c r="D69" s="1340"/>
      <c r="E69" s="1340"/>
      <c r="F69" s="1340"/>
      <c r="G69" s="1340"/>
      <c r="H69" s="1346"/>
      <c r="I69" s="1347"/>
      <c r="J69" s="589">
        <f>ENERGÍA!L73</f>
        <v>0</v>
      </c>
      <c r="K69" s="589">
        <f>ENERGÍA!M73</f>
        <v>0</v>
      </c>
      <c r="L69" s="589"/>
      <c r="O69" s="176">
        <f>IF(J69=0,0,VLOOKUP(K69,adyacentem,2,FALSE))</f>
        <v>0</v>
      </c>
      <c r="P69" s="590">
        <f>IF(J69=0,0,IF($B$9=1,'Materiales Personalizados'!$AA$62,IF($B$9=2,'Materiales Personalizados'!$AA$62,IF($B$9=3,'Materiales Personalizados'!$AA$63,IF($B$9=4,'Materiales Personalizados'!$AA$63,IF($B$9=5,'Materiales Personalizados'!$AA$64,'Materiales Personalizados'!$AA$64))))))</f>
        <v>0</v>
      </c>
      <c r="Q69" s="176">
        <f t="shared" si="15"/>
        <v>1.85</v>
      </c>
      <c r="R69" s="590">
        <f>Q69*J69</f>
        <v>0</v>
      </c>
      <c r="S69" s="590">
        <f t="shared" si="13"/>
        <v>0</v>
      </c>
      <c r="T69" s="590">
        <f>Q69</f>
        <v>1.85</v>
      </c>
      <c r="U69" s="590">
        <f>T69*J69</f>
        <v>0</v>
      </c>
      <c r="V69" s="590">
        <f t="shared" si="14"/>
        <v>0</v>
      </c>
      <c r="W69" s="590">
        <f>IF(K69=BASE!$DA$7,J69,0)</f>
        <v>0</v>
      </c>
      <c r="X69" s="580">
        <f t="shared" si="7"/>
        <v>0</v>
      </c>
      <c r="Y69" s="148" t="s">
        <v>589</v>
      </c>
      <c r="Z69" s="148" t="s">
        <v>1011</v>
      </c>
      <c r="AA69" s="148" t="s">
        <v>897</v>
      </c>
      <c r="AB69" s="1273" t="s">
        <v>1017</v>
      </c>
      <c r="AC69" s="1273"/>
      <c r="AD69" s="148" t="s">
        <v>898</v>
      </c>
      <c r="AE69" s="226" t="s">
        <v>1023</v>
      </c>
      <c r="AG69" s="598" t="s">
        <v>1030</v>
      </c>
      <c r="AH69" s="176">
        <f>622*AH68/('Modelo de Radiación Solar'!$BM$11-0.37804*AH68)</f>
        <v>0</v>
      </c>
      <c r="AI69" s="176">
        <f>622*AI68/('Modelo de Radiación Solar'!$BM$11-0.37804*AI68)</f>
        <v>0</v>
      </c>
      <c r="AJ69" s="176">
        <f>622*AJ68/('Modelo de Radiación Solar'!$BM$11-0.37804*AJ68)</f>
        <v>0</v>
      </c>
      <c r="AK69" s="176">
        <f>622*AK68/('Modelo de Radiación Solar'!$BM$11-0.37804*AK68)</f>
        <v>0</v>
      </c>
      <c r="AL69" s="176">
        <f>622*AL68/('Modelo de Radiación Solar'!$BM$11-0.37804*AL68)</f>
        <v>0</v>
      </c>
      <c r="AM69" s="176">
        <f>622*AM68/('Modelo de Radiación Solar'!$BM$11-0.37804*AM68)</f>
        <v>0</v>
      </c>
      <c r="AN69" s="176">
        <f>622*AN68/('Modelo de Radiación Solar'!$BM$11-0.37804*AN68)</f>
        <v>0</v>
      </c>
      <c r="AO69" s="176">
        <f>622*AO68/('Modelo de Radiación Solar'!$BM$11-0.37804*AO68)</f>
        <v>0</v>
      </c>
      <c r="AP69" s="176">
        <f>622*AP68/('Modelo de Radiación Solar'!$BM$11-0.37804*AP68)</f>
        <v>0</v>
      </c>
      <c r="AQ69" s="176">
        <f>622*AQ68/('Modelo de Radiación Solar'!$BM$11-0.37804*AQ68)</f>
        <v>0</v>
      </c>
      <c r="AR69" s="176">
        <f>622*AR68/('Modelo de Radiación Solar'!$BM$11-0.37804*AR68)</f>
        <v>0</v>
      </c>
      <c r="AS69" s="176">
        <f>622*AS68/('Modelo de Radiación Solar'!$BM$11-0.37804*AS68)</f>
        <v>0</v>
      </c>
      <c r="AV69" s="582" t="s">
        <v>1013</v>
      </c>
      <c r="AW69" s="148">
        <f>ENERGÍA!AY73</f>
        <v>0</v>
      </c>
    </row>
    <row r="70" spans="2:49" ht="15" customHeight="1">
      <c r="B70" s="581" t="s">
        <v>631</v>
      </c>
      <c r="C70" s="1342"/>
      <c r="D70" s="1340"/>
      <c r="E70" s="1340"/>
      <c r="F70" s="1340"/>
      <c r="G70" s="1340"/>
      <c r="H70" s="1348"/>
      <c r="I70" s="1349"/>
      <c r="J70" s="589">
        <f>ENERGÍA!L74</f>
        <v>0</v>
      </c>
      <c r="K70" s="589">
        <f>ENERGÍA!M74</f>
        <v>0</v>
      </c>
      <c r="L70" s="589"/>
      <c r="M70" s="126" t="s">
        <v>1786</v>
      </c>
      <c r="O70" s="176">
        <f>IF(J70=0,0,VLOOKUP(K70,adyacentem,2,FALSE))</f>
        <v>0</v>
      </c>
      <c r="P70" s="590">
        <f>IF(J70=0,0,IF($B$9=1,'Materiales Personalizados'!$AA$62,IF($B$9=2,'Materiales Personalizados'!$AA$62,IF($B$9=3,'Materiales Personalizados'!$AA$63,IF($B$9=4,'Materiales Personalizados'!$AA$63,IF($B$9=5,'Materiales Personalizados'!$AA$64,'Materiales Personalizados'!$AA$64))))))</f>
        <v>0</v>
      </c>
      <c r="Q70" s="176">
        <f t="shared" si="15"/>
        <v>1.85</v>
      </c>
      <c r="R70" s="590">
        <f>Q70*J70</f>
        <v>0</v>
      </c>
      <c r="S70" s="590">
        <f t="shared" si="13"/>
        <v>0</v>
      </c>
      <c r="T70" s="590">
        <f>Q70</f>
        <v>1.85</v>
      </c>
      <c r="U70" s="590">
        <f>T70*J70</f>
        <v>0</v>
      </c>
      <c r="V70" s="590">
        <f t="shared" si="14"/>
        <v>0</v>
      </c>
      <c r="W70" s="590">
        <f>IF(K70=BASE!$DA$7,J70,0)</f>
        <v>0</v>
      </c>
      <c r="X70" s="580">
        <f t="shared" si="7"/>
        <v>0</v>
      </c>
      <c r="Y70" s="148">
        <f>C35</f>
        <v>0</v>
      </c>
      <c r="Z70" s="176" t="e">
        <f>O35</f>
        <v>#N/A</v>
      </c>
      <c r="AA70" s="176" t="e">
        <f>'Modelo de Radiación Solar'!O148*'LINEA BASE MALA'!$AW$67</f>
        <v>#N/A</v>
      </c>
      <c r="AB70" s="1274" t="e">
        <f>1-AE103-AB27</f>
        <v>#N/A</v>
      </c>
      <c r="AC70" s="1274"/>
      <c r="AD70" s="176" t="e">
        <f>Z70*AA70</f>
        <v>#N/A</v>
      </c>
      <c r="AE70" s="1282" t="e">
        <f>AD70+AD72+AD74+AD76</f>
        <v>#N/A</v>
      </c>
      <c r="AG70" s="598" t="s">
        <v>1031</v>
      </c>
      <c r="AH70" s="176">
        <f>AH69-'LINEA BASE MALA'!$AW$79</f>
        <v>-9.2098978806022647</v>
      </c>
      <c r="AI70" s="176">
        <f>AI69-'LINEA BASE MALA'!$AW$79</f>
        <v>-9.2098978806022647</v>
      </c>
      <c r="AJ70" s="176">
        <f>AJ69-'LINEA BASE MALA'!$AW$79</f>
        <v>-9.2098978806022647</v>
      </c>
      <c r="AK70" s="176">
        <f>AK69-'LINEA BASE MALA'!$AW$79</f>
        <v>-9.2098978806022647</v>
      </c>
      <c r="AL70" s="176">
        <f>AL69-'LINEA BASE MALA'!$AW$79</f>
        <v>-9.2098978806022647</v>
      </c>
      <c r="AM70" s="176">
        <f>AM69-'LINEA BASE MALA'!$AW$79</f>
        <v>-9.2098978806022647</v>
      </c>
      <c r="AN70" s="176">
        <f>AN69-'LINEA BASE MALA'!$AW$79</f>
        <v>-9.2098978806022647</v>
      </c>
      <c r="AO70" s="176">
        <f>AO69-'LINEA BASE MALA'!$AW$79</f>
        <v>-9.2098978806022647</v>
      </c>
      <c r="AP70" s="176">
        <f>AP69-'LINEA BASE MALA'!$AW$79</f>
        <v>-9.2098978806022647</v>
      </c>
      <c r="AQ70" s="176">
        <f>AQ69-'LINEA BASE MALA'!$AW$79</f>
        <v>-9.2098978806022647</v>
      </c>
      <c r="AR70" s="176">
        <f>AR69-'LINEA BASE MALA'!$AW$79</f>
        <v>-9.2098978806022647</v>
      </c>
      <c r="AS70" s="176">
        <f>AS69-'LINEA BASE MALA'!$AW$79</f>
        <v>-9.2098978806022647</v>
      </c>
      <c r="AV70" s="582" t="s">
        <v>1014</v>
      </c>
      <c r="AW70" s="148">
        <f>ENERGÍA!AY74</f>
        <v>0</v>
      </c>
    </row>
    <row r="71" spans="2:49" ht="6" customHeight="1">
      <c r="L71" s="126"/>
      <c r="O71" s="580"/>
      <c r="P71" s="581"/>
      <c r="Q71" s="597"/>
      <c r="R71" s="597"/>
      <c r="S71" s="597"/>
      <c r="V71" s="126"/>
      <c r="X71" s="580">
        <f t="shared" si="7"/>
        <v>0</v>
      </c>
      <c r="AB71" s="597"/>
      <c r="AC71" s="597"/>
      <c r="AE71" s="1282"/>
      <c r="AG71" s="597"/>
      <c r="AH71" s="597"/>
      <c r="AI71" s="597"/>
      <c r="AJ71" s="597"/>
      <c r="AK71" s="597"/>
      <c r="AL71" s="597"/>
      <c r="AM71" s="597"/>
      <c r="AN71" s="597"/>
      <c r="AO71" s="597"/>
      <c r="AP71" s="597"/>
      <c r="AQ71" s="597"/>
      <c r="AR71" s="597"/>
      <c r="AS71" s="597"/>
    </row>
    <row r="72" spans="2:49" ht="15" customHeight="1">
      <c r="B72" s="1323">
        <f>C37</f>
        <v>0</v>
      </c>
      <c r="C72" s="1323"/>
      <c r="D72" s="1323"/>
      <c r="E72" s="1323"/>
      <c r="F72" s="1323"/>
      <c r="G72" s="1323"/>
      <c r="H72" s="1323"/>
      <c r="I72" s="1323"/>
      <c r="J72" s="1323"/>
      <c r="K72" s="1323"/>
      <c r="L72" s="1323"/>
      <c r="O72" s="1320">
        <f>B72</f>
        <v>0</v>
      </c>
      <c r="P72" s="1321"/>
      <c r="Q72" s="1321"/>
      <c r="R72" s="1321"/>
      <c r="S72" s="1321"/>
      <c r="T72" s="1321"/>
      <c r="U72" s="1321"/>
      <c r="V72" s="1321"/>
      <c r="W72" s="1322"/>
      <c r="X72" s="580">
        <f t="shared" si="7"/>
        <v>0</v>
      </c>
      <c r="Y72" s="148">
        <f>C36</f>
        <v>0</v>
      </c>
      <c r="Z72" s="176" t="e">
        <f>O36</f>
        <v>#N/A</v>
      </c>
      <c r="AA72" s="176" t="e">
        <f>'Modelo de Radiación Solar'!AD148*'LINEA BASE MALA'!$AW$67</f>
        <v>#N/A</v>
      </c>
      <c r="AB72" s="1274" t="e">
        <f>1-AE121-AB27</f>
        <v>#N/A</v>
      </c>
      <c r="AC72" s="1274"/>
      <c r="AD72" s="176" t="e">
        <f>Z72*AA72*AB72</f>
        <v>#N/A</v>
      </c>
      <c r="AE72" s="1282"/>
      <c r="AG72" s="598" t="s">
        <v>1121</v>
      </c>
      <c r="AH72" s="176">
        <v>31</v>
      </c>
      <c r="AI72" s="176">
        <v>28</v>
      </c>
      <c r="AJ72" s="176">
        <v>31</v>
      </c>
      <c r="AK72" s="176">
        <v>30</v>
      </c>
      <c r="AL72" s="176">
        <v>31</v>
      </c>
      <c r="AM72" s="176">
        <v>30</v>
      </c>
      <c r="AN72" s="176">
        <v>31</v>
      </c>
      <c r="AO72" s="176">
        <v>31</v>
      </c>
      <c r="AP72" s="176">
        <v>30</v>
      </c>
      <c r="AQ72" s="176">
        <v>31</v>
      </c>
      <c r="AR72" s="176">
        <v>30</v>
      </c>
      <c r="AS72" s="176">
        <v>31</v>
      </c>
      <c r="AV72" s="582" t="s">
        <v>1015</v>
      </c>
      <c r="AW72" s="176">
        <f>AW60</f>
        <v>24</v>
      </c>
    </row>
    <row r="73" spans="2:49" ht="6" customHeight="1">
      <c r="B73" s="584"/>
      <c r="C73" s="584"/>
      <c r="D73" s="584"/>
      <c r="E73" s="126"/>
      <c r="K73" s="126"/>
      <c r="L73" s="126"/>
      <c r="O73" s="580"/>
      <c r="P73" s="581"/>
      <c r="Q73" s="126"/>
      <c r="R73" s="126"/>
      <c r="V73" s="126"/>
      <c r="X73" s="580">
        <f t="shared" si="7"/>
        <v>0</v>
      </c>
      <c r="Y73" s="584"/>
      <c r="Z73" s="584"/>
      <c r="AB73" s="597"/>
      <c r="AC73" s="597"/>
      <c r="AE73" s="1282"/>
      <c r="AG73" s="597"/>
      <c r="AH73" s="597"/>
      <c r="AI73" s="597"/>
      <c r="AJ73" s="597"/>
      <c r="AK73" s="597"/>
      <c r="AL73" s="597"/>
      <c r="AM73" s="597"/>
      <c r="AN73" s="597"/>
      <c r="AO73" s="597"/>
      <c r="AP73" s="597"/>
      <c r="AQ73" s="597"/>
      <c r="AR73" s="597"/>
      <c r="AS73" s="597"/>
      <c r="AT73" s="173"/>
      <c r="AU73" s="173"/>
    </row>
    <row r="74" spans="2:49" ht="15" customHeight="1">
      <c r="B74" s="1360"/>
      <c r="C74" s="1363" t="s">
        <v>222</v>
      </c>
      <c r="D74" s="1364"/>
      <c r="E74" s="1364"/>
      <c r="F74" s="1364"/>
      <c r="G74" s="1365"/>
      <c r="H74" s="1357" t="s">
        <v>1788</v>
      </c>
      <c r="I74" s="1358"/>
      <c r="J74" s="1360" t="s">
        <v>594</v>
      </c>
      <c r="K74" s="1360" t="s">
        <v>1356</v>
      </c>
      <c r="L74" s="1275" t="s">
        <v>644</v>
      </c>
      <c r="O74" s="1360" t="s">
        <v>1354</v>
      </c>
      <c r="P74" s="1360" t="s">
        <v>729</v>
      </c>
      <c r="Q74" s="1360" t="s">
        <v>849</v>
      </c>
      <c r="R74" s="1360" t="s">
        <v>850</v>
      </c>
      <c r="S74" s="1360" t="s">
        <v>1357</v>
      </c>
      <c r="T74" s="1360" t="s">
        <v>851</v>
      </c>
      <c r="U74" s="1360" t="s">
        <v>891</v>
      </c>
      <c r="V74" s="1360" t="s">
        <v>1359</v>
      </c>
      <c r="W74" s="1360" t="s">
        <v>1358</v>
      </c>
      <c r="X74" s="580">
        <f t="shared" si="7"/>
        <v>1</v>
      </c>
      <c r="Y74" s="148">
        <f>C37</f>
        <v>0</v>
      </c>
      <c r="Z74" s="176" t="e">
        <f>O37</f>
        <v>#N/A</v>
      </c>
      <c r="AA74" s="176" t="e">
        <f>'Modelo de Radiación Solar'!AS148*'LINEA BASE MALA'!$AW$67</f>
        <v>#N/A</v>
      </c>
      <c r="AB74" s="1274" t="e">
        <f>1-AE139-AB27</f>
        <v>#N/A</v>
      </c>
      <c r="AC74" s="1274"/>
      <c r="AD74" s="176" t="e">
        <f>Z74*AA74*AB74</f>
        <v>#N/A</v>
      </c>
      <c r="AE74" s="1282"/>
      <c r="AG74" s="1274" t="s">
        <v>1485</v>
      </c>
      <c r="AH74" s="1274"/>
      <c r="AI74" s="1274"/>
      <c r="AJ74" s="1274"/>
      <c r="AK74" s="1274"/>
      <c r="AL74" s="1274"/>
      <c r="AM74" s="1274"/>
      <c r="AN74" s="1274"/>
      <c r="AO74" s="1274"/>
      <c r="AP74" s="1274"/>
      <c r="AQ74" s="1274"/>
      <c r="AR74" s="1274"/>
      <c r="AS74" s="1274"/>
      <c r="AV74" s="582" t="s">
        <v>1016</v>
      </c>
      <c r="AW74" s="176">
        <f>AW70-AW72</f>
        <v>-24</v>
      </c>
    </row>
    <row r="75" spans="2:49" ht="15" customHeight="1">
      <c r="B75" s="1361"/>
      <c r="C75" s="1366"/>
      <c r="D75" s="1367"/>
      <c r="E75" s="1367"/>
      <c r="F75" s="1367"/>
      <c r="G75" s="1368"/>
      <c r="H75" s="1357" t="s">
        <v>731</v>
      </c>
      <c r="I75" s="1358"/>
      <c r="J75" s="1361"/>
      <c r="K75" s="1361"/>
      <c r="L75" s="1277"/>
      <c r="O75" s="1361"/>
      <c r="P75" s="1361"/>
      <c r="Q75" s="1361"/>
      <c r="R75" s="1361"/>
      <c r="S75" s="1361"/>
      <c r="T75" s="1361"/>
      <c r="U75" s="1361"/>
      <c r="V75" s="1361"/>
      <c r="W75" s="1361"/>
      <c r="X75" s="580">
        <f t="shared" si="7"/>
        <v>0</v>
      </c>
      <c r="Y75" s="148"/>
      <c r="Z75" s="176"/>
      <c r="AA75" s="176"/>
      <c r="AB75" s="176"/>
      <c r="AC75" s="176"/>
      <c r="AD75" s="176"/>
      <c r="AE75" s="1282"/>
      <c r="AG75" s="176"/>
      <c r="AH75" s="176"/>
      <c r="AI75" s="176"/>
      <c r="AJ75" s="176"/>
      <c r="AK75" s="176"/>
      <c r="AL75" s="176"/>
      <c r="AM75" s="176"/>
      <c r="AN75" s="176"/>
      <c r="AO75" s="176"/>
      <c r="AP75" s="176"/>
      <c r="AQ75" s="176"/>
      <c r="AR75" s="176"/>
      <c r="AS75" s="176"/>
    </row>
    <row r="76" spans="2:49" ht="15" customHeight="1">
      <c r="B76" s="581" t="s">
        <v>223</v>
      </c>
      <c r="C76" s="1359"/>
      <c r="D76" s="1359"/>
      <c r="E76" s="1359"/>
      <c r="F76" s="1359"/>
      <c r="G76" s="1359"/>
      <c r="H76" s="1344" t="s">
        <v>2043</v>
      </c>
      <c r="I76" s="1345"/>
      <c r="J76" s="589">
        <f>ENERGÍA!L80</f>
        <v>0</v>
      </c>
      <c r="K76" s="589">
        <f>ENERGÍA!M80</f>
        <v>0</v>
      </c>
      <c r="L76" s="589"/>
      <c r="O76" s="176">
        <f>IF(J76=0,0,VLOOKUP(K76,adyacentem,2,FALSE))</f>
        <v>0</v>
      </c>
      <c r="P76" s="590">
        <f>IF(J76=0,0,IF($B$9=1,'Materiales Personalizados'!$AA$62,IF($B$9=2,'Materiales Personalizados'!$AA$62,IF($B$9=3,'Materiales Personalizados'!$AA$63,IF($B$9=4,'Materiales Personalizados'!$AA$63,IF($B$9=5,'Materiales Personalizados'!$AA$64,'Materiales Personalizados'!$AA$64))))))</f>
        <v>0</v>
      </c>
      <c r="Q76" s="176">
        <f>Q70</f>
        <v>1.85</v>
      </c>
      <c r="R76" s="590">
        <f>Q76*J76</f>
        <v>0</v>
      </c>
      <c r="S76" s="590">
        <f>IF(J76=0,0,(O76*R76))</f>
        <v>0</v>
      </c>
      <c r="T76" s="590">
        <f>Q76</f>
        <v>1.85</v>
      </c>
      <c r="U76" s="590">
        <f>T76*J76</f>
        <v>0</v>
      </c>
      <c r="V76" s="590">
        <f>IF(J76=0,0,(O76*U76))</f>
        <v>0</v>
      </c>
      <c r="W76" s="590">
        <f>IF(K76=BASE!$DA$7,J76,0)</f>
        <v>0</v>
      </c>
      <c r="X76" s="580">
        <f t="shared" si="7"/>
        <v>0</v>
      </c>
      <c r="Y76" s="148">
        <f>C38</f>
        <v>0</v>
      </c>
      <c r="Z76" s="176" t="e">
        <f>O38</f>
        <v>#N/A</v>
      </c>
      <c r="AA76" s="176" t="e">
        <f>'Modelo de Radiación Solar'!BH148*'LINEA BASE MALA'!$AW$67</f>
        <v>#N/A</v>
      </c>
      <c r="AB76" s="1274" t="e">
        <f>1-AE157-AB27</f>
        <v>#N/A</v>
      </c>
      <c r="AC76" s="1274"/>
      <c r="AD76" s="176" t="e">
        <f>Z76*AA76*AB76</f>
        <v>#N/A</v>
      </c>
      <c r="AE76" s="1282"/>
      <c r="AG76" s="598">
        <f>'LINEA BASE MALA'!C35</f>
        <v>0</v>
      </c>
      <c r="AH76" s="176" t="e">
        <f>'Modelo de Radiación Solar'!D160*'LINEA BASE MALA'!$Z$70*'LINEA BASE MALA'!$AB$70</f>
        <v>#N/A</v>
      </c>
      <c r="AI76" s="176" t="e">
        <f>'Modelo de Radiación Solar'!E160*'LINEA BASE MALA'!$Z$70*'LINEA BASE MALA'!$AB$70</f>
        <v>#N/A</v>
      </c>
      <c r="AJ76" s="176" t="e">
        <f>'Modelo de Radiación Solar'!F160*'LINEA BASE MALA'!$Z$70*'LINEA BASE MALA'!$AB$70</f>
        <v>#N/A</v>
      </c>
      <c r="AK76" s="176" t="e">
        <f>'Modelo de Radiación Solar'!G160*'LINEA BASE MALA'!$Z$70*'LINEA BASE MALA'!$AB$70</f>
        <v>#N/A</v>
      </c>
      <c r="AL76" s="176" t="e">
        <f>'Modelo de Radiación Solar'!H160*'LINEA BASE MALA'!$Z$70*'LINEA BASE MALA'!$AB$70</f>
        <v>#N/A</v>
      </c>
      <c r="AM76" s="176" t="e">
        <f>'Modelo de Radiación Solar'!I160*'LINEA BASE MALA'!$Z$70*'LINEA BASE MALA'!$AB$70</f>
        <v>#N/A</v>
      </c>
      <c r="AN76" s="176" t="e">
        <f>'Modelo de Radiación Solar'!J160*'LINEA BASE MALA'!$Z$70*'LINEA BASE MALA'!$AB$70</f>
        <v>#N/A</v>
      </c>
      <c r="AO76" s="176" t="e">
        <f>'Modelo de Radiación Solar'!K160*'LINEA BASE MALA'!$Z$70*'LINEA BASE MALA'!$AB$70</f>
        <v>#N/A</v>
      </c>
      <c r="AP76" s="176" t="e">
        <f>'Modelo de Radiación Solar'!L160*'LINEA BASE MALA'!$Z$70*'LINEA BASE MALA'!$AB$70</f>
        <v>#N/A</v>
      </c>
      <c r="AQ76" s="176" t="e">
        <f>'Modelo de Radiación Solar'!M160*'LINEA BASE MALA'!$Z$70*'LINEA BASE MALA'!$AB$70</f>
        <v>#N/A</v>
      </c>
      <c r="AR76" s="176" t="e">
        <f>'Modelo de Radiación Solar'!N160*'LINEA BASE MALA'!$Z$70*'LINEA BASE MALA'!$AB$70</f>
        <v>#N/A</v>
      </c>
      <c r="AS76" s="176" t="e">
        <f>'Modelo de Radiación Solar'!O160*'LINEA BASE MALA'!$Z$70*'LINEA BASE MALA'!$AB$70</f>
        <v>#N/A</v>
      </c>
    </row>
    <row r="77" spans="2:49" ht="15" customHeight="1">
      <c r="B77" s="581" t="s">
        <v>224</v>
      </c>
      <c r="C77" s="1359"/>
      <c r="D77" s="1359"/>
      <c r="E77" s="1359"/>
      <c r="F77" s="1359"/>
      <c r="G77" s="1359"/>
      <c r="H77" s="1346"/>
      <c r="I77" s="1347"/>
      <c r="J77" s="589">
        <f>ENERGÍA!L81</f>
        <v>0</v>
      </c>
      <c r="K77" s="589">
        <f>ENERGÍA!M81</f>
        <v>0</v>
      </c>
      <c r="L77" s="589"/>
      <c r="O77" s="176">
        <f>IF(J77=0,0,VLOOKUP(K77,adyacentem,2,FALSE))</f>
        <v>0</v>
      </c>
      <c r="P77" s="590">
        <f>IF(J77=0,0,IF($B$9=1,'Materiales Personalizados'!$AA$62,IF($B$9=2,'Materiales Personalizados'!$AA$62,IF($B$9=3,'Materiales Personalizados'!$AA$63,IF($B$9=4,'Materiales Personalizados'!$AA$63,IF($B$9=5,'Materiales Personalizados'!$AA$64,'Materiales Personalizados'!$AA$64))))))</f>
        <v>0</v>
      </c>
      <c r="Q77" s="176">
        <f>Q76</f>
        <v>1.85</v>
      </c>
      <c r="R77" s="590">
        <f>Q77*J77</f>
        <v>0</v>
      </c>
      <c r="S77" s="590">
        <f t="shared" ref="S77:S80" si="17">IF(J77=0,0,(O77*R77))</f>
        <v>0</v>
      </c>
      <c r="T77" s="590">
        <f>Q77</f>
        <v>1.85</v>
      </c>
      <c r="U77" s="590">
        <f>T77*J77</f>
        <v>0</v>
      </c>
      <c r="V77" s="590">
        <f t="shared" ref="V77:V80" si="18">IF(J77=0,0,(O77*U77))</f>
        <v>0</v>
      </c>
      <c r="W77" s="590">
        <f>IF(K77=BASE!$DA$7,J77,0)</f>
        <v>0</v>
      </c>
      <c r="X77" s="580">
        <f t="shared" si="7"/>
        <v>0</v>
      </c>
      <c r="AG77" s="598">
        <f>'LINEA BASE MALA'!C36</f>
        <v>0</v>
      </c>
      <c r="AH77" s="176" t="e">
        <f>'Modelo de Radiación Solar'!S160*'LINEA BASE MALA'!$Z$72*'LINEA BASE MALA'!$AB$72</f>
        <v>#N/A</v>
      </c>
      <c r="AI77" s="176" t="e">
        <f>'Modelo de Radiación Solar'!T160*'LINEA BASE MALA'!$Z$72*'LINEA BASE MALA'!$AB$72</f>
        <v>#N/A</v>
      </c>
      <c r="AJ77" s="176" t="e">
        <f>'Modelo de Radiación Solar'!U160*'LINEA BASE MALA'!$Z$72*'LINEA BASE MALA'!$AB$72</f>
        <v>#N/A</v>
      </c>
      <c r="AK77" s="176" t="e">
        <f>'Modelo de Radiación Solar'!V160*'LINEA BASE MALA'!$Z$72*'LINEA BASE MALA'!$AB$72</f>
        <v>#N/A</v>
      </c>
      <c r="AL77" s="176" t="e">
        <f>'Modelo de Radiación Solar'!W160*'LINEA BASE MALA'!$Z$72*'LINEA BASE MALA'!$AB$72</f>
        <v>#N/A</v>
      </c>
      <c r="AM77" s="176" t="e">
        <f>'Modelo de Radiación Solar'!X160*'LINEA BASE MALA'!$Z$72*'LINEA BASE MALA'!$AB$72</f>
        <v>#N/A</v>
      </c>
      <c r="AN77" s="176" t="e">
        <f>'Modelo de Radiación Solar'!Y160*'LINEA BASE MALA'!$Z$72*'LINEA BASE MALA'!$AB$72</f>
        <v>#N/A</v>
      </c>
      <c r="AO77" s="176" t="e">
        <f>'Modelo de Radiación Solar'!Z160*'LINEA BASE MALA'!$Z$72*'LINEA BASE MALA'!$AB$72</f>
        <v>#N/A</v>
      </c>
      <c r="AP77" s="176" t="e">
        <f>'Modelo de Radiación Solar'!AA160*'LINEA BASE MALA'!$Z$72*'LINEA BASE MALA'!$AB$72</f>
        <v>#N/A</v>
      </c>
      <c r="AQ77" s="176" t="e">
        <f>'Modelo de Radiación Solar'!AB160*'LINEA BASE MALA'!$Z$72*'LINEA BASE MALA'!$AB$72</f>
        <v>#N/A</v>
      </c>
      <c r="AR77" s="176" t="e">
        <f>'Modelo de Radiación Solar'!AC160*'LINEA BASE MALA'!$Z$72*'LINEA BASE MALA'!$AB$72</f>
        <v>#N/A</v>
      </c>
      <c r="AS77" s="176" t="e">
        <f>'Modelo de Radiación Solar'!AD160*'LINEA BASE MALA'!$Z$72*'LINEA BASE MALA'!$AB$72</f>
        <v>#N/A</v>
      </c>
      <c r="AV77" s="582" t="s">
        <v>1019</v>
      </c>
      <c r="AW77" s="148">
        <f>ENERGÍA!AY81</f>
        <v>0</v>
      </c>
    </row>
    <row r="78" spans="2:49" ht="15" customHeight="1">
      <c r="B78" s="581" t="s">
        <v>1516</v>
      </c>
      <c r="C78" s="1342"/>
      <c r="D78" s="1340"/>
      <c r="E78" s="1340"/>
      <c r="F78" s="1340"/>
      <c r="G78" s="1340"/>
      <c r="H78" s="1346"/>
      <c r="I78" s="1347"/>
      <c r="J78" s="589">
        <f>ENERGÍA!L82</f>
        <v>0</v>
      </c>
      <c r="K78" s="589">
        <f>ENERGÍA!M82</f>
        <v>0</v>
      </c>
      <c r="L78" s="589"/>
      <c r="O78" s="176">
        <f>IF(J78=0,0,VLOOKUP(K78,adyacentem,2,FALSE))</f>
        <v>0</v>
      </c>
      <c r="P78" s="590">
        <f>IF(J78=0,0,IF($B$9=1,'Materiales Personalizados'!$AA$62,IF($B$9=2,'Materiales Personalizados'!$AA$62,IF($B$9=3,'Materiales Personalizados'!$AA$63,IF($B$9=4,'Materiales Personalizados'!$AA$63,IF($B$9=5,'Materiales Personalizados'!$AA$64,'Materiales Personalizados'!$AA$64))))))</f>
        <v>0</v>
      </c>
      <c r="Q78" s="176">
        <f t="shared" ref="Q78:Q80" si="19">Q77</f>
        <v>1.85</v>
      </c>
      <c r="R78" s="590">
        <f>Q78*J78</f>
        <v>0</v>
      </c>
      <c r="S78" s="590">
        <f t="shared" si="17"/>
        <v>0</v>
      </c>
      <c r="T78" s="590">
        <f>Q78</f>
        <v>1.85</v>
      </c>
      <c r="U78" s="590">
        <f>T78*J78</f>
        <v>0</v>
      </c>
      <c r="V78" s="590">
        <f t="shared" si="18"/>
        <v>0</v>
      </c>
      <c r="W78" s="590">
        <f>IF(K78=BASE!$DA$7,J78,0)</f>
        <v>0</v>
      </c>
      <c r="X78" s="580">
        <f t="shared" si="7"/>
        <v>0</v>
      </c>
      <c r="Y78" s="1350" t="s">
        <v>1001</v>
      </c>
      <c r="Z78" s="1350"/>
      <c r="AA78" s="1350"/>
      <c r="AB78" s="1350"/>
      <c r="AC78" s="1350"/>
      <c r="AD78" s="588" t="s">
        <v>999</v>
      </c>
      <c r="AE78" s="175">
        <f>AE92+AE82+Z60</f>
        <v>118</v>
      </c>
      <c r="AG78" s="598">
        <f>'LINEA BASE MALA'!C37</f>
        <v>0</v>
      </c>
      <c r="AH78" s="176" t="e">
        <f>'Modelo de Radiación Solar'!AH160*'LINEA BASE MALA'!$Z$74*'LINEA BASE MALA'!$AB$74</f>
        <v>#N/A</v>
      </c>
      <c r="AI78" s="176" t="e">
        <f>'Modelo de Radiación Solar'!AI160*'LINEA BASE MALA'!$Z$74*'LINEA BASE MALA'!$AB$74</f>
        <v>#N/A</v>
      </c>
      <c r="AJ78" s="176" t="e">
        <f>'Modelo de Radiación Solar'!AJ160*'LINEA BASE MALA'!$Z$74*'LINEA BASE MALA'!$AB$74</f>
        <v>#N/A</v>
      </c>
      <c r="AK78" s="176" t="e">
        <f>'Modelo de Radiación Solar'!AK160*'LINEA BASE MALA'!$Z$74*'LINEA BASE MALA'!$AB$74</f>
        <v>#N/A</v>
      </c>
      <c r="AL78" s="176" t="e">
        <f>'Modelo de Radiación Solar'!AL160*'LINEA BASE MALA'!$Z$74*'LINEA BASE MALA'!$AB$74</f>
        <v>#N/A</v>
      </c>
      <c r="AM78" s="176" t="e">
        <f>'Modelo de Radiación Solar'!AM160*'LINEA BASE MALA'!$Z$74*'LINEA BASE MALA'!$AB$74</f>
        <v>#N/A</v>
      </c>
      <c r="AN78" s="176" t="e">
        <f>'Modelo de Radiación Solar'!AN160*'LINEA BASE MALA'!$Z$74*'LINEA BASE MALA'!$AB$74</f>
        <v>#N/A</v>
      </c>
      <c r="AO78" s="176" t="e">
        <f>'Modelo de Radiación Solar'!AO160*'LINEA BASE MALA'!$Z$74*'LINEA BASE MALA'!$AB$74</f>
        <v>#N/A</v>
      </c>
      <c r="AP78" s="176" t="e">
        <f>'Modelo de Radiación Solar'!AP160*'LINEA BASE MALA'!$Z$74*'LINEA BASE MALA'!$AB$74</f>
        <v>#N/A</v>
      </c>
      <c r="AQ78" s="176" t="e">
        <f>'Modelo de Radiación Solar'!AQ160*'LINEA BASE MALA'!$Z$74*'LINEA BASE MALA'!$AB$74</f>
        <v>#N/A</v>
      </c>
      <c r="AR78" s="176" t="e">
        <f>'Modelo de Radiación Solar'!AR160*'LINEA BASE MALA'!$Z$74*'LINEA BASE MALA'!$AB$74</f>
        <v>#N/A</v>
      </c>
      <c r="AS78" s="176" t="e">
        <f>'Modelo de Radiación Solar'!AS160*'LINEA BASE MALA'!$Z$74*'LINEA BASE MALA'!$AB$74</f>
        <v>#N/A</v>
      </c>
      <c r="AV78" s="582" t="s">
        <v>1021</v>
      </c>
      <c r="AW78" s="176">
        <f>'Modelo de Radiación Solar'!BU16</f>
        <v>0</v>
      </c>
    </row>
    <row r="79" spans="2:49" ht="15" customHeight="1">
      <c r="B79" s="581" t="s">
        <v>632</v>
      </c>
      <c r="C79" s="1342"/>
      <c r="D79" s="1340"/>
      <c r="E79" s="1340"/>
      <c r="F79" s="1340"/>
      <c r="G79" s="1340"/>
      <c r="H79" s="1346"/>
      <c r="I79" s="1347"/>
      <c r="J79" s="589">
        <f>ENERGÍA!L83</f>
        <v>0</v>
      </c>
      <c r="K79" s="589">
        <f>ENERGÍA!M83</f>
        <v>0</v>
      </c>
      <c r="L79" s="589"/>
      <c r="O79" s="176">
        <f>IF(J79=0,0,VLOOKUP(K79,adyacentem,2,FALSE))</f>
        <v>0</v>
      </c>
      <c r="P79" s="590">
        <f>IF(J79=0,0,IF($B$9=1,'Materiales Personalizados'!$AA$62,IF($B$9=2,'Materiales Personalizados'!$AA$62,IF($B$9=3,'Materiales Personalizados'!$AA$63,IF($B$9=4,'Materiales Personalizados'!$AA$63,IF($B$9=5,'Materiales Personalizados'!$AA$64,'Materiales Personalizados'!$AA$64))))))</f>
        <v>0</v>
      </c>
      <c r="Q79" s="176">
        <f t="shared" si="19"/>
        <v>1.85</v>
      </c>
      <c r="R79" s="590">
        <f>Q79*J79</f>
        <v>0</v>
      </c>
      <c r="S79" s="590">
        <f t="shared" si="17"/>
        <v>0</v>
      </c>
      <c r="T79" s="590">
        <f>Q79</f>
        <v>1.85</v>
      </c>
      <c r="U79" s="590">
        <f>T79*J79</f>
        <v>0</v>
      </c>
      <c r="V79" s="590">
        <f t="shared" si="18"/>
        <v>0</v>
      </c>
      <c r="W79" s="590">
        <f>IF(K79=BASE!$DA$7,J79,0)</f>
        <v>0</v>
      </c>
      <c r="X79" s="580">
        <f t="shared" si="7"/>
        <v>0</v>
      </c>
      <c r="Y79" s="1350" t="s">
        <v>994</v>
      </c>
      <c r="Z79" s="1350"/>
      <c r="AA79" s="1350"/>
      <c r="AB79" s="1350"/>
      <c r="AC79" s="1350"/>
      <c r="AD79" s="1350"/>
      <c r="AE79" s="1350"/>
      <c r="AG79" s="598">
        <f>'LINEA BASE MALA'!C38</f>
        <v>0</v>
      </c>
      <c r="AH79" s="176" t="e">
        <f>'Modelo de Radiación Solar'!AW160*'LINEA BASE MALA'!$Z$76*'LINEA BASE MALA'!$AB$76</f>
        <v>#N/A</v>
      </c>
      <c r="AI79" s="176" t="e">
        <f>'Modelo de Radiación Solar'!AX160*'LINEA BASE MALA'!$Z$76*'LINEA BASE MALA'!$AB$76</f>
        <v>#N/A</v>
      </c>
      <c r="AJ79" s="176" t="e">
        <f>'Modelo de Radiación Solar'!AY160*'LINEA BASE MALA'!$Z$76*'LINEA BASE MALA'!$AB$76</f>
        <v>#N/A</v>
      </c>
      <c r="AK79" s="176" t="e">
        <f>'Modelo de Radiación Solar'!AZ160*'LINEA BASE MALA'!$Z$76*'LINEA BASE MALA'!$AB$76</f>
        <v>#N/A</v>
      </c>
      <c r="AL79" s="176" t="e">
        <f>'Modelo de Radiación Solar'!BA160*'LINEA BASE MALA'!$Z$76*'LINEA BASE MALA'!$AB$76</f>
        <v>#N/A</v>
      </c>
      <c r="AM79" s="176" t="e">
        <f>'Modelo de Radiación Solar'!BB160*'LINEA BASE MALA'!$Z$76*'LINEA BASE MALA'!$AB$76</f>
        <v>#N/A</v>
      </c>
      <c r="AN79" s="176" t="e">
        <f>'Modelo de Radiación Solar'!BC160*'LINEA BASE MALA'!$Z$76*'LINEA BASE MALA'!$AB$76</f>
        <v>#N/A</v>
      </c>
      <c r="AO79" s="176" t="e">
        <f>'Modelo de Radiación Solar'!BD160*'LINEA BASE MALA'!$Z$76*'LINEA BASE MALA'!$AB$76</f>
        <v>#N/A</v>
      </c>
      <c r="AP79" s="176" t="e">
        <f>'Modelo de Radiación Solar'!BE160*'LINEA BASE MALA'!$Z$76*'LINEA BASE MALA'!$AB$76</f>
        <v>#N/A</v>
      </c>
      <c r="AQ79" s="176" t="e">
        <f>'Modelo de Radiación Solar'!BF160*'LINEA BASE MALA'!$Z$76*'LINEA BASE MALA'!$AB$76</f>
        <v>#N/A</v>
      </c>
      <c r="AR79" s="176" t="e">
        <f>'Modelo de Radiación Solar'!BG160*'LINEA BASE MALA'!$Z$76*'LINEA BASE MALA'!$AB$76</f>
        <v>#N/A</v>
      </c>
      <c r="AS79" s="176" t="e">
        <f>'Modelo de Radiación Solar'!BH160*'LINEA BASE MALA'!$Z$76*'LINEA BASE MALA'!$AB$76</f>
        <v>#N/A</v>
      </c>
      <c r="AV79" s="582" t="s">
        <v>1022</v>
      </c>
      <c r="AW79" s="176">
        <f>'Modelo de Radiación Solar'!BU13</f>
        <v>9.2098978806022647</v>
      </c>
    </row>
    <row r="80" spans="2:49" ht="15" customHeight="1">
      <c r="B80" s="581" t="s">
        <v>631</v>
      </c>
      <c r="C80" s="1342"/>
      <c r="D80" s="1340"/>
      <c r="E80" s="1340"/>
      <c r="F80" s="1340"/>
      <c r="G80" s="1340"/>
      <c r="H80" s="1348"/>
      <c r="I80" s="1349"/>
      <c r="J80" s="589">
        <f>ENERGÍA!L84</f>
        <v>0</v>
      </c>
      <c r="K80" s="589">
        <f>ENERGÍA!M84</f>
        <v>0</v>
      </c>
      <c r="L80" s="589"/>
      <c r="O80" s="176">
        <f>IF(J80=0,0,VLOOKUP(K80,adyacentem,2,FALSE))</f>
        <v>0</v>
      </c>
      <c r="P80" s="590">
        <f>IF(J80=0,0,IF($B$9=1,'Materiales Personalizados'!$AA$62,IF($B$9=2,'Materiales Personalizados'!$AA$62,IF($B$9=3,'Materiales Personalizados'!$AA$63,IF($B$9=4,'Materiales Personalizados'!$AA$63,IF($B$9=5,'Materiales Personalizados'!$AA$64,'Materiales Personalizados'!$AA$64))))))</f>
        <v>0</v>
      </c>
      <c r="Q80" s="176">
        <f t="shared" si="19"/>
        <v>1.85</v>
      </c>
      <c r="R80" s="590">
        <f>Q80*J80</f>
        <v>0</v>
      </c>
      <c r="S80" s="590">
        <f t="shared" si="17"/>
        <v>0</v>
      </c>
      <c r="T80" s="590">
        <f>Q80</f>
        <v>1.85</v>
      </c>
      <c r="U80" s="590">
        <f>T80*J80</f>
        <v>0</v>
      </c>
      <c r="V80" s="590">
        <f t="shared" si="18"/>
        <v>0</v>
      </c>
      <c r="W80" s="590">
        <f>IF(K80=BASE!$DA$7,J80,0)</f>
        <v>0</v>
      </c>
      <c r="X80" s="580">
        <f t="shared" si="7"/>
        <v>0</v>
      </c>
      <c r="Y80" s="148"/>
      <c r="Z80" s="148" t="s">
        <v>995</v>
      </c>
      <c r="AA80" s="148" t="s">
        <v>996</v>
      </c>
      <c r="AB80" s="148" t="s">
        <v>997</v>
      </c>
      <c r="AC80" s="148" t="s">
        <v>998</v>
      </c>
      <c r="AD80" s="148" t="s">
        <v>898</v>
      </c>
      <c r="AE80" s="591" t="s">
        <v>1023</v>
      </c>
      <c r="AG80" s="600" t="s">
        <v>1032</v>
      </c>
      <c r="AH80" s="176" t="e">
        <f t="shared" ref="AH80:AS80" si="20">SUM(AH76:AH79)*$AW$67</f>
        <v>#N/A</v>
      </c>
      <c r="AI80" s="176" t="e">
        <f t="shared" si="20"/>
        <v>#N/A</v>
      </c>
      <c r="AJ80" s="176" t="e">
        <f t="shared" si="20"/>
        <v>#N/A</v>
      </c>
      <c r="AK80" s="176" t="e">
        <f t="shared" si="20"/>
        <v>#N/A</v>
      </c>
      <c r="AL80" s="176" t="e">
        <f t="shared" si="20"/>
        <v>#N/A</v>
      </c>
      <c r="AM80" s="176" t="e">
        <f t="shared" si="20"/>
        <v>#N/A</v>
      </c>
      <c r="AN80" s="176" t="e">
        <f t="shared" si="20"/>
        <v>#N/A</v>
      </c>
      <c r="AO80" s="176" t="e">
        <f t="shared" si="20"/>
        <v>#N/A</v>
      </c>
      <c r="AP80" s="176" t="e">
        <f t="shared" si="20"/>
        <v>#N/A</v>
      </c>
      <c r="AQ80" s="176" t="e">
        <f t="shared" si="20"/>
        <v>#N/A</v>
      </c>
      <c r="AR80" s="176" t="e">
        <f t="shared" si="20"/>
        <v>#N/A</v>
      </c>
      <c r="AS80" s="176" t="e">
        <f t="shared" si="20"/>
        <v>#N/A</v>
      </c>
      <c r="AV80" s="582" t="s">
        <v>1020</v>
      </c>
      <c r="AW80" s="176">
        <f>AW78-AW79</f>
        <v>-9.2098978806022647</v>
      </c>
    </row>
    <row r="81" spans="2:49" ht="6" customHeight="1">
      <c r="L81" s="126"/>
      <c r="O81" s="580"/>
      <c r="P81" s="581"/>
      <c r="Q81" s="597"/>
      <c r="R81" s="597"/>
      <c r="S81" s="597"/>
      <c r="V81" s="126"/>
      <c r="X81" s="580">
        <f t="shared" si="7"/>
        <v>0</v>
      </c>
      <c r="AG81" s="597"/>
      <c r="AH81" s="597"/>
      <c r="AI81" s="597"/>
      <c r="AJ81" s="597"/>
      <c r="AK81" s="597"/>
      <c r="AL81" s="597"/>
      <c r="AM81" s="597"/>
      <c r="AN81" s="597"/>
      <c r="AO81" s="597"/>
      <c r="AP81" s="597"/>
      <c r="AQ81" s="597"/>
      <c r="AR81" s="597"/>
      <c r="AS81" s="597"/>
    </row>
    <row r="82" spans="2:49" ht="15" customHeight="1">
      <c r="B82" s="1323">
        <f>C38</f>
        <v>0</v>
      </c>
      <c r="C82" s="1323"/>
      <c r="D82" s="1323"/>
      <c r="E82" s="1323"/>
      <c r="F82" s="1323"/>
      <c r="G82" s="1323"/>
      <c r="H82" s="1323"/>
      <c r="I82" s="1323"/>
      <c r="J82" s="1323"/>
      <c r="K82" s="1323"/>
      <c r="L82" s="1323"/>
      <c r="O82" s="1320">
        <f>B82</f>
        <v>0</v>
      </c>
      <c r="P82" s="1321"/>
      <c r="Q82" s="1321"/>
      <c r="R82" s="1321"/>
      <c r="S82" s="1321"/>
      <c r="T82" s="1321"/>
      <c r="U82" s="1321"/>
      <c r="V82" s="1321"/>
      <c r="W82" s="1322"/>
      <c r="X82" s="580">
        <f t="shared" si="7"/>
        <v>0</v>
      </c>
      <c r="Y82" s="148" t="s">
        <v>618</v>
      </c>
      <c r="Z82" s="148">
        <f>Z52</f>
        <v>0</v>
      </c>
      <c r="AA82" s="148">
        <f>ENERGÍA!AB86</f>
        <v>450</v>
      </c>
      <c r="AB82" s="148">
        <f>AB52</f>
        <v>25</v>
      </c>
      <c r="AC82" s="148">
        <f>AA82*AB82/100</f>
        <v>112.5</v>
      </c>
      <c r="AD82" s="148">
        <f>AC82*Z82</f>
        <v>0</v>
      </c>
      <c r="AE82" s="1282">
        <f>SUM(AD82:AD87)</f>
        <v>118</v>
      </c>
      <c r="AG82" s="1362" t="s">
        <v>1650</v>
      </c>
      <c r="AH82" s="1362"/>
      <c r="AI82" s="1362"/>
      <c r="AJ82" s="1362"/>
      <c r="AK82" s="1362"/>
      <c r="AL82" s="1362"/>
      <c r="AM82" s="1362"/>
      <c r="AN82" s="1362"/>
      <c r="AO82" s="1362"/>
      <c r="AP82" s="1362"/>
      <c r="AQ82" s="1362"/>
      <c r="AR82" s="1362"/>
      <c r="AS82" s="1362"/>
    </row>
    <row r="83" spans="2:49" ht="6" customHeight="1">
      <c r="B83" s="584"/>
      <c r="C83" s="584"/>
      <c r="D83" s="584"/>
      <c r="E83" s="126"/>
      <c r="K83" s="126"/>
      <c r="L83" s="126"/>
      <c r="O83" s="580"/>
      <c r="P83" s="581"/>
      <c r="Q83" s="126"/>
      <c r="R83" s="126"/>
      <c r="V83" s="126"/>
      <c r="X83" s="580">
        <f t="shared" si="7"/>
        <v>0</v>
      </c>
      <c r="AE83" s="1282"/>
    </row>
    <row r="84" spans="2:49" ht="15" customHeight="1">
      <c r="B84" s="1360"/>
      <c r="C84" s="1363" t="s">
        <v>222</v>
      </c>
      <c r="D84" s="1364"/>
      <c r="E84" s="1364"/>
      <c r="F84" s="1364"/>
      <c r="G84" s="1365"/>
      <c r="H84" s="1357" t="s">
        <v>1788</v>
      </c>
      <c r="I84" s="1358"/>
      <c r="J84" s="1360" t="s">
        <v>594</v>
      </c>
      <c r="K84" s="1360" t="s">
        <v>1356</v>
      </c>
      <c r="L84" s="1275" t="s">
        <v>644</v>
      </c>
      <c r="O84" s="1360" t="s">
        <v>1354</v>
      </c>
      <c r="P84" s="1360" t="s">
        <v>729</v>
      </c>
      <c r="Q84" s="1360" t="s">
        <v>849</v>
      </c>
      <c r="R84" s="1360" t="s">
        <v>850</v>
      </c>
      <c r="S84" s="1360" t="s">
        <v>1357</v>
      </c>
      <c r="T84" s="1360" t="s">
        <v>851</v>
      </c>
      <c r="U84" s="1360" t="s">
        <v>891</v>
      </c>
      <c r="V84" s="1360" t="s">
        <v>1359</v>
      </c>
      <c r="W84" s="1360" t="s">
        <v>1358</v>
      </c>
      <c r="X84" s="580">
        <f t="shared" si="7"/>
        <v>1</v>
      </c>
      <c r="Y84" s="148" t="s">
        <v>572</v>
      </c>
      <c r="Z84" s="148">
        <f>Z54</f>
        <v>1</v>
      </c>
      <c r="AA84" s="148">
        <f>ENERGÍA!AB88</f>
        <v>472</v>
      </c>
      <c r="AB84" s="148">
        <f>AB54</f>
        <v>25</v>
      </c>
      <c r="AC84" s="148">
        <f>AA84*AB84/100</f>
        <v>118</v>
      </c>
      <c r="AD84" s="148">
        <f>AC84*Z84</f>
        <v>118</v>
      </c>
      <c r="AE84" s="1282"/>
      <c r="AG84" s="1339" t="s">
        <v>1521</v>
      </c>
      <c r="AH84" s="1339"/>
      <c r="AI84" s="1339"/>
      <c r="AJ84" s="1339"/>
      <c r="AK84" s="1339"/>
      <c r="AL84" s="1339"/>
      <c r="AM84" s="1339"/>
      <c r="AN84" s="1339"/>
      <c r="AO84" s="1339"/>
      <c r="AP84" s="1339"/>
      <c r="AQ84" s="1339"/>
      <c r="AR84" s="1339"/>
      <c r="AS84" s="1339"/>
      <c r="AV84" s="1351" t="s">
        <v>1024</v>
      </c>
      <c r="AW84" s="1352"/>
    </row>
    <row r="85" spans="2:49" ht="15" customHeight="1">
      <c r="B85" s="1361"/>
      <c r="C85" s="1366"/>
      <c r="D85" s="1367"/>
      <c r="E85" s="1367"/>
      <c r="F85" s="1367"/>
      <c r="G85" s="1368"/>
      <c r="H85" s="1357" t="s">
        <v>731</v>
      </c>
      <c r="I85" s="1358"/>
      <c r="J85" s="1361"/>
      <c r="K85" s="1361"/>
      <c r="L85" s="1277"/>
      <c r="O85" s="1361"/>
      <c r="P85" s="1361"/>
      <c r="Q85" s="1361"/>
      <c r="R85" s="1361"/>
      <c r="S85" s="1361"/>
      <c r="T85" s="1361"/>
      <c r="U85" s="1361"/>
      <c r="V85" s="1361"/>
      <c r="W85" s="1361"/>
      <c r="X85" s="580">
        <f t="shared" si="7"/>
        <v>0</v>
      </c>
      <c r="Y85" s="148"/>
      <c r="Z85" s="148"/>
      <c r="AA85" s="148"/>
      <c r="AB85" s="148"/>
      <c r="AC85" s="148"/>
      <c r="AD85" s="148"/>
      <c r="AE85" s="1282"/>
      <c r="AG85" s="601"/>
      <c r="AH85" s="601"/>
      <c r="AI85" s="601"/>
      <c r="AJ85" s="601"/>
      <c r="AK85" s="601"/>
      <c r="AL85" s="601"/>
      <c r="AM85" s="601"/>
      <c r="AN85" s="601"/>
      <c r="AO85" s="601"/>
      <c r="AP85" s="601"/>
      <c r="AQ85" s="601"/>
      <c r="AR85" s="601"/>
      <c r="AS85" s="601"/>
      <c r="AV85" s="1353"/>
      <c r="AW85" s="1354"/>
    </row>
    <row r="86" spans="2:49" ht="15" customHeight="1">
      <c r="B86" s="581" t="s">
        <v>223</v>
      </c>
      <c r="C86" s="1359"/>
      <c r="D86" s="1359"/>
      <c r="E86" s="1359"/>
      <c r="F86" s="1359"/>
      <c r="G86" s="1359"/>
      <c r="H86" s="1344" t="s">
        <v>2043</v>
      </c>
      <c r="I86" s="1345"/>
      <c r="J86" s="589">
        <f>ENERGÍA!L90</f>
        <v>0</v>
      </c>
      <c r="K86" s="589">
        <f>ENERGÍA!M90</f>
        <v>0</v>
      </c>
      <c r="L86" s="589"/>
      <c r="O86" s="176">
        <f>IF(J86=0,0,VLOOKUP(K86,adyacentem,2,FALSE))</f>
        <v>0</v>
      </c>
      <c r="P86" s="590">
        <f>IF(J86=0,0,IF($B$9=1,'Materiales Personalizados'!$AA$62,IF($B$9=2,'Materiales Personalizados'!$AA$62,IF($B$9=3,'Materiales Personalizados'!$AA$63,IF($B$9=4,'Materiales Personalizados'!$AA$63,IF($B$9=5,'Materiales Personalizados'!$AA$64,'Materiales Personalizados'!$AA$64))))))</f>
        <v>0</v>
      </c>
      <c r="Q86" s="176">
        <f>Q80</f>
        <v>1.85</v>
      </c>
      <c r="R86" s="590">
        <f>Q86*J86</f>
        <v>0</v>
      </c>
      <c r="S86" s="590">
        <f>IF(J86=0,0,(O86*R86))</f>
        <v>0</v>
      </c>
      <c r="T86" s="590">
        <f>Q86</f>
        <v>1.85</v>
      </c>
      <c r="U86" s="590">
        <f>T86*J86</f>
        <v>0</v>
      </c>
      <c r="V86" s="590">
        <f>IF(J86=0,0,(O86*U86))</f>
        <v>0</v>
      </c>
      <c r="W86" s="590">
        <f>IF(K86=BASE!$DA$7,J86,0)</f>
        <v>0</v>
      </c>
      <c r="X86" s="580">
        <f t="shared" si="7"/>
        <v>0</v>
      </c>
      <c r="Y86" s="148" t="s">
        <v>620</v>
      </c>
      <c r="Z86" s="148">
        <f>Z56</f>
        <v>1</v>
      </c>
      <c r="AA86" s="148">
        <f>ENERGÍA!AB90</f>
        <v>0</v>
      </c>
      <c r="AB86" s="148">
        <f>AB56</f>
        <v>15</v>
      </c>
      <c r="AC86" s="148">
        <f>AA86*AB86/100</f>
        <v>0</v>
      </c>
      <c r="AD86" s="148">
        <f>AC86*Z86</f>
        <v>0</v>
      </c>
      <c r="AE86" s="1282"/>
      <c r="AG86" s="598" t="s">
        <v>1032</v>
      </c>
      <c r="AH86" s="176" t="e">
        <f>AH80</f>
        <v>#N/A</v>
      </c>
      <c r="AI86" s="176" t="e">
        <f t="shared" ref="AI86:AS86" si="21">AI80</f>
        <v>#N/A</v>
      </c>
      <c r="AJ86" s="176" t="e">
        <f t="shared" si="21"/>
        <v>#N/A</v>
      </c>
      <c r="AK86" s="176" t="e">
        <f t="shared" si="21"/>
        <v>#N/A</v>
      </c>
      <c r="AL86" s="176" t="e">
        <f t="shared" si="21"/>
        <v>#N/A</v>
      </c>
      <c r="AM86" s="176" t="e">
        <f t="shared" si="21"/>
        <v>#N/A</v>
      </c>
      <c r="AN86" s="176" t="e">
        <f t="shared" si="21"/>
        <v>#N/A</v>
      </c>
      <c r="AO86" s="176" t="e">
        <f t="shared" si="21"/>
        <v>#N/A</v>
      </c>
      <c r="AP86" s="176" t="e">
        <f t="shared" si="21"/>
        <v>#N/A</v>
      </c>
      <c r="AQ86" s="176" t="e">
        <f t="shared" si="21"/>
        <v>#N/A</v>
      </c>
      <c r="AR86" s="176" t="e">
        <f t="shared" si="21"/>
        <v>#N/A</v>
      </c>
      <c r="AS86" s="176" t="e">
        <f t="shared" si="21"/>
        <v>#N/A</v>
      </c>
      <c r="AV86" s="1353"/>
      <c r="AW86" s="1354"/>
    </row>
    <row r="87" spans="2:49" ht="15" customHeight="1">
      <c r="B87" s="581" t="s">
        <v>224</v>
      </c>
      <c r="C87" s="1359"/>
      <c r="D87" s="1359"/>
      <c r="E87" s="1359"/>
      <c r="F87" s="1359"/>
      <c r="G87" s="1359"/>
      <c r="H87" s="1346"/>
      <c r="I87" s="1347"/>
      <c r="J87" s="589">
        <f>ENERGÍA!L91</f>
        <v>0</v>
      </c>
      <c r="K87" s="589">
        <f>ENERGÍA!M91</f>
        <v>0</v>
      </c>
      <c r="L87" s="589"/>
      <c r="O87" s="176">
        <f>IF(J87=0,0,VLOOKUP(K87,adyacentem,2,FALSE))</f>
        <v>0</v>
      </c>
      <c r="P87" s="590">
        <f>IF(J87=0,0,IF($B$9=1,'Materiales Personalizados'!$AA$62,IF($B$9=2,'Materiales Personalizados'!$AA$62,IF($B$9=3,'Materiales Personalizados'!$AA$63,IF($B$9=4,'Materiales Personalizados'!$AA$63,IF($B$9=5,'Materiales Personalizados'!$AA$64,'Materiales Personalizados'!$AA$64))))))</f>
        <v>0</v>
      </c>
      <c r="Q87" s="176">
        <f>Q86</f>
        <v>1.85</v>
      </c>
      <c r="R87" s="590">
        <f>Q87*J87</f>
        <v>0</v>
      </c>
      <c r="S87" s="590">
        <f t="shared" ref="S87:S90" si="22">IF(J87=0,0,(O87*R87))</f>
        <v>0</v>
      </c>
      <c r="T87" s="590">
        <f>Q87</f>
        <v>1.85</v>
      </c>
      <c r="U87" s="590">
        <f>T87*J87</f>
        <v>0</v>
      </c>
      <c r="V87" s="590">
        <f t="shared" ref="V87:V90" si="23">IF(J87=0,0,(O87*U87))</f>
        <v>0</v>
      </c>
      <c r="W87" s="590">
        <f>IF(K87=BASE!$DA$7,J87,0)</f>
        <v>0</v>
      </c>
      <c r="X87" s="580">
        <f t="shared" si="7"/>
        <v>0</v>
      </c>
      <c r="Y87" s="148" t="s">
        <v>619</v>
      </c>
      <c r="Z87" s="148">
        <f>Z57</f>
        <v>1</v>
      </c>
      <c r="AA87" s="148">
        <f>ENERGÍA!AB91</f>
        <v>0</v>
      </c>
      <c r="AB87" s="148">
        <f>AB57</f>
        <v>25</v>
      </c>
      <c r="AC87" s="148">
        <f>AA87*AB87/100</f>
        <v>0</v>
      </c>
      <c r="AD87" s="148">
        <f>AC87*Z87</f>
        <v>0</v>
      </c>
      <c r="AE87" s="1282"/>
      <c r="AG87" s="581" t="s">
        <v>991</v>
      </c>
      <c r="AH87" s="580">
        <f>(AD60+AE92)*12/24</f>
        <v>0</v>
      </c>
      <c r="AI87" s="580">
        <f>AH87</f>
        <v>0</v>
      </c>
      <c r="AJ87" s="580">
        <f t="shared" ref="AJ87:AS87" si="24">AI87</f>
        <v>0</v>
      </c>
      <c r="AK87" s="580">
        <f t="shared" si="24"/>
        <v>0</v>
      </c>
      <c r="AL87" s="580">
        <f t="shared" si="24"/>
        <v>0</v>
      </c>
      <c r="AM87" s="580">
        <f t="shared" si="24"/>
        <v>0</v>
      </c>
      <c r="AN87" s="580">
        <f t="shared" si="24"/>
        <v>0</v>
      </c>
      <c r="AO87" s="580">
        <f t="shared" si="24"/>
        <v>0</v>
      </c>
      <c r="AP87" s="580">
        <f t="shared" si="24"/>
        <v>0</v>
      </c>
      <c r="AQ87" s="580">
        <f t="shared" si="24"/>
        <v>0</v>
      </c>
      <c r="AR87" s="580">
        <f t="shared" si="24"/>
        <v>0</v>
      </c>
      <c r="AS87" s="580">
        <f t="shared" si="24"/>
        <v>0</v>
      </c>
      <c r="AV87" s="1355"/>
      <c r="AW87" s="1356"/>
    </row>
    <row r="88" spans="2:49" ht="15" customHeight="1">
      <c r="B88" s="581" t="s">
        <v>1516</v>
      </c>
      <c r="C88" s="1342"/>
      <c r="D88" s="1340"/>
      <c r="E88" s="1340"/>
      <c r="F88" s="1340"/>
      <c r="G88" s="1340"/>
      <c r="H88" s="1346"/>
      <c r="I88" s="1347"/>
      <c r="J88" s="589">
        <f>ENERGÍA!L92</f>
        <v>0</v>
      </c>
      <c r="K88" s="589">
        <f>ENERGÍA!M92</f>
        <v>0</v>
      </c>
      <c r="L88" s="589"/>
      <c r="O88" s="176">
        <f>IF(J88=0,0,VLOOKUP(K88,adyacentem,2,FALSE))</f>
        <v>0</v>
      </c>
      <c r="P88" s="590">
        <f>IF(J88=0,0,IF($B$9=1,'Materiales Personalizados'!$AA$62,IF($B$9=2,'Materiales Personalizados'!$AA$62,IF($B$9=3,'Materiales Personalizados'!$AA$63,IF($B$9=4,'Materiales Personalizados'!$AA$63,IF($B$9=5,'Materiales Personalizados'!$AA$64,'Materiales Personalizados'!$AA$64))))))</f>
        <v>0</v>
      </c>
      <c r="Q88" s="176">
        <f t="shared" ref="Q88:Q90" si="25">Q87</f>
        <v>1.85</v>
      </c>
      <c r="R88" s="590">
        <f>Q88*J88</f>
        <v>0</v>
      </c>
      <c r="S88" s="590">
        <f t="shared" si="22"/>
        <v>0</v>
      </c>
      <c r="T88" s="590">
        <f>Q88</f>
        <v>1.85</v>
      </c>
      <c r="U88" s="590">
        <f>T88*J88</f>
        <v>0</v>
      </c>
      <c r="V88" s="590">
        <f t="shared" si="23"/>
        <v>0</v>
      </c>
      <c r="W88" s="590">
        <f>IF(K88=BASE!$DA$7,J88,0)</f>
        <v>0</v>
      </c>
      <c r="X88" s="580">
        <f t="shared" si="7"/>
        <v>0</v>
      </c>
      <c r="AG88" s="581" t="s">
        <v>760</v>
      </c>
      <c r="AH88" s="590">
        <f>($AH$120*1000)/24/AH72</f>
        <v>0</v>
      </c>
      <c r="AI88" s="590">
        <f t="shared" ref="AI88:AS88" si="26">($AH$120*1000)/24/AI72</f>
        <v>0</v>
      </c>
      <c r="AJ88" s="590">
        <f t="shared" si="26"/>
        <v>0</v>
      </c>
      <c r="AK88" s="590">
        <f t="shared" si="26"/>
        <v>0</v>
      </c>
      <c r="AL88" s="590">
        <f t="shared" si="26"/>
        <v>0</v>
      </c>
      <c r="AM88" s="590">
        <f t="shared" si="26"/>
        <v>0</v>
      </c>
      <c r="AN88" s="590">
        <f t="shared" si="26"/>
        <v>0</v>
      </c>
      <c r="AO88" s="590">
        <f t="shared" si="26"/>
        <v>0</v>
      </c>
      <c r="AP88" s="590">
        <f t="shared" si="26"/>
        <v>0</v>
      </c>
      <c r="AQ88" s="590">
        <f t="shared" si="26"/>
        <v>0</v>
      </c>
      <c r="AR88" s="590">
        <f t="shared" si="26"/>
        <v>0</v>
      </c>
      <c r="AS88" s="590">
        <f t="shared" si="26"/>
        <v>0</v>
      </c>
      <c r="AV88" s="1280" t="s">
        <v>892</v>
      </c>
      <c r="AW88" s="1282" t="e">
        <f>SUM(S46:S90)+SUM(R95:R96)+SUM(AC104:AC170)</f>
        <v>#N/A</v>
      </c>
    </row>
    <row r="89" spans="2:49" ht="15" customHeight="1">
      <c r="B89" s="581" t="s">
        <v>632</v>
      </c>
      <c r="C89" s="1342"/>
      <c r="D89" s="1340"/>
      <c r="E89" s="1340"/>
      <c r="F89" s="1340"/>
      <c r="G89" s="1340"/>
      <c r="H89" s="1346"/>
      <c r="I89" s="1347"/>
      <c r="J89" s="589">
        <f>ENERGÍA!L93</f>
        <v>0</v>
      </c>
      <c r="K89" s="589">
        <f>ENERGÍA!M93</f>
        <v>0</v>
      </c>
      <c r="L89" s="589"/>
      <c r="O89" s="176">
        <f>IF(J89=0,0,VLOOKUP(K89,adyacentem,2,FALSE))</f>
        <v>0</v>
      </c>
      <c r="P89" s="590">
        <f>IF(J89=0,0,IF($B$9=1,'Materiales Personalizados'!$AA$62,IF($B$9=2,'Materiales Personalizados'!$AA$62,IF($B$9=3,'Materiales Personalizados'!$AA$63,IF($B$9=4,'Materiales Personalizados'!$AA$63,IF($B$9=5,'Materiales Personalizados'!$AA$64,'Materiales Personalizados'!$AA$64))))))</f>
        <v>0</v>
      </c>
      <c r="Q89" s="176">
        <f t="shared" si="25"/>
        <v>1.85</v>
      </c>
      <c r="R89" s="590">
        <f>Q89*J89</f>
        <v>0</v>
      </c>
      <c r="S89" s="590">
        <f t="shared" si="22"/>
        <v>0</v>
      </c>
      <c r="T89" s="590">
        <f>Q89</f>
        <v>1.85</v>
      </c>
      <c r="U89" s="590">
        <f>T89*J89</f>
        <v>0</v>
      </c>
      <c r="V89" s="590">
        <f t="shared" si="23"/>
        <v>0</v>
      </c>
      <c r="W89" s="590">
        <f>IF(K89=BASE!$DA$7,J89,0)</f>
        <v>0</v>
      </c>
      <c r="X89" s="580">
        <f t="shared" si="7"/>
        <v>0</v>
      </c>
      <c r="Y89" s="1350" t="s">
        <v>992</v>
      </c>
      <c r="Z89" s="1350"/>
      <c r="AA89" s="1350"/>
      <c r="AB89" s="1350"/>
      <c r="AC89" s="1350"/>
      <c r="AD89" s="1350"/>
      <c r="AE89" s="1350"/>
      <c r="AG89" s="581" t="s">
        <v>762</v>
      </c>
      <c r="AH89" s="590">
        <f t="shared" ref="AH89:AS89" si="27">($AH$121*1000)/24/AH72</f>
        <v>95.833333333333343</v>
      </c>
      <c r="AI89" s="590">
        <f t="shared" si="27"/>
        <v>106.10119047619048</v>
      </c>
      <c r="AJ89" s="590">
        <f t="shared" si="27"/>
        <v>95.833333333333343</v>
      </c>
      <c r="AK89" s="590">
        <f t="shared" si="27"/>
        <v>99.027777777777786</v>
      </c>
      <c r="AL89" s="590">
        <f t="shared" si="27"/>
        <v>95.833333333333343</v>
      </c>
      <c r="AM89" s="590">
        <f t="shared" si="27"/>
        <v>99.027777777777786</v>
      </c>
      <c r="AN89" s="590">
        <f t="shared" si="27"/>
        <v>95.833333333333343</v>
      </c>
      <c r="AO89" s="590">
        <f t="shared" si="27"/>
        <v>95.833333333333343</v>
      </c>
      <c r="AP89" s="590">
        <f t="shared" si="27"/>
        <v>99.027777777777786</v>
      </c>
      <c r="AQ89" s="590">
        <f t="shared" si="27"/>
        <v>95.833333333333343</v>
      </c>
      <c r="AR89" s="590">
        <f t="shared" si="27"/>
        <v>99.027777777777786</v>
      </c>
      <c r="AS89" s="590">
        <f t="shared" si="27"/>
        <v>95.833333333333343</v>
      </c>
      <c r="AV89" s="1280"/>
      <c r="AW89" s="1282"/>
    </row>
    <row r="90" spans="2:49" ht="15" customHeight="1">
      <c r="B90" s="581" t="s">
        <v>631</v>
      </c>
      <c r="C90" s="1342"/>
      <c r="D90" s="1340"/>
      <c r="E90" s="1340"/>
      <c r="F90" s="1340"/>
      <c r="G90" s="1340"/>
      <c r="H90" s="1348"/>
      <c r="I90" s="1349"/>
      <c r="J90" s="589">
        <f>ENERGÍA!L94</f>
        <v>0</v>
      </c>
      <c r="K90" s="589">
        <f>ENERGÍA!M94</f>
        <v>0</v>
      </c>
      <c r="L90" s="589"/>
      <c r="O90" s="176">
        <f>IF(J90=0,0,VLOOKUP(K90,adyacentem,2,FALSE))</f>
        <v>0</v>
      </c>
      <c r="P90" s="590">
        <f>IF(J90=0,0,IF($B$9=1,'Materiales Personalizados'!$AA$62,IF($B$9=2,'Materiales Personalizados'!$AA$62,IF($B$9=3,'Materiales Personalizados'!$AA$63,IF($B$9=4,'Materiales Personalizados'!$AA$63,IF($B$9=5,'Materiales Personalizados'!$AA$64,'Materiales Personalizados'!$AA$64))))))</f>
        <v>0</v>
      </c>
      <c r="Q90" s="176">
        <f t="shared" si="25"/>
        <v>1.85</v>
      </c>
      <c r="R90" s="590">
        <f>Q90*J90</f>
        <v>0</v>
      </c>
      <c r="S90" s="590">
        <f t="shared" si="22"/>
        <v>0</v>
      </c>
      <c r="T90" s="590">
        <f>Q90</f>
        <v>1.85</v>
      </c>
      <c r="U90" s="590">
        <f>T90*J90</f>
        <v>0</v>
      </c>
      <c r="V90" s="590">
        <f t="shared" si="23"/>
        <v>0</v>
      </c>
      <c r="W90" s="590">
        <f>IF(K90=BASE!$DA$7,J90,0)</f>
        <v>0</v>
      </c>
      <c r="X90" s="580">
        <f t="shared" si="7"/>
        <v>0</v>
      </c>
      <c r="Y90" s="1343" t="s">
        <v>1119</v>
      </c>
      <c r="Z90" s="1343"/>
      <c r="AA90" s="1343"/>
      <c r="AB90" s="1343" t="s">
        <v>1120</v>
      </c>
      <c r="AC90" s="1343"/>
      <c r="AD90" s="1343"/>
      <c r="AE90" s="591" t="s">
        <v>1023</v>
      </c>
      <c r="AG90" s="581" t="s">
        <v>896</v>
      </c>
      <c r="AH90" s="590" t="e">
        <f>SUM(AH86:AH89)</f>
        <v>#N/A</v>
      </c>
      <c r="AI90" s="590" t="e">
        <f t="shared" ref="AI90:AS90" si="28">SUM(AI86:AI89)</f>
        <v>#N/A</v>
      </c>
      <c r="AJ90" s="590" t="e">
        <f t="shared" si="28"/>
        <v>#N/A</v>
      </c>
      <c r="AK90" s="590" t="e">
        <f t="shared" si="28"/>
        <v>#N/A</v>
      </c>
      <c r="AL90" s="590" t="e">
        <f t="shared" si="28"/>
        <v>#N/A</v>
      </c>
      <c r="AM90" s="590" t="e">
        <f t="shared" si="28"/>
        <v>#N/A</v>
      </c>
      <c r="AN90" s="590" t="e">
        <f t="shared" si="28"/>
        <v>#N/A</v>
      </c>
      <c r="AO90" s="590" t="e">
        <f t="shared" si="28"/>
        <v>#N/A</v>
      </c>
      <c r="AP90" s="590" t="e">
        <f t="shared" si="28"/>
        <v>#N/A</v>
      </c>
      <c r="AQ90" s="590" t="e">
        <f t="shared" si="28"/>
        <v>#N/A</v>
      </c>
      <c r="AR90" s="590" t="e">
        <f t="shared" si="28"/>
        <v>#N/A</v>
      </c>
      <c r="AS90" s="590" t="e">
        <f t="shared" si="28"/>
        <v>#N/A</v>
      </c>
      <c r="AV90" s="1280" t="s">
        <v>893</v>
      </c>
      <c r="AW90" s="1282" t="e">
        <f>SUM(V46:V90)+SUM(U95:U96)+SUM(AD104:AD170)</f>
        <v>#N/A</v>
      </c>
    </row>
    <row r="91" spans="2:49" ht="6" customHeight="1">
      <c r="L91" s="126"/>
      <c r="O91" s="148"/>
      <c r="P91" s="581"/>
      <c r="Q91" s="597"/>
      <c r="R91" s="597"/>
      <c r="S91" s="597"/>
      <c r="AV91" s="1280"/>
      <c r="AW91" s="1282"/>
    </row>
    <row r="92" spans="2:49" ht="15" customHeight="1">
      <c r="B92" s="1323" t="s">
        <v>593</v>
      </c>
      <c r="C92" s="1323"/>
      <c r="D92" s="1323"/>
      <c r="E92" s="1323"/>
      <c r="F92" s="1323"/>
      <c r="G92" s="1323"/>
      <c r="H92" s="1323"/>
      <c r="I92" s="1323"/>
      <c r="J92" s="1323"/>
      <c r="K92" s="1323"/>
      <c r="L92" s="1323"/>
      <c r="O92" s="1320" t="s">
        <v>593</v>
      </c>
      <c r="P92" s="1321"/>
      <c r="Q92" s="1321"/>
      <c r="R92" s="1321"/>
      <c r="S92" s="1321"/>
      <c r="T92" s="1321"/>
      <c r="U92" s="1321"/>
      <c r="V92" s="1321"/>
      <c r="W92" s="1322"/>
      <c r="Y92" s="1273">
        <f>Z66</f>
        <v>0</v>
      </c>
      <c r="Z92" s="1273"/>
      <c r="AA92" s="1273"/>
      <c r="AB92" s="1273">
        <f>ENERGÍA!AC96</f>
        <v>39</v>
      </c>
      <c r="AC92" s="1273"/>
      <c r="AD92" s="1273"/>
      <c r="AE92" s="226">
        <f>AB92*Y92</f>
        <v>0</v>
      </c>
      <c r="AG92" s="1339" t="s">
        <v>1487</v>
      </c>
      <c r="AH92" s="1339"/>
      <c r="AI92" s="1339"/>
      <c r="AJ92" s="1339"/>
      <c r="AK92" s="1339"/>
      <c r="AL92" s="1339"/>
      <c r="AM92" s="1339"/>
      <c r="AN92" s="1339"/>
      <c r="AO92" s="1339"/>
      <c r="AP92" s="1339"/>
      <c r="AQ92" s="1339"/>
      <c r="AR92" s="1339"/>
      <c r="AS92" s="1339"/>
    </row>
    <row r="93" spans="2:49" ht="6" customHeight="1">
      <c r="B93" s="584"/>
      <c r="C93" s="584"/>
      <c r="D93" s="584"/>
      <c r="E93" s="126"/>
      <c r="L93" s="126"/>
      <c r="O93" s="148"/>
      <c r="P93" s="581"/>
      <c r="Q93" s="126"/>
      <c r="R93" s="126"/>
    </row>
    <row r="94" spans="2:49" ht="15" customHeight="1">
      <c r="B94" s="584"/>
      <c r="C94" s="1273" t="s">
        <v>222</v>
      </c>
      <c r="D94" s="1273"/>
      <c r="E94" s="1273"/>
      <c r="F94" s="1273"/>
      <c r="G94" s="1273"/>
      <c r="H94" s="1273"/>
      <c r="I94" s="1273"/>
      <c r="J94" s="1273"/>
      <c r="K94" s="148" t="s">
        <v>594</v>
      </c>
      <c r="L94" s="166" t="s">
        <v>1356</v>
      </c>
      <c r="O94" s="166" t="s">
        <v>1354</v>
      </c>
      <c r="P94" s="166" t="s">
        <v>849</v>
      </c>
      <c r="Q94" s="166" t="s">
        <v>850</v>
      </c>
      <c r="R94" s="166" t="s">
        <v>1357</v>
      </c>
      <c r="S94" s="166" t="s">
        <v>851</v>
      </c>
      <c r="T94" s="166" t="s">
        <v>891</v>
      </c>
      <c r="U94" s="166" t="s">
        <v>1359</v>
      </c>
      <c r="V94" s="148"/>
      <c r="Y94" s="1341" t="s">
        <v>1053</v>
      </c>
      <c r="Z94" s="1341"/>
      <c r="AA94" s="1341"/>
      <c r="AB94" s="1341"/>
      <c r="AC94" s="1341"/>
      <c r="AD94" s="1341"/>
      <c r="AE94" s="175" t="e">
        <f>AE78+AE47+AE68+AE42</f>
        <v>#N/A</v>
      </c>
      <c r="AG94" s="581" t="s">
        <v>219</v>
      </c>
      <c r="AH94" s="590" t="e">
        <f>IF(AH62&gt;=18,$AW$90,$AW$88)</f>
        <v>#N/A</v>
      </c>
      <c r="AI94" s="590" t="e">
        <f t="shared" ref="AI94:AS94" si="29">IF(AI62&gt;=18,$AW$90,$AW$88)</f>
        <v>#N/A</v>
      </c>
      <c r="AJ94" s="590" t="e">
        <f t="shared" si="29"/>
        <v>#N/A</v>
      </c>
      <c r="AK94" s="590" t="e">
        <f t="shared" si="29"/>
        <v>#N/A</v>
      </c>
      <c r="AL94" s="590" t="e">
        <f t="shared" si="29"/>
        <v>#N/A</v>
      </c>
      <c r="AM94" s="590" t="e">
        <f t="shared" si="29"/>
        <v>#N/A</v>
      </c>
      <c r="AN94" s="590" t="e">
        <f t="shared" si="29"/>
        <v>#N/A</v>
      </c>
      <c r="AO94" s="590" t="e">
        <f t="shared" si="29"/>
        <v>#N/A</v>
      </c>
      <c r="AP94" s="590" t="e">
        <f t="shared" si="29"/>
        <v>#N/A</v>
      </c>
      <c r="AQ94" s="590" t="e">
        <f t="shared" si="29"/>
        <v>#N/A</v>
      </c>
      <c r="AR94" s="590" t="e">
        <f t="shared" si="29"/>
        <v>#N/A</v>
      </c>
      <c r="AS94" s="590" t="e">
        <f t="shared" si="29"/>
        <v>#N/A</v>
      </c>
      <c r="AV94" s="1273" t="s">
        <v>1025</v>
      </c>
      <c r="AW94" s="1273"/>
    </row>
    <row r="95" spans="2:49" ht="15" customHeight="1">
      <c r="B95" s="581" t="s">
        <v>595</v>
      </c>
      <c r="C95" s="1340"/>
      <c r="D95" s="1340"/>
      <c r="E95" s="1340"/>
      <c r="F95" s="1340"/>
      <c r="G95" s="1340"/>
      <c r="H95" s="1340"/>
      <c r="I95" s="1340"/>
      <c r="J95" s="1340"/>
      <c r="K95" s="589">
        <f>ENERGÍA!M99</f>
        <v>0</v>
      </c>
      <c r="L95" s="589">
        <f>ENERGÍA!N99</f>
        <v>0</v>
      </c>
      <c r="O95" s="176">
        <f>IF(K95=0,0,VLOOKUP(L95,adyacentem,2,FALSE))</f>
        <v>0</v>
      </c>
      <c r="P95" s="176">
        <f>'Materiales Personalizados'!AA6</f>
        <v>1</v>
      </c>
      <c r="Q95" s="590">
        <f>P95*K95</f>
        <v>0</v>
      </c>
      <c r="R95" s="580">
        <f>Q95*O95</f>
        <v>0</v>
      </c>
      <c r="S95" s="590">
        <f>P95</f>
        <v>1</v>
      </c>
      <c r="T95" s="590">
        <f>S95*K95</f>
        <v>0</v>
      </c>
      <c r="U95" s="148">
        <f>T95*O95</f>
        <v>0</v>
      </c>
      <c r="V95" s="148"/>
      <c r="AG95" s="581" t="s">
        <v>1528</v>
      </c>
      <c r="AH95" s="580">
        <f>AJ52</f>
        <v>0</v>
      </c>
      <c r="AI95" s="580">
        <f>AH95</f>
        <v>0</v>
      </c>
      <c r="AJ95" s="580">
        <f t="shared" ref="AJ95:AS96" si="30">AI95</f>
        <v>0</v>
      </c>
      <c r="AK95" s="580">
        <f t="shared" si="30"/>
        <v>0</v>
      </c>
      <c r="AL95" s="580">
        <f t="shared" si="30"/>
        <v>0</v>
      </c>
      <c r="AM95" s="580">
        <f t="shared" si="30"/>
        <v>0</v>
      </c>
      <c r="AN95" s="580">
        <f t="shared" si="30"/>
        <v>0</v>
      </c>
      <c r="AO95" s="580">
        <f t="shared" si="30"/>
        <v>0</v>
      </c>
      <c r="AP95" s="580">
        <f t="shared" si="30"/>
        <v>0</v>
      </c>
      <c r="AQ95" s="580">
        <f t="shared" si="30"/>
        <v>0</v>
      </c>
      <c r="AR95" s="580">
        <f t="shared" si="30"/>
        <v>0</v>
      </c>
      <c r="AS95" s="580">
        <f t="shared" si="30"/>
        <v>0</v>
      </c>
      <c r="AV95" s="1273"/>
      <c r="AW95" s="1273"/>
    </row>
    <row r="96" spans="2:49" ht="15" customHeight="1">
      <c r="B96" s="581" t="s">
        <v>1517</v>
      </c>
      <c r="C96" s="1340"/>
      <c r="D96" s="1340"/>
      <c r="E96" s="1340"/>
      <c r="F96" s="1340"/>
      <c r="G96" s="1340"/>
      <c r="H96" s="1340"/>
      <c r="I96" s="1340"/>
      <c r="J96" s="1340"/>
      <c r="K96" s="589">
        <f>ENERGÍA!M102</f>
        <v>0</v>
      </c>
      <c r="L96" s="589">
        <f>ENERGÍA!N102</f>
        <v>0</v>
      </c>
      <c r="O96" s="176">
        <f>IF(K96=0,0,VLOOKUP(L96,adyacentem,2,FALSE))</f>
        <v>0</v>
      </c>
      <c r="P96" s="176">
        <f>P95</f>
        <v>1</v>
      </c>
      <c r="Q96" s="590">
        <f>P96*K96</f>
        <v>0</v>
      </c>
      <c r="R96" s="580">
        <f>Q96*O96</f>
        <v>0</v>
      </c>
      <c r="S96" s="590">
        <f>P96</f>
        <v>1</v>
      </c>
      <c r="T96" s="590">
        <f>S96*K96</f>
        <v>0</v>
      </c>
      <c r="U96" s="148">
        <f>T96*O96</f>
        <v>0</v>
      </c>
      <c r="V96" s="148"/>
      <c r="AG96" s="581" t="s">
        <v>1486</v>
      </c>
      <c r="AH96" s="580" t="e">
        <f>AH54</f>
        <v>#DIV/0!</v>
      </c>
      <c r="AI96" s="580" t="e">
        <f>AH96</f>
        <v>#DIV/0!</v>
      </c>
      <c r="AJ96" s="580" t="e">
        <f t="shared" si="30"/>
        <v>#DIV/0!</v>
      </c>
      <c r="AK96" s="580" t="e">
        <f t="shared" si="30"/>
        <v>#DIV/0!</v>
      </c>
      <c r="AL96" s="580" t="e">
        <f t="shared" si="30"/>
        <v>#DIV/0!</v>
      </c>
      <c r="AM96" s="580" t="e">
        <f t="shared" si="30"/>
        <v>#DIV/0!</v>
      </c>
      <c r="AN96" s="580" t="e">
        <f t="shared" si="30"/>
        <v>#DIV/0!</v>
      </c>
      <c r="AO96" s="580" t="e">
        <f t="shared" si="30"/>
        <v>#DIV/0!</v>
      </c>
      <c r="AP96" s="580" t="e">
        <f t="shared" si="30"/>
        <v>#DIV/0!</v>
      </c>
      <c r="AQ96" s="580" t="e">
        <f t="shared" si="30"/>
        <v>#DIV/0!</v>
      </c>
      <c r="AR96" s="580" t="e">
        <f t="shared" si="30"/>
        <v>#DIV/0!</v>
      </c>
      <c r="AS96" s="580" t="e">
        <f t="shared" si="30"/>
        <v>#DIV/0!</v>
      </c>
      <c r="AU96" s="580" t="s">
        <v>1791</v>
      </c>
      <c r="AV96" s="148" t="s">
        <v>233</v>
      </c>
      <c r="AW96" s="176" t="e">
        <f>AW88/AW64</f>
        <v>#N/A</v>
      </c>
    </row>
    <row r="97" spans="2:50" ht="6" customHeight="1">
      <c r="D97" s="126"/>
      <c r="E97" s="126"/>
      <c r="L97" s="126"/>
      <c r="O97" s="148"/>
      <c r="P97" s="581"/>
      <c r="Q97" s="126"/>
      <c r="R97" s="126"/>
      <c r="V97" s="148"/>
      <c r="X97" s="126"/>
    </row>
    <row r="98" spans="2:50" ht="15" customHeight="1">
      <c r="B98" s="1283" t="s">
        <v>645</v>
      </c>
      <c r="C98" s="1283"/>
      <c r="D98" s="1283"/>
      <c r="E98" s="1283"/>
      <c r="F98" s="1283"/>
      <c r="G98" s="1283"/>
      <c r="H98" s="1283"/>
      <c r="I98" s="1283"/>
      <c r="J98" s="1283"/>
      <c r="K98" s="1283"/>
      <c r="L98" s="1283"/>
      <c r="O98" s="1317" t="s">
        <v>645</v>
      </c>
      <c r="P98" s="1318"/>
      <c r="Q98" s="1318"/>
      <c r="R98" s="1318"/>
      <c r="S98" s="1318"/>
      <c r="T98" s="1318"/>
      <c r="U98" s="1318"/>
      <c r="V98" s="1318"/>
      <c r="W98" s="1318"/>
      <c r="X98" s="1318"/>
      <c r="Y98" s="1318"/>
      <c r="Z98" s="1318"/>
      <c r="AA98" s="1318"/>
      <c r="AB98" s="1318"/>
      <c r="AC98" s="1318"/>
      <c r="AD98" s="1318"/>
      <c r="AE98" s="1319"/>
      <c r="AG98" s="581" t="s">
        <v>1524</v>
      </c>
      <c r="AH98" s="590" t="e">
        <f>AH94-(AH94*AH95)+(AH94*AH96)</f>
        <v>#N/A</v>
      </c>
      <c r="AI98" s="590" t="e">
        <f t="shared" ref="AI98:AS98" si="31">AI94-(AI94*AI95)+(AI94*AI96)</f>
        <v>#N/A</v>
      </c>
      <c r="AJ98" s="590" t="e">
        <f t="shared" si="31"/>
        <v>#N/A</v>
      </c>
      <c r="AK98" s="590" t="e">
        <f t="shared" si="31"/>
        <v>#N/A</v>
      </c>
      <c r="AL98" s="590" t="e">
        <f t="shared" si="31"/>
        <v>#N/A</v>
      </c>
      <c r="AM98" s="590" t="e">
        <f t="shared" si="31"/>
        <v>#N/A</v>
      </c>
      <c r="AN98" s="590" t="e">
        <f t="shared" si="31"/>
        <v>#N/A</v>
      </c>
      <c r="AO98" s="590" t="e">
        <f t="shared" si="31"/>
        <v>#N/A</v>
      </c>
      <c r="AP98" s="590" t="e">
        <f t="shared" si="31"/>
        <v>#N/A</v>
      </c>
      <c r="AQ98" s="590" t="e">
        <f t="shared" si="31"/>
        <v>#N/A</v>
      </c>
      <c r="AR98" s="590" t="e">
        <f t="shared" si="31"/>
        <v>#N/A</v>
      </c>
      <c r="AS98" s="590" t="e">
        <f t="shared" si="31"/>
        <v>#N/A</v>
      </c>
      <c r="AT98" s="173"/>
      <c r="AU98" s="173"/>
      <c r="AV98" s="148" t="s">
        <v>235</v>
      </c>
      <c r="AW98" s="176" t="e">
        <f>AE94/AW64</f>
        <v>#N/A</v>
      </c>
    </row>
    <row r="99" spans="2:50" ht="6" customHeight="1">
      <c r="L99" s="126"/>
      <c r="O99" s="148"/>
      <c r="P99" s="581"/>
      <c r="Q99" s="126"/>
      <c r="R99" s="126"/>
      <c r="V99" s="148"/>
      <c r="X99" s="126"/>
      <c r="AG99" s="581"/>
      <c r="AH99" s="580"/>
      <c r="AI99" s="580"/>
      <c r="AJ99" s="580"/>
      <c r="AK99" s="580"/>
      <c r="AL99" s="580"/>
      <c r="AM99" s="580"/>
      <c r="AN99" s="580"/>
      <c r="AO99" s="580"/>
      <c r="AP99" s="580"/>
      <c r="AQ99" s="580"/>
      <c r="AR99" s="580"/>
      <c r="AS99" s="580"/>
    </row>
    <row r="100" spans="2:50" s="159" customFormat="1" ht="15" customHeight="1">
      <c r="B100" s="1273">
        <f>C35</f>
        <v>0</v>
      </c>
      <c r="C100" s="1273"/>
      <c r="D100" s="1273"/>
      <c r="E100" s="1273"/>
      <c r="F100" s="1273"/>
      <c r="G100" s="1273"/>
      <c r="H100" s="1273"/>
      <c r="I100" s="1273"/>
      <c r="J100" s="1273"/>
      <c r="K100" s="1273"/>
      <c r="L100" s="1273"/>
      <c r="M100" s="126"/>
      <c r="N100" s="126"/>
      <c r="O100" s="1284">
        <f>B100</f>
        <v>0</v>
      </c>
      <c r="P100" s="1338"/>
      <c r="Q100" s="1338"/>
      <c r="R100" s="1338"/>
      <c r="S100" s="1338"/>
      <c r="T100" s="1338"/>
      <c r="U100" s="1338"/>
      <c r="V100" s="1338"/>
      <c r="W100" s="1338"/>
      <c r="X100" s="1338"/>
      <c r="Y100" s="1338"/>
      <c r="Z100" s="1338"/>
      <c r="AA100" s="1338"/>
      <c r="AB100" s="1338"/>
      <c r="AC100" s="1338"/>
      <c r="AD100" s="1338"/>
      <c r="AE100" s="1285"/>
      <c r="AG100" s="581" t="s">
        <v>1034</v>
      </c>
      <c r="AH100" s="175">
        <f>Z60</f>
        <v>0</v>
      </c>
      <c r="AI100" s="175">
        <f>AH100</f>
        <v>0</v>
      </c>
      <c r="AJ100" s="175">
        <f t="shared" ref="AJ100:AS100" si="32">AI100</f>
        <v>0</v>
      </c>
      <c r="AK100" s="175">
        <f t="shared" si="32"/>
        <v>0</v>
      </c>
      <c r="AL100" s="175">
        <f t="shared" si="32"/>
        <v>0</v>
      </c>
      <c r="AM100" s="175">
        <f t="shared" si="32"/>
        <v>0</v>
      </c>
      <c r="AN100" s="175">
        <f t="shared" si="32"/>
        <v>0</v>
      </c>
      <c r="AO100" s="175">
        <f t="shared" si="32"/>
        <v>0</v>
      </c>
      <c r="AP100" s="175">
        <f t="shared" si="32"/>
        <v>0</v>
      </c>
      <c r="AQ100" s="175">
        <f t="shared" si="32"/>
        <v>0</v>
      </c>
      <c r="AR100" s="175">
        <f t="shared" si="32"/>
        <v>0</v>
      </c>
      <c r="AS100" s="175">
        <f t="shared" si="32"/>
        <v>0</v>
      </c>
      <c r="AX100" s="126"/>
    </row>
    <row r="101" spans="2:50" ht="6" customHeight="1">
      <c r="L101" s="126"/>
      <c r="V101" s="148"/>
      <c r="AA101" s="580"/>
    </row>
    <row r="102" spans="2:50" ht="15" customHeight="1">
      <c r="B102" s="1273"/>
      <c r="C102" s="1323" t="s">
        <v>1184</v>
      </c>
      <c r="D102" s="1323"/>
      <c r="E102" s="1323"/>
      <c r="F102" s="1323" t="s">
        <v>1188</v>
      </c>
      <c r="G102" s="1323"/>
      <c r="H102" s="1323" t="s">
        <v>1203</v>
      </c>
      <c r="I102" s="1323"/>
      <c r="J102" s="1281" t="s">
        <v>790</v>
      </c>
      <c r="K102" s="1281" t="s">
        <v>1136</v>
      </c>
      <c r="L102" s="1281"/>
      <c r="O102" s="580" t="s">
        <v>1651</v>
      </c>
      <c r="P102" s="1281" t="s">
        <v>1064</v>
      </c>
      <c r="Q102" s="580" t="s">
        <v>1652</v>
      </c>
      <c r="R102" s="1273" t="s">
        <v>1191</v>
      </c>
      <c r="S102" s="580" t="s">
        <v>1190</v>
      </c>
      <c r="T102" s="1273" t="s">
        <v>1192</v>
      </c>
      <c r="U102" s="1323" t="s">
        <v>1653</v>
      </c>
      <c r="V102" s="1323"/>
      <c r="W102" s="580" t="s">
        <v>1654</v>
      </c>
      <c r="X102" s="1273" t="s">
        <v>1403</v>
      </c>
      <c r="Y102" s="1273" t="s">
        <v>1404</v>
      </c>
      <c r="Z102" s="1273" t="s">
        <v>1210</v>
      </c>
      <c r="AA102" s="1273" t="s">
        <v>1201</v>
      </c>
      <c r="AB102" s="1273" t="s">
        <v>1202</v>
      </c>
      <c r="AC102" s="1281" t="s">
        <v>850</v>
      </c>
      <c r="AD102" s="1281" t="str">
        <f>AC102</f>
        <v>W/K Inv</v>
      </c>
      <c r="AE102" s="226" t="s">
        <v>1017</v>
      </c>
      <c r="AG102" s="581" t="s">
        <v>1525</v>
      </c>
      <c r="AH102" s="590" t="e">
        <f>AH98+AH100</f>
        <v>#N/A</v>
      </c>
      <c r="AI102" s="590" t="e">
        <f t="shared" ref="AI102:AS102" si="33">AI98+AI100</f>
        <v>#N/A</v>
      </c>
      <c r="AJ102" s="590" t="e">
        <f t="shared" si="33"/>
        <v>#N/A</v>
      </c>
      <c r="AK102" s="590" t="e">
        <f t="shared" si="33"/>
        <v>#N/A</v>
      </c>
      <c r="AL102" s="590" t="e">
        <f t="shared" si="33"/>
        <v>#N/A</v>
      </c>
      <c r="AM102" s="590" t="e">
        <f t="shared" si="33"/>
        <v>#N/A</v>
      </c>
      <c r="AN102" s="590" t="e">
        <f t="shared" si="33"/>
        <v>#N/A</v>
      </c>
      <c r="AO102" s="590" t="e">
        <f t="shared" si="33"/>
        <v>#N/A</v>
      </c>
      <c r="AP102" s="590" t="e">
        <f t="shared" si="33"/>
        <v>#N/A</v>
      </c>
      <c r="AQ102" s="590" t="e">
        <f t="shared" si="33"/>
        <v>#N/A</v>
      </c>
      <c r="AR102" s="590" t="e">
        <f t="shared" si="33"/>
        <v>#N/A</v>
      </c>
      <c r="AS102" s="590" t="e">
        <f t="shared" si="33"/>
        <v>#N/A</v>
      </c>
    </row>
    <row r="103" spans="2:50" ht="15" customHeight="1">
      <c r="B103" s="1273"/>
      <c r="C103" s="148" t="s">
        <v>623</v>
      </c>
      <c r="D103" s="580" t="s">
        <v>1185</v>
      </c>
      <c r="E103" s="580" t="s">
        <v>1186</v>
      </c>
      <c r="F103" s="580" t="s">
        <v>623</v>
      </c>
      <c r="G103" s="580" t="s">
        <v>1189</v>
      </c>
      <c r="H103" s="580" t="s">
        <v>757</v>
      </c>
      <c r="I103" s="580" t="s">
        <v>650</v>
      </c>
      <c r="J103" s="1281"/>
      <c r="K103" s="166" t="s">
        <v>623</v>
      </c>
      <c r="L103" s="602" t="s">
        <v>1122</v>
      </c>
      <c r="O103" s="580" t="s">
        <v>1187</v>
      </c>
      <c r="P103" s="1281"/>
      <c r="Q103" s="580" t="s">
        <v>1187</v>
      </c>
      <c r="R103" s="1273"/>
      <c r="S103" s="580" t="s">
        <v>18</v>
      </c>
      <c r="T103" s="1273"/>
      <c r="U103" s="580" t="s">
        <v>1199</v>
      </c>
      <c r="V103" s="148" t="s">
        <v>1200</v>
      </c>
      <c r="W103" s="176" t="s">
        <v>1187</v>
      </c>
      <c r="X103" s="1273"/>
      <c r="Y103" s="1273"/>
      <c r="Z103" s="1273"/>
      <c r="AA103" s="1273"/>
      <c r="AB103" s="1273"/>
      <c r="AC103" s="1281"/>
      <c r="AD103" s="1281"/>
      <c r="AE103" s="603" t="e">
        <f>Q35</f>
        <v>#N/A</v>
      </c>
    </row>
    <row r="104" spans="2:50" ht="15" customHeight="1">
      <c r="B104" s="581" t="s">
        <v>225</v>
      </c>
      <c r="C104" s="604"/>
      <c r="D104" s="604"/>
      <c r="E104" s="604"/>
      <c r="F104" s="604"/>
      <c r="G104" s="604"/>
      <c r="H104" s="176" t="e">
        <f t="shared" ref="H104:H112" si="34">IF(W104=0,"-",IF($O$4=6,"No Aplica",HLOOKUP(AA104,ZONA2,2,TRUE)))</f>
        <v>#N/A</v>
      </c>
      <c r="I104" s="176" t="e">
        <f t="shared" ref="I104:I112" si="35">IF(W104=0,"-",IF($O$4=6,HLOOKUP(AB104,ZONA3,2,TRUE),HLOOKUP(AB104,ZONA1,2,TRUE)))</f>
        <v>#N/A</v>
      </c>
      <c r="J104" s="604"/>
      <c r="K104" s="604"/>
      <c r="L104" s="604"/>
      <c r="O104" s="590" t="e">
        <f t="shared" ref="O104:O112" si="36">$W$104-Q104</f>
        <v>#N/A</v>
      </c>
      <c r="P104" s="176">
        <f>IF('BASE DE DATOS'!GM5="B",2.9,IF('BASE DE DATOS'!GM5="D",3.23,6))</f>
        <v>6</v>
      </c>
      <c r="Q104" s="580" t="e">
        <f t="shared" ref="Q104:Q112" si="37">W104*0.02</f>
        <v>#N/A</v>
      </c>
      <c r="R104" s="580">
        <f>IF('BASE DE DATOS'!GM5="B",2.2,IF('BASE DE DATOS'!GM5="D",3.3,5.8))</f>
        <v>5.8</v>
      </c>
      <c r="S104" s="590" t="e">
        <f t="shared" ref="S104:S112" si="38">(W104/2)+2</f>
        <v>#N/A</v>
      </c>
      <c r="T104" s="176" t="e">
        <f t="shared" ref="T104:T112" si="39">((O104*P104)+(Q104*R104)+(S104*0.02))/W104</f>
        <v>#N/A</v>
      </c>
      <c r="U104" s="580">
        <f>IF('BASE DE DATOS'!GM5="B",100,IF('BASE DE DATOS'!GM5="D",200,300))</f>
        <v>300</v>
      </c>
      <c r="V104" s="176" t="e">
        <f t="shared" ref="V104:V112" si="40">IF(W104=0,0,U104*W104)</f>
        <v>#N/A</v>
      </c>
      <c r="W104" s="605" t="e">
        <f>IF($R$35=2,$O$35/2,IF($R$35=4,$O$35/4,IF($R$35=6,$O$35/6,IF($R$35=8,$O$35/8,IF($R$35=9,$O$35/9)))))</f>
        <v>#N/A</v>
      </c>
      <c r="X104" s="606" t="e">
        <f t="shared" ref="X104:X112" si="41">(V104*$AW$112)</f>
        <v>#N/A</v>
      </c>
      <c r="Y104" s="606" t="e">
        <f t="shared" ref="Y104:Y112" si="42">V104*$AW$114</f>
        <v>#N/A</v>
      </c>
      <c r="Z104" s="148">
        <f>IF('BASE DE DATOS'!GM5="B",0.5,IF('BASE DE DATOS'!GM5="D",2,3))</f>
        <v>3</v>
      </c>
      <c r="AA104" s="176" t="e">
        <f t="shared" ref="AA104:AA112" si="43">IF(W104=0,0,(($AW$104*Z104)+X104+(T104*$AW$108))/W104)</f>
        <v>#N/A</v>
      </c>
      <c r="AB104" s="176" t="e">
        <f>IF(W104=0,0,(($AW$106*Z104)-(X104+T104)*$AW$110)/W104)</f>
        <v>#N/A</v>
      </c>
      <c r="AC104" s="590" t="e">
        <f>IF(W104=0,0,(T104*O104))</f>
        <v>#N/A</v>
      </c>
      <c r="AD104" s="590" t="e">
        <f t="shared" ref="AD104:AD112" si="44">AC104</f>
        <v>#N/A</v>
      </c>
      <c r="AG104" s="581" t="s">
        <v>1527</v>
      </c>
      <c r="AH104" s="590" t="e">
        <f>AH90/AH102</f>
        <v>#N/A</v>
      </c>
      <c r="AI104" s="590" t="e">
        <f t="shared" ref="AI104:AS104" si="45">AI90/AI102</f>
        <v>#N/A</v>
      </c>
      <c r="AJ104" s="590" t="e">
        <f t="shared" si="45"/>
        <v>#N/A</v>
      </c>
      <c r="AK104" s="590" t="e">
        <f t="shared" si="45"/>
        <v>#N/A</v>
      </c>
      <c r="AL104" s="590" t="e">
        <f t="shared" si="45"/>
        <v>#N/A</v>
      </c>
      <c r="AM104" s="590" t="e">
        <f t="shared" si="45"/>
        <v>#N/A</v>
      </c>
      <c r="AN104" s="590" t="e">
        <f t="shared" si="45"/>
        <v>#N/A</v>
      </c>
      <c r="AO104" s="590" t="e">
        <f t="shared" si="45"/>
        <v>#N/A</v>
      </c>
      <c r="AP104" s="590" t="e">
        <f t="shared" si="45"/>
        <v>#N/A</v>
      </c>
      <c r="AQ104" s="590" t="e">
        <f t="shared" si="45"/>
        <v>#N/A</v>
      </c>
      <c r="AR104" s="590" t="e">
        <f t="shared" si="45"/>
        <v>#N/A</v>
      </c>
      <c r="AS104" s="590" t="e">
        <f t="shared" si="45"/>
        <v>#N/A</v>
      </c>
      <c r="AV104" s="148" t="s">
        <v>1205</v>
      </c>
      <c r="AW104" s="148">
        <f>ENERGÍA!AY110</f>
        <v>0</v>
      </c>
    </row>
    <row r="105" spans="2:50" ht="15" customHeight="1">
      <c r="B105" s="581" t="s">
        <v>225</v>
      </c>
      <c r="C105" s="604"/>
      <c r="D105" s="604"/>
      <c r="E105" s="604"/>
      <c r="F105" s="604"/>
      <c r="G105" s="604"/>
      <c r="H105" s="176" t="e">
        <f t="shared" si="34"/>
        <v>#N/A</v>
      </c>
      <c r="I105" s="176" t="e">
        <f t="shared" si="35"/>
        <v>#N/A</v>
      </c>
      <c r="J105" s="604"/>
      <c r="K105" s="604"/>
      <c r="L105" s="604"/>
      <c r="O105" s="590" t="e">
        <f t="shared" si="36"/>
        <v>#N/A</v>
      </c>
      <c r="P105" s="176">
        <f>P104</f>
        <v>6</v>
      </c>
      <c r="Q105" s="580" t="e">
        <f t="shared" si="37"/>
        <v>#N/A</v>
      </c>
      <c r="R105" s="580">
        <f>R104</f>
        <v>5.8</v>
      </c>
      <c r="S105" s="590" t="e">
        <f t="shared" si="38"/>
        <v>#N/A</v>
      </c>
      <c r="T105" s="176" t="e">
        <f t="shared" si="39"/>
        <v>#N/A</v>
      </c>
      <c r="U105" s="580">
        <f>U104</f>
        <v>300</v>
      </c>
      <c r="V105" s="176" t="e">
        <f t="shared" si="40"/>
        <v>#N/A</v>
      </c>
      <c r="W105" s="605" t="e">
        <f t="shared" ref="W105" si="46">IF($R$35=2,$O$35/2,IF($R$35=4,$O$35/4,IF($R$35=6,$O$35/6,IF($R$35=8,$O$35/8,IF($R$35=9,$O$35/9)))))</f>
        <v>#N/A</v>
      </c>
      <c r="X105" s="606" t="e">
        <f t="shared" si="41"/>
        <v>#N/A</v>
      </c>
      <c r="Y105" s="606" t="e">
        <f t="shared" si="42"/>
        <v>#N/A</v>
      </c>
      <c r="Z105" s="148">
        <f>Z104</f>
        <v>3</v>
      </c>
      <c r="AA105" s="176" t="e">
        <f t="shared" si="43"/>
        <v>#N/A</v>
      </c>
      <c r="AB105" s="176" t="e">
        <f t="shared" ref="AB105:AB112" si="47">IF(W105=0,0,(($AW$106*Z105)-(X105+T105)*$AW$110)/W105)</f>
        <v>#N/A</v>
      </c>
      <c r="AC105" s="590" t="e">
        <f t="shared" ref="AC105:AC112" si="48">IF(W105=0,0,(T105*O105))</f>
        <v>#N/A</v>
      </c>
      <c r="AD105" s="590" t="e">
        <f t="shared" si="44"/>
        <v>#N/A</v>
      </c>
      <c r="AG105" s="607" t="s">
        <v>1526</v>
      </c>
      <c r="AH105" s="603" t="e">
        <f>AH62+AH104</f>
        <v>#N/A</v>
      </c>
      <c r="AI105" s="603" t="e">
        <f t="shared" ref="AI105:AS105" si="49">AI62+AI104</f>
        <v>#N/A</v>
      </c>
      <c r="AJ105" s="603" t="e">
        <f t="shared" si="49"/>
        <v>#N/A</v>
      </c>
      <c r="AK105" s="603" t="e">
        <f t="shared" si="49"/>
        <v>#N/A</v>
      </c>
      <c r="AL105" s="603" t="e">
        <f t="shared" si="49"/>
        <v>#N/A</v>
      </c>
      <c r="AM105" s="603" t="e">
        <f t="shared" si="49"/>
        <v>#N/A</v>
      </c>
      <c r="AN105" s="603" t="e">
        <f t="shared" si="49"/>
        <v>#N/A</v>
      </c>
      <c r="AO105" s="603" t="e">
        <f t="shared" si="49"/>
        <v>#N/A</v>
      </c>
      <c r="AP105" s="603" t="e">
        <f t="shared" si="49"/>
        <v>#N/A</v>
      </c>
      <c r="AQ105" s="603" t="e">
        <f t="shared" si="49"/>
        <v>#N/A</v>
      </c>
      <c r="AR105" s="603" t="e">
        <f t="shared" si="49"/>
        <v>#N/A</v>
      </c>
      <c r="AS105" s="603" t="e">
        <f t="shared" si="49"/>
        <v>#N/A</v>
      </c>
      <c r="AW105" s="580"/>
    </row>
    <row r="106" spans="2:50" ht="15" customHeight="1">
      <c r="B106" s="581" t="s">
        <v>225</v>
      </c>
      <c r="C106" s="604"/>
      <c r="D106" s="604"/>
      <c r="E106" s="604"/>
      <c r="F106" s="604"/>
      <c r="G106" s="604"/>
      <c r="H106" s="176" t="e">
        <f t="shared" si="34"/>
        <v>#N/A</v>
      </c>
      <c r="I106" s="176" t="e">
        <f t="shared" si="35"/>
        <v>#N/A</v>
      </c>
      <c r="J106" s="604"/>
      <c r="K106" s="604"/>
      <c r="L106" s="604"/>
      <c r="O106" s="590" t="e">
        <f t="shared" si="36"/>
        <v>#N/A</v>
      </c>
      <c r="P106" s="176">
        <f t="shared" ref="P106:P112" si="50">P105</f>
        <v>6</v>
      </c>
      <c r="Q106" s="580" t="e">
        <f t="shared" si="37"/>
        <v>#N/A</v>
      </c>
      <c r="R106" s="580">
        <f t="shared" ref="R106:R112" si="51">R105</f>
        <v>5.8</v>
      </c>
      <c r="S106" s="590" t="e">
        <f t="shared" si="38"/>
        <v>#N/A</v>
      </c>
      <c r="T106" s="176" t="e">
        <f t="shared" si="39"/>
        <v>#N/A</v>
      </c>
      <c r="U106" s="580">
        <f t="shared" ref="U106:U112" si="52">U105</f>
        <v>300</v>
      </c>
      <c r="V106" s="176" t="e">
        <f t="shared" si="40"/>
        <v>#N/A</v>
      </c>
      <c r="W106" s="605" t="e">
        <f>IF($R$35=2,0,IF($R$35=4,$O$35/4,IF($R$35=6,$O$35/6,IF($R$35=8,$O$35/8,IF($R$35=9,$O$35/9)))))</f>
        <v>#N/A</v>
      </c>
      <c r="X106" s="606" t="e">
        <f t="shared" si="41"/>
        <v>#N/A</v>
      </c>
      <c r="Y106" s="606" t="e">
        <f t="shared" si="42"/>
        <v>#N/A</v>
      </c>
      <c r="Z106" s="148">
        <f t="shared" ref="Z106:Z112" si="53">Z105</f>
        <v>3</v>
      </c>
      <c r="AA106" s="176" t="e">
        <f t="shared" si="43"/>
        <v>#N/A</v>
      </c>
      <c r="AB106" s="176" t="e">
        <f t="shared" si="47"/>
        <v>#N/A</v>
      </c>
      <c r="AC106" s="590" t="e">
        <f t="shared" si="48"/>
        <v>#N/A</v>
      </c>
      <c r="AD106" s="590" t="e">
        <f t="shared" si="44"/>
        <v>#N/A</v>
      </c>
      <c r="AG106" s="581" t="s">
        <v>1529</v>
      </c>
      <c r="AH106" s="590" t="e">
        <f>IF((AH105-$AW$60)&lt;0,0,AH105-$AW$60)</f>
        <v>#N/A</v>
      </c>
      <c r="AI106" s="590" t="e">
        <f t="shared" ref="AI106:AS106" si="54">IF((AI105-$AW$60)&lt;0,0,AI105-$AW$60)</f>
        <v>#N/A</v>
      </c>
      <c r="AJ106" s="590" t="e">
        <f t="shared" si="54"/>
        <v>#N/A</v>
      </c>
      <c r="AK106" s="590" t="e">
        <f t="shared" si="54"/>
        <v>#N/A</v>
      </c>
      <c r="AL106" s="590" t="e">
        <f t="shared" si="54"/>
        <v>#N/A</v>
      </c>
      <c r="AM106" s="590" t="e">
        <f t="shared" si="54"/>
        <v>#N/A</v>
      </c>
      <c r="AN106" s="590" t="e">
        <f t="shared" si="54"/>
        <v>#N/A</v>
      </c>
      <c r="AO106" s="590" t="e">
        <f t="shared" si="54"/>
        <v>#N/A</v>
      </c>
      <c r="AP106" s="590" t="e">
        <f t="shared" si="54"/>
        <v>#N/A</v>
      </c>
      <c r="AQ106" s="590" t="e">
        <f t="shared" si="54"/>
        <v>#N/A</v>
      </c>
      <c r="AR106" s="590" t="e">
        <f t="shared" si="54"/>
        <v>#N/A</v>
      </c>
      <c r="AS106" s="590" t="e">
        <f t="shared" si="54"/>
        <v>#N/A</v>
      </c>
      <c r="AV106" s="148" t="s">
        <v>1209</v>
      </c>
      <c r="AW106" s="148">
        <f>ENERGÍA!AY112</f>
        <v>0</v>
      </c>
    </row>
    <row r="107" spans="2:50" ht="15" customHeight="1">
      <c r="B107" s="581" t="s">
        <v>225</v>
      </c>
      <c r="C107" s="604"/>
      <c r="D107" s="604"/>
      <c r="E107" s="604"/>
      <c r="F107" s="604"/>
      <c r="G107" s="604"/>
      <c r="H107" s="176" t="e">
        <f t="shared" si="34"/>
        <v>#N/A</v>
      </c>
      <c r="I107" s="176" t="e">
        <f t="shared" si="35"/>
        <v>#N/A</v>
      </c>
      <c r="J107" s="604"/>
      <c r="K107" s="604"/>
      <c r="L107" s="604"/>
      <c r="O107" s="590" t="e">
        <f t="shared" si="36"/>
        <v>#N/A</v>
      </c>
      <c r="P107" s="176">
        <f t="shared" si="50"/>
        <v>6</v>
      </c>
      <c r="Q107" s="580" t="e">
        <f t="shared" si="37"/>
        <v>#N/A</v>
      </c>
      <c r="R107" s="580">
        <f t="shared" si="51"/>
        <v>5.8</v>
      </c>
      <c r="S107" s="590" t="e">
        <f t="shared" si="38"/>
        <v>#N/A</v>
      </c>
      <c r="T107" s="176" t="e">
        <f t="shared" si="39"/>
        <v>#N/A</v>
      </c>
      <c r="U107" s="580">
        <f t="shared" si="52"/>
        <v>300</v>
      </c>
      <c r="V107" s="176" t="e">
        <f t="shared" si="40"/>
        <v>#N/A</v>
      </c>
      <c r="W107" s="605" t="e">
        <f>IF($R$35=2,0,IF($R$35=4,$O$35/4,IF($R$35=6,$O$35/6,IF($R$35=8,$O$35/8,IF($R$35=9,$O$35/9)))))</f>
        <v>#N/A</v>
      </c>
      <c r="X107" s="606" t="e">
        <f t="shared" si="41"/>
        <v>#N/A</v>
      </c>
      <c r="Y107" s="606" t="e">
        <f t="shared" si="42"/>
        <v>#N/A</v>
      </c>
      <c r="Z107" s="148">
        <f t="shared" si="53"/>
        <v>3</v>
      </c>
      <c r="AA107" s="176" t="e">
        <f t="shared" si="43"/>
        <v>#N/A</v>
      </c>
      <c r="AB107" s="176" t="e">
        <f t="shared" si="47"/>
        <v>#N/A</v>
      </c>
      <c r="AC107" s="590" t="e">
        <f t="shared" si="48"/>
        <v>#N/A</v>
      </c>
      <c r="AD107" s="590" t="e">
        <f t="shared" si="44"/>
        <v>#N/A</v>
      </c>
      <c r="AG107" s="581" t="s">
        <v>1530</v>
      </c>
      <c r="AH107" s="590" t="e">
        <f>IF(AH105&gt;$AW$60,0,IF(AH105&lt;$AW$59,$AW$59-AH105,0))</f>
        <v>#N/A</v>
      </c>
      <c r="AI107" s="590" t="e">
        <f t="shared" ref="AI107:AS107" si="55">IF(AI105&gt;$AW$60,0,IF(AI105&lt;$AW$59,$AW$59-AI105,0))</f>
        <v>#N/A</v>
      </c>
      <c r="AJ107" s="590" t="e">
        <f t="shared" si="55"/>
        <v>#N/A</v>
      </c>
      <c r="AK107" s="590" t="e">
        <f t="shared" si="55"/>
        <v>#N/A</v>
      </c>
      <c r="AL107" s="590" t="e">
        <f t="shared" si="55"/>
        <v>#N/A</v>
      </c>
      <c r="AM107" s="590" t="e">
        <f t="shared" si="55"/>
        <v>#N/A</v>
      </c>
      <c r="AN107" s="590" t="e">
        <f t="shared" si="55"/>
        <v>#N/A</v>
      </c>
      <c r="AO107" s="590" t="e">
        <f t="shared" si="55"/>
        <v>#N/A</v>
      </c>
      <c r="AP107" s="590" t="e">
        <f t="shared" si="55"/>
        <v>#N/A</v>
      </c>
      <c r="AQ107" s="590" t="e">
        <f t="shared" si="55"/>
        <v>#N/A</v>
      </c>
      <c r="AR107" s="590" t="e">
        <f t="shared" si="55"/>
        <v>#N/A</v>
      </c>
      <c r="AS107" s="590" t="e">
        <f t="shared" si="55"/>
        <v>#N/A</v>
      </c>
      <c r="AW107" s="580"/>
    </row>
    <row r="108" spans="2:50" ht="15" customHeight="1">
      <c r="B108" s="581" t="s">
        <v>225</v>
      </c>
      <c r="C108" s="604"/>
      <c r="D108" s="604"/>
      <c r="E108" s="604"/>
      <c r="F108" s="604"/>
      <c r="G108" s="604"/>
      <c r="H108" s="176" t="e">
        <f t="shared" si="34"/>
        <v>#N/A</v>
      </c>
      <c r="I108" s="176" t="e">
        <f t="shared" si="35"/>
        <v>#N/A</v>
      </c>
      <c r="J108" s="604"/>
      <c r="K108" s="604"/>
      <c r="L108" s="604"/>
      <c r="O108" s="590" t="e">
        <f t="shared" si="36"/>
        <v>#N/A</v>
      </c>
      <c r="P108" s="176">
        <f t="shared" si="50"/>
        <v>6</v>
      </c>
      <c r="Q108" s="580" t="e">
        <f t="shared" si="37"/>
        <v>#N/A</v>
      </c>
      <c r="R108" s="580">
        <f t="shared" si="51"/>
        <v>5.8</v>
      </c>
      <c r="S108" s="590" t="e">
        <f t="shared" si="38"/>
        <v>#N/A</v>
      </c>
      <c r="T108" s="176" t="e">
        <f t="shared" si="39"/>
        <v>#N/A</v>
      </c>
      <c r="U108" s="580">
        <f t="shared" si="52"/>
        <v>300</v>
      </c>
      <c r="V108" s="176" t="e">
        <f t="shared" si="40"/>
        <v>#N/A</v>
      </c>
      <c r="W108" s="605" t="e">
        <f>IF($R$35=2,0,IF($R$35=4,0,IF($R$35=6,$O$35/6,IF($R$35=8,$O$35/8,IF($R$35=9,$O$35/9)))))</f>
        <v>#N/A</v>
      </c>
      <c r="X108" s="606" t="e">
        <f t="shared" si="41"/>
        <v>#N/A</v>
      </c>
      <c r="Y108" s="606" t="e">
        <f t="shared" si="42"/>
        <v>#N/A</v>
      </c>
      <c r="Z108" s="148">
        <f t="shared" si="53"/>
        <v>3</v>
      </c>
      <c r="AA108" s="176" t="e">
        <f t="shared" si="43"/>
        <v>#N/A</v>
      </c>
      <c r="AB108" s="176" t="e">
        <f t="shared" si="47"/>
        <v>#N/A</v>
      </c>
      <c r="AC108" s="590" t="e">
        <f t="shared" si="48"/>
        <v>#N/A</v>
      </c>
      <c r="AD108" s="590" t="e">
        <f t="shared" si="44"/>
        <v>#N/A</v>
      </c>
      <c r="AG108" s="581" t="s">
        <v>1540</v>
      </c>
      <c r="AH108" s="590" t="e">
        <f>(AH106+AH107)*24</f>
        <v>#N/A</v>
      </c>
      <c r="AI108" s="590" t="e">
        <f t="shared" ref="AI108:AS108" si="56">(AI106+AI107)*24</f>
        <v>#N/A</v>
      </c>
      <c r="AJ108" s="590" t="e">
        <f t="shared" si="56"/>
        <v>#N/A</v>
      </c>
      <c r="AK108" s="590" t="e">
        <f t="shared" si="56"/>
        <v>#N/A</v>
      </c>
      <c r="AL108" s="590" t="e">
        <f t="shared" si="56"/>
        <v>#N/A</v>
      </c>
      <c r="AM108" s="590" t="e">
        <f t="shared" si="56"/>
        <v>#N/A</v>
      </c>
      <c r="AN108" s="590" t="e">
        <f t="shared" si="56"/>
        <v>#N/A</v>
      </c>
      <c r="AO108" s="590" t="e">
        <f t="shared" si="56"/>
        <v>#N/A</v>
      </c>
      <c r="AP108" s="590" t="e">
        <f t="shared" si="56"/>
        <v>#N/A</v>
      </c>
      <c r="AQ108" s="590" t="e">
        <f t="shared" si="56"/>
        <v>#N/A</v>
      </c>
      <c r="AR108" s="590" t="e">
        <f t="shared" si="56"/>
        <v>#N/A</v>
      </c>
      <c r="AS108" s="590" t="e">
        <f t="shared" si="56"/>
        <v>#N/A</v>
      </c>
      <c r="AV108" s="148" t="s">
        <v>1207</v>
      </c>
      <c r="AW108" s="148">
        <f>ENERGÍA!AY114</f>
        <v>0</v>
      </c>
    </row>
    <row r="109" spans="2:50" ht="15" customHeight="1">
      <c r="B109" s="581" t="s">
        <v>225</v>
      </c>
      <c r="C109" s="604"/>
      <c r="D109" s="604"/>
      <c r="E109" s="604"/>
      <c r="F109" s="604"/>
      <c r="G109" s="604"/>
      <c r="H109" s="176" t="e">
        <f t="shared" si="34"/>
        <v>#N/A</v>
      </c>
      <c r="I109" s="176" t="e">
        <f t="shared" si="35"/>
        <v>#N/A</v>
      </c>
      <c r="J109" s="604"/>
      <c r="K109" s="604"/>
      <c r="L109" s="604"/>
      <c r="O109" s="590" t="e">
        <f t="shared" si="36"/>
        <v>#N/A</v>
      </c>
      <c r="P109" s="176">
        <f t="shared" si="50"/>
        <v>6</v>
      </c>
      <c r="Q109" s="580" t="e">
        <f t="shared" si="37"/>
        <v>#N/A</v>
      </c>
      <c r="R109" s="580">
        <f t="shared" si="51"/>
        <v>5.8</v>
      </c>
      <c r="S109" s="590" t="e">
        <f t="shared" si="38"/>
        <v>#N/A</v>
      </c>
      <c r="T109" s="176" t="e">
        <f t="shared" si="39"/>
        <v>#N/A</v>
      </c>
      <c r="U109" s="580">
        <f t="shared" si="52"/>
        <v>300</v>
      </c>
      <c r="V109" s="176" t="e">
        <f t="shared" si="40"/>
        <v>#N/A</v>
      </c>
      <c r="W109" s="605" t="e">
        <f>IF($R$35=2,0,IF($R$35=4,0,IF($R$35=6,$O$35/6,IF($R$35=8,$O$35/8,IF($R$35=9,$O$35/9)))))</f>
        <v>#N/A</v>
      </c>
      <c r="X109" s="606" t="e">
        <f t="shared" si="41"/>
        <v>#N/A</v>
      </c>
      <c r="Y109" s="606" t="e">
        <f t="shared" si="42"/>
        <v>#N/A</v>
      </c>
      <c r="Z109" s="148">
        <f t="shared" si="53"/>
        <v>3</v>
      </c>
      <c r="AA109" s="176" t="e">
        <f t="shared" si="43"/>
        <v>#N/A</v>
      </c>
      <c r="AB109" s="176" t="e">
        <f t="shared" si="47"/>
        <v>#N/A</v>
      </c>
      <c r="AC109" s="590" t="e">
        <f t="shared" si="48"/>
        <v>#N/A</v>
      </c>
      <c r="AD109" s="590" t="e">
        <f t="shared" si="44"/>
        <v>#N/A</v>
      </c>
      <c r="AW109" s="580"/>
    </row>
    <row r="110" spans="2:50" ht="15" customHeight="1">
      <c r="B110" s="581" t="s">
        <v>225</v>
      </c>
      <c r="C110" s="604"/>
      <c r="D110" s="604"/>
      <c r="E110" s="604"/>
      <c r="F110" s="604"/>
      <c r="G110" s="604"/>
      <c r="H110" s="176" t="e">
        <f t="shared" si="34"/>
        <v>#N/A</v>
      </c>
      <c r="I110" s="176" t="e">
        <f t="shared" si="35"/>
        <v>#N/A</v>
      </c>
      <c r="J110" s="604"/>
      <c r="K110" s="604"/>
      <c r="L110" s="604"/>
      <c r="O110" s="590" t="e">
        <f t="shared" si="36"/>
        <v>#N/A</v>
      </c>
      <c r="P110" s="176">
        <f t="shared" si="50"/>
        <v>6</v>
      </c>
      <c r="Q110" s="580" t="e">
        <f t="shared" si="37"/>
        <v>#N/A</v>
      </c>
      <c r="R110" s="580">
        <f t="shared" si="51"/>
        <v>5.8</v>
      </c>
      <c r="S110" s="590" t="e">
        <f t="shared" si="38"/>
        <v>#N/A</v>
      </c>
      <c r="T110" s="176" t="e">
        <f t="shared" si="39"/>
        <v>#N/A</v>
      </c>
      <c r="U110" s="580">
        <f t="shared" si="52"/>
        <v>300</v>
      </c>
      <c r="V110" s="176" t="e">
        <f t="shared" si="40"/>
        <v>#N/A</v>
      </c>
      <c r="W110" s="605" t="e">
        <f>IF($R$35=2,0,IF($R$35=4,0,IF($R$35=6,0,IF($R$35=8,$O$35/8,IF($R$35=9,$O$35/9)))))</f>
        <v>#N/A</v>
      </c>
      <c r="X110" s="606" t="e">
        <f t="shared" si="41"/>
        <v>#N/A</v>
      </c>
      <c r="Y110" s="606" t="e">
        <f t="shared" si="42"/>
        <v>#N/A</v>
      </c>
      <c r="Z110" s="148">
        <f t="shared" si="53"/>
        <v>3</v>
      </c>
      <c r="AA110" s="176" t="e">
        <f t="shared" si="43"/>
        <v>#N/A</v>
      </c>
      <c r="AB110" s="176" t="e">
        <f t="shared" si="47"/>
        <v>#N/A</v>
      </c>
      <c r="AC110" s="590" t="e">
        <f t="shared" si="48"/>
        <v>#N/A</v>
      </c>
      <c r="AD110" s="590" t="e">
        <f t="shared" si="44"/>
        <v>#N/A</v>
      </c>
      <c r="AV110" s="148" t="s">
        <v>1206</v>
      </c>
      <c r="AW110" s="148">
        <f>ENERGÍA!AY116</f>
        <v>0</v>
      </c>
    </row>
    <row r="111" spans="2:50" ht="15" customHeight="1">
      <c r="B111" s="581" t="s">
        <v>225</v>
      </c>
      <c r="C111" s="604"/>
      <c r="D111" s="604"/>
      <c r="E111" s="604"/>
      <c r="F111" s="604"/>
      <c r="G111" s="604"/>
      <c r="H111" s="176" t="e">
        <f t="shared" si="34"/>
        <v>#N/A</v>
      </c>
      <c r="I111" s="176" t="e">
        <f t="shared" si="35"/>
        <v>#N/A</v>
      </c>
      <c r="J111" s="604"/>
      <c r="K111" s="604"/>
      <c r="L111" s="604"/>
      <c r="O111" s="590" t="e">
        <f t="shared" si="36"/>
        <v>#N/A</v>
      </c>
      <c r="P111" s="176">
        <f t="shared" si="50"/>
        <v>6</v>
      </c>
      <c r="Q111" s="580" t="e">
        <f t="shared" si="37"/>
        <v>#N/A</v>
      </c>
      <c r="R111" s="580">
        <f t="shared" si="51"/>
        <v>5.8</v>
      </c>
      <c r="S111" s="590" t="e">
        <f t="shared" si="38"/>
        <v>#N/A</v>
      </c>
      <c r="T111" s="176" t="e">
        <f t="shared" si="39"/>
        <v>#N/A</v>
      </c>
      <c r="U111" s="580">
        <f t="shared" si="52"/>
        <v>300</v>
      </c>
      <c r="V111" s="176" t="e">
        <f t="shared" si="40"/>
        <v>#N/A</v>
      </c>
      <c r="W111" s="605" t="e">
        <f>IF($R$35=2,0,IF($R$35=4,0,IF($R$35=6,0,IF($R$35=8,$O$35/8,IF($R$35=9,$O$35/9)))))</f>
        <v>#N/A</v>
      </c>
      <c r="X111" s="606" t="e">
        <f t="shared" si="41"/>
        <v>#N/A</v>
      </c>
      <c r="Y111" s="606" t="e">
        <f t="shared" si="42"/>
        <v>#N/A</v>
      </c>
      <c r="Z111" s="148">
        <f t="shared" si="53"/>
        <v>3</v>
      </c>
      <c r="AA111" s="176" t="e">
        <f t="shared" si="43"/>
        <v>#N/A</v>
      </c>
      <c r="AB111" s="176" t="e">
        <f t="shared" si="47"/>
        <v>#N/A</v>
      </c>
      <c r="AC111" s="590" t="e">
        <f t="shared" si="48"/>
        <v>#N/A</v>
      </c>
      <c r="AD111" s="590" t="e">
        <f t="shared" si="44"/>
        <v>#N/A</v>
      </c>
      <c r="AG111" s="581" t="s">
        <v>1541</v>
      </c>
      <c r="AH111" s="580">
        <f t="shared" ref="AH111:AS111" si="57">AH64*24</f>
        <v>0</v>
      </c>
      <c r="AI111" s="580">
        <f t="shared" si="57"/>
        <v>0</v>
      </c>
      <c r="AJ111" s="580">
        <f t="shared" si="57"/>
        <v>0</v>
      </c>
      <c r="AK111" s="580">
        <f t="shared" si="57"/>
        <v>0</v>
      </c>
      <c r="AL111" s="580">
        <f t="shared" si="57"/>
        <v>0</v>
      </c>
      <c r="AM111" s="580">
        <f t="shared" si="57"/>
        <v>0</v>
      </c>
      <c r="AN111" s="580">
        <f t="shared" si="57"/>
        <v>0</v>
      </c>
      <c r="AO111" s="580">
        <f t="shared" si="57"/>
        <v>0</v>
      </c>
      <c r="AP111" s="580">
        <f t="shared" si="57"/>
        <v>0</v>
      </c>
      <c r="AQ111" s="580">
        <f t="shared" si="57"/>
        <v>0</v>
      </c>
      <c r="AR111" s="580">
        <f t="shared" si="57"/>
        <v>0</v>
      </c>
      <c r="AS111" s="580">
        <f t="shared" si="57"/>
        <v>0</v>
      </c>
      <c r="AW111" s="580"/>
    </row>
    <row r="112" spans="2:50" ht="15" customHeight="1">
      <c r="B112" s="581" t="s">
        <v>225</v>
      </c>
      <c r="C112" s="604"/>
      <c r="D112" s="604"/>
      <c r="E112" s="604"/>
      <c r="F112" s="604"/>
      <c r="G112" s="604"/>
      <c r="H112" s="176" t="e">
        <f t="shared" si="34"/>
        <v>#N/A</v>
      </c>
      <c r="I112" s="176" t="e">
        <f t="shared" si="35"/>
        <v>#N/A</v>
      </c>
      <c r="J112" s="604"/>
      <c r="K112" s="604"/>
      <c r="L112" s="604"/>
      <c r="O112" s="590" t="e">
        <f t="shared" si="36"/>
        <v>#N/A</v>
      </c>
      <c r="P112" s="176">
        <f t="shared" si="50"/>
        <v>6</v>
      </c>
      <c r="Q112" s="580" t="e">
        <f t="shared" si="37"/>
        <v>#N/A</v>
      </c>
      <c r="R112" s="580">
        <f t="shared" si="51"/>
        <v>5.8</v>
      </c>
      <c r="S112" s="590" t="e">
        <f t="shared" si="38"/>
        <v>#N/A</v>
      </c>
      <c r="T112" s="176" t="e">
        <f t="shared" si="39"/>
        <v>#N/A</v>
      </c>
      <c r="U112" s="580">
        <f t="shared" si="52"/>
        <v>300</v>
      </c>
      <c r="V112" s="176" t="e">
        <f t="shared" si="40"/>
        <v>#N/A</v>
      </c>
      <c r="W112" s="605" t="e">
        <f>IF($R$35=2,0,IF($R$35=4,0,IF($R$35=6,0,IF($R$35=8,0,IF($R$35=9,$O$35/9)))))</f>
        <v>#N/A</v>
      </c>
      <c r="X112" s="606" t="e">
        <f t="shared" si="41"/>
        <v>#N/A</v>
      </c>
      <c r="Y112" s="606" t="e">
        <f t="shared" si="42"/>
        <v>#N/A</v>
      </c>
      <c r="Z112" s="148">
        <f t="shared" si="53"/>
        <v>3</v>
      </c>
      <c r="AA112" s="176" t="e">
        <f t="shared" si="43"/>
        <v>#N/A</v>
      </c>
      <c r="AB112" s="176" t="e">
        <f t="shared" si="47"/>
        <v>#N/A</v>
      </c>
      <c r="AC112" s="590" t="e">
        <f t="shared" si="48"/>
        <v>#N/A</v>
      </c>
      <c r="AD112" s="590" t="e">
        <f t="shared" si="44"/>
        <v>#N/A</v>
      </c>
      <c r="AG112" s="581" t="s">
        <v>1545</v>
      </c>
      <c r="AH112" s="580">
        <f>(AH66*24/100)</f>
        <v>4.32</v>
      </c>
      <c r="AI112" s="580">
        <f t="shared" ref="AI112:AS112" si="58">(AI66*24/100)</f>
        <v>4.32</v>
      </c>
      <c r="AJ112" s="580">
        <f t="shared" si="58"/>
        <v>4.32</v>
      </c>
      <c r="AK112" s="580">
        <f t="shared" si="58"/>
        <v>4.32</v>
      </c>
      <c r="AL112" s="580">
        <f t="shared" si="58"/>
        <v>4.32</v>
      </c>
      <c r="AM112" s="580">
        <f t="shared" si="58"/>
        <v>4.32</v>
      </c>
      <c r="AN112" s="580">
        <f t="shared" si="58"/>
        <v>4.32</v>
      </c>
      <c r="AO112" s="580">
        <f t="shared" si="58"/>
        <v>4.32</v>
      </c>
      <c r="AP112" s="580">
        <f t="shared" si="58"/>
        <v>4.32</v>
      </c>
      <c r="AQ112" s="580">
        <f t="shared" si="58"/>
        <v>4.32</v>
      </c>
      <c r="AR112" s="580">
        <f t="shared" si="58"/>
        <v>4.32</v>
      </c>
      <c r="AS112" s="580">
        <f t="shared" si="58"/>
        <v>4.32</v>
      </c>
      <c r="AV112" s="580" t="s">
        <v>1405</v>
      </c>
      <c r="AW112" s="148">
        <f>ENERGÍA!AY118</f>
        <v>0</v>
      </c>
    </row>
    <row r="113" spans="1:50" ht="15" customHeight="1">
      <c r="D113" s="126"/>
      <c r="E113" s="126"/>
      <c r="K113" s="126"/>
      <c r="L113" s="126"/>
      <c r="Q113" s="126"/>
      <c r="R113" s="126"/>
      <c r="V113" s="126"/>
      <c r="X113" s="126"/>
      <c r="AV113" s="580"/>
      <c r="AW113" s="580"/>
    </row>
    <row r="114" spans="1:50" ht="15" customHeight="1">
      <c r="D114" s="126"/>
      <c r="E114" s="126"/>
      <c r="K114" s="126"/>
      <c r="L114" s="126"/>
      <c r="Q114" s="126"/>
      <c r="R114" s="126"/>
      <c r="V114" s="126"/>
      <c r="X114" s="126"/>
      <c r="AG114" s="581" t="s">
        <v>1544</v>
      </c>
      <c r="AH114" s="590" t="e">
        <f>IF(($AW$59-AH62)&lt;0,0,(($AW$59-AH62)*24)*AH112-AH108)</f>
        <v>#N/A</v>
      </c>
      <c r="AI114" s="590" t="e">
        <f t="shared" ref="AI114:AS114" si="59">IF(($AW$59-AI62)&lt;0,0,(($AW$59-AI62)*24)*AI112-AI108)</f>
        <v>#N/A</v>
      </c>
      <c r="AJ114" s="590" t="e">
        <f t="shared" si="59"/>
        <v>#N/A</v>
      </c>
      <c r="AK114" s="590" t="e">
        <f t="shared" si="59"/>
        <v>#N/A</v>
      </c>
      <c r="AL114" s="590" t="e">
        <f t="shared" si="59"/>
        <v>#N/A</v>
      </c>
      <c r="AM114" s="590" t="e">
        <f t="shared" si="59"/>
        <v>#N/A</v>
      </c>
      <c r="AN114" s="590" t="e">
        <f t="shared" si="59"/>
        <v>#N/A</v>
      </c>
      <c r="AO114" s="590" t="e">
        <f t="shared" si="59"/>
        <v>#N/A</v>
      </c>
      <c r="AP114" s="590" t="e">
        <f t="shared" si="59"/>
        <v>#N/A</v>
      </c>
      <c r="AQ114" s="590" t="e">
        <f t="shared" si="59"/>
        <v>#N/A</v>
      </c>
      <c r="AR114" s="590" t="e">
        <f t="shared" si="59"/>
        <v>#N/A</v>
      </c>
      <c r="AS114" s="590" t="e">
        <f t="shared" si="59"/>
        <v>#N/A</v>
      </c>
      <c r="AV114" s="580" t="s">
        <v>1406</v>
      </c>
      <c r="AW114" s="148">
        <f>ENERGÍA!AY120</f>
        <v>0</v>
      </c>
    </row>
    <row r="115" spans="1:50" ht="15" customHeight="1">
      <c r="C115" s="1323" t="s">
        <v>1204</v>
      </c>
      <c r="D115" s="1323"/>
      <c r="E115" s="580" t="s">
        <v>1185</v>
      </c>
      <c r="F115" s="580" t="s">
        <v>1186</v>
      </c>
      <c r="G115" s="580" t="s">
        <v>227</v>
      </c>
      <c r="K115" s="126"/>
      <c r="L115" s="126"/>
      <c r="Q115" s="126"/>
      <c r="R115" s="126"/>
      <c r="V115" s="126"/>
      <c r="X115" s="126"/>
      <c r="AH115" s="590" t="e">
        <f>IF(AH114&lt;0,0,AH114)</f>
        <v>#N/A</v>
      </c>
      <c r="AI115" s="590" t="e">
        <f t="shared" ref="AI115:AS115" si="60">IF(AI114&lt;0,0,AI114)</f>
        <v>#N/A</v>
      </c>
      <c r="AJ115" s="590" t="e">
        <f t="shared" si="60"/>
        <v>#N/A</v>
      </c>
      <c r="AK115" s="590" t="e">
        <f t="shared" si="60"/>
        <v>#N/A</v>
      </c>
      <c r="AL115" s="590" t="e">
        <f t="shared" si="60"/>
        <v>#N/A</v>
      </c>
      <c r="AM115" s="590" t="e">
        <f t="shared" si="60"/>
        <v>#N/A</v>
      </c>
      <c r="AN115" s="590" t="e">
        <f t="shared" si="60"/>
        <v>#N/A</v>
      </c>
      <c r="AO115" s="590" t="e">
        <f t="shared" si="60"/>
        <v>#N/A</v>
      </c>
      <c r="AP115" s="590" t="e">
        <f t="shared" si="60"/>
        <v>#N/A</v>
      </c>
      <c r="AQ115" s="590" t="e">
        <f t="shared" si="60"/>
        <v>#N/A</v>
      </c>
      <c r="AR115" s="590" t="e">
        <f t="shared" si="60"/>
        <v>#N/A</v>
      </c>
      <c r="AS115" s="590" t="e">
        <f t="shared" si="60"/>
        <v>#N/A</v>
      </c>
      <c r="AW115" s="580"/>
    </row>
    <row r="116" spans="1:50" ht="15" customHeight="1">
      <c r="B116" s="581" t="s">
        <v>768</v>
      </c>
      <c r="C116" s="1324"/>
      <c r="D116" s="1324"/>
      <c r="E116" s="589">
        <f>ENERGÍA!F122</f>
        <v>0</v>
      </c>
      <c r="F116" s="589">
        <f>ENERGÍA!G122</f>
        <v>0</v>
      </c>
      <c r="G116" s="589">
        <f>ENERGÍA!H122</f>
        <v>0</v>
      </c>
      <c r="K116" s="126"/>
      <c r="L116" s="126"/>
      <c r="T116" s="590">
        <f>ENERGÍA!U122</f>
        <v>0</v>
      </c>
      <c r="V116" s="126"/>
      <c r="X116" s="126"/>
      <c r="AC116" s="590">
        <f>T116*E116*F116</f>
        <v>0</v>
      </c>
      <c r="AD116" s="590">
        <f>AC116</f>
        <v>0</v>
      </c>
      <c r="AG116" s="1339" t="s">
        <v>1542</v>
      </c>
      <c r="AH116" s="1339"/>
      <c r="AI116" s="1339"/>
      <c r="AJ116" s="1339"/>
      <c r="AK116" s="1339"/>
      <c r="AL116" s="1339"/>
      <c r="AM116" s="1339"/>
      <c r="AN116" s="1339"/>
      <c r="AO116" s="1339"/>
      <c r="AP116" s="1339"/>
      <c r="AQ116" s="1339"/>
      <c r="AR116" s="1339"/>
      <c r="AS116" s="1339"/>
      <c r="AW116" s="580"/>
    </row>
    <row r="117" spans="1:50" ht="6" customHeight="1">
      <c r="J117" s="580"/>
      <c r="L117" s="126"/>
      <c r="V117" s="148"/>
      <c r="Z117" s="580"/>
      <c r="AA117" s="580"/>
      <c r="AW117" s="580"/>
    </row>
    <row r="118" spans="1:50" ht="15" customHeight="1">
      <c r="B118" s="1323">
        <f>C36</f>
        <v>0</v>
      </c>
      <c r="C118" s="1323"/>
      <c r="D118" s="1323"/>
      <c r="E118" s="1323"/>
      <c r="F118" s="1323"/>
      <c r="G118" s="1323"/>
      <c r="H118" s="1323"/>
      <c r="I118" s="1323"/>
      <c r="J118" s="1323"/>
      <c r="K118" s="1323"/>
      <c r="L118" s="1323"/>
      <c r="O118" s="1284">
        <f>B118</f>
        <v>0</v>
      </c>
      <c r="P118" s="1338"/>
      <c r="Q118" s="1338"/>
      <c r="R118" s="1338"/>
      <c r="S118" s="1338"/>
      <c r="T118" s="1338"/>
      <c r="U118" s="1338"/>
      <c r="V118" s="1338"/>
      <c r="W118" s="1338"/>
      <c r="X118" s="1338"/>
      <c r="Y118" s="1338"/>
      <c r="Z118" s="1338"/>
      <c r="AA118" s="1338"/>
      <c r="AB118" s="1338"/>
      <c r="AC118" s="1338"/>
      <c r="AD118" s="1338"/>
      <c r="AE118" s="1285"/>
      <c r="AG118" s="581" t="s">
        <v>1656</v>
      </c>
      <c r="AH118" s="590" t="e">
        <f>AH98*AH108*24/500</f>
        <v>#N/A</v>
      </c>
      <c r="AI118" s="590" t="e">
        <f t="shared" ref="AI118:AS118" si="61">AI98*AI108*24/500</f>
        <v>#N/A</v>
      </c>
      <c r="AJ118" s="590" t="e">
        <f t="shared" si="61"/>
        <v>#N/A</v>
      </c>
      <c r="AK118" s="590" t="e">
        <f t="shared" si="61"/>
        <v>#N/A</v>
      </c>
      <c r="AL118" s="590" t="e">
        <f t="shared" si="61"/>
        <v>#N/A</v>
      </c>
      <c r="AM118" s="590" t="e">
        <f t="shared" si="61"/>
        <v>#N/A</v>
      </c>
      <c r="AN118" s="590" t="e">
        <f t="shared" si="61"/>
        <v>#N/A</v>
      </c>
      <c r="AO118" s="590" t="e">
        <f t="shared" si="61"/>
        <v>#N/A</v>
      </c>
      <c r="AP118" s="590" t="e">
        <f t="shared" si="61"/>
        <v>#N/A</v>
      </c>
      <c r="AQ118" s="590" t="e">
        <f t="shared" si="61"/>
        <v>#N/A</v>
      </c>
      <c r="AR118" s="590" t="e">
        <f t="shared" si="61"/>
        <v>#N/A</v>
      </c>
      <c r="AS118" s="590" t="e">
        <f t="shared" si="61"/>
        <v>#N/A</v>
      </c>
      <c r="AW118" s="580"/>
    </row>
    <row r="119" spans="1:50" ht="6" customHeight="1">
      <c r="L119" s="126"/>
      <c r="V119" s="148"/>
      <c r="Z119" s="580"/>
      <c r="AA119" s="580"/>
      <c r="AF119" s="597"/>
      <c r="AW119" s="580"/>
    </row>
    <row r="120" spans="1:50" ht="15" customHeight="1">
      <c r="B120" s="1273"/>
      <c r="C120" s="1323" t="s">
        <v>1184</v>
      </c>
      <c r="D120" s="1323"/>
      <c r="E120" s="1323"/>
      <c r="F120" s="1323" t="s">
        <v>1188</v>
      </c>
      <c r="G120" s="1323"/>
      <c r="H120" s="1323" t="s">
        <v>1203</v>
      </c>
      <c r="I120" s="1323"/>
      <c r="J120" s="1281" t="s">
        <v>790</v>
      </c>
      <c r="K120" s="1281" t="s">
        <v>1136</v>
      </c>
      <c r="L120" s="1281"/>
      <c r="O120" s="580" t="s">
        <v>1651</v>
      </c>
      <c r="P120" s="1281" t="s">
        <v>1064</v>
      </c>
      <c r="Q120" s="580" t="s">
        <v>1652</v>
      </c>
      <c r="R120" s="1273" t="s">
        <v>1191</v>
      </c>
      <c r="S120" s="580" t="s">
        <v>1190</v>
      </c>
      <c r="T120" s="1273" t="s">
        <v>1192</v>
      </c>
      <c r="U120" s="1323" t="s">
        <v>1653</v>
      </c>
      <c r="V120" s="1323"/>
      <c r="W120" s="580" t="s">
        <v>1654</v>
      </c>
      <c r="X120" s="1273" t="s">
        <v>1403</v>
      </c>
      <c r="Y120" s="1273" t="s">
        <v>1404</v>
      </c>
      <c r="Z120" s="1273" t="s">
        <v>1210</v>
      </c>
      <c r="AA120" s="1273" t="s">
        <v>1201</v>
      </c>
      <c r="AB120" s="1273" t="s">
        <v>1202</v>
      </c>
      <c r="AC120" s="1281" t="s">
        <v>850</v>
      </c>
      <c r="AD120" s="1281" t="str">
        <f>AC120</f>
        <v>W/K Inv</v>
      </c>
      <c r="AE120" s="226" t="s">
        <v>1017</v>
      </c>
      <c r="AF120" s="597"/>
      <c r="AG120" s="581" t="s">
        <v>760</v>
      </c>
      <c r="AH120" s="590">
        <f>(AD60/0.2)*31/1000*(6.1/6)</f>
        <v>0</v>
      </c>
      <c r="AI120" s="590">
        <f>AH120</f>
        <v>0</v>
      </c>
      <c r="AJ120" s="590">
        <f t="shared" ref="AJ120:AS120" si="62">AI120</f>
        <v>0</v>
      </c>
      <c r="AK120" s="590">
        <f t="shared" si="62"/>
        <v>0</v>
      </c>
      <c r="AL120" s="590">
        <f t="shared" si="62"/>
        <v>0</v>
      </c>
      <c r="AM120" s="590">
        <f t="shared" si="62"/>
        <v>0</v>
      </c>
      <c r="AN120" s="590">
        <f t="shared" si="62"/>
        <v>0</v>
      </c>
      <c r="AO120" s="590">
        <f t="shared" si="62"/>
        <v>0</v>
      </c>
      <c r="AP120" s="590">
        <f t="shared" si="62"/>
        <v>0</v>
      </c>
      <c r="AQ120" s="590">
        <f t="shared" si="62"/>
        <v>0</v>
      </c>
      <c r="AR120" s="590">
        <f t="shared" si="62"/>
        <v>0</v>
      </c>
      <c r="AS120" s="590">
        <f t="shared" si="62"/>
        <v>0</v>
      </c>
    </row>
    <row r="121" spans="1:50" ht="15" customHeight="1">
      <c r="B121" s="1273"/>
      <c r="C121" s="148" t="s">
        <v>623</v>
      </c>
      <c r="D121" s="580" t="s">
        <v>1185</v>
      </c>
      <c r="E121" s="580" t="s">
        <v>1186</v>
      </c>
      <c r="F121" s="580" t="s">
        <v>623</v>
      </c>
      <c r="G121" s="580" t="s">
        <v>1189</v>
      </c>
      <c r="H121" s="580" t="s">
        <v>757</v>
      </c>
      <c r="I121" s="580" t="s">
        <v>650</v>
      </c>
      <c r="J121" s="1281"/>
      <c r="K121" s="166" t="s">
        <v>623</v>
      </c>
      <c r="L121" s="602" t="s">
        <v>1122</v>
      </c>
      <c r="O121" s="580" t="s">
        <v>1187</v>
      </c>
      <c r="P121" s="1281"/>
      <c r="Q121" s="580" t="s">
        <v>1187</v>
      </c>
      <c r="R121" s="1273"/>
      <c r="S121" s="580" t="s">
        <v>18</v>
      </c>
      <c r="T121" s="1273"/>
      <c r="U121" s="580" t="s">
        <v>1199</v>
      </c>
      <c r="V121" s="148" t="s">
        <v>1200</v>
      </c>
      <c r="W121" s="176" t="s">
        <v>1187</v>
      </c>
      <c r="X121" s="1273"/>
      <c r="Y121" s="1273"/>
      <c r="Z121" s="1273"/>
      <c r="AA121" s="1273"/>
      <c r="AB121" s="1273"/>
      <c r="AC121" s="1281"/>
      <c r="AD121" s="1281"/>
      <c r="AE121" s="603" t="e">
        <f>Q36</f>
        <v>#N/A</v>
      </c>
      <c r="AF121" s="597"/>
      <c r="AG121" s="608" t="s">
        <v>762</v>
      </c>
      <c r="AH121" s="590">
        <f>AK121*AH72/30</f>
        <v>71.3</v>
      </c>
      <c r="AI121" s="590">
        <f>AK121*AI72/30</f>
        <v>64.400000000000006</v>
      </c>
      <c r="AJ121" s="590">
        <f>AH121</f>
        <v>71.3</v>
      </c>
      <c r="AK121" s="590">
        <f>AJ50</f>
        <v>69</v>
      </c>
      <c r="AL121" s="590">
        <f>AJ121</f>
        <v>71.3</v>
      </c>
      <c r="AM121" s="590">
        <f>AK121</f>
        <v>69</v>
      </c>
      <c r="AN121" s="590">
        <f>AJ121</f>
        <v>71.3</v>
      </c>
      <c r="AO121" s="590">
        <f>AJ121</f>
        <v>71.3</v>
      </c>
      <c r="AP121" s="590">
        <f>AK121</f>
        <v>69</v>
      </c>
      <c r="AQ121" s="590">
        <f>AJ121</f>
        <v>71.3</v>
      </c>
      <c r="AR121" s="590">
        <f>AK121</f>
        <v>69</v>
      </c>
      <c r="AS121" s="590">
        <f>AJ121</f>
        <v>71.3</v>
      </c>
    </row>
    <row r="122" spans="1:50" s="173" customFormat="1" ht="15" customHeight="1">
      <c r="A122" s="126"/>
      <c r="B122" s="581" t="s">
        <v>225</v>
      </c>
      <c r="C122" s="604"/>
      <c r="D122" s="604"/>
      <c r="E122" s="604"/>
      <c r="F122" s="604"/>
      <c r="G122" s="604"/>
      <c r="H122" s="176" t="e">
        <f t="shared" ref="H122:H130" si="63">IF(W122=0,"-",IF($O$4=6,"No Aplica",HLOOKUP(AA122,ZONA2,2,TRUE)))</f>
        <v>#N/A</v>
      </c>
      <c r="I122" s="176" t="e">
        <f t="shared" ref="I122:I130" si="64">IF(W122=0,"-",IF($O$4=6,HLOOKUP(AB122,ZONA3,2,TRUE),HLOOKUP(AB122,ZONA1,2,TRUE)))</f>
        <v>#N/A</v>
      </c>
      <c r="J122" s="604"/>
      <c r="K122" s="604"/>
      <c r="L122" s="604"/>
      <c r="M122" s="126"/>
      <c r="N122" s="126"/>
      <c r="O122" s="590" t="e">
        <f t="shared" ref="O122:O130" si="65">$W$104-Q122</f>
        <v>#N/A</v>
      </c>
      <c r="P122" s="176">
        <f>P112</f>
        <v>6</v>
      </c>
      <c r="Q122" s="580" t="e">
        <f t="shared" ref="Q122:Q130" si="66">W122*0.02</f>
        <v>#N/A</v>
      </c>
      <c r="R122" s="580">
        <f>R112</f>
        <v>5.8</v>
      </c>
      <c r="S122" s="590" t="e">
        <f t="shared" ref="S122:S130" si="67">(W122/2)+2</f>
        <v>#N/A</v>
      </c>
      <c r="T122" s="176" t="e">
        <f t="shared" ref="T122:T130" si="68">((O122*P122)+(Q122*R122)+(S122*0.02))/W122</f>
        <v>#N/A</v>
      </c>
      <c r="U122" s="580">
        <f>U112</f>
        <v>300</v>
      </c>
      <c r="V122" s="176" t="e">
        <f>IF(W122=0,0,U122*W122)</f>
        <v>#N/A</v>
      </c>
      <c r="W122" s="605" t="e">
        <f t="shared" ref="W122:W123" si="69">IF($R$36=2,$O$36/2,IF($R$36=4,$O$36/4,IF($R$36=6,$O$36/6,IF($R$36=8,$O$36/8,IF($R$36=9,$O$36/9)))))</f>
        <v>#N/A</v>
      </c>
      <c r="X122" s="606" t="e">
        <f t="shared" ref="X122:X130" si="70">(V122*$AW$112)</f>
        <v>#N/A</v>
      </c>
      <c r="Y122" s="606" t="e">
        <f t="shared" ref="Y122:Y130" si="71">V122*$AW$114</f>
        <v>#N/A</v>
      </c>
      <c r="Z122" s="148">
        <f>Z112</f>
        <v>3</v>
      </c>
      <c r="AA122" s="176" t="e">
        <f t="shared" ref="AA122:AA130" si="72">IF(W122=0,0,(($AW$104*Z122)+X122+(T122*$AW$108))/W122)</f>
        <v>#N/A</v>
      </c>
      <c r="AB122" s="176" t="e">
        <f t="shared" ref="AB122:AB130" si="73">IF(W122=0,0,(($AW$106*Z122)-(X122+T122)*$AW$110)/W122)</f>
        <v>#N/A</v>
      </c>
      <c r="AC122" s="590" t="e">
        <f t="shared" ref="AC122:AC130" si="74">IF(W122=0,0,(T122*O122))</f>
        <v>#N/A</v>
      </c>
      <c r="AD122" s="590" t="e">
        <f t="shared" ref="AD122:AD130" si="75">AC122</f>
        <v>#N/A</v>
      </c>
      <c r="AE122" s="126"/>
      <c r="AF122" s="126"/>
      <c r="AG122" s="581" t="s">
        <v>1033</v>
      </c>
      <c r="AH122" s="590" t="e">
        <f t="shared" ref="AH122:AS122" si="76">AH80*23*AH72/1000</f>
        <v>#N/A</v>
      </c>
      <c r="AI122" s="590" t="e">
        <f t="shared" si="76"/>
        <v>#N/A</v>
      </c>
      <c r="AJ122" s="590" t="e">
        <f t="shared" si="76"/>
        <v>#N/A</v>
      </c>
      <c r="AK122" s="590" t="e">
        <f t="shared" si="76"/>
        <v>#N/A</v>
      </c>
      <c r="AL122" s="590" t="e">
        <f t="shared" si="76"/>
        <v>#N/A</v>
      </c>
      <c r="AM122" s="590" t="e">
        <f t="shared" si="76"/>
        <v>#N/A</v>
      </c>
      <c r="AN122" s="590" t="e">
        <f t="shared" si="76"/>
        <v>#N/A</v>
      </c>
      <c r="AO122" s="590" t="e">
        <f t="shared" si="76"/>
        <v>#N/A</v>
      </c>
      <c r="AP122" s="590" t="e">
        <f t="shared" si="76"/>
        <v>#N/A</v>
      </c>
      <c r="AQ122" s="590" t="e">
        <f t="shared" si="76"/>
        <v>#N/A</v>
      </c>
      <c r="AR122" s="590" t="e">
        <f t="shared" si="76"/>
        <v>#N/A</v>
      </c>
      <c r="AS122" s="590" t="e">
        <f t="shared" si="76"/>
        <v>#N/A</v>
      </c>
      <c r="AX122" s="126"/>
    </row>
    <row r="123" spans="1:50" ht="15" customHeight="1">
      <c r="B123" s="581" t="s">
        <v>225</v>
      </c>
      <c r="C123" s="604"/>
      <c r="D123" s="604"/>
      <c r="E123" s="604"/>
      <c r="F123" s="604"/>
      <c r="G123" s="604"/>
      <c r="H123" s="176" t="e">
        <f t="shared" si="63"/>
        <v>#N/A</v>
      </c>
      <c r="I123" s="176" t="e">
        <f t="shared" si="64"/>
        <v>#N/A</v>
      </c>
      <c r="J123" s="604"/>
      <c r="K123" s="604"/>
      <c r="L123" s="604"/>
      <c r="O123" s="590" t="e">
        <f t="shared" si="65"/>
        <v>#N/A</v>
      </c>
      <c r="P123" s="176">
        <f>P122</f>
        <v>6</v>
      </c>
      <c r="Q123" s="580" t="e">
        <f t="shared" si="66"/>
        <v>#N/A</v>
      </c>
      <c r="R123" s="580">
        <f>R122</f>
        <v>5.8</v>
      </c>
      <c r="S123" s="590" t="e">
        <f t="shared" si="67"/>
        <v>#N/A</v>
      </c>
      <c r="T123" s="176" t="e">
        <f t="shared" si="68"/>
        <v>#N/A</v>
      </c>
      <c r="U123" s="580">
        <f>U122</f>
        <v>300</v>
      </c>
      <c r="V123" s="176" t="e">
        <f>IF(W123=0,0,U123*W123)</f>
        <v>#N/A</v>
      </c>
      <c r="W123" s="605" t="e">
        <f t="shared" si="69"/>
        <v>#N/A</v>
      </c>
      <c r="X123" s="606" t="e">
        <f t="shared" si="70"/>
        <v>#N/A</v>
      </c>
      <c r="Y123" s="606" t="e">
        <f t="shared" si="71"/>
        <v>#N/A</v>
      </c>
      <c r="Z123" s="148">
        <f>Z122</f>
        <v>3</v>
      </c>
      <c r="AA123" s="176" t="e">
        <f t="shared" si="72"/>
        <v>#N/A</v>
      </c>
      <c r="AB123" s="176" t="e">
        <f t="shared" si="73"/>
        <v>#N/A</v>
      </c>
      <c r="AC123" s="590" t="e">
        <f t="shared" si="74"/>
        <v>#N/A</v>
      </c>
      <c r="AD123" s="590" t="e">
        <f t="shared" si="75"/>
        <v>#N/A</v>
      </c>
      <c r="AF123" s="597"/>
      <c r="AG123" s="581" t="s">
        <v>991</v>
      </c>
      <c r="AH123" s="590">
        <f t="shared" ref="AH123:AS123" si="77">AH87*31*24/1000</f>
        <v>0</v>
      </c>
      <c r="AI123" s="590">
        <f t="shared" si="77"/>
        <v>0</v>
      </c>
      <c r="AJ123" s="590">
        <f t="shared" si="77"/>
        <v>0</v>
      </c>
      <c r="AK123" s="590">
        <f t="shared" si="77"/>
        <v>0</v>
      </c>
      <c r="AL123" s="590">
        <f t="shared" si="77"/>
        <v>0</v>
      </c>
      <c r="AM123" s="590">
        <f t="shared" si="77"/>
        <v>0</v>
      </c>
      <c r="AN123" s="590">
        <f t="shared" si="77"/>
        <v>0</v>
      </c>
      <c r="AO123" s="590">
        <f t="shared" si="77"/>
        <v>0</v>
      </c>
      <c r="AP123" s="590">
        <f t="shared" si="77"/>
        <v>0</v>
      </c>
      <c r="AQ123" s="590">
        <f t="shared" si="77"/>
        <v>0</v>
      </c>
      <c r="AR123" s="590">
        <f t="shared" si="77"/>
        <v>0</v>
      </c>
      <c r="AS123" s="590">
        <f t="shared" si="77"/>
        <v>0</v>
      </c>
    </row>
    <row r="124" spans="1:50" ht="15" customHeight="1">
      <c r="B124" s="581" t="s">
        <v>225</v>
      </c>
      <c r="C124" s="604"/>
      <c r="D124" s="604"/>
      <c r="E124" s="604"/>
      <c r="F124" s="604"/>
      <c r="G124" s="604"/>
      <c r="H124" s="176" t="e">
        <f t="shared" si="63"/>
        <v>#N/A</v>
      </c>
      <c r="I124" s="176" t="e">
        <f t="shared" si="64"/>
        <v>#N/A</v>
      </c>
      <c r="J124" s="604"/>
      <c r="K124" s="604"/>
      <c r="L124" s="604"/>
      <c r="O124" s="590" t="e">
        <f t="shared" si="65"/>
        <v>#N/A</v>
      </c>
      <c r="P124" s="176">
        <f t="shared" ref="P124:P130" si="78">P123</f>
        <v>6</v>
      </c>
      <c r="Q124" s="580" t="e">
        <f t="shared" si="66"/>
        <v>#N/A</v>
      </c>
      <c r="R124" s="580">
        <f t="shared" ref="R124:R130" si="79">R123</f>
        <v>5.8</v>
      </c>
      <c r="S124" s="590" t="e">
        <f t="shared" si="67"/>
        <v>#N/A</v>
      </c>
      <c r="T124" s="176" t="e">
        <f t="shared" si="68"/>
        <v>#N/A</v>
      </c>
      <c r="U124" s="580">
        <f t="shared" ref="U124:U130" si="80">U123</f>
        <v>300</v>
      </c>
      <c r="V124" s="176" t="e">
        <f t="shared" ref="V124:V130" si="81">IF(W124=0,0,U124*W124)</f>
        <v>#N/A</v>
      </c>
      <c r="W124" s="605" t="e">
        <f>IF($R$36=2,0,IF($R$36=4,$O$36/4,IF($R$36=6,$O$36/6,IF($R$36=8,$O$36/8,IF($R$36=9,$O$36/9)))))</f>
        <v>#N/A</v>
      </c>
      <c r="X124" s="606" t="e">
        <f t="shared" si="70"/>
        <v>#N/A</v>
      </c>
      <c r="Y124" s="606" t="e">
        <f t="shared" si="71"/>
        <v>#N/A</v>
      </c>
      <c r="Z124" s="148">
        <f t="shared" ref="Z124:Z129" si="82">Z123</f>
        <v>3</v>
      </c>
      <c r="AA124" s="176" t="e">
        <f t="shared" si="72"/>
        <v>#N/A</v>
      </c>
      <c r="AB124" s="176" t="e">
        <f t="shared" si="73"/>
        <v>#N/A</v>
      </c>
      <c r="AC124" s="590" t="e">
        <f t="shared" si="74"/>
        <v>#N/A</v>
      </c>
      <c r="AD124" s="590" t="e">
        <f t="shared" si="75"/>
        <v>#N/A</v>
      </c>
    </row>
    <row r="125" spans="1:50" ht="15" customHeight="1">
      <c r="B125" s="581" t="s">
        <v>225</v>
      </c>
      <c r="C125" s="604"/>
      <c r="D125" s="604"/>
      <c r="E125" s="604"/>
      <c r="F125" s="604"/>
      <c r="G125" s="604"/>
      <c r="H125" s="176" t="e">
        <f t="shared" si="63"/>
        <v>#N/A</v>
      </c>
      <c r="I125" s="176" t="e">
        <f t="shared" si="64"/>
        <v>#N/A</v>
      </c>
      <c r="J125" s="604"/>
      <c r="K125" s="604"/>
      <c r="L125" s="604"/>
      <c r="O125" s="590" t="e">
        <f t="shared" si="65"/>
        <v>#N/A</v>
      </c>
      <c r="P125" s="176">
        <f t="shared" si="78"/>
        <v>6</v>
      </c>
      <c r="Q125" s="580" t="e">
        <f t="shared" si="66"/>
        <v>#N/A</v>
      </c>
      <c r="R125" s="580">
        <f t="shared" si="79"/>
        <v>5.8</v>
      </c>
      <c r="S125" s="590" t="e">
        <f t="shared" si="67"/>
        <v>#N/A</v>
      </c>
      <c r="T125" s="176" t="e">
        <f t="shared" si="68"/>
        <v>#N/A</v>
      </c>
      <c r="U125" s="580">
        <f t="shared" si="80"/>
        <v>300</v>
      </c>
      <c r="V125" s="176" t="e">
        <f t="shared" si="81"/>
        <v>#N/A</v>
      </c>
      <c r="W125" s="605" t="e">
        <f t="shared" ref="W125" si="83">IF($R$36=2,0,IF($R$36=4,$O$36/4,IF($R$36=6,$O$36/6,IF($R$36=8,$O$36/8,IF($R$36=9,$O$36/9)))))</f>
        <v>#N/A</v>
      </c>
      <c r="X125" s="606" t="e">
        <f t="shared" si="70"/>
        <v>#N/A</v>
      </c>
      <c r="Y125" s="606" t="e">
        <f t="shared" si="71"/>
        <v>#N/A</v>
      </c>
      <c r="Z125" s="148">
        <f t="shared" si="82"/>
        <v>3</v>
      </c>
      <c r="AA125" s="176" t="e">
        <f t="shared" si="72"/>
        <v>#N/A</v>
      </c>
      <c r="AB125" s="176" t="e">
        <f t="shared" si="73"/>
        <v>#N/A</v>
      </c>
      <c r="AC125" s="590" t="e">
        <f t="shared" si="74"/>
        <v>#N/A</v>
      </c>
      <c r="AD125" s="590" t="e">
        <f t="shared" si="75"/>
        <v>#N/A</v>
      </c>
      <c r="AF125" s="597"/>
      <c r="AG125" s="581" t="s">
        <v>1620</v>
      </c>
      <c r="AH125" s="590">
        <v>0</v>
      </c>
      <c r="AI125" s="590">
        <v>0</v>
      </c>
      <c r="AJ125" s="590">
        <v>0</v>
      </c>
      <c r="AK125" s="590">
        <v>0</v>
      </c>
      <c r="AL125" s="590">
        <v>0</v>
      </c>
      <c r="AM125" s="590">
        <v>0</v>
      </c>
      <c r="AN125" s="590">
        <v>0</v>
      </c>
      <c r="AO125" s="590">
        <v>0</v>
      </c>
      <c r="AP125" s="590">
        <v>0</v>
      </c>
      <c r="AQ125" s="590">
        <v>0</v>
      </c>
      <c r="AR125" s="590">
        <v>0</v>
      </c>
      <c r="AS125" s="590">
        <v>0</v>
      </c>
    </row>
    <row r="126" spans="1:50" ht="15" customHeight="1">
      <c r="B126" s="581" t="s">
        <v>225</v>
      </c>
      <c r="C126" s="604"/>
      <c r="D126" s="604"/>
      <c r="E126" s="604"/>
      <c r="F126" s="604"/>
      <c r="G126" s="604"/>
      <c r="H126" s="176" t="e">
        <f t="shared" si="63"/>
        <v>#N/A</v>
      </c>
      <c r="I126" s="176" t="e">
        <f t="shared" si="64"/>
        <v>#N/A</v>
      </c>
      <c r="J126" s="604"/>
      <c r="K126" s="604"/>
      <c r="L126" s="604"/>
      <c r="O126" s="590" t="e">
        <f t="shared" si="65"/>
        <v>#N/A</v>
      </c>
      <c r="P126" s="176">
        <f t="shared" si="78"/>
        <v>6</v>
      </c>
      <c r="Q126" s="580" t="e">
        <f t="shared" si="66"/>
        <v>#N/A</v>
      </c>
      <c r="R126" s="580">
        <f t="shared" si="79"/>
        <v>5.8</v>
      </c>
      <c r="S126" s="590" t="e">
        <f t="shared" si="67"/>
        <v>#N/A</v>
      </c>
      <c r="T126" s="176" t="e">
        <f t="shared" si="68"/>
        <v>#N/A</v>
      </c>
      <c r="U126" s="580">
        <f t="shared" si="80"/>
        <v>300</v>
      </c>
      <c r="V126" s="176" t="e">
        <f t="shared" si="81"/>
        <v>#N/A</v>
      </c>
      <c r="W126" s="605" t="e">
        <f>IF($R$36=2,0,IF($R$36=4,0,IF($R$36=6,$O$36/6,IF($R$36=8,$O$36/8,IF($R$36=9,$O$36/9)))))</f>
        <v>#N/A</v>
      </c>
      <c r="X126" s="606" t="e">
        <f t="shared" si="70"/>
        <v>#N/A</v>
      </c>
      <c r="Y126" s="606" t="e">
        <f t="shared" si="71"/>
        <v>#N/A</v>
      </c>
      <c r="Z126" s="148">
        <f t="shared" si="82"/>
        <v>3</v>
      </c>
      <c r="AA126" s="176" t="e">
        <f t="shared" si="72"/>
        <v>#N/A</v>
      </c>
      <c r="AB126" s="176" t="e">
        <f t="shared" si="73"/>
        <v>#N/A</v>
      </c>
      <c r="AC126" s="590" t="e">
        <f t="shared" si="74"/>
        <v>#N/A</v>
      </c>
      <c r="AD126" s="590" t="e">
        <f t="shared" si="75"/>
        <v>#N/A</v>
      </c>
    </row>
    <row r="127" spans="1:50" ht="15" customHeight="1">
      <c r="B127" s="581" t="s">
        <v>225</v>
      </c>
      <c r="C127" s="604"/>
      <c r="D127" s="604"/>
      <c r="E127" s="604"/>
      <c r="F127" s="604"/>
      <c r="G127" s="604"/>
      <c r="H127" s="176" t="e">
        <f t="shared" si="63"/>
        <v>#N/A</v>
      </c>
      <c r="I127" s="176" t="e">
        <f t="shared" si="64"/>
        <v>#N/A</v>
      </c>
      <c r="J127" s="604"/>
      <c r="K127" s="604"/>
      <c r="L127" s="604"/>
      <c r="O127" s="590" t="e">
        <f t="shared" si="65"/>
        <v>#N/A</v>
      </c>
      <c r="P127" s="176">
        <f t="shared" si="78"/>
        <v>6</v>
      </c>
      <c r="Q127" s="580" t="e">
        <f t="shared" si="66"/>
        <v>#N/A</v>
      </c>
      <c r="R127" s="580">
        <f t="shared" si="79"/>
        <v>5.8</v>
      </c>
      <c r="S127" s="590" t="e">
        <f t="shared" si="67"/>
        <v>#N/A</v>
      </c>
      <c r="T127" s="176" t="e">
        <f t="shared" si="68"/>
        <v>#N/A</v>
      </c>
      <c r="U127" s="580">
        <f t="shared" si="80"/>
        <v>300</v>
      </c>
      <c r="V127" s="176" t="e">
        <f t="shared" si="81"/>
        <v>#N/A</v>
      </c>
      <c r="W127" s="605" t="e">
        <f>IF($R$36=2,0,IF($R$36=4,0,IF($R$36=6,$O$36/6,IF($R$36=8,$O$36/8,IF($R$36=9,$O$36/9)))))</f>
        <v>#N/A</v>
      </c>
      <c r="X127" s="606" t="e">
        <f t="shared" si="70"/>
        <v>#N/A</v>
      </c>
      <c r="Y127" s="606" t="e">
        <f t="shared" si="71"/>
        <v>#N/A</v>
      </c>
      <c r="Z127" s="148">
        <f t="shared" si="82"/>
        <v>3</v>
      </c>
      <c r="AA127" s="176" t="e">
        <f t="shared" si="72"/>
        <v>#N/A</v>
      </c>
      <c r="AB127" s="176" t="e">
        <f t="shared" si="73"/>
        <v>#N/A</v>
      </c>
      <c r="AC127" s="590" t="e">
        <f t="shared" si="74"/>
        <v>#N/A</v>
      </c>
      <c r="AD127" s="590" t="e">
        <f t="shared" si="75"/>
        <v>#N/A</v>
      </c>
      <c r="AF127" s="597"/>
    </row>
    <row r="128" spans="1:50" ht="15" customHeight="1">
      <c r="B128" s="581" t="s">
        <v>225</v>
      </c>
      <c r="C128" s="604"/>
      <c r="D128" s="604"/>
      <c r="E128" s="604"/>
      <c r="F128" s="604"/>
      <c r="G128" s="604"/>
      <c r="H128" s="176" t="e">
        <f t="shared" si="63"/>
        <v>#N/A</v>
      </c>
      <c r="I128" s="176" t="e">
        <f t="shared" si="64"/>
        <v>#N/A</v>
      </c>
      <c r="J128" s="604"/>
      <c r="K128" s="604"/>
      <c r="L128" s="604"/>
      <c r="O128" s="590" t="e">
        <f t="shared" si="65"/>
        <v>#N/A</v>
      </c>
      <c r="P128" s="176">
        <f t="shared" si="78"/>
        <v>6</v>
      </c>
      <c r="Q128" s="580" t="e">
        <f t="shared" si="66"/>
        <v>#N/A</v>
      </c>
      <c r="R128" s="580">
        <f t="shared" si="79"/>
        <v>5.8</v>
      </c>
      <c r="S128" s="590" t="e">
        <f t="shared" si="67"/>
        <v>#N/A</v>
      </c>
      <c r="T128" s="176" t="e">
        <f t="shared" si="68"/>
        <v>#N/A</v>
      </c>
      <c r="U128" s="580">
        <f t="shared" si="80"/>
        <v>300</v>
      </c>
      <c r="V128" s="176" t="e">
        <f t="shared" si="81"/>
        <v>#N/A</v>
      </c>
      <c r="W128" s="605" t="e">
        <f>IF($R$36=2,0,IF($R$36=4,0,IF($R$36=6,0,IF($R$36=8,$O$36/8,IF($R$36=9,$O$36/9)))))</f>
        <v>#N/A</v>
      </c>
      <c r="X128" s="606" t="e">
        <f t="shared" si="70"/>
        <v>#N/A</v>
      </c>
      <c r="Y128" s="606" t="e">
        <f t="shared" si="71"/>
        <v>#N/A</v>
      </c>
      <c r="Z128" s="148">
        <f t="shared" si="82"/>
        <v>3</v>
      </c>
      <c r="AA128" s="176" t="e">
        <f t="shared" si="72"/>
        <v>#N/A</v>
      </c>
      <c r="AB128" s="176" t="e">
        <f t="shared" si="73"/>
        <v>#N/A</v>
      </c>
      <c r="AC128" s="590" t="e">
        <f t="shared" si="74"/>
        <v>#N/A</v>
      </c>
      <c r="AD128" s="590" t="e">
        <f t="shared" si="75"/>
        <v>#N/A</v>
      </c>
      <c r="AG128" s="581" t="s">
        <v>1784</v>
      </c>
      <c r="AH128" s="590">
        <f>IF(AH62&lt;=$AW$59,(($AF$175*AH70*24*($Q$175*0.5)*AH72/(2.5*1000))*-1),0)</f>
        <v>0</v>
      </c>
      <c r="AI128" s="590">
        <f t="shared" ref="AI128:AS128" si="84">IF(AI62&lt;=$AW$59,(($AF$175*AI70*24*($Q$175*0.5)*AI72/(2.5*1000))*-1),0)</f>
        <v>0</v>
      </c>
      <c r="AJ128" s="590">
        <f t="shared" si="84"/>
        <v>0</v>
      </c>
      <c r="AK128" s="590">
        <f t="shared" si="84"/>
        <v>0</v>
      </c>
      <c r="AL128" s="590">
        <f t="shared" si="84"/>
        <v>0</v>
      </c>
      <c r="AM128" s="590">
        <f t="shared" si="84"/>
        <v>0</v>
      </c>
      <c r="AN128" s="590">
        <f t="shared" si="84"/>
        <v>0</v>
      </c>
      <c r="AO128" s="590">
        <f t="shared" si="84"/>
        <v>0</v>
      </c>
      <c r="AP128" s="590">
        <f t="shared" si="84"/>
        <v>0</v>
      </c>
      <c r="AQ128" s="590">
        <f t="shared" si="84"/>
        <v>0</v>
      </c>
      <c r="AR128" s="590">
        <f t="shared" si="84"/>
        <v>0</v>
      </c>
      <c r="AS128" s="590">
        <f t="shared" si="84"/>
        <v>0</v>
      </c>
    </row>
    <row r="129" spans="1:46" ht="15" customHeight="1">
      <c r="B129" s="581" t="s">
        <v>225</v>
      </c>
      <c r="C129" s="604"/>
      <c r="D129" s="604"/>
      <c r="E129" s="604"/>
      <c r="F129" s="604"/>
      <c r="G129" s="604"/>
      <c r="H129" s="176" t="e">
        <f t="shared" si="63"/>
        <v>#N/A</v>
      </c>
      <c r="I129" s="176" t="e">
        <f t="shared" si="64"/>
        <v>#N/A</v>
      </c>
      <c r="J129" s="604"/>
      <c r="K129" s="604"/>
      <c r="L129" s="604"/>
      <c r="O129" s="590" t="e">
        <f t="shared" si="65"/>
        <v>#N/A</v>
      </c>
      <c r="P129" s="176">
        <f t="shared" si="78"/>
        <v>6</v>
      </c>
      <c r="Q129" s="580" t="e">
        <f t="shared" si="66"/>
        <v>#N/A</v>
      </c>
      <c r="R129" s="580">
        <f t="shared" si="79"/>
        <v>5.8</v>
      </c>
      <c r="S129" s="590" t="e">
        <f t="shared" si="67"/>
        <v>#N/A</v>
      </c>
      <c r="T129" s="176" t="e">
        <f t="shared" si="68"/>
        <v>#N/A</v>
      </c>
      <c r="U129" s="580">
        <f t="shared" si="80"/>
        <v>300</v>
      </c>
      <c r="V129" s="176" t="e">
        <f t="shared" si="81"/>
        <v>#N/A</v>
      </c>
      <c r="W129" s="605" t="e">
        <f t="shared" ref="W129" si="85">IF($R$36=2,0,IF($R$36=4,0,IF($R$36=6,0,IF($R$36=8,$O$36/8,IF($R$36=9,$O$36/9)))))</f>
        <v>#N/A</v>
      </c>
      <c r="X129" s="606" t="e">
        <f t="shared" si="70"/>
        <v>#N/A</v>
      </c>
      <c r="Y129" s="606" t="e">
        <f t="shared" si="71"/>
        <v>#N/A</v>
      </c>
      <c r="Z129" s="148">
        <f t="shared" si="82"/>
        <v>3</v>
      </c>
      <c r="AA129" s="176" t="e">
        <f t="shared" si="72"/>
        <v>#N/A</v>
      </c>
      <c r="AB129" s="176" t="e">
        <f t="shared" si="73"/>
        <v>#N/A</v>
      </c>
      <c r="AC129" s="590" t="e">
        <f t="shared" si="74"/>
        <v>#N/A</v>
      </c>
      <c r="AD129" s="590" t="e">
        <f t="shared" si="75"/>
        <v>#N/A</v>
      </c>
      <c r="AF129" s="597"/>
      <c r="AG129" s="176"/>
      <c r="AH129" s="176"/>
      <c r="AI129" s="176"/>
      <c r="AJ129" s="176"/>
      <c r="AK129" s="176"/>
      <c r="AL129" s="176"/>
      <c r="AM129" s="176"/>
      <c r="AN129" s="176"/>
      <c r="AO129" s="176"/>
      <c r="AP129" s="176"/>
      <c r="AQ129" s="176"/>
      <c r="AR129" s="176"/>
      <c r="AS129" s="176"/>
    </row>
    <row r="130" spans="1:46" ht="15" customHeight="1">
      <c r="B130" s="581" t="s">
        <v>225</v>
      </c>
      <c r="C130" s="604"/>
      <c r="D130" s="604"/>
      <c r="E130" s="604"/>
      <c r="F130" s="604"/>
      <c r="G130" s="604"/>
      <c r="H130" s="176" t="e">
        <f t="shared" si="63"/>
        <v>#N/A</v>
      </c>
      <c r="I130" s="176" t="e">
        <f t="shared" si="64"/>
        <v>#N/A</v>
      </c>
      <c r="J130" s="604"/>
      <c r="K130" s="604"/>
      <c r="L130" s="604"/>
      <c r="O130" s="590" t="e">
        <f t="shared" si="65"/>
        <v>#N/A</v>
      </c>
      <c r="P130" s="176">
        <f t="shared" si="78"/>
        <v>6</v>
      </c>
      <c r="Q130" s="580" t="e">
        <f t="shared" si="66"/>
        <v>#N/A</v>
      </c>
      <c r="R130" s="580">
        <f t="shared" si="79"/>
        <v>5.8</v>
      </c>
      <c r="S130" s="590" t="e">
        <f t="shared" si="67"/>
        <v>#N/A</v>
      </c>
      <c r="T130" s="176" t="e">
        <f t="shared" si="68"/>
        <v>#N/A</v>
      </c>
      <c r="U130" s="580">
        <f t="shared" si="80"/>
        <v>300</v>
      </c>
      <c r="V130" s="176" t="e">
        <f t="shared" si="81"/>
        <v>#N/A</v>
      </c>
      <c r="W130" s="605" t="e">
        <f>IF($R$36=2,0,IF($R$36=4,0,IF($R$36=6,0,IF($R$36=8,0,IF($R$36=9,$O$36/9)))))</f>
        <v>#N/A</v>
      </c>
      <c r="X130" s="606" t="e">
        <f t="shared" si="70"/>
        <v>#N/A</v>
      </c>
      <c r="Y130" s="606" t="e">
        <f t="shared" si="71"/>
        <v>#N/A</v>
      </c>
      <c r="Z130" s="148">
        <f>Z129</f>
        <v>3</v>
      </c>
      <c r="AA130" s="176" t="e">
        <f t="shared" si="72"/>
        <v>#N/A</v>
      </c>
      <c r="AB130" s="176" t="e">
        <f t="shared" si="73"/>
        <v>#N/A</v>
      </c>
      <c r="AC130" s="590" t="e">
        <f t="shared" si="74"/>
        <v>#N/A</v>
      </c>
      <c r="AD130" s="590" t="e">
        <f t="shared" si="75"/>
        <v>#N/A</v>
      </c>
      <c r="AG130" s="581" t="s">
        <v>1785</v>
      </c>
      <c r="AH130" s="590">
        <f>IF(($Z$60*AH70*24*AH72/(2.5*1000))&lt;0,0,$Z$60*AH70*24*AH72/(2.5*1000))</f>
        <v>0</v>
      </c>
      <c r="AI130" s="590">
        <f t="shared" ref="AI130:AS130" si="86">IF(($Z$60*AI70*24*AI72/(2.5*1000))&lt;0,0,$Z$60*AI70*24*AI72/(2.5*1000))</f>
        <v>0</v>
      </c>
      <c r="AJ130" s="590">
        <f t="shared" si="86"/>
        <v>0</v>
      </c>
      <c r="AK130" s="590">
        <f t="shared" si="86"/>
        <v>0</v>
      </c>
      <c r="AL130" s="590">
        <f t="shared" si="86"/>
        <v>0</v>
      </c>
      <c r="AM130" s="590">
        <f t="shared" si="86"/>
        <v>0</v>
      </c>
      <c r="AN130" s="590">
        <f t="shared" si="86"/>
        <v>0</v>
      </c>
      <c r="AO130" s="590">
        <f t="shared" si="86"/>
        <v>0</v>
      </c>
      <c r="AP130" s="590">
        <f t="shared" si="86"/>
        <v>0</v>
      </c>
      <c r="AQ130" s="590">
        <f t="shared" si="86"/>
        <v>0</v>
      </c>
      <c r="AR130" s="590">
        <f t="shared" si="86"/>
        <v>0</v>
      </c>
      <c r="AS130" s="590">
        <f t="shared" si="86"/>
        <v>0</v>
      </c>
    </row>
    <row r="131" spans="1:46" ht="15" customHeight="1">
      <c r="D131" s="126"/>
      <c r="E131" s="126"/>
      <c r="K131" s="126"/>
      <c r="L131" s="126"/>
      <c r="Q131" s="126"/>
      <c r="R131" s="126"/>
      <c r="V131" s="126"/>
      <c r="X131" s="126"/>
      <c r="AF131" s="597"/>
    </row>
    <row r="132" spans="1:46" ht="15" customHeight="1">
      <c r="D132" s="126"/>
      <c r="E132" s="126"/>
      <c r="K132" s="126"/>
      <c r="L132" s="126"/>
      <c r="Q132" s="126"/>
      <c r="R132" s="126"/>
      <c r="V132" s="126"/>
      <c r="X132" s="126"/>
      <c r="AF132" s="597"/>
      <c r="AG132" s="581" t="s">
        <v>1543</v>
      </c>
      <c r="AH132" s="590" t="e">
        <f>$AW$90*AH111*24/1000</f>
        <v>#N/A</v>
      </c>
      <c r="AI132" s="590" t="e">
        <f t="shared" ref="AI132:AS132" si="87">$AW$90*AI111*24/1000</f>
        <v>#N/A</v>
      </c>
      <c r="AJ132" s="590" t="e">
        <f t="shared" si="87"/>
        <v>#N/A</v>
      </c>
      <c r="AK132" s="590" t="e">
        <f t="shared" si="87"/>
        <v>#N/A</v>
      </c>
      <c r="AL132" s="590" t="e">
        <f t="shared" si="87"/>
        <v>#N/A</v>
      </c>
      <c r="AM132" s="590" t="e">
        <f t="shared" si="87"/>
        <v>#N/A</v>
      </c>
      <c r="AN132" s="590" t="e">
        <f t="shared" si="87"/>
        <v>#N/A</v>
      </c>
      <c r="AO132" s="590" t="e">
        <f t="shared" si="87"/>
        <v>#N/A</v>
      </c>
      <c r="AP132" s="590" t="e">
        <f t="shared" si="87"/>
        <v>#N/A</v>
      </c>
      <c r="AQ132" s="590" t="e">
        <f t="shared" si="87"/>
        <v>#N/A</v>
      </c>
      <c r="AR132" s="590" t="e">
        <f t="shared" si="87"/>
        <v>#N/A</v>
      </c>
      <c r="AS132" s="590" t="e">
        <f t="shared" si="87"/>
        <v>#N/A</v>
      </c>
    </row>
    <row r="133" spans="1:46" ht="15" customHeight="1">
      <c r="C133" s="1323" t="s">
        <v>1204</v>
      </c>
      <c r="D133" s="1323"/>
      <c r="E133" s="580" t="s">
        <v>1185</v>
      </c>
      <c r="F133" s="580" t="s">
        <v>1186</v>
      </c>
      <c r="G133" s="580" t="s">
        <v>227</v>
      </c>
      <c r="K133" s="126"/>
      <c r="L133" s="126"/>
      <c r="Q133" s="126"/>
      <c r="R133" s="126"/>
      <c r="V133" s="126"/>
      <c r="X133" s="126"/>
      <c r="AF133" s="597"/>
      <c r="AG133" s="580" t="s">
        <v>1791</v>
      </c>
      <c r="AH133" s="590">
        <f t="shared" ref="AH133:AS133" si="88">$Z$60*AH111*24/(7.2*1000)</f>
        <v>0</v>
      </c>
      <c r="AI133" s="590">
        <f t="shared" si="88"/>
        <v>0</v>
      </c>
      <c r="AJ133" s="590">
        <f t="shared" si="88"/>
        <v>0</v>
      </c>
      <c r="AK133" s="590">
        <f t="shared" si="88"/>
        <v>0</v>
      </c>
      <c r="AL133" s="590">
        <f t="shared" si="88"/>
        <v>0</v>
      </c>
      <c r="AM133" s="590">
        <f t="shared" si="88"/>
        <v>0</v>
      </c>
      <c r="AN133" s="590">
        <f t="shared" si="88"/>
        <v>0</v>
      </c>
      <c r="AO133" s="590">
        <f t="shared" si="88"/>
        <v>0</v>
      </c>
      <c r="AP133" s="590">
        <f t="shared" si="88"/>
        <v>0</v>
      </c>
      <c r="AQ133" s="590">
        <f t="shared" si="88"/>
        <v>0</v>
      </c>
      <c r="AR133" s="590">
        <f t="shared" si="88"/>
        <v>0</v>
      </c>
      <c r="AS133" s="590">
        <f t="shared" si="88"/>
        <v>0</v>
      </c>
    </row>
    <row r="134" spans="1:46" ht="15" customHeight="1">
      <c r="B134" s="581" t="s">
        <v>768</v>
      </c>
      <c r="C134" s="1324"/>
      <c r="D134" s="1324"/>
      <c r="E134" s="589">
        <f>ENERGÍA!F140</f>
        <v>0</v>
      </c>
      <c r="F134" s="589">
        <f>ENERGÍA!G140</f>
        <v>0</v>
      </c>
      <c r="G134" s="589">
        <f>ENERGÍA!H140</f>
        <v>0</v>
      </c>
      <c r="K134" s="126"/>
      <c r="L134" s="126"/>
      <c r="T134" s="590">
        <f>ENERGÍA!U140</f>
        <v>0</v>
      </c>
      <c r="V134" s="126"/>
      <c r="X134" s="126"/>
      <c r="AC134" s="590">
        <f>T134*E134*F134</f>
        <v>0</v>
      </c>
      <c r="AD134" s="590">
        <f>AC134</f>
        <v>0</v>
      </c>
    </row>
    <row r="135" spans="1:46" ht="6" customHeight="1">
      <c r="L135" s="126"/>
      <c r="V135" s="148"/>
      <c r="Z135" s="580"/>
      <c r="AA135" s="580"/>
    </row>
    <row r="136" spans="1:46" ht="15" customHeight="1">
      <c r="B136" s="1323">
        <f>C37</f>
        <v>0</v>
      </c>
      <c r="C136" s="1323"/>
      <c r="D136" s="1323"/>
      <c r="E136" s="1323"/>
      <c r="F136" s="1323"/>
      <c r="G136" s="1323"/>
      <c r="H136" s="1323"/>
      <c r="I136" s="1323"/>
      <c r="J136" s="1323"/>
      <c r="K136" s="1323"/>
      <c r="L136" s="1323"/>
      <c r="O136" s="1320">
        <f>B136</f>
        <v>0</v>
      </c>
      <c r="P136" s="1321"/>
      <c r="Q136" s="1321"/>
      <c r="R136" s="1321"/>
      <c r="S136" s="1321"/>
      <c r="T136" s="1321"/>
      <c r="U136" s="1321"/>
      <c r="V136" s="1321"/>
      <c r="W136" s="1321"/>
      <c r="X136" s="1321"/>
      <c r="Y136" s="1321"/>
      <c r="Z136" s="1321"/>
      <c r="AA136" s="1321"/>
      <c r="AB136" s="1321"/>
      <c r="AC136" s="1321"/>
      <c r="AD136" s="1321"/>
      <c r="AE136" s="1322"/>
      <c r="AG136" s="581" t="s">
        <v>1621</v>
      </c>
      <c r="AH136" s="590" t="e">
        <f>IF(AH62&gt;$AW$59,0,($AW$96*$AW$64*(24/1000)*AH112*AH115)-AH125-(AH128*0.15))</f>
        <v>#N/A</v>
      </c>
      <c r="AI136" s="590" t="e">
        <f t="shared" ref="AI136:AS136" si="89">IF(AI62&gt;$AW$59,0,($AW$96*$AW$64*(24/1000)*AI112*AI115)-AI125-(AI128*0.15))</f>
        <v>#N/A</v>
      </c>
      <c r="AJ136" s="590" t="e">
        <f t="shared" si="89"/>
        <v>#N/A</v>
      </c>
      <c r="AK136" s="590" t="e">
        <f t="shared" si="89"/>
        <v>#N/A</v>
      </c>
      <c r="AL136" s="590" t="e">
        <f t="shared" si="89"/>
        <v>#N/A</v>
      </c>
      <c r="AM136" s="590" t="e">
        <f>IF(AM62&gt;$AW$59,0,($AW$96*$AW$64*(24/1000)*AM112*AM115)-AM125-(AM128*0.15))</f>
        <v>#N/A</v>
      </c>
      <c r="AN136" s="590" t="e">
        <f t="shared" si="89"/>
        <v>#N/A</v>
      </c>
      <c r="AO136" s="590" t="e">
        <f t="shared" si="89"/>
        <v>#N/A</v>
      </c>
      <c r="AP136" s="590" t="e">
        <f t="shared" si="89"/>
        <v>#N/A</v>
      </c>
      <c r="AQ136" s="590" t="e">
        <f t="shared" si="89"/>
        <v>#N/A</v>
      </c>
      <c r="AR136" s="590" t="e">
        <f t="shared" si="89"/>
        <v>#N/A</v>
      </c>
      <c r="AS136" s="590" t="e">
        <f t="shared" si="89"/>
        <v>#N/A</v>
      </c>
    </row>
    <row r="137" spans="1:46" ht="6" customHeight="1">
      <c r="L137" s="126"/>
      <c r="V137" s="148"/>
      <c r="Z137" s="580"/>
      <c r="AA137" s="580"/>
    </row>
    <row r="138" spans="1:46" ht="15" customHeight="1">
      <c r="B138" s="1273"/>
      <c r="C138" s="1323" t="s">
        <v>1184</v>
      </c>
      <c r="D138" s="1323"/>
      <c r="E138" s="1323"/>
      <c r="F138" s="1323" t="s">
        <v>1188</v>
      </c>
      <c r="G138" s="1323"/>
      <c r="H138" s="1323" t="s">
        <v>1203</v>
      </c>
      <c r="I138" s="1323"/>
      <c r="J138" s="1281" t="s">
        <v>790</v>
      </c>
      <c r="K138" s="1281" t="s">
        <v>1136</v>
      </c>
      <c r="L138" s="1281"/>
      <c r="O138" s="580" t="s">
        <v>1651</v>
      </c>
      <c r="P138" s="1281" t="s">
        <v>1064</v>
      </c>
      <c r="Q138" s="580" t="s">
        <v>1652</v>
      </c>
      <c r="R138" s="1273" t="s">
        <v>1191</v>
      </c>
      <c r="S138" s="580" t="s">
        <v>1190</v>
      </c>
      <c r="T138" s="1273" t="s">
        <v>1192</v>
      </c>
      <c r="U138" s="1323" t="s">
        <v>1653</v>
      </c>
      <c r="V138" s="1323"/>
      <c r="W138" s="580" t="s">
        <v>1654</v>
      </c>
      <c r="X138" s="1273" t="s">
        <v>1403</v>
      </c>
      <c r="Y138" s="1273" t="s">
        <v>1404</v>
      </c>
      <c r="Z138" s="1273" t="s">
        <v>1210</v>
      </c>
      <c r="AA138" s="1273" t="s">
        <v>1201</v>
      </c>
      <c r="AB138" s="1273" t="s">
        <v>1202</v>
      </c>
      <c r="AC138" s="1281" t="s">
        <v>850</v>
      </c>
      <c r="AD138" s="1281" t="str">
        <f>AC138</f>
        <v>W/K Inv</v>
      </c>
      <c r="AE138" s="226" t="s">
        <v>1017</v>
      </c>
    </row>
    <row r="139" spans="1:46" ht="15" customHeight="1">
      <c r="B139" s="1273"/>
      <c r="C139" s="148" t="s">
        <v>623</v>
      </c>
      <c r="D139" s="580" t="s">
        <v>1185</v>
      </c>
      <c r="E139" s="580" t="s">
        <v>1186</v>
      </c>
      <c r="F139" s="580" t="s">
        <v>623</v>
      </c>
      <c r="G139" s="580" t="s">
        <v>1189</v>
      </c>
      <c r="H139" s="580" t="s">
        <v>757</v>
      </c>
      <c r="I139" s="580" t="s">
        <v>650</v>
      </c>
      <c r="J139" s="1281"/>
      <c r="K139" s="166" t="s">
        <v>623</v>
      </c>
      <c r="L139" s="602" t="s">
        <v>1122</v>
      </c>
      <c r="O139" s="580" t="s">
        <v>1187</v>
      </c>
      <c r="P139" s="1281"/>
      <c r="Q139" s="580" t="s">
        <v>1187</v>
      </c>
      <c r="R139" s="1273"/>
      <c r="S139" s="580" t="s">
        <v>18</v>
      </c>
      <c r="T139" s="1273"/>
      <c r="U139" s="580" t="s">
        <v>1199</v>
      </c>
      <c r="V139" s="148" t="s">
        <v>1200</v>
      </c>
      <c r="W139" s="176" t="s">
        <v>1187</v>
      </c>
      <c r="X139" s="1273"/>
      <c r="Y139" s="1273"/>
      <c r="Z139" s="1273"/>
      <c r="AA139" s="1273"/>
      <c r="AB139" s="1273"/>
      <c r="AC139" s="1281"/>
      <c r="AD139" s="1281"/>
      <c r="AE139" s="603" t="e">
        <f>Q37</f>
        <v>#N/A</v>
      </c>
      <c r="AG139" s="1329" t="s">
        <v>1065</v>
      </c>
      <c r="AH139" s="1330"/>
      <c r="AI139" s="1330"/>
      <c r="AJ139" s="1330"/>
      <c r="AK139" s="1330"/>
      <c r="AL139" s="1330"/>
      <c r="AM139" s="1330"/>
      <c r="AN139" s="1330"/>
      <c r="AO139" s="1330"/>
      <c r="AP139" s="1330"/>
      <c r="AQ139" s="1330"/>
      <c r="AR139" s="1330"/>
      <c r="AS139" s="1331"/>
    </row>
    <row r="140" spans="1:46" s="173" customFormat="1" ht="15" customHeight="1">
      <c r="A140" s="126"/>
      <c r="B140" s="581" t="s">
        <v>225</v>
      </c>
      <c r="C140" s="604"/>
      <c r="D140" s="604"/>
      <c r="E140" s="604"/>
      <c r="F140" s="604"/>
      <c r="G140" s="604"/>
      <c r="H140" s="176" t="e">
        <f t="shared" ref="H140:H148" si="90">IF(W140=0,"-",IF($O$4=6,"No Aplica",HLOOKUP(AA140,ZONA2,2,TRUE)))</f>
        <v>#N/A</v>
      </c>
      <c r="I140" s="176" t="e">
        <f t="shared" ref="I140:I148" si="91">IF(W140=0,"-",IF($O$4=6,HLOOKUP(AB140,ZONA3,2,TRUE),HLOOKUP(AB140,ZONA1,2,TRUE)))</f>
        <v>#N/A</v>
      </c>
      <c r="J140" s="604"/>
      <c r="K140" s="604"/>
      <c r="L140" s="604"/>
      <c r="M140" s="126"/>
      <c r="N140" s="126"/>
      <c r="O140" s="590" t="e">
        <f t="shared" ref="O140:O148" si="92">$W$104-Q140</f>
        <v>#N/A</v>
      </c>
      <c r="P140" s="176">
        <f>P130</f>
        <v>6</v>
      </c>
      <c r="Q140" s="580" t="e">
        <f t="shared" ref="Q140:Q148" si="93">W140*0.02</f>
        <v>#N/A</v>
      </c>
      <c r="R140" s="580">
        <f>R130</f>
        <v>5.8</v>
      </c>
      <c r="S140" s="590" t="e">
        <f t="shared" ref="S140:S148" si="94">(W140/2)+2</f>
        <v>#N/A</v>
      </c>
      <c r="T140" s="176" t="e">
        <f t="shared" ref="T140:T148" si="95">((O140*P140)+(Q140*R140)+(S140*0.02))/W140</f>
        <v>#N/A</v>
      </c>
      <c r="U140" s="580">
        <f>U130</f>
        <v>300</v>
      </c>
      <c r="V140" s="176" t="e">
        <f t="shared" ref="V140:V148" si="96">IF(W140=0,0,U140*W140)</f>
        <v>#N/A</v>
      </c>
      <c r="W140" s="605" t="e">
        <f>IF($R$37=2,$O$37/2,IF($R$37=4,$O$37/4,IF($R$37=6,$O$37/6,IF($R$37=8,$O$37/8,IF($R$37=9,$O$37/9)))))</f>
        <v>#N/A</v>
      </c>
      <c r="X140" s="606" t="e">
        <f t="shared" ref="X140:X148" si="97">(V140*$AW$112)</f>
        <v>#N/A</v>
      </c>
      <c r="Y140" s="606" t="e">
        <f t="shared" ref="Y140:Y148" si="98">V140*$AW$114</f>
        <v>#N/A</v>
      </c>
      <c r="Z140" s="148">
        <f>Z130</f>
        <v>3</v>
      </c>
      <c r="AA140" s="176" t="e">
        <f t="shared" ref="AA140:AA148" si="99">IF(W140=0,0,(($AW$104*Z140)+X140+(T140*$AW$108))/W140)</f>
        <v>#N/A</v>
      </c>
      <c r="AB140" s="176" t="e">
        <f t="shared" ref="AB140:AB148" si="100">IF(W140=0,0,(($AW$106*Z140)-(X140+T140)*$AW$110)/W140)</f>
        <v>#N/A</v>
      </c>
      <c r="AC140" s="590" t="e">
        <f t="shared" ref="AC140:AC148" si="101">IF(W140=0,0,(T140*O140))</f>
        <v>#N/A</v>
      </c>
      <c r="AD140" s="590" t="e">
        <f t="shared" ref="AD140:AD148" si="102">AC140</f>
        <v>#N/A</v>
      </c>
      <c r="AE140" s="126"/>
      <c r="AG140" s="1332"/>
      <c r="AH140" s="1333"/>
      <c r="AI140" s="1333"/>
      <c r="AJ140" s="1333"/>
      <c r="AK140" s="1333"/>
      <c r="AL140" s="1333"/>
      <c r="AM140" s="1333"/>
      <c r="AN140" s="1333"/>
      <c r="AO140" s="1333"/>
      <c r="AP140" s="1333"/>
      <c r="AQ140" s="1333"/>
      <c r="AR140" s="1333"/>
      <c r="AS140" s="1334"/>
    </row>
    <row r="141" spans="1:46" s="173" customFormat="1" ht="15" customHeight="1">
      <c r="A141" s="126"/>
      <c r="B141" s="581" t="s">
        <v>225</v>
      </c>
      <c r="C141" s="604"/>
      <c r="D141" s="604"/>
      <c r="E141" s="604"/>
      <c r="F141" s="604"/>
      <c r="G141" s="604"/>
      <c r="H141" s="176" t="e">
        <f t="shared" si="90"/>
        <v>#N/A</v>
      </c>
      <c r="I141" s="176" t="e">
        <f t="shared" si="91"/>
        <v>#N/A</v>
      </c>
      <c r="J141" s="604"/>
      <c r="K141" s="604"/>
      <c r="L141" s="604"/>
      <c r="M141" s="126"/>
      <c r="N141" s="126"/>
      <c r="O141" s="590" t="e">
        <f t="shared" si="92"/>
        <v>#N/A</v>
      </c>
      <c r="P141" s="176">
        <f>P140</f>
        <v>6</v>
      </c>
      <c r="Q141" s="580" t="e">
        <f t="shared" si="93"/>
        <v>#N/A</v>
      </c>
      <c r="R141" s="580">
        <f>R140</f>
        <v>5.8</v>
      </c>
      <c r="S141" s="590" t="e">
        <f t="shared" si="94"/>
        <v>#N/A</v>
      </c>
      <c r="T141" s="176" t="e">
        <f t="shared" si="95"/>
        <v>#N/A</v>
      </c>
      <c r="U141" s="580">
        <f>U140</f>
        <v>300</v>
      </c>
      <c r="V141" s="176" t="e">
        <f t="shared" si="96"/>
        <v>#N/A</v>
      </c>
      <c r="W141" s="605" t="e">
        <f t="shared" ref="W141" si="103">IF($R$37=2,$O$37/2,IF($R$37=4,$O$37/4,IF($R$37=6,$O$37/6,IF($R$37=8,$O$37/8,IF($R$37=9,$O$37/9)))))</f>
        <v>#N/A</v>
      </c>
      <c r="X141" s="606" t="e">
        <f t="shared" si="97"/>
        <v>#N/A</v>
      </c>
      <c r="Y141" s="606" t="e">
        <f t="shared" si="98"/>
        <v>#N/A</v>
      </c>
      <c r="Z141" s="148">
        <f>Z140</f>
        <v>3</v>
      </c>
      <c r="AA141" s="176" t="e">
        <f t="shared" si="99"/>
        <v>#N/A</v>
      </c>
      <c r="AB141" s="176" t="e">
        <f t="shared" si="100"/>
        <v>#N/A</v>
      </c>
      <c r="AC141" s="590" t="e">
        <f t="shared" si="101"/>
        <v>#N/A</v>
      </c>
      <c r="AD141" s="590" t="e">
        <f t="shared" si="102"/>
        <v>#N/A</v>
      </c>
      <c r="AE141" s="126"/>
      <c r="AG141" s="1335"/>
      <c r="AH141" s="1336"/>
      <c r="AI141" s="1336"/>
      <c r="AJ141" s="1336"/>
      <c r="AK141" s="1336"/>
      <c r="AL141" s="1336"/>
      <c r="AM141" s="1336"/>
      <c r="AN141" s="1336"/>
      <c r="AO141" s="1336"/>
      <c r="AP141" s="1336"/>
      <c r="AQ141" s="1336"/>
      <c r="AR141" s="1336"/>
      <c r="AS141" s="1337"/>
    </row>
    <row r="142" spans="1:46" s="173" customFormat="1" ht="15" customHeight="1">
      <c r="A142" s="126"/>
      <c r="B142" s="581" t="s">
        <v>225</v>
      </c>
      <c r="C142" s="604"/>
      <c r="D142" s="604"/>
      <c r="E142" s="604"/>
      <c r="F142" s="604"/>
      <c r="G142" s="604"/>
      <c r="H142" s="176" t="e">
        <f t="shared" si="90"/>
        <v>#N/A</v>
      </c>
      <c r="I142" s="176" t="e">
        <f t="shared" si="91"/>
        <v>#N/A</v>
      </c>
      <c r="J142" s="604"/>
      <c r="K142" s="604"/>
      <c r="L142" s="604"/>
      <c r="M142" s="126"/>
      <c r="N142" s="126"/>
      <c r="O142" s="590" t="e">
        <f t="shared" si="92"/>
        <v>#N/A</v>
      </c>
      <c r="P142" s="176">
        <f t="shared" ref="P142:P148" si="104">P141</f>
        <v>6</v>
      </c>
      <c r="Q142" s="580" t="e">
        <f t="shared" si="93"/>
        <v>#N/A</v>
      </c>
      <c r="R142" s="580">
        <f t="shared" ref="R142:R148" si="105">R141</f>
        <v>5.8</v>
      </c>
      <c r="S142" s="590" t="e">
        <f t="shared" si="94"/>
        <v>#N/A</v>
      </c>
      <c r="T142" s="176" t="e">
        <f t="shared" si="95"/>
        <v>#N/A</v>
      </c>
      <c r="U142" s="580">
        <f t="shared" ref="U142:U148" si="106">U141</f>
        <v>300</v>
      </c>
      <c r="V142" s="176" t="e">
        <f t="shared" si="96"/>
        <v>#N/A</v>
      </c>
      <c r="W142" s="605" t="e">
        <f>IF($R$37=2,0,IF($R$37=4,$O$37/4,IF($R$37=6,$O$37/6,IF($R$37=8,$O$37/8,IF($R$37=9,$O$37/9)))))</f>
        <v>#N/A</v>
      </c>
      <c r="X142" s="606" t="e">
        <f t="shared" si="97"/>
        <v>#N/A</v>
      </c>
      <c r="Y142" s="606" t="e">
        <f t="shared" si="98"/>
        <v>#N/A</v>
      </c>
      <c r="Z142" s="148">
        <f t="shared" ref="Z142:Z147" si="107">Z141</f>
        <v>3</v>
      </c>
      <c r="AA142" s="176" t="e">
        <f t="shared" si="99"/>
        <v>#N/A</v>
      </c>
      <c r="AB142" s="176" t="e">
        <f t="shared" si="100"/>
        <v>#N/A</v>
      </c>
      <c r="AC142" s="590" t="e">
        <f t="shared" si="101"/>
        <v>#N/A</v>
      </c>
      <c r="AD142" s="590" t="e">
        <f t="shared" si="102"/>
        <v>#N/A</v>
      </c>
      <c r="AE142" s="126"/>
      <c r="AG142" s="126"/>
      <c r="AH142" s="126"/>
      <c r="AI142" s="126"/>
      <c r="AJ142" s="126"/>
      <c r="AK142" s="126"/>
      <c r="AL142" s="126"/>
      <c r="AM142" s="126"/>
      <c r="AN142" s="126"/>
      <c r="AO142" s="126"/>
      <c r="AP142" s="126"/>
      <c r="AQ142" s="126"/>
      <c r="AR142" s="126"/>
      <c r="AS142" s="126"/>
    </row>
    <row r="143" spans="1:46" ht="15" customHeight="1">
      <c r="B143" s="581" t="s">
        <v>225</v>
      </c>
      <c r="C143" s="604"/>
      <c r="D143" s="604"/>
      <c r="E143" s="604"/>
      <c r="F143" s="604"/>
      <c r="G143" s="604"/>
      <c r="H143" s="176" t="e">
        <f t="shared" si="90"/>
        <v>#N/A</v>
      </c>
      <c r="I143" s="176" t="e">
        <f t="shared" si="91"/>
        <v>#N/A</v>
      </c>
      <c r="J143" s="604"/>
      <c r="K143" s="604"/>
      <c r="L143" s="604"/>
      <c r="O143" s="590" t="e">
        <f t="shared" si="92"/>
        <v>#N/A</v>
      </c>
      <c r="P143" s="176">
        <f t="shared" si="104"/>
        <v>6</v>
      </c>
      <c r="Q143" s="580" t="e">
        <f t="shared" si="93"/>
        <v>#N/A</v>
      </c>
      <c r="R143" s="580">
        <f t="shared" si="105"/>
        <v>5.8</v>
      </c>
      <c r="S143" s="590" t="e">
        <f t="shared" si="94"/>
        <v>#N/A</v>
      </c>
      <c r="T143" s="176" t="e">
        <f t="shared" si="95"/>
        <v>#N/A</v>
      </c>
      <c r="U143" s="580">
        <f t="shared" si="106"/>
        <v>300</v>
      </c>
      <c r="V143" s="176" t="e">
        <f t="shared" si="96"/>
        <v>#N/A</v>
      </c>
      <c r="W143" s="605" t="e">
        <f>IF($R$37=2,0,IF($R$37=4,$O$37/4,IF($R$37=6,$O$37/6,IF($R$37=8,$O$37/8,IF($R$37=9,$O$37/9)))))</f>
        <v>#N/A</v>
      </c>
      <c r="X143" s="606" t="e">
        <f t="shared" si="97"/>
        <v>#N/A</v>
      </c>
      <c r="Y143" s="606" t="e">
        <f t="shared" si="98"/>
        <v>#N/A</v>
      </c>
      <c r="Z143" s="148">
        <f t="shared" si="107"/>
        <v>3</v>
      </c>
      <c r="AA143" s="176" t="e">
        <f t="shared" si="99"/>
        <v>#N/A</v>
      </c>
      <c r="AB143" s="176" t="e">
        <f t="shared" si="100"/>
        <v>#N/A</v>
      </c>
      <c r="AC143" s="590" t="e">
        <f t="shared" si="101"/>
        <v>#N/A</v>
      </c>
      <c r="AD143" s="590" t="e">
        <f t="shared" si="102"/>
        <v>#N/A</v>
      </c>
      <c r="AG143" s="174" t="s">
        <v>1026</v>
      </c>
      <c r="AH143" s="175" t="e">
        <f>IF(AH136&lt;0,0,AH136)</f>
        <v>#N/A</v>
      </c>
      <c r="AI143" s="175" t="e">
        <f t="shared" ref="AI143:AS143" si="108">IF(AI136&lt;0,0,AI136)</f>
        <v>#N/A</v>
      </c>
      <c r="AJ143" s="175" t="e">
        <f t="shared" si="108"/>
        <v>#N/A</v>
      </c>
      <c r="AK143" s="175" t="e">
        <f t="shared" si="108"/>
        <v>#N/A</v>
      </c>
      <c r="AL143" s="175" t="e">
        <f t="shared" si="108"/>
        <v>#N/A</v>
      </c>
      <c r="AM143" s="175" t="e">
        <f t="shared" si="108"/>
        <v>#N/A</v>
      </c>
      <c r="AN143" s="175" t="e">
        <f t="shared" si="108"/>
        <v>#N/A</v>
      </c>
      <c r="AO143" s="175" t="e">
        <f t="shared" si="108"/>
        <v>#N/A</v>
      </c>
      <c r="AP143" s="175" t="e">
        <f t="shared" si="108"/>
        <v>#N/A</v>
      </c>
      <c r="AQ143" s="175" t="e">
        <f t="shared" si="108"/>
        <v>#N/A</v>
      </c>
      <c r="AR143" s="175" t="e">
        <f t="shared" si="108"/>
        <v>#N/A</v>
      </c>
      <c r="AS143" s="175" t="e">
        <f t="shared" si="108"/>
        <v>#N/A</v>
      </c>
      <c r="AT143" s="590" t="e">
        <f>SUM(AH143:AS143)</f>
        <v>#N/A</v>
      </c>
    </row>
    <row r="144" spans="1:46" ht="15" customHeight="1">
      <c r="B144" s="581" t="s">
        <v>225</v>
      </c>
      <c r="C144" s="604"/>
      <c r="D144" s="604"/>
      <c r="E144" s="604"/>
      <c r="F144" s="604"/>
      <c r="G144" s="604"/>
      <c r="H144" s="176" t="e">
        <f t="shared" si="90"/>
        <v>#N/A</v>
      </c>
      <c r="I144" s="176" t="e">
        <f t="shared" si="91"/>
        <v>#N/A</v>
      </c>
      <c r="J144" s="604"/>
      <c r="K144" s="604"/>
      <c r="L144" s="604"/>
      <c r="O144" s="590" t="e">
        <f t="shared" si="92"/>
        <v>#N/A</v>
      </c>
      <c r="P144" s="176">
        <f t="shared" si="104"/>
        <v>6</v>
      </c>
      <c r="Q144" s="580" t="e">
        <f t="shared" si="93"/>
        <v>#N/A</v>
      </c>
      <c r="R144" s="580">
        <f t="shared" si="105"/>
        <v>5.8</v>
      </c>
      <c r="S144" s="590" t="e">
        <f t="shared" si="94"/>
        <v>#N/A</v>
      </c>
      <c r="T144" s="176" t="e">
        <f t="shared" si="95"/>
        <v>#N/A</v>
      </c>
      <c r="U144" s="580">
        <f t="shared" si="106"/>
        <v>300</v>
      </c>
      <c r="V144" s="176" t="e">
        <f t="shared" si="96"/>
        <v>#N/A</v>
      </c>
      <c r="W144" s="605" t="e">
        <f>IF($R$37=2,0,IF($R$37=4,0,IF($R$37=6,$O$37/6,IF($R$37=8,$O$37/8,IF($R$37=9,$O$37/9)))))</f>
        <v>#N/A</v>
      </c>
      <c r="X144" s="606" t="e">
        <f t="shared" si="97"/>
        <v>#N/A</v>
      </c>
      <c r="Y144" s="606" t="e">
        <f t="shared" si="98"/>
        <v>#N/A</v>
      </c>
      <c r="Z144" s="148">
        <f t="shared" si="107"/>
        <v>3</v>
      </c>
      <c r="AA144" s="176" t="e">
        <f t="shared" si="99"/>
        <v>#N/A</v>
      </c>
      <c r="AB144" s="176" t="e">
        <f t="shared" si="100"/>
        <v>#N/A</v>
      </c>
      <c r="AC144" s="590" t="e">
        <f t="shared" si="101"/>
        <v>#N/A</v>
      </c>
      <c r="AD144" s="590" t="e">
        <f t="shared" si="102"/>
        <v>#N/A</v>
      </c>
      <c r="AG144" s="176"/>
      <c r="AH144" s="176"/>
      <c r="AI144" s="176"/>
      <c r="AJ144" s="176"/>
      <c r="AK144" s="176"/>
      <c r="AL144" s="176"/>
      <c r="AM144" s="176"/>
      <c r="AN144" s="176"/>
      <c r="AO144" s="176"/>
      <c r="AP144" s="176"/>
      <c r="AQ144" s="176"/>
      <c r="AR144" s="176"/>
      <c r="AS144" s="176"/>
    </row>
    <row r="145" spans="1:46" ht="15" customHeight="1">
      <c r="B145" s="581" t="s">
        <v>225</v>
      </c>
      <c r="C145" s="604"/>
      <c r="D145" s="604"/>
      <c r="E145" s="604"/>
      <c r="F145" s="604"/>
      <c r="G145" s="604"/>
      <c r="H145" s="176" t="e">
        <f t="shared" si="90"/>
        <v>#N/A</v>
      </c>
      <c r="I145" s="176" t="e">
        <f t="shared" si="91"/>
        <v>#N/A</v>
      </c>
      <c r="J145" s="604"/>
      <c r="K145" s="604"/>
      <c r="L145" s="604"/>
      <c r="O145" s="590" t="e">
        <f t="shared" si="92"/>
        <v>#N/A</v>
      </c>
      <c r="P145" s="176">
        <f t="shared" si="104"/>
        <v>6</v>
      </c>
      <c r="Q145" s="580" t="e">
        <f t="shared" si="93"/>
        <v>#N/A</v>
      </c>
      <c r="R145" s="580">
        <f t="shared" si="105"/>
        <v>5.8</v>
      </c>
      <c r="S145" s="590" t="e">
        <f t="shared" si="94"/>
        <v>#N/A</v>
      </c>
      <c r="T145" s="176" t="e">
        <f t="shared" si="95"/>
        <v>#N/A</v>
      </c>
      <c r="U145" s="580">
        <f t="shared" si="106"/>
        <v>300</v>
      </c>
      <c r="V145" s="176" t="e">
        <f t="shared" si="96"/>
        <v>#N/A</v>
      </c>
      <c r="W145" s="605" t="e">
        <f t="shared" ref="W145" si="109">IF($R$37=2,0,IF($R$37=4,0,IF($R$37=6,$O$37/6,IF($R$37=8,$O$37/8,IF($R$37=9,$O$37/9)))))</f>
        <v>#N/A</v>
      </c>
      <c r="X145" s="606" t="e">
        <f t="shared" si="97"/>
        <v>#N/A</v>
      </c>
      <c r="Y145" s="606" t="e">
        <f t="shared" si="98"/>
        <v>#N/A</v>
      </c>
      <c r="Z145" s="148">
        <f t="shared" si="107"/>
        <v>3</v>
      </c>
      <c r="AA145" s="176" t="e">
        <f t="shared" si="99"/>
        <v>#N/A</v>
      </c>
      <c r="AB145" s="176" t="e">
        <f t="shared" si="100"/>
        <v>#N/A</v>
      </c>
      <c r="AC145" s="590" t="e">
        <f t="shared" si="101"/>
        <v>#N/A</v>
      </c>
      <c r="AD145" s="590" t="e">
        <f t="shared" si="102"/>
        <v>#N/A</v>
      </c>
      <c r="AG145" s="174" t="s">
        <v>1027</v>
      </c>
      <c r="AH145" s="175" t="e">
        <f>IF(AH105&gt;$AW$60,SUM(AH118:AH123)+SUM(AH132:AH133)+AH108-(AH130*0.01),0)</f>
        <v>#N/A</v>
      </c>
      <c r="AI145" s="175" t="e">
        <f t="shared" ref="AI145:AS145" si="110">IF(AI105&gt;$AW$60,SUM(AI118:AI123)+SUM(AI132:AI133)+AI108-(AI130*0.01),0)</f>
        <v>#N/A</v>
      </c>
      <c r="AJ145" s="175" t="e">
        <f t="shared" si="110"/>
        <v>#N/A</v>
      </c>
      <c r="AK145" s="175" t="e">
        <f t="shared" si="110"/>
        <v>#N/A</v>
      </c>
      <c r="AL145" s="175" t="e">
        <f t="shared" si="110"/>
        <v>#N/A</v>
      </c>
      <c r="AM145" s="175" t="e">
        <f t="shared" si="110"/>
        <v>#N/A</v>
      </c>
      <c r="AN145" s="175" t="e">
        <f t="shared" si="110"/>
        <v>#N/A</v>
      </c>
      <c r="AO145" s="175" t="e">
        <f t="shared" si="110"/>
        <v>#N/A</v>
      </c>
      <c r="AP145" s="175" t="e">
        <f t="shared" si="110"/>
        <v>#N/A</v>
      </c>
      <c r="AQ145" s="175" t="e">
        <f t="shared" si="110"/>
        <v>#N/A</v>
      </c>
      <c r="AR145" s="175" t="e">
        <f t="shared" si="110"/>
        <v>#N/A</v>
      </c>
      <c r="AS145" s="175" t="e">
        <f t="shared" si="110"/>
        <v>#N/A</v>
      </c>
      <c r="AT145" s="590" t="e">
        <f>SUM(AH145:AS145)</f>
        <v>#N/A</v>
      </c>
    </row>
    <row r="146" spans="1:46" ht="15" customHeight="1">
      <c r="B146" s="581" t="s">
        <v>225</v>
      </c>
      <c r="C146" s="604"/>
      <c r="D146" s="604"/>
      <c r="E146" s="604"/>
      <c r="F146" s="604"/>
      <c r="G146" s="604"/>
      <c r="H146" s="176" t="e">
        <f t="shared" si="90"/>
        <v>#N/A</v>
      </c>
      <c r="I146" s="176" t="e">
        <f t="shared" si="91"/>
        <v>#N/A</v>
      </c>
      <c r="J146" s="604"/>
      <c r="K146" s="604"/>
      <c r="L146" s="604"/>
      <c r="O146" s="590" t="e">
        <f t="shared" si="92"/>
        <v>#N/A</v>
      </c>
      <c r="P146" s="176">
        <f t="shared" si="104"/>
        <v>6</v>
      </c>
      <c r="Q146" s="580" t="e">
        <f t="shared" si="93"/>
        <v>#N/A</v>
      </c>
      <c r="R146" s="580">
        <f t="shared" si="105"/>
        <v>5.8</v>
      </c>
      <c r="S146" s="590" t="e">
        <f t="shared" si="94"/>
        <v>#N/A</v>
      </c>
      <c r="T146" s="176" t="e">
        <f t="shared" si="95"/>
        <v>#N/A</v>
      </c>
      <c r="U146" s="580">
        <f t="shared" si="106"/>
        <v>300</v>
      </c>
      <c r="V146" s="176" t="e">
        <f t="shared" si="96"/>
        <v>#N/A</v>
      </c>
      <c r="W146" s="605" t="e">
        <f>IF($R$37=2,0,IF($R$37=4,0,IF($R$37=6,0,IF($R$37=8,$O$37/8,IF($R$37=9,$O$37/9)))))</f>
        <v>#N/A</v>
      </c>
      <c r="X146" s="606" t="e">
        <f t="shared" si="97"/>
        <v>#N/A</v>
      </c>
      <c r="Y146" s="606" t="e">
        <f t="shared" si="98"/>
        <v>#N/A</v>
      </c>
      <c r="Z146" s="148">
        <f t="shared" si="107"/>
        <v>3</v>
      </c>
      <c r="AA146" s="176" t="e">
        <f t="shared" si="99"/>
        <v>#N/A</v>
      </c>
      <c r="AB146" s="176" t="e">
        <f t="shared" si="100"/>
        <v>#N/A</v>
      </c>
      <c r="AC146" s="590" t="e">
        <f t="shared" si="101"/>
        <v>#N/A</v>
      </c>
      <c r="AD146" s="590" t="e">
        <f t="shared" si="102"/>
        <v>#N/A</v>
      </c>
    </row>
    <row r="147" spans="1:46" ht="15" customHeight="1">
      <c r="B147" s="581" t="s">
        <v>225</v>
      </c>
      <c r="C147" s="604"/>
      <c r="D147" s="604"/>
      <c r="E147" s="604"/>
      <c r="F147" s="604"/>
      <c r="G147" s="604"/>
      <c r="H147" s="176" t="e">
        <f t="shared" si="90"/>
        <v>#N/A</v>
      </c>
      <c r="I147" s="176" t="e">
        <f t="shared" si="91"/>
        <v>#N/A</v>
      </c>
      <c r="J147" s="604"/>
      <c r="K147" s="604"/>
      <c r="L147" s="604"/>
      <c r="O147" s="590" t="e">
        <f t="shared" si="92"/>
        <v>#N/A</v>
      </c>
      <c r="P147" s="176">
        <f t="shared" si="104"/>
        <v>6</v>
      </c>
      <c r="Q147" s="580" t="e">
        <f t="shared" si="93"/>
        <v>#N/A</v>
      </c>
      <c r="R147" s="580">
        <f t="shared" si="105"/>
        <v>5.8</v>
      </c>
      <c r="S147" s="590" t="e">
        <f t="shared" si="94"/>
        <v>#N/A</v>
      </c>
      <c r="T147" s="176" t="e">
        <f t="shared" si="95"/>
        <v>#N/A</v>
      </c>
      <c r="U147" s="580">
        <f t="shared" si="106"/>
        <v>300</v>
      </c>
      <c r="V147" s="176" t="e">
        <f t="shared" si="96"/>
        <v>#N/A</v>
      </c>
      <c r="W147" s="605" t="e">
        <f>IF($R$37=2,0,IF($R$37=4,0,IF($R$37=6,0,IF($R$37=8,$O$37/8,IF($R$37=9,$O$37/9)))))</f>
        <v>#N/A</v>
      </c>
      <c r="X147" s="606" t="e">
        <f t="shared" si="97"/>
        <v>#N/A</v>
      </c>
      <c r="Y147" s="606" t="e">
        <f t="shared" si="98"/>
        <v>#N/A</v>
      </c>
      <c r="Z147" s="148">
        <f t="shared" si="107"/>
        <v>3</v>
      </c>
      <c r="AA147" s="176" t="e">
        <f t="shared" si="99"/>
        <v>#N/A</v>
      </c>
      <c r="AB147" s="176" t="e">
        <f t="shared" si="100"/>
        <v>#N/A</v>
      </c>
      <c r="AC147" s="590" t="e">
        <f t="shared" si="101"/>
        <v>#N/A</v>
      </c>
      <c r="AD147" s="590" t="e">
        <f t="shared" si="102"/>
        <v>#N/A</v>
      </c>
    </row>
    <row r="148" spans="1:46" s="173" customFormat="1" ht="15" customHeight="1">
      <c r="A148" s="126"/>
      <c r="B148" s="581" t="s">
        <v>225</v>
      </c>
      <c r="C148" s="604"/>
      <c r="D148" s="604"/>
      <c r="E148" s="604"/>
      <c r="F148" s="604"/>
      <c r="G148" s="604"/>
      <c r="H148" s="176" t="e">
        <f t="shared" si="90"/>
        <v>#N/A</v>
      </c>
      <c r="I148" s="176" t="e">
        <f t="shared" si="91"/>
        <v>#N/A</v>
      </c>
      <c r="J148" s="604"/>
      <c r="K148" s="604"/>
      <c r="L148" s="604"/>
      <c r="M148" s="126"/>
      <c r="N148" s="126"/>
      <c r="O148" s="590" t="e">
        <f t="shared" si="92"/>
        <v>#N/A</v>
      </c>
      <c r="P148" s="176">
        <f t="shared" si="104"/>
        <v>6</v>
      </c>
      <c r="Q148" s="580" t="e">
        <f t="shared" si="93"/>
        <v>#N/A</v>
      </c>
      <c r="R148" s="580">
        <f t="shared" si="105"/>
        <v>5.8</v>
      </c>
      <c r="S148" s="590" t="e">
        <f t="shared" si="94"/>
        <v>#N/A</v>
      </c>
      <c r="T148" s="176" t="e">
        <f t="shared" si="95"/>
        <v>#N/A</v>
      </c>
      <c r="U148" s="580">
        <f t="shared" si="106"/>
        <v>300</v>
      </c>
      <c r="V148" s="176" t="e">
        <f t="shared" si="96"/>
        <v>#N/A</v>
      </c>
      <c r="W148" s="605" t="e">
        <f>IF($R$37=2,0,IF($R$37=4,0,IF($R$37=6,0,IF($R$37=8,0,IF($R$37=9,$O$37/9)))))</f>
        <v>#N/A</v>
      </c>
      <c r="X148" s="606" t="e">
        <f t="shared" si="97"/>
        <v>#N/A</v>
      </c>
      <c r="Y148" s="606" t="e">
        <f t="shared" si="98"/>
        <v>#N/A</v>
      </c>
      <c r="Z148" s="148">
        <f>Z147</f>
        <v>3</v>
      </c>
      <c r="AA148" s="176" t="e">
        <f t="shared" si="99"/>
        <v>#N/A</v>
      </c>
      <c r="AB148" s="176" t="e">
        <f t="shared" si="100"/>
        <v>#N/A</v>
      </c>
      <c r="AC148" s="590" t="e">
        <f t="shared" si="101"/>
        <v>#N/A</v>
      </c>
      <c r="AD148" s="590" t="e">
        <f t="shared" si="102"/>
        <v>#N/A</v>
      </c>
      <c r="AE148" s="126"/>
    </row>
    <row r="149" spans="1:46" ht="15" customHeight="1">
      <c r="D149" s="126"/>
      <c r="E149" s="126"/>
      <c r="K149" s="126"/>
      <c r="L149" s="126"/>
      <c r="Q149" s="126"/>
      <c r="R149" s="126"/>
      <c r="V149" s="126"/>
      <c r="X149" s="126"/>
    </row>
    <row r="150" spans="1:46" ht="15" customHeight="1">
      <c r="D150" s="126"/>
      <c r="E150" s="126"/>
      <c r="K150" s="126"/>
      <c r="L150" s="126"/>
      <c r="Q150" s="126"/>
      <c r="R150" s="126"/>
      <c r="V150" s="126"/>
      <c r="X150" s="126"/>
    </row>
    <row r="151" spans="1:46" ht="15" customHeight="1">
      <c r="C151" s="1323" t="s">
        <v>1204</v>
      </c>
      <c r="D151" s="1323"/>
      <c r="E151" s="580" t="s">
        <v>1185</v>
      </c>
      <c r="F151" s="580" t="s">
        <v>1186</v>
      </c>
      <c r="G151" s="580" t="s">
        <v>227</v>
      </c>
      <c r="K151" s="126"/>
      <c r="L151" s="126"/>
      <c r="Q151" s="126"/>
      <c r="R151" s="126"/>
      <c r="V151" s="126"/>
      <c r="X151" s="126"/>
    </row>
    <row r="152" spans="1:46" ht="15" customHeight="1">
      <c r="B152" s="581" t="s">
        <v>768</v>
      </c>
      <c r="C152" s="1324"/>
      <c r="D152" s="1324"/>
      <c r="E152" s="589">
        <f>ENERGÍA!F158</f>
        <v>0</v>
      </c>
      <c r="F152" s="589">
        <f>ENERGÍA!G158</f>
        <v>0</v>
      </c>
      <c r="G152" s="589">
        <f>ENERGÍA!H158</f>
        <v>0</v>
      </c>
      <c r="K152" s="126"/>
      <c r="L152" s="126"/>
      <c r="T152" s="590">
        <f>ENERGÍA!U158</f>
        <v>0</v>
      </c>
      <c r="V152" s="126"/>
      <c r="X152" s="126"/>
      <c r="AC152" s="590">
        <f>T152*E152*F152</f>
        <v>0</v>
      </c>
      <c r="AD152" s="590">
        <f>AC152</f>
        <v>0</v>
      </c>
    </row>
    <row r="153" spans="1:46" ht="6" customHeight="1">
      <c r="L153" s="126"/>
      <c r="V153" s="148"/>
      <c r="Z153" s="580"/>
      <c r="AA153" s="580"/>
    </row>
    <row r="154" spans="1:46" ht="15" customHeight="1">
      <c r="B154" s="1323">
        <f>C38</f>
        <v>0</v>
      </c>
      <c r="C154" s="1323"/>
      <c r="D154" s="1323"/>
      <c r="E154" s="1323"/>
      <c r="F154" s="1323"/>
      <c r="G154" s="1323"/>
      <c r="H154" s="1323"/>
      <c r="I154" s="1323"/>
      <c r="J154" s="1323"/>
      <c r="K154" s="1323"/>
      <c r="L154" s="1323"/>
      <c r="O154" s="1320">
        <f>B154</f>
        <v>0</v>
      </c>
      <c r="P154" s="1321"/>
      <c r="Q154" s="1321"/>
      <c r="R154" s="1321"/>
      <c r="S154" s="1321"/>
      <c r="T154" s="1321"/>
      <c r="U154" s="1321"/>
      <c r="V154" s="1321"/>
      <c r="W154" s="1321"/>
      <c r="X154" s="1321"/>
      <c r="Y154" s="1321"/>
      <c r="Z154" s="1321"/>
      <c r="AA154" s="1321"/>
      <c r="AB154" s="1321"/>
      <c r="AC154" s="1321"/>
      <c r="AD154" s="1321"/>
      <c r="AE154" s="1322"/>
    </row>
    <row r="155" spans="1:46" ht="6" customHeight="1">
      <c r="L155" s="126"/>
      <c r="V155" s="148"/>
      <c r="Z155" s="580"/>
      <c r="AA155" s="580"/>
    </row>
    <row r="156" spans="1:46" ht="15" customHeight="1">
      <c r="B156" s="1273"/>
      <c r="C156" s="1323" t="s">
        <v>1184</v>
      </c>
      <c r="D156" s="1323"/>
      <c r="E156" s="1323"/>
      <c r="F156" s="1323" t="s">
        <v>1188</v>
      </c>
      <c r="G156" s="1323"/>
      <c r="H156" s="1323" t="s">
        <v>1203</v>
      </c>
      <c r="I156" s="1323"/>
      <c r="J156" s="1281" t="s">
        <v>790</v>
      </c>
      <c r="K156" s="1281" t="s">
        <v>1136</v>
      </c>
      <c r="L156" s="1281"/>
      <c r="O156" s="580" t="s">
        <v>1651</v>
      </c>
      <c r="P156" s="1281" t="s">
        <v>1064</v>
      </c>
      <c r="Q156" s="580" t="s">
        <v>1652</v>
      </c>
      <c r="R156" s="1273" t="s">
        <v>1191</v>
      </c>
      <c r="S156" s="580" t="s">
        <v>1190</v>
      </c>
      <c r="T156" s="1273" t="s">
        <v>1192</v>
      </c>
      <c r="U156" s="1323" t="s">
        <v>1653</v>
      </c>
      <c r="V156" s="1323"/>
      <c r="W156" s="580" t="s">
        <v>1654</v>
      </c>
      <c r="X156" s="1273" t="s">
        <v>1403</v>
      </c>
      <c r="Y156" s="1273" t="s">
        <v>1404</v>
      </c>
      <c r="Z156" s="1273" t="s">
        <v>1210</v>
      </c>
      <c r="AA156" s="1273" t="s">
        <v>1201</v>
      </c>
      <c r="AB156" s="1273" t="s">
        <v>1202</v>
      </c>
      <c r="AC156" s="1281" t="s">
        <v>850</v>
      </c>
      <c r="AD156" s="1281" t="str">
        <f>AC156</f>
        <v>W/K Inv</v>
      </c>
      <c r="AE156" s="226" t="s">
        <v>1017</v>
      </c>
    </row>
    <row r="157" spans="1:46" ht="15" customHeight="1">
      <c r="B157" s="1273"/>
      <c r="C157" s="148" t="s">
        <v>623</v>
      </c>
      <c r="D157" s="580" t="s">
        <v>1185</v>
      </c>
      <c r="E157" s="580" t="s">
        <v>1186</v>
      </c>
      <c r="F157" s="580" t="s">
        <v>623</v>
      </c>
      <c r="G157" s="580" t="s">
        <v>1189</v>
      </c>
      <c r="H157" s="580" t="s">
        <v>757</v>
      </c>
      <c r="I157" s="580" t="s">
        <v>650</v>
      </c>
      <c r="J157" s="1281"/>
      <c r="K157" s="166" t="s">
        <v>623</v>
      </c>
      <c r="L157" s="602" t="s">
        <v>1122</v>
      </c>
      <c r="O157" s="580" t="s">
        <v>1187</v>
      </c>
      <c r="P157" s="1281"/>
      <c r="Q157" s="580" t="s">
        <v>1187</v>
      </c>
      <c r="R157" s="1273"/>
      <c r="S157" s="580" t="s">
        <v>18</v>
      </c>
      <c r="T157" s="1273"/>
      <c r="U157" s="580" t="s">
        <v>1199</v>
      </c>
      <c r="V157" s="148" t="s">
        <v>1200</v>
      </c>
      <c r="W157" s="176" t="s">
        <v>1187</v>
      </c>
      <c r="X157" s="1273"/>
      <c r="Y157" s="1273"/>
      <c r="Z157" s="1273"/>
      <c r="AA157" s="1273"/>
      <c r="AB157" s="1273"/>
      <c r="AC157" s="1281"/>
      <c r="AD157" s="1281"/>
      <c r="AE157" s="603" t="e">
        <f>Q38</f>
        <v>#N/A</v>
      </c>
    </row>
    <row r="158" spans="1:46" ht="15" customHeight="1">
      <c r="B158" s="581" t="s">
        <v>225</v>
      </c>
      <c r="C158" s="604"/>
      <c r="D158" s="604"/>
      <c r="E158" s="604"/>
      <c r="F158" s="604"/>
      <c r="G158" s="604"/>
      <c r="H158" s="176" t="e">
        <f t="shared" ref="H158:H166" si="111">IF(W158=0,"-",IF($O$4=6,"No Aplica",HLOOKUP(AA158,ZONA2,2,TRUE)))</f>
        <v>#N/A</v>
      </c>
      <c r="I158" s="176" t="e">
        <f t="shared" ref="I158:I166" si="112">IF(W158=0,"-",IF($O$4=6,HLOOKUP(AB158,ZONA3,2,TRUE),HLOOKUP(AB158,ZONA1,2,TRUE)))</f>
        <v>#N/A</v>
      </c>
      <c r="J158" s="604"/>
      <c r="K158" s="604"/>
      <c r="L158" s="604"/>
      <c r="O158" s="590" t="e">
        <f t="shared" ref="O158:O166" si="113">$W$104-Q158</f>
        <v>#N/A</v>
      </c>
      <c r="P158" s="176">
        <f>P148</f>
        <v>6</v>
      </c>
      <c r="Q158" s="580" t="e">
        <f>W158*0.02</f>
        <v>#N/A</v>
      </c>
      <c r="R158" s="580">
        <f>R148</f>
        <v>5.8</v>
      </c>
      <c r="S158" s="590" t="e">
        <f t="shared" ref="S158:S166" si="114">(W158/2)+2</f>
        <v>#N/A</v>
      </c>
      <c r="T158" s="176" t="e">
        <f t="shared" ref="T158:T166" si="115">((O158*P158)+(Q158*R158)+(S158*0.02))/W158</f>
        <v>#N/A</v>
      </c>
      <c r="U158" s="580">
        <f>U148</f>
        <v>300</v>
      </c>
      <c r="V158" s="176" t="e">
        <f t="shared" ref="V158:V166" si="116">IF(W158=0,0,U158*W158)</f>
        <v>#N/A</v>
      </c>
      <c r="W158" s="605" t="e">
        <f>IF($R$38=2,$O$38/2,IF($R$38=4,$O$38/4,IF($R$38=6,$O$38/6,IF($R$38=8,$O$38/8,IF($R$38=9,$O$38/9)))))</f>
        <v>#N/A</v>
      </c>
      <c r="X158" s="606" t="e">
        <f t="shared" ref="X158:X166" si="117">(V158*$AW$112)</f>
        <v>#N/A</v>
      </c>
      <c r="Y158" s="606" t="e">
        <f t="shared" ref="Y158:Y166" si="118">V158*$AW$114</f>
        <v>#N/A</v>
      </c>
      <c r="Z158" s="148">
        <f>Z148</f>
        <v>3</v>
      </c>
      <c r="AA158" s="176" t="e">
        <f t="shared" ref="AA158:AA166" si="119">IF(W158=0,0,(($AW$104*Z158)+X158+(T158*$AW$108))/W158)</f>
        <v>#N/A</v>
      </c>
      <c r="AB158" s="176" t="e">
        <f>IF(W158=0,0,(($AW$106*Z158)-(X158+T158)*$AW$110)/W158)</f>
        <v>#N/A</v>
      </c>
      <c r="AC158" s="590" t="e">
        <f>IF(W158=0,0,(T158*O158))</f>
        <v>#N/A</v>
      </c>
      <c r="AD158" s="590" t="e">
        <f t="shared" ref="AD158:AD166" si="120">AC158</f>
        <v>#N/A</v>
      </c>
    </row>
    <row r="159" spans="1:46" ht="15" customHeight="1">
      <c r="B159" s="581" t="s">
        <v>225</v>
      </c>
      <c r="C159" s="604"/>
      <c r="D159" s="604"/>
      <c r="E159" s="604"/>
      <c r="F159" s="604"/>
      <c r="G159" s="604"/>
      <c r="H159" s="176" t="e">
        <f t="shared" si="111"/>
        <v>#N/A</v>
      </c>
      <c r="I159" s="176" t="e">
        <f t="shared" si="112"/>
        <v>#N/A</v>
      </c>
      <c r="J159" s="604"/>
      <c r="K159" s="604"/>
      <c r="L159" s="604"/>
      <c r="O159" s="590" t="e">
        <f t="shared" si="113"/>
        <v>#N/A</v>
      </c>
      <c r="P159" s="176">
        <f>P158</f>
        <v>6</v>
      </c>
      <c r="Q159" s="580" t="e">
        <f t="shared" ref="Q159:Q166" si="121">W159*0.02</f>
        <v>#N/A</v>
      </c>
      <c r="R159" s="580">
        <f>R158</f>
        <v>5.8</v>
      </c>
      <c r="S159" s="590" t="e">
        <f t="shared" si="114"/>
        <v>#N/A</v>
      </c>
      <c r="T159" s="176" t="e">
        <f t="shared" si="115"/>
        <v>#N/A</v>
      </c>
      <c r="U159" s="580">
        <f>U158</f>
        <v>300</v>
      </c>
      <c r="V159" s="176" t="e">
        <f t="shared" si="116"/>
        <v>#N/A</v>
      </c>
      <c r="W159" s="605" t="e">
        <f t="shared" ref="W159" si="122">IF($R$38=2,$O$38/2,IF($R$38=4,$O$38/4,IF($R$38=6,$O$38/6,IF($R$38=8,$O$38/8,IF($R$38=9,$O$38/9)))))</f>
        <v>#N/A</v>
      </c>
      <c r="X159" s="606" t="e">
        <f t="shared" si="117"/>
        <v>#N/A</v>
      </c>
      <c r="Y159" s="606" t="e">
        <f t="shared" si="118"/>
        <v>#N/A</v>
      </c>
      <c r="Z159" s="148">
        <f>Z158</f>
        <v>3</v>
      </c>
      <c r="AA159" s="176" t="e">
        <f t="shared" si="119"/>
        <v>#N/A</v>
      </c>
      <c r="AB159" s="176" t="e">
        <f t="shared" ref="AB159:AB166" si="123">IF(W159=0,0,(($AW$106*Z159)-(X159+T159)*$AW$110)/W159)</f>
        <v>#N/A</v>
      </c>
      <c r="AC159" s="590" t="e">
        <f t="shared" ref="AC159:AC166" si="124">IF(W159=0,0,(T159*O159))</f>
        <v>#N/A</v>
      </c>
      <c r="AD159" s="590" t="e">
        <f t="shared" si="120"/>
        <v>#N/A</v>
      </c>
    </row>
    <row r="160" spans="1:46" ht="15" customHeight="1">
      <c r="B160" s="581" t="s">
        <v>225</v>
      </c>
      <c r="C160" s="604"/>
      <c r="D160" s="604"/>
      <c r="E160" s="604"/>
      <c r="F160" s="604"/>
      <c r="G160" s="604"/>
      <c r="H160" s="176" t="e">
        <f t="shared" si="111"/>
        <v>#N/A</v>
      </c>
      <c r="I160" s="176" t="e">
        <f t="shared" si="112"/>
        <v>#N/A</v>
      </c>
      <c r="J160" s="604"/>
      <c r="K160" s="604"/>
      <c r="L160" s="604"/>
      <c r="O160" s="590" t="e">
        <f t="shared" si="113"/>
        <v>#N/A</v>
      </c>
      <c r="P160" s="176">
        <f t="shared" ref="P160:P166" si="125">P159</f>
        <v>6</v>
      </c>
      <c r="Q160" s="580" t="e">
        <f t="shared" si="121"/>
        <v>#N/A</v>
      </c>
      <c r="R160" s="580">
        <f t="shared" ref="R160:R166" si="126">R159</f>
        <v>5.8</v>
      </c>
      <c r="S160" s="590" t="e">
        <f t="shared" si="114"/>
        <v>#N/A</v>
      </c>
      <c r="T160" s="176" t="e">
        <f t="shared" si="115"/>
        <v>#N/A</v>
      </c>
      <c r="U160" s="580">
        <f t="shared" ref="U160:U166" si="127">U159</f>
        <v>300</v>
      </c>
      <c r="V160" s="176" t="e">
        <f t="shared" si="116"/>
        <v>#N/A</v>
      </c>
      <c r="W160" s="605" t="e">
        <f>IF($R$38=2,0,IF($R$38=4,$O$38/4,IF($R$38=6,$O$38/6,IF($R$38=8,$O$38/8,IF($R$38=9,$O$38/9)))))</f>
        <v>#N/A</v>
      </c>
      <c r="X160" s="606" t="e">
        <f t="shared" si="117"/>
        <v>#N/A</v>
      </c>
      <c r="Y160" s="606" t="e">
        <f t="shared" si="118"/>
        <v>#N/A</v>
      </c>
      <c r="Z160" s="148">
        <f t="shared" ref="Z160:Z165" si="128">Z159</f>
        <v>3</v>
      </c>
      <c r="AA160" s="176" t="e">
        <f t="shared" si="119"/>
        <v>#N/A</v>
      </c>
      <c r="AB160" s="176" t="e">
        <f t="shared" si="123"/>
        <v>#N/A</v>
      </c>
      <c r="AC160" s="590" t="e">
        <f t="shared" si="124"/>
        <v>#N/A</v>
      </c>
      <c r="AD160" s="590" t="e">
        <f t="shared" si="120"/>
        <v>#N/A</v>
      </c>
    </row>
    <row r="161" spans="1:32" ht="15" customHeight="1">
      <c r="B161" s="581" t="s">
        <v>225</v>
      </c>
      <c r="C161" s="604"/>
      <c r="D161" s="604"/>
      <c r="E161" s="604"/>
      <c r="F161" s="604"/>
      <c r="G161" s="604"/>
      <c r="H161" s="176" t="e">
        <f t="shared" si="111"/>
        <v>#N/A</v>
      </c>
      <c r="I161" s="176" t="e">
        <f t="shared" si="112"/>
        <v>#N/A</v>
      </c>
      <c r="J161" s="604"/>
      <c r="K161" s="604"/>
      <c r="L161" s="604"/>
      <c r="O161" s="590" t="e">
        <f t="shared" si="113"/>
        <v>#N/A</v>
      </c>
      <c r="P161" s="176">
        <f t="shared" si="125"/>
        <v>6</v>
      </c>
      <c r="Q161" s="580" t="e">
        <f t="shared" si="121"/>
        <v>#N/A</v>
      </c>
      <c r="R161" s="580">
        <f t="shared" si="126"/>
        <v>5.8</v>
      </c>
      <c r="S161" s="590" t="e">
        <f t="shared" si="114"/>
        <v>#N/A</v>
      </c>
      <c r="T161" s="176" t="e">
        <f t="shared" si="115"/>
        <v>#N/A</v>
      </c>
      <c r="U161" s="580">
        <f t="shared" si="127"/>
        <v>300</v>
      </c>
      <c r="V161" s="176" t="e">
        <f t="shared" si="116"/>
        <v>#N/A</v>
      </c>
      <c r="W161" s="605" t="e">
        <f t="shared" ref="W161" si="129">IF($R$38=2,0,IF($R$38=4,$O$38/4,IF($R$38=6,$O$38/6,IF($R$38=8,$O$38/8,IF($R$38=9,$O$38/9)))))</f>
        <v>#N/A</v>
      </c>
      <c r="X161" s="606" t="e">
        <f t="shared" si="117"/>
        <v>#N/A</v>
      </c>
      <c r="Y161" s="606" t="e">
        <f t="shared" si="118"/>
        <v>#N/A</v>
      </c>
      <c r="Z161" s="148">
        <f t="shared" si="128"/>
        <v>3</v>
      </c>
      <c r="AA161" s="176" t="e">
        <f t="shared" si="119"/>
        <v>#N/A</v>
      </c>
      <c r="AB161" s="176" t="e">
        <f t="shared" si="123"/>
        <v>#N/A</v>
      </c>
      <c r="AC161" s="590" t="e">
        <f t="shared" si="124"/>
        <v>#N/A</v>
      </c>
      <c r="AD161" s="590" t="e">
        <f t="shared" si="120"/>
        <v>#N/A</v>
      </c>
    </row>
    <row r="162" spans="1:32" ht="15" customHeight="1">
      <c r="B162" s="581" t="s">
        <v>225</v>
      </c>
      <c r="C162" s="604"/>
      <c r="D162" s="604"/>
      <c r="E162" s="604"/>
      <c r="F162" s="604"/>
      <c r="G162" s="604"/>
      <c r="H162" s="176" t="e">
        <f t="shared" si="111"/>
        <v>#N/A</v>
      </c>
      <c r="I162" s="176" t="e">
        <f t="shared" si="112"/>
        <v>#N/A</v>
      </c>
      <c r="J162" s="604"/>
      <c r="K162" s="604"/>
      <c r="L162" s="604"/>
      <c r="O162" s="590" t="e">
        <f t="shared" si="113"/>
        <v>#N/A</v>
      </c>
      <c r="P162" s="176">
        <f t="shared" si="125"/>
        <v>6</v>
      </c>
      <c r="Q162" s="580" t="e">
        <f t="shared" si="121"/>
        <v>#N/A</v>
      </c>
      <c r="R162" s="580">
        <f t="shared" si="126"/>
        <v>5.8</v>
      </c>
      <c r="S162" s="590" t="e">
        <f t="shared" si="114"/>
        <v>#N/A</v>
      </c>
      <c r="T162" s="176" t="e">
        <f t="shared" si="115"/>
        <v>#N/A</v>
      </c>
      <c r="U162" s="580">
        <f t="shared" si="127"/>
        <v>300</v>
      </c>
      <c r="V162" s="176" t="e">
        <f t="shared" si="116"/>
        <v>#N/A</v>
      </c>
      <c r="W162" s="605" t="e">
        <f>IF($R$38=2,0,IF($R$38=4,0,IF($R$38=6,$O$38/6,IF($R$38=8,$O$38/8,IF($R$38=9,$O$38/9)))))</f>
        <v>#N/A</v>
      </c>
      <c r="X162" s="606" t="e">
        <f t="shared" si="117"/>
        <v>#N/A</v>
      </c>
      <c r="Y162" s="606" t="e">
        <f t="shared" si="118"/>
        <v>#N/A</v>
      </c>
      <c r="Z162" s="148">
        <f t="shared" si="128"/>
        <v>3</v>
      </c>
      <c r="AA162" s="176" t="e">
        <f t="shared" si="119"/>
        <v>#N/A</v>
      </c>
      <c r="AB162" s="176" t="e">
        <f t="shared" si="123"/>
        <v>#N/A</v>
      </c>
      <c r="AC162" s="590" t="e">
        <f t="shared" si="124"/>
        <v>#N/A</v>
      </c>
      <c r="AD162" s="590" t="e">
        <f t="shared" si="120"/>
        <v>#N/A</v>
      </c>
    </row>
    <row r="163" spans="1:32" ht="15" customHeight="1">
      <c r="B163" s="581" t="s">
        <v>225</v>
      </c>
      <c r="C163" s="604"/>
      <c r="D163" s="604"/>
      <c r="E163" s="604"/>
      <c r="F163" s="604"/>
      <c r="G163" s="604"/>
      <c r="H163" s="176" t="e">
        <f t="shared" si="111"/>
        <v>#N/A</v>
      </c>
      <c r="I163" s="176" t="e">
        <f t="shared" si="112"/>
        <v>#N/A</v>
      </c>
      <c r="J163" s="604"/>
      <c r="K163" s="604"/>
      <c r="L163" s="604"/>
      <c r="O163" s="590" t="e">
        <f t="shared" si="113"/>
        <v>#N/A</v>
      </c>
      <c r="P163" s="176">
        <f t="shared" si="125"/>
        <v>6</v>
      </c>
      <c r="Q163" s="580" t="e">
        <f t="shared" si="121"/>
        <v>#N/A</v>
      </c>
      <c r="R163" s="580">
        <f t="shared" si="126"/>
        <v>5.8</v>
      </c>
      <c r="S163" s="590" t="e">
        <f t="shared" si="114"/>
        <v>#N/A</v>
      </c>
      <c r="T163" s="176" t="e">
        <f t="shared" si="115"/>
        <v>#N/A</v>
      </c>
      <c r="U163" s="580">
        <f t="shared" si="127"/>
        <v>300</v>
      </c>
      <c r="V163" s="176" t="e">
        <f t="shared" si="116"/>
        <v>#N/A</v>
      </c>
      <c r="W163" s="605" t="e">
        <f t="shared" ref="W163" si="130">IF($R$38=2,0,IF($R$38=4,0,IF($R$38=6,$O$38/6,IF($R$38=8,$O$38/8,IF($R$38=9,$O$38/9)))))</f>
        <v>#N/A</v>
      </c>
      <c r="X163" s="606" t="e">
        <f t="shared" si="117"/>
        <v>#N/A</v>
      </c>
      <c r="Y163" s="606" t="e">
        <f t="shared" si="118"/>
        <v>#N/A</v>
      </c>
      <c r="Z163" s="148">
        <f t="shared" si="128"/>
        <v>3</v>
      </c>
      <c r="AA163" s="176" t="e">
        <f t="shared" si="119"/>
        <v>#N/A</v>
      </c>
      <c r="AB163" s="176" t="e">
        <f t="shared" si="123"/>
        <v>#N/A</v>
      </c>
      <c r="AC163" s="590" t="e">
        <f t="shared" si="124"/>
        <v>#N/A</v>
      </c>
      <c r="AD163" s="590" t="e">
        <f t="shared" si="120"/>
        <v>#N/A</v>
      </c>
    </row>
    <row r="164" spans="1:32" ht="15" customHeight="1">
      <c r="B164" s="581" t="s">
        <v>225</v>
      </c>
      <c r="C164" s="604"/>
      <c r="D164" s="604"/>
      <c r="E164" s="604"/>
      <c r="F164" s="604"/>
      <c r="G164" s="604"/>
      <c r="H164" s="176" t="e">
        <f t="shared" si="111"/>
        <v>#N/A</v>
      </c>
      <c r="I164" s="176" t="e">
        <f t="shared" si="112"/>
        <v>#N/A</v>
      </c>
      <c r="J164" s="604"/>
      <c r="K164" s="604"/>
      <c r="L164" s="604"/>
      <c r="O164" s="590" t="e">
        <f t="shared" si="113"/>
        <v>#N/A</v>
      </c>
      <c r="P164" s="176">
        <f t="shared" si="125"/>
        <v>6</v>
      </c>
      <c r="Q164" s="580" t="e">
        <f t="shared" si="121"/>
        <v>#N/A</v>
      </c>
      <c r="R164" s="580">
        <f t="shared" si="126"/>
        <v>5.8</v>
      </c>
      <c r="S164" s="590" t="e">
        <f t="shared" si="114"/>
        <v>#N/A</v>
      </c>
      <c r="T164" s="176" t="e">
        <f t="shared" si="115"/>
        <v>#N/A</v>
      </c>
      <c r="U164" s="580">
        <f t="shared" si="127"/>
        <v>300</v>
      </c>
      <c r="V164" s="176" t="e">
        <f t="shared" si="116"/>
        <v>#N/A</v>
      </c>
      <c r="W164" s="605" t="e">
        <f>IF($R$38=2,0,IF($R$38=4,0,IF($R$38=6,0,IF($R$38=8,$O$38/8,IF($R$38=9,$O$38/9)))))</f>
        <v>#N/A</v>
      </c>
      <c r="X164" s="606" t="e">
        <f t="shared" si="117"/>
        <v>#N/A</v>
      </c>
      <c r="Y164" s="606" t="e">
        <f t="shared" si="118"/>
        <v>#N/A</v>
      </c>
      <c r="Z164" s="148">
        <f t="shared" si="128"/>
        <v>3</v>
      </c>
      <c r="AA164" s="176" t="e">
        <f t="shared" si="119"/>
        <v>#N/A</v>
      </c>
      <c r="AB164" s="176" t="e">
        <f t="shared" si="123"/>
        <v>#N/A</v>
      </c>
      <c r="AC164" s="590" t="e">
        <f t="shared" si="124"/>
        <v>#N/A</v>
      </c>
      <c r="AD164" s="590" t="e">
        <f t="shared" si="120"/>
        <v>#N/A</v>
      </c>
    </row>
    <row r="165" spans="1:32" ht="15" customHeight="1">
      <c r="B165" s="581" t="s">
        <v>225</v>
      </c>
      <c r="C165" s="604"/>
      <c r="D165" s="604"/>
      <c r="E165" s="604"/>
      <c r="F165" s="604"/>
      <c r="G165" s="604"/>
      <c r="H165" s="176" t="e">
        <f t="shared" si="111"/>
        <v>#N/A</v>
      </c>
      <c r="I165" s="176" t="e">
        <f t="shared" si="112"/>
        <v>#N/A</v>
      </c>
      <c r="J165" s="604"/>
      <c r="K165" s="604"/>
      <c r="L165" s="604"/>
      <c r="O165" s="590" t="e">
        <f t="shared" si="113"/>
        <v>#N/A</v>
      </c>
      <c r="P165" s="176">
        <f t="shared" si="125"/>
        <v>6</v>
      </c>
      <c r="Q165" s="580" t="e">
        <f t="shared" si="121"/>
        <v>#N/A</v>
      </c>
      <c r="R165" s="580">
        <f t="shared" si="126"/>
        <v>5.8</v>
      </c>
      <c r="S165" s="590" t="e">
        <f t="shared" si="114"/>
        <v>#N/A</v>
      </c>
      <c r="T165" s="176" t="e">
        <f t="shared" si="115"/>
        <v>#N/A</v>
      </c>
      <c r="U165" s="580">
        <f t="shared" si="127"/>
        <v>300</v>
      </c>
      <c r="V165" s="176" t="e">
        <f t="shared" si="116"/>
        <v>#N/A</v>
      </c>
      <c r="W165" s="605" t="e">
        <f>IF($R$38=2,0,IF($R$38=4,0,IF($R$38=6,0,IF($R$38=8,$O$38/8,IF($R$38=9,$O$38/9)))))</f>
        <v>#N/A</v>
      </c>
      <c r="X165" s="606" t="e">
        <f t="shared" si="117"/>
        <v>#N/A</v>
      </c>
      <c r="Y165" s="606" t="e">
        <f t="shared" si="118"/>
        <v>#N/A</v>
      </c>
      <c r="Z165" s="148">
        <f t="shared" si="128"/>
        <v>3</v>
      </c>
      <c r="AA165" s="176" t="e">
        <f t="shared" si="119"/>
        <v>#N/A</v>
      </c>
      <c r="AB165" s="176" t="e">
        <f t="shared" si="123"/>
        <v>#N/A</v>
      </c>
      <c r="AC165" s="590" t="e">
        <f t="shared" si="124"/>
        <v>#N/A</v>
      </c>
      <c r="AD165" s="590" t="e">
        <f t="shared" si="120"/>
        <v>#N/A</v>
      </c>
    </row>
    <row r="166" spans="1:32" s="173" customFormat="1" ht="15" customHeight="1">
      <c r="A166" s="126"/>
      <c r="B166" s="581" t="s">
        <v>225</v>
      </c>
      <c r="C166" s="604"/>
      <c r="D166" s="604"/>
      <c r="E166" s="604"/>
      <c r="F166" s="604"/>
      <c r="G166" s="604"/>
      <c r="H166" s="176" t="e">
        <f t="shared" si="111"/>
        <v>#N/A</v>
      </c>
      <c r="I166" s="176" t="e">
        <f t="shared" si="112"/>
        <v>#N/A</v>
      </c>
      <c r="J166" s="604"/>
      <c r="K166" s="604"/>
      <c r="L166" s="604"/>
      <c r="M166" s="126"/>
      <c r="N166" s="126"/>
      <c r="O166" s="590" t="e">
        <f t="shared" si="113"/>
        <v>#N/A</v>
      </c>
      <c r="P166" s="176">
        <f t="shared" si="125"/>
        <v>6</v>
      </c>
      <c r="Q166" s="580" t="e">
        <f t="shared" si="121"/>
        <v>#N/A</v>
      </c>
      <c r="R166" s="580">
        <f t="shared" si="126"/>
        <v>5.8</v>
      </c>
      <c r="S166" s="590" t="e">
        <f t="shared" si="114"/>
        <v>#N/A</v>
      </c>
      <c r="T166" s="176" t="e">
        <f t="shared" si="115"/>
        <v>#N/A</v>
      </c>
      <c r="U166" s="580">
        <f t="shared" si="127"/>
        <v>300</v>
      </c>
      <c r="V166" s="176" t="e">
        <f t="shared" si="116"/>
        <v>#N/A</v>
      </c>
      <c r="W166" s="605" t="e">
        <f>IF($R$38=2,0,IF($R$38=4,0,IF($R$38=6,0,IF($R$38=8,0,IF($R$38=9,$O$38/9)))))</f>
        <v>#N/A</v>
      </c>
      <c r="X166" s="606" t="e">
        <f t="shared" si="117"/>
        <v>#N/A</v>
      </c>
      <c r="Y166" s="606" t="e">
        <f t="shared" si="118"/>
        <v>#N/A</v>
      </c>
      <c r="Z166" s="148">
        <f>Z165</f>
        <v>3</v>
      </c>
      <c r="AA166" s="176" t="e">
        <f t="shared" si="119"/>
        <v>#N/A</v>
      </c>
      <c r="AB166" s="176" t="e">
        <f t="shared" si="123"/>
        <v>#N/A</v>
      </c>
      <c r="AC166" s="590" t="e">
        <f t="shared" si="124"/>
        <v>#N/A</v>
      </c>
      <c r="AD166" s="590" t="e">
        <f t="shared" si="120"/>
        <v>#N/A</v>
      </c>
      <c r="AE166" s="126"/>
    </row>
    <row r="167" spans="1:32" ht="15" customHeight="1">
      <c r="D167" s="126"/>
      <c r="E167" s="126"/>
      <c r="K167" s="126"/>
      <c r="L167" s="126"/>
      <c r="Q167" s="126"/>
      <c r="R167" s="126"/>
      <c r="V167" s="126"/>
      <c r="X167" s="126"/>
    </row>
    <row r="168" spans="1:32" ht="15" customHeight="1">
      <c r="D168" s="126"/>
      <c r="E168" s="126"/>
      <c r="K168" s="126"/>
      <c r="L168" s="126"/>
      <c r="Q168" s="126"/>
      <c r="R168" s="126"/>
      <c r="V168" s="126"/>
      <c r="X168" s="126"/>
    </row>
    <row r="169" spans="1:32" ht="15" customHeight="1">
      <c r="C169" s="1323" t="s">
        <v>1204</v>
      </c>
      <c r="D169" s="1323"/>
      <c r="E169" s="580" t="s">
        <v>1185</v>
      </c>
      <c r="F169" s="580" t="s">
        <v>1186</v>
      </c>
      <c r="G169" s="580" t="s">
        <v>227</v>
      </c>
      <c r="K169" s="126"/>
      <c r="L169" s="126"/>
      <c r="Q169" s="126"/>
      <c r="R169" s="126"/>
      <c r="V169" s="126"/>
      <c r="X169" s="126"/>
    </row>
    <row r="170" spans="1:32" ht="15" customHeight="1">
      <c r="B170" s="581" t="s">
        <v>768</v>
      </c>
      <c r="C170" s="1324"/>
      <c r="D170" s="1324"/>
      <c r="E170" s="589">
        <f>ENERGÍA!F176</f>
        <v>0</v>
      </c>
      <c r="F170" s="589">
        <f>ENERGÍA!G176</f>
        <v>0</v>
      </c>
      <c r="G170" s="589">
        <f>ENERGÍA!H176</f>
        <v>0</v>
      </c>
      <c r="K170" s="126"/>
      <c r="L170" s="126"/>
      <c r="T170" s="590">
        <f>ENERGÍA!U176</f>
        <v>0</v>
      </c>
      <c r="V170" s="126"/>
      <c r="X170" s="126"/>
      <c r="AC170" s="590">
        <f>T170*E170*F170</f>
        <v>0</v>
      </c>
      <c r="AD170" s="590">
        <f>AC170</f>
        <v>0</v>
      </c>
    </row>
    <row r="171" spans="1:32" ht="6" customHeight="1">
      <c r="D171" s="126"/>
      <c r="E171" s="126"/>
      <c r="O171" s="148"/>
      <c r="P171" s="581"/>
      <c r="Q171" s="126"/>
      <c r="R171" s="126"/>
      <c r="V171" s="148"/>
    </row>
    <row r="172" spans="1:32" ht="15" customHeight="1">
      <c r="B172" s="1280" t="s">
        <v>601</v>
      </c>
      <c r="C172" s="1280"/>
      <c r="D172" s="1280"/>
      <c r="E172" s="1280"/>
      <c r="F172" s="1280"/>
      <c r="G172" s="1280"/>
      <c r="H172" s="1280"/>
      <c r="I172" s="1280"/>
      <c r="J172" s="1280"/>
      <c r="K172" s="1280"/>
      <c r="L172" s="1280"/>
      <c r="O172" s="1317" t="s">
        <v>601</v>
      </c>
      <c r="P172" s="1318"/>
      <c r="Q172" s="1318"/>
      <c r="R172" s="1318"/>
      <c r="S172" s="1318"/>
      <c r="T172" s="1318"/>
      <c r="U172" s="1318"/>
      <c r="V172" s="1318"/>
      <c r="W172" s="1318"/>
      <c r="X172" s="1318"/>
      <c r="Y172" s="1318"/>
      <c r="Z172" s="1318"/>
      <c r="AA172" s="1318"/>
      <c r="AB172" s="1318"/>
      <c r="AC172" s="1318"/>
      <c r="AD172" s="1318"/>
      <c r="AE172" s="1318"/>
      <c r="AF172" s="1319"/>
    </row>
    <row r="173" spans="1:32" ht="6" customHeight="1">
      <c r="O173" s="148"/>
      <c r="Q173" s="126"/>
      <c r="R173" s="126"/>
      <c r="V173" s="148"/>
    </row>
    <row r="174" spans="1:32" ht="15" customHeight="1">
      <c r="B174" s="580" t="s">
        <v>598</v>
      </c>
      <c r="C174" s="1320" t="s">
        <v>1034</v>
      </c>
      <c r="D174" s="1321"/>
      <c r="E174" s="1321"/>
      <c r="F174" s="1321"/>
      <c r="G174" s="1321"/>
      <c r="H174" s="1321"/>
      <c r="I174" s="1321"/>
      <c r="J174" s="1321"/>
      <c r="K174" s="1321"/>
      <c r="L174" s="1322"/>
      <c r="P174" s="580" t="s">
        <v>1388</v>
      </c>
      <c r="Q174" s="148" t="s">
        <v>1389</v>
      </c>
      <c r="X174" s="580" t="s">
        <v>1392</v>
      </c>
      <c r="Z174" s="148" t="s">
        <v>1393</v>
      </c>
      <c r="AA174" s="580" t="s">
        <v>1391</v>
      </c>
      <c r="AB174" s="148" t="s">
        <v>1390</v>
      </c>
      <c r="AD174" s="148" t="s">
        <v>1393</v>
      </c>
      <c r="AE174" s="580" t="s">
        <v>1391</v>
      </c>
      <c r="AF174" s="148" t="s">
        <v>1394</v>
      </c>
    </row>
    <row r="175" spans="1:32" ht="15" customHeight="1">
      <c r="B175" s="581" t="s">
        <v>574</v>
      </c>
      <c r="C175" s="1326" t="str">
        <f>IF($B$9=1,'LINEAS BASE 1 y 2'!C175,IF($B$9=2,'LINEAS BASE 1 y 2'!C175,IF($B$9=3,'LINEAS BASE 3'!C175,IF($B$9=4,'LINEAS BASE 4'!C175,IF($B$9=5,'LINEAS BASE 5'!C175,'LINEAS BASE 6'!C175)))))</f>
        <v>Sin Ventilación</v>
      </c>
      <c r="D175" s="1327"/>
      <c r="E175" s="1327"/>
      <c r="F175" s="1327"/>
      <c r="G175" s="1327"/>
      <c r="H175" s="1327"/>
      <c r="I175" s="1327"/>
      <c r="J175" s="1327"/>
      <c r="K175" s="1327"/>
      <c r="L175" s="1328"/>
      <c r="O175" s="580">
        <f>ENERGÍA!P181</f>
        <v>0</v>
      </c>
      <c r="P175" s="148">
        <f>IF(O175=0,0,IF(C175='Materiales Personalizados'!$AG$30,55,IF(C175='Materiales Personalizados'!$AG$31,25,IF(C175='Materiales Personalizados'!$AG$32,55,0))))</f>
        <v>0</v>
      </c>
      <c r="Q175" s="1286">
        <f>IF(SUM(P175:P184)=0,0,SUM(P175:P184))</f>
        <v>0</v>
      </c>
      <c r="X175" s="1286">
        <f>((Q175*AW64)/3600)*0.33</f>
        <v>0</v>
      </c>
      <c r="Z175" s="1275">
        <v>0.3</v>
      </c>
      <c r="AA175" s="1286">
        <f>(X175+Z175)*1200</f>
        <v>360</v>
      </c>
      <c r="AB175" s="1286">
        <f>(1/1000)*AA175*(AH64)</f>
        <v>0</v>
      </c>
      <c r="AD175" s="1275">
        <v>0.3</v>
      </c>
      <c r="AE175" s="1286">
        <f>(AD175)*1200</f>
        <v>360</v>
      </c>
      <c r="AF175" s="1286">
        <f>(1/1000)*AE175*(AN66)</f>
        <v>6.4799999999999995</v>
      </c>
    </row>
    <row r="176" spans="1:32" ht="15" customHeight="1">
      <c r="B176" s="581" t="s">
        <v>575</v>
      </c>
      <c r="C176" s="1326" t="str">
        <f>IF($B$9=1,'LINEAS BASE 1 y 2'!C176,IF($B$9=2,'LINEAS BASE 1 y 2'!C176,IF($B$9=3,'LINEAS BASE 3'!C176,IF($B$9=4,'LINEAS BASE 4'!C176,IF($B$9=5,'LINEAS BASE 5'!C176,'LINEAS BASE 6'!C176)))))</f>
        <v>Sin Ventilación</v>
      </c>
      <c r="D176" s="1327"/>
      <c r="E176" s="1327"/>
      <c r="F176" s="1327"/>
      <c r="G176" s="1327"/>
      <c r="H176" s="1327"/>
      <c r="I176" s="1327"/>
      <c r="J176" s="1327"/>
      <c r="K176" s="1327"/>
      <c r="L176" s="1328"/>
      <c r="O176" s="580">
        <f>ENERGÍA!P182</f>
        <v>0</v>
      </c>
      <c r="P176" s="148">
        <f>IF(O176=0,0,IF(C176='Materiales Personalizados'!$AG$30,55,IF(C176='Materiales Personalizados'!$AG$31,25,IF(C176='Materiales Personalizados'!$AG$32,55,0))))</f>
        <v>0</v>
      </c>
      <c r="Q176" s="1287"/>
      <c r="X176" s="1287"/>
      <c r="Z176" s="1276"/>
      <c r="AA176" s="1287"/>
      <c r="AB176" s="1287"/>
      <c r="AD176" s="1276"/>
      <c r="AE176" s="1287"/>
      <c r="AF176" s="1287"/>
    </row>
    <row r="177" spans="2:51" ht="15" customHeight="1">
      <c r="B177" s="581" t="s">
        <v>576</v>
      </c>
      <c r="C177" s="1326" t="str">
        <f>IF($B$9=1,'LINEAS BASE 1 y 2'!C177,IF($B$9=2,'LINEAS BASE 1 y 2'!C177,IF($B$9=3,'LINEAS BASE 3'!C177,IF($B$9=4,'LINEAS BASE 4'!C177,IF($B$9=5,'LINEAS BASE 5'!C177,'LINEAS BASE 6'!C177)))))</f>
        <v>Sin Ventilación</v>
      </c>
      <c r="D177" s="1327"/>
      <c r="E177" s="1327"/>
      <c r="F177" s="1327"/>
      <c r="G177" s="1327"/>
      <c r="H177" s="1327"/>
      <c r="I177" s="1327"/>
      <c r="J177" s="1327"/>
      <c r="K177" s="1327"/>
      <c r="L177" s="1328"/>
      <c r="O177" s="580">
        <f>ENERGÍA!P183</f>
        <v>0</v>
      </c>
      <c r="P177" s="148">
        <f>IF(O177=0,0,IF(C177='Materiales Personalizados'!$AG$30,55,IF(C177='Materiales Personalizados'!$AG$31,25,IF(C177='Materiales Personalizados'!$AG$32,55,0))))</f>
        <v>0</v>
      </c>
      <c r="Q177" s="1287"/>
      <c r="S177" s="597"/>
      <c r="X177" s="1287"/>
      <c r="Z177" s="1276"/>
      <c r="AA177" s="1287"/>
      <c r="AB177" s="1287"/>
      <c r="AD177" s="1276"/>
      <c r="AE177" s="1287"/>
      <c r="AF177" s="1287"/>
    </row>
    <row r="178" spans="2:51" ht="15" customHeight="1">
      <c r="B178" s="581" t="s">
        <v>577</v>
      </c>
      <c r="C178" s="1326" t="str">
        <f>IF($B$9=1,'LINEAS BASE 1 y 2'!C178,IF($B$9=2,'LINEAS BASE 1 y 2'!C178,IF($B$9=3,'LINEAS BASE 3'!C178,IF($B$9=4,'LINEAS BASE 4'!C178,IF($B$9=5,'LINEAS BASE 5'!C178,'LINEAS BASE 6'!C178)))))</f>
        <v>Sin Ventilación</v>
      </c>
      <c r="D178" s="1327"/>
      <c r="E178" s="1327"/>
      <c r="F178" s="1327"/>
      <c r="G178" s="1327"/>
      <c r="H178" s="1327"/>
      <c r="I178" s="1327"/>
      <c r="J178" s="1327"/>
      <c r="K178" s="1327"/>
      <c r="L178" s="1328"/>
      <c r="O178" s="580">
        <f>ENERGÍA!P184</f>
        <v>0</v>
      </c>
      <c r="P178" s="148">
        <f>IF(O178=0,0,IF(C178='Materiales Personalizados'!$AG$30,55,IF(C178='Materiales Personalizados'!$AG$31,25,IF(C178='Materiales Personalizados'!$AG$32,55,0))))</f>
        <v>0</v>
      </c>
      <c r="Q178" s="1287"/>
      <c r="S178" s="597"/>
      <c r="X178" s="1287"/>
      <c r="Z178" s="1276"/>
      <c r="AA178" s="1287"/>
      <c r="AB178" s="1287"/>
      <c r="AD178" s="1276"/>
      <c r="AE178" s="1287"/>
      <c r="AF178" s="1287"/>
    </row>
    <row r="179" spans="2:51" ht="15" customHeight="1">
      <c r="B179" s="581" t="s">
        <v>578</v>
      </c>
      <c r="C179" s="1326" t="str">
        <f>IF($B$9=1,'LINEAS BASE 1 y 2'!C179,IF($B$9=2,'LINEAS BASE 1 y 2'!C179,IF($B$9=3,'LINEAS BASE 3'!C179,IF($B$9=4,'LINEAS BASE 4'!C179,IF($B$9=5,'LINEAS BASE 5'!C179,'LINEAS BASE 6'!C179)))))</f>
        <v>Sin Ventilación</v>
      </c>
      <c r="D179" s="1327"/>
      <c r="E179" s="1327"/>
      <c r="F179" s="1327"/>
      <c r="G179" s="1327"/>
      <c r="H179" s="1327"/>
      <c r="I179" s="1327"/>
      <c r="J179" s="1327"/>
      <c r="K179" s="1327"/>
      <c r="L179" s="1328"/>
      <c r="O179" s="580">
        <f>ENERGÍA!P185</f>
        <v>0</v>
      </c>
      <c r="P179" s="148">
        <f>IF(O179=0,0,IF(C179='Materiales Personalizados'!$AG$30,55,IF(C179='Materiales Personalizados'!$AG$31,25,IF(C179='Materiales Personalizados'!$AG$32,55,0))))</f>
        <v>0</v>
      </c>
      <c r="Q179" s="1287"/>
      <c r="X179" s="1287"/>
      <c r="Z179" s="1276"/>
      <c r="AA179" s="1287"/>
      <c r="AB179" s="1287"/>
      <c r="AD179" s="1276"/>
      <c r="AE179" s="1287"/>
      <c r="AF179" s="1287"/>
    </row>
    <row r="180" spans="2:51" ht="15" customHeight="1">
      <c r="B180" s="581" t="s">
        <v>579</v>
      </c>
      <c r="C180" s="1326" t="str">
        <f>IF($B$9=1,'LINEAS BASE 1 y 2'!C180,IF($B$9=2,'LINEAS BASE 1 y 2'!C180,IF($B$9=3,'LINEAS BASE 3'!C180,IF($B$9=4,'LINEAS BASE 4'!C180,IF($B$9=5,'LINEAS BASE 5'!C180,'LINEAS BASE 6'!C180)))))</f>
        <v>Sin Ventilación</v>
      </c>
      <c r="D180" s="1327"/>
      <c r="E180" s="1327"/>
      <c r="F180" s="1327"/>
      <c r="G180" s="1327"/>
      <c r="H180" s="1327"/>
      <c r="I180" s="1327"/>
      <c r="J180" s="1327"/>
      <c r="K180" s="1327"/>
      <c r="L180" s="1328"/>
      <c r="O180" s="580">
        <f>ENERGÍA!P186</f>
        <v>0</v>
      </c>
      <c r="P180" s="148">
        <f>IF(O180=0,0,IF(C180='Materiales Personalizados'!$AG$30,55,IF(C180='Materiales Personalizados'!$AG$31,25,IF(C180='Materiales Personalizados'!$AG$32,55,0))))</f>
        <v>0</v>
      </c>
      <c r="Q180" s="1287"/>
      <c r="T180" s="597"/>
      <c r="X180" s="1287"/>
      <c r="Z180" s="1276"/>
      <c r="AA180" s="1287"/>
      <c r="AB180" s="1287"/>
      <c r="AD180" s="1276"/>
      <c r="AE180" s="1287"/>
      <c r="AF180" s="1287"/>
    </row>
    <row r="181" spans="2:51" ht="15" customHeight="1">
      <c r="B181" s="581" t="s">
        <v>636</v>
      </c>
      <c r="C181" s="1326" t="str">
        <f>IF($B$9=1,'LINEAS BASE 1 y 2'!C181,IF($B$9=2,'LINEAS BASE 1 y 2'!C181,IF($B$9=3,'LINEAS BASE 3'!C181,IF($B$9=4,'LINEAS BASE 4'!C181,IF($B$9=5,'LINEAS BASE 5'!C181,'LINEAS BASE 6'!C181)))))</f>
        <v>Sin Ventilación</v>
      </c>
      <c r="D181" s="1327"/>
      <c r="E181" s="1327"/>
      <c r="F181" s="1327"/>
      <c r="G181" s="1327"/>
      <c r="H181" s="1327"/>
      <c r="I181" s="1327"/>
      <c r="J181" s="1327"/>
      <c r="K181" s="1327"/>
      <c r="L181" s="1328"/>
      <c r="O181" s="580">
        <f>ENERGÍA!P187</f>
        <v>0</v>
      </c>
      <c r="P181" s="148">
        <f>IF(O181=0,0,IF(C181='Materiales Personalizados'!$AG$30,55,IF(C181='Materiales Personalizados'!$AG$31,25,IF(C181='Materiales Personalizados'!$AG$32,55,0))))</f>
        <v>0</v>
      </c>
      <c r="Q181" s="1287"/>
      <c r="X181" s="1287"/>
      <c r="Z181" s="1276"/>
      <c r="AA181" s="1287"/>
      <c r="AB181" s="1287"/>
      <c r="AD181" s="1276"/>
      <c r="AE181" s="1287"/>
      <c r="AF181" s="1287"/>
    </row>
    <row r="182" spans="2:51" ht="15" customHeight="1">
      <c r="B182" s="581" t="s">
        <v>582</v>
      </c>
      <c r="C182" s="1326" t="str">
        <f>IF($B$9=1,'LINEAS BASE 1 y 2'!C182,IF($B$9=2,'LINEAS BASE 1 y 2'!C182,IF($B$9=3,'LINEAS BASE 3'!C182,IF($B$9=4,'LINEAS BASE 4'!C182,IF($B$9=5,'LINEAS BASE 5'!C182,'LINEAS BASE 6'!C182)))))</f>
        <v>Sin Ventilación</v>
      </c>
      <c r="D182" s="1327"/>
      <c r="E182" s="1327"/>
      <c r="F182" s="1327"/>
      <c r="G182" s="1327"/>
      <c r="H182" s="1327"/>
      <c r="I182" s="1327"/>
      <c r="J182" s="1327"/>
      <c r="K182" s="1327"/>
      <c r="L182" s="1328"/>
      <c r="O182" s="580">
        <f>ENERGÍA!P188</f>
        <v>0</v>
      </c>
      <c r="P182" s="148">
        <f>IF(O182=0,0,IF(C182='Materiales Personalizados'!$AG$30,55,IF(C182='Materiales Personalizados'!$AG$31,25,IF(C182='Materiales Personalizados'!$AG$32,55,0))))</f>
        <v>0</v>
      </c>
      <c r="Q182" s="1287"/>
      <c r="X182" s="1287"/>
      <c r="Z182" s="1276"/>
      <c r="AA182" s="1287"/>
      <c r="AB182" s="1287"/>
      <c r="AD182" s="1276"/>
      <c r="AE182" s="1287"/>
      <c r="AF182" s="1287"/>
    </row>
    <row r="183" spans="2:51" ht="15" customHeight="1">
      <c r="B183" s="581" t="s">
        <v>566</v>
      </c>
      <c r="C183" s="1326" t="str">
        <f>IF($B$9=1,'LINEAS BASE 1 y 2'!C183,IF($B$9=2,'LINEAS BASE 1 y 2'!C183,IF($B$9=3,'LINEAS BASE 3'!C183,IF($B$9=4,'LINEAS BASE 4'!C183,IF($B$9=5,'LINEAS BASE 5'!C183,'LINEAS BASE 6'!C183)))))</f>
        <v>Sin Ventilación</v>
      </c>
      <c r="D183" s="1327"/>
      <c r="E183" s="1327"/>
      <c r="F183" s="1327"/>
      <c r="G183" s="1327"/>
      <c r="H183" s="1327"/>
      <c r="I183" s="1327"/>
      <c r="J183" s="1327"/>
      <c r="K183" s="1327"/>
      <c r="L183" s="1328"/>
      <c r="O183" s="580">
        <f>ENERGÍA!P189</f>
        <v>0</v>
      </c>
      <c r="P183" s="148">
        <f>IF(O183=0,0,IF(C183='Materiales Personalizados'!$AG$30,55,IF(C183='Materiales Personalizados'!$AG$31,25,IF(C183='Materiales Personalizados'!$AG$32,55,0))))</f>
        <v>0</v>
      </c>
      <c r="Q183" s="1287"/>
      <c r="X183" s="1287"/>
      <c r="Z183" s="1276"/>
      <c r="AA183" s="1287"/>
      <c r="AB183" s="1287"/>
      <c r="AD183" s="1276"/>
      <c r="AE183" s="1287"/>
      <c r="AF183" s="1287"/>
    </row>
    <row r="184" spans="2:51" ht="15" customHeight="1">
      <c r="B184" s="581" t="s">
        <v>572</v>
      </c>
      <c r="C184" s="1326" t="str">
        <f>IF($B$9=1,'LINEAS BASE 1 y 2'!C184,IF($B$9=2,'LINEAS BASE 1 y 2'!C184,IF($B$9=3,'LINEAS BASE 3'!C184,IF($B$9=4,'LINEAS BASE 4'!C184,IF($B$9=5,'LINEAS BASE 5'!C184,'LINEAS BASE 6'!C184)))))</f>
        <v>Sin Ventilación</v>
      </c>
      <c r="D184" s="1327"/>
      <c r="E184" s="1327"/>
      <c r="F184" s="1327"/>
      <c r="G184" s="1327"/>
      <c r="H184" s="1327"/>
      <c r="I184" s="1327"/>
      <c r="J184" s="1327"/>
      <c r="K184" s="1327"/>
      <c r="L184" s="1328"/>
      <c r="O184" s="580">
        <f>ENERGÍA!P190</f>
        <v>0</v>
      </c>
      <c r="P184" s="148">
        <f>IF(O184=0,0,IF(C184='Materiales Personalizados'!$AG$30,55,IF(C184='Materiales Personalizados'!$AG$31,25,IF(C184='Materiales Personalizados'!$AG$32,55,0))))</f>
        <v>0</v>
      </c>
      <c r="Q184" s="1288"/>
      <c r="X184" s="1288"/>
      <c r="Z184" s="1277"/>
      <c r="AA184" s="1288"/>
      <c r="AB184" s="1288"/>
      <c r="AD184" s="1277"/>
      <c r="AE184" s="1288"/>
      <c r="AF184" s="1288"/>
    </row>
    <row r="185" spans="2:51" ht="6" customHeight="1">
      <c r="D185" s="126"/>
      <c r="E185" s="126"/>
      <c r="Q185" s="126"/>
      <c r="R185" s="126"/>
      <c r="V185" s="126"/>
      <c r="AV185" s="582"/>
      <c r="AW185" s="148"/>
      <c r="AX185" s="148"/>
    </row>
    <row r="186" spans="2:51" ht="15" customHeight="1">
      <c r="O186" s="148"/>
      <c r="P186" s="148"/>
      <c r="Q186" s="148"/>
      <c r="R186" s="148"/>
      <c r="S186" s="148"/>
      <c r="T186" s="148"/>
      <c r="U186" s="148"/>
      <c r="V186" s="148"/>
    </row>
    <row r="187" spans="2:51" ht="15" customHeight="1">
      <c r="O187" s="1280" t="s">
        <v>660</v>
      </c>
      <c r="P187" s="1280"/>
      <c r="Q187" s="1280"/>
      <c r="R187" s="1280"/>
      <c r="S187" s="1280"/>
      <c r="T187" s="1280"/>
      <c r="U187" s="1280"/>
      <c r="V187" s="1280"/>
      <c r="W187" s="102"/>
      <c r="X187" s="159" t="s">
        <v>660</v>
      </c>
      <c r="Y187" s="159"/>
      <c r="Z187" s="159"/>
      <c r="AA187" s="159"/>
      <c r="AB187" s="159"/>
      <c r="AC187" s="159"/>
      <c r="AD187" s="159"/>
      <c r="AE187" s="159"/>
      <c r="AF187" s="159"/>
      <c r="AG187" s="159"/>
      <c r="AH187" s="159"/>
      <c r="AI187" s="159"/>
      <c r="AJ187" s="159"/>
      <c r="AK187" s="159"/>
      <c r="AL187" s="159"/>
      <c r="AM187" s="159"/>
      <c r="AN187" s="159"/>
      <c r="AO187" s="159"/>
      <c r="AP187" s="609"/>
      <c r="AQ187" s="609"/>
      <c r="AR187" s="609"/>
      <c r="AS187" s="609"/>
      <c r="AT187" s="609"/>
      <c r="AU187" s="609"/>
      <c r="AV187" s="609"/>
      <c r="AW187" s="609"/>
      <c r="AX187" s="609"/>
      <c r="AY187" s="609"/>
    </row>
    <row r="188" spans="2:51" ht="15" customHeight="1">
      <c r="B188" s="98"/>
      <c r="C188" s="98"/>
      <c r="O188" s="324"/>
      <c r="P188" s="102"/>
      <c r="Q188" s="148"/>
      <c r="R188" s="148"/>
      <c r="S188" s="102"/>
      <c r="T188" s="102"/>
      <c r="U188" s="102"/>
      <c r="V188" s="148"/>
      <c r="W188" s="102"/>
      <c r="X188" s="582"/>
      <c r="Y188" s="102"/>
      <c r="Z188" s="102"/>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582"/>
      <c r="AX188" s="148"/>
      <c r="AY188" s="609"/>
    </row>
    <row r="189" spans="2:51" ht="15" customHeight="1">
      <c r="O189" s="147" t="s">
        <v>598</v>
      </c>
      <c r="P189" s="1281" t="s">
        <v>662</v>
      </c>
      <c r="Q189" s="1281"/>
      <c r="R189" s="148" t="s">
        <v>1148</v>
      </c>
      <c r="S189" s="148" t="s">
        <v>1166</v>
      </c>
      <c r="T189" s="166" t="s">
        <v>661</v>
      </c>
      <c r="U189" s="148" t="s">
        <v>1169</v>
      </c>
      <c r="V189" s="148" t="s">
        <v>1166</v>
      </c>
      <c r="W189" s="148"/>
      <c r="X189" s="102"/>
      <c r="Y189" s="102"/>
      <c r="Z189" s="148" t="s">
        <v>1148</v>
      </c>
      <c r="AA189" s="148" t="s">
        <v>1166</v>
      </c>
      <c r="AB189" s="148"/>
      <c r="AC189" s="1280" t="s">
        <v>1657</v>
      </c>
      <c r="AD189" s="1280"/>
      <c r="AE189" s="1280"/>
      <c r="AF189" s="148"/>
      <c r="AG189" s="148"/>
      <c r="AH189" s="148" t="s">
        <v>1169</v>
      </c>
      <c r="AI189" s="148" t="s">
        <v>1166</v>
      </c>
      <c r="AJ189" s="1280" t="s">
        <v>1657</v>
      </c>
      <c r="AK189" s="1280"/>
      <c r="AL189" s="1280"/>
      <c r="AM189" s="1284" t="s">
        <v>1895</v>
      </c>
      <c r="AN189" s="1285"/>
      <c r="AO189" s="166" t="s">
        <v>1182</v>
      </c>
      <c r="AY189" s="609"/>
    </row>
    <row r="190" spans="2:51" ht="15" customHeight="1">
      <c r="K190" s="126"/>
      <c r="L190" s="126"/>
      <c r="O190" s="610" t="s">
        <v>574</v>
      </c>
      <c r="P190" s="1273" t="str">
        <f>'BASE DE DATOS'!GG12</f>
        <v>Estufa de Tiro Balanceado - Etiqueta C (Gas)</v>
      </c>
      <c r="Q190" s="1273"/>
      <c r="R190" s="148">
        <f t="shared" ref="R190:R200" si="131">IF(W190=0,0,VLOOKUP(P190,CALEFACCIONm,2,FALSE))</f>
        <v>0</v>
      </c>
      <c r="S190" s="148">
        <f t="shared" ref="S190:S200" si="132">IF(R190=0,0,VLOOKUP(P190,CALEFACCIONm,3,FALSE))</f>
        <v>0</v>
      </c>
      <c r="T190" s="148" t="str">
        <f>'BASE DE DATOS'!GK12</f>
        <v>Aire Acondicionado - Clase D - Tipo Split</v>
      </c>
      <c r="U190" s="148">
        <f t="shared" ref="U190:U200" si="133">IF(R190=0,0,VLOOKUP(T190,REFRIGERACIONm,2,FALSE))</f>
        <v>0</v>
      </c>
      <c r="V190" s="148">
        <f t="shared" ref="V190:V200" si="134">IF(R190=0,0,VLOOKUP(T190,REFRIGERACIONm,3,FALSE))</f>
        <v>0</v>
      </c>
      <c r="W190" s="148">
        <f>ENERGÍA!X195</f>
        <v>0</v>
      </c>
      <c r="X190" s="148" t="str">
        <f>ENERGÍA!AG195</f>
        <v>-</v>
      </c>
      <c r="Y190" s="148" t="str">
        <f>ENERGÍA!AH195</f>
        <v>-</v>
      </c>
      <c r="Z190" s="148">
        <f>R190</f>
        <v>0</v>
      </c>
      <c r="AA190" s="148">
        <f>S190</f>
        <v>0</v>
      </c>
      <c r="AB190" s="148">
        <f>ENERGÍA!AL195</f>
        <v>0</v>
      </c>
      <c r="AC190" s="166" t="s">
        <v>1162</v>
      </c>
      <c r="AD190" s="176" t="e">
        <f>AT143</f>
        <v>#N/A</v>
      </c>
      <c r="AE190" s="148" t="s">
        <v>755</v>
      </c>
      <c r="AF190" s="148"/>
      <c r="AG190" s="148"/>
      <c r="AH190" s="148">
        <f>U190</f>
        <v>0</v>
      </c>
      <c r="AI190" s="148">
        <f>V190</f>
        <v>0</v>
      </c>
      <c r="AJ190" s="166" t="s">
        <v>1168</v>
      </c>
      <c r="AK190" s="176" t="e">
        <f>AT145</f>
        <v>#N/A</v>
      </c>
      <c r="AL190" s="148" t="s">
        <v>755</v>
      </c>
      <c r="AM190" s="148">
        <f>IF(AB190=0,0,VLOOKUP(P190,BASE!$BX$4:$CE$36,8,FALSE))</f>
        <v>0</v>
      </c>
      <c r="AN190" s="1286" t="e">
        <f>SUM(AM190:AM200)*AK198</f>
        <v>#N/A</v>
      </c>
      <c r="AO190" s="176" t="e">
        <f>AD200</f>
        <v>#DIV/0!</v>
      </c>
      <c r="AY190" s="609"/>
    </row>
    <row r="191" spans="2:51" ht="15" customHeight="1">
      <c r="J191" s="148"/>
      <c r="K191" s="148"/>
      <c r="L191" s="148"/>
      <c r="O191" s="610" t="s">
        <v>575</v>
      </c>
      <c r="P191" s="1273" t="str">
        <f>P190</f>
        <v>Estufa de Tiro Balanceado - Etiqueta C (Gas)</v>
      </c>
      <c r="Q191" s="1273"/>
      <c r="R191" s="148">
        <f t="shared" si="131"/>
        <v>0</v>
      </c>
      <c r="S191" s="148">
        <f t="shared" si="132"/>
        <v>0</v>
      </c>
      <c r="T191" s="148" t="str">
        <f>T190</f>
        <v>Aire Acondicionado - Clase D - Tipo Split</v>
      </c>
      <c r="U191" s="148">
        <f t="shared" si="133"/>
        <v>0</v>
      </c>
      <c r="V191" s="148">
        <f t="shared" si="134"/>
        <v>0</v>
      </c>
      <c r="W191" s="148">
        <f>ENERGÍA!X196</f>
        <v>0</v>
      </c>
      <c r="X191" s="148" t="str">
        <f>ENERGÍA!AG196</f>
        <v>-</v>
      </c>
      <c r="Y191" s="148" t="str">
        <f>ENERGÍA!AH196</f>
        <v>-</v>
      </c>
      <c r="Z191" s="148">
        <f t="shared" ref="Z191:Z200" si="135">R191</f>
        <v>0</v>
      </c>
      <c r="AA191" s="148">
        <f t="shared" ref="AA191:AA200" si="136">S191</f>
        <v>0</v>
      </c>
      <c r="AB191" s="148">
        <f>ENERGÍA!AL196</f>
        <v>0</v>
      </c>
      <c r="AC191" s="148"/>
      <c r="AD191" s="148"/>
      <c r="AE191" s="148"/>
      <c r="AF191" s="148"/>
      <c r="AG191" s="148"/>
      <c r="AH191" s="148">
        <f t="shared" ref="AH191:AH200" si="137">U191</f>
        <v>0</v>
      </c>
      <c r="AI191" s="148">
        <f t="shared" ref="AI191:AI200" si="138">V191</f>
        <v>0</v>
      </c>
      <c r="AJ191" s="148"/>
      <c r="AK191" s="148"/>
      <c r="AL191" s="148"/>
      <c r="AM191" s="148">
        <f>IF(AB191=0,0,VLOOKUP(P191,BASE!$BX$4:$CE$36,8,FALSE))</f>
        <v>0</v>
      </c>
      <c r="AN191" s="1287"/>
      <c r="AO191" s="611" t="s">
        <v>809</v>
      </c>
      <c r="AY191" s="609"/>
    </row>
    <row r="192" spans="2:51" ht="15" customHeight="1">
      <c r="O192" s="610" t="s">
        <v>576</v>
      </c>
      <c r="P192" s="1273" t="str">
        <f t="shared" ref="P192:P200" si="139">P191</f>
        <v>Estufa de Tiro Balanceado - Etiqueta C (Gas)</v>
      </c>
      <c r="Q192" s="1273"/>
      <c r="R192" s="148">
        <f t="shared" si="131"/>
        <v>0</v>
      </c>
      <c r="S192" s="148">
        <f t="shared" si="132"/>
        <v>0</v>
      </c>
      <c r="T192" s="148" t="str">
        <f t="shared" ref="T192:T200" si="140">T191</f>
        <v>Aire Acondicionado - Clase D - Tipo Split</v>
      </c>
      <c r="U192" s="148">
        <f t="shared" si="133"/>
        <v>0</v>
      </c>
      <c r="V192" s="148">
        <f t="shared" si="134"/>
        <v>0</v>
      </c>
      <c r="W192" s="148">
        <f>ENERGÍA!X197</f>
        <v>0</v>
      </c>
      <c r="X192" s="148" t="str">
        <f>ENERGÍA!AG197</f>
        <v>-</v>
      </c>
      <c r="Y192" s="148" t="str">
        <f>ENERGÍA!AH197</f>
        <v>-</v>
      </c>
      <c r="Z192" s="148">
        <f t="shared" si="135"/>
        <v>0</v>
      </c>
      <c r="AA192" s="148">
        <f t="shared" si="136"/>
        <v>0</v>
      </c>
      <c r="AB192" s="148">
        <f>ENERGÍA!AL197</f>
        <v>0</v>
      </c>
      <c r="AC192" s="1280" t="s">
        <v>1658</v>
      </c>
      <c r="AD192" s="1280"/>
      <c r="AE192" s="1280"/>
      <c r="AF192" s="148"/>
      <c r="AG192" s="148"/>
      <c r="AH192" s="148">
        <f t="shared" si="137"/>
        <v>0</v>
      </c>
      <c r="AI192" s="148">
        <f t="shared" si="138"/>
        <v>0</v>
      </c>
      <c r="AJ192" s="1280" t="s">
        <v>1658</v>
      </c>
      <c r="AK192" s="1280"/>
      <c r="AL192" s="1280"/>
      <c r="AM192" s="148">
        <f>IF(AB192=0,0,VLOOKUP(P192,BASE!$BX$4:$CE$36,8,FALSE))</f>
        <v>0</v>
      </c>
      <c r="AN192" s="1287"/>
      <c r="AO192" s="1282" t="e">
        <f>((AD198+AK198+AL202)*AM202)*AO202</f>
        <v>#DIV/0!</v>
      </c>
      <c r="AY192" s="609"/>
    </row>
    <row r="193" spans="15:51" ht="15" customHeight="1">
      <c r="O193" s="610" t="s">
        <v>577</v>
      </c>
      <c r="P193" s="1273" t="str">
        <f t="shared" si="139"/>
        <v>Estufa de Tiro Balanceado - Etiqueta C (Gas)</v>
      </c>
      <c r="Q193" s="1273"/>
      <c r="R193" s="148">
        <f t="shared" si="131"/>
        <v>0</v>
      </c>
      <c r="S193" s="148">
        <f t="shared" si="132"/>
        <v>0</v>
      </c>
      <c r="T193" s="148" t="str">
        <f t="shared" si="140"/>
        <v>Aire Acondicionado - Clase D - Tipo Split</v>
      </c>
      <c r="U193" s="148">
        <f t="shared" si="133"/>
        <v>0</v>
      </c>
      <c r="V193" s="148">
        <f t="shared" si="134"/>
        <v>0</v>
      </c>
      <c r="W193" s="148">
        <f>ENERGÍA!X198</f>
        <v>0</v>
      </c>
      <c r="X193" s="148" t="str">
        <f>ENERGÍA!AG198</f>
        <v>-</v>
      </c>
      <c r="Y193" s="148" t="str">
        <f>ENERGÍA!AH198</f>
        <v>-</v>
      </c>
      <c r="Z193" s="148">
        <f t="shared" si="135"/>
        <v>0</v>
      </c>
      <c r="AA193" s="148">
        <f t="shared" si="136"/>
        <v>0</v>
      </c>
      <c r="AB193" s="148">
        <f>ENERGÍA!AL198</f>
        <v>0</v>
      </c>
      <c r="AC193" s="148" t="s">
        <v>1163</v>
      </c>
      <c r="AD193" s="176" t="e">
        <f>IF(DATOS!F48="No",#REF!,SUM(Z190:Z200)/(COUNT(Z190:Z200)-COUNTIF(Z190:Z200,0)))</f>
        <v>#DIV/0!</v>
      </c>
      <c r="AE193" s="148"/>
      <c r="AF193" s="148"/>
      <c r="AG193" s="148"/>
      <c r="AH193" s="148">
        <f t="shared" si="137"/>
        <v>0</v>
      </c>
      <c r="AI193" s="148">
        <f t="shared" si="138"/>
        <v>0</v>
      </c>
      <c r="AJ193" s="148" t="s">
        <v>1163</v>
      </c>
      <c r="AK193" s="176" t="e">
        <f>IF(DATOS!F47="No",AD193,SUM(AH190:AH200)/(COUNT(AH190:AH200)-COUNTIF(AH190:AH200,0)))</f>
        <v>#DIV/0!</v>
      </c>
      <c r="AL193" s="148"/>
      <c r="AM193" s="148">
        <f>IF(AB193=0,0,VLOOKUP(P193,BASE!$BX$4:$CE$36,8,FALSE))</f>
        <v>0</v>
      </c>
      <c r="AN193" s="1287"/>
      <c r="AO193" s="1282"/>
      <c r="AY193" s="609"/>
    </row>
    <row r="194" spans="15:51" ht="15" customHeight="1">
      <c r="O194" s="610" t="s">
        <v>578</v>
      </c>
      <c r="P194" s="1273" t="str">
        <f t="shared" si="139"/>
        <v>Estufa de Tiro Balanceado - Etiqueta C (Gas)</v>
      </c>
      <c r="Q194" s="1273"/>
      <c r="R194" s="148">
        <f t="shared" si="131"/>
        <v>0</v>
      </c>
      <c r="S194" s="148">
        <f t="shared" si="132"/>
        <v>0</v>
      </c>
      <c r="T194" s="148" t="str">
        <f t="shared" si="140"/>
        <v>Aire Acondicionado - Clase D - Tipo Split</v>
      </c>
      <c r="U194" s="148">
        <f t="shared" si="133"/>
        <v>0</v>
      </c>
      <c r="V194" s="148">
        <f t="shared" si="134"/>
        <v>0</v>
      </c>
      <c r="W194" s="148">
        <f>ENERGÍA!X199</f>
        <v>0</v>
      </c>
      <c r="X194" s="148" t="str">
        <f>ENERGÍA!AG199</f>
        <v>-</v>
      </c>
      <c r="Y194" s="148" t="str">
        <f>ENERGÍA!AH199</f>
        <v>-</v>
      </c>
      <c r="Z194" s="148">
        <f t="shared" si="135"/>
        <v>0</v>
      </c>
      <c r="AA194" s="148">
        <f t="shared" si="136"/>
        <v>0</v>
      </c>
      <c r="AB194" s="148">
        <f>ENERGÍA!AL199</f>
        <v>0</v>
      </c>
      <c r="AC194" s="148" t="s">
        <v>1164</v>
      </c>
      <c r="AD194" s="176" t="e">
        <f>AD190/AD193</f>
        <v>#N/A</v>
      </c>
      <c r="AE194" s="148" t="s">
        <v>755</v>
      </c>
      <c r="AF194" s="148"/>
      <c r="AG194" s="148"/>
      <c r="AH194" s="148">
        <f t="shared" si="137"/>
        <v>0</v>
      </c>
      <c r="AI194" s="148">
        <f t="shared" si="138"/>
        <v>0</v>
      </c>
      <c r="AJ194" s="148" t="s">
        <v>1164</v>
      </c>
      <c r="AK194" s="176" t="e">
        <f>AK190/AK193</f>
        <v>#N/A</v>
      </c>
      <c r="AL194" s="148" t="s">
        <v>755</v>
      </c>
      <c r="AM194" s="148">
        <f>IF(AB194=0,0,VLOOKUP(P194,BASE!$BX$4:$CE$36,8,FALSE))</f>
        <v>0</v>
      </c>
      <c r="AN194" s="1287"/>
      <c r="AO194" s="1282"/>
      <c r="AY194" s="609"/>
    </row>
    <row r="195" spans="15:51" ht="15" customHeight="1">
      <c r="O195" s="610" t="s">
        <v>579</v>
      </c>
      <c r="P195" s="1273" t="str">
        <f t="shared" si="139"/>
        <v>Estufa de Tiro Balanceado - Etiqueta C (Gas)</v>
      </c>
      <c r="Q195" s="1273"/>
      <c r="R195" s="148">
        <f t="shared" si="131"/>
        <v>0</v>
      </c>
      <c r="S195" s="148">
        <f t="shared" si="132"/>
        <v>0</v>
      </c>
      <c r="T195" s="148" t="str">
        <f t="shared" si="140"/>
        <v>Aire Acondicionado - Clase D - Tipo Split</v>
      </c>
      <c r="U195" s="148">
        <f t="shared" si="133"/>
        <v>0</v>
      </c>
      <c r="V195" s="148">
        <f t="shared" si="134"/>
        <v>0</v>
      </c>
      <c r="W195" s="148">
        <f>ENERGÍA!X200</f>
        <v>0</v>
      </c>
      <c r="X195" s="148" t="str">
        <f>ENERGÍA!AG200</f>
        <v>-</v>
      </c>
      <c r="Y195" s="148" t="str">
        <f>ENERGÍA!AH200</f>
        <v>-</v>
      </c>
      <c r="Z195" s="148">
        <f t="shared" si="135"/>
        <v>0</v>
      </c>
      <c r="AA195" s="148">
        <f t="shared" si="136"/>
        <v>0</v>
      </c>
      <c r="AB195" s="148">
        <f>ENERGÍA!AL200</f>
        <v>0</v>
      </c>
      <c r="AC195" s="148"/>
      <c r="AD195" s="148"/>
      <c r="AE195" s="148"/>
      <c r="AF195" s="148"/>
      <c r="AG195" s="148"/>
      <c r="AH195" s="148">
        <f t="shared" si="137"/>
        <v>0</v>
      </c>
      <c r="AI195" s="148">
        <f t="shared" si="138"/>
        <v>0</v>
      </c>
      <c r="AJ195" s="148"/>
      <c r="AK195" s="148"/>
      <c r="AL195" s="148"/>
      <c r="AM195" s="148">
        <f>IF(AB195=0,0,VLOOKUP(P195,BASE!$BX$4:$CE$36,8,FALSE))</f>
        <v>0</v>
      </c>
      <c r="AN195" s="1287"/>
      <c r="AO195" s="1282"/>
      <c r="AY195" s="609"/>
    </row>
    <row r="196" spans="15:51" ht="15" customHeight="1">
      <c r="O196" s="610" t="s">
        <v>611</v>
      </c>
      <c r="P196" s="1273" t="str">
        <f t="shared" si="139"/>
        <v>Estufa de Tiro Balanceado - Etiqueta C (Gas)</v>
      </c>
      <c r="Q196" s="1273"/>
      <c r="R196" s="148">
        <f t="shared" si="131"/>
        <v>0</v>
      </c>
      <c r="S196" s="148">
        <f t="shared" si="132"/>
        <v>0</v>
      </c>
      <c r="T196" s="148" t="str">
        <f t="shared" si="140"/>
        <v>Aire Acondicionado - Clase D - Tipo Split</v>
      </c>
      <c r="U196" s="148">
        <f t="shared" si="133"/>
        <v>0</v>
      </c>
      <c r="V196" s="148">
        <f t="shared" si="134"/>
        <v>0</v>
      </c>
      <c r="W196" s="148">
        <f>ENERGÍA!X201</f>
        <v>0</v>
      </c>
      <c r="X196" s="148" t="str">
        <f>ENERGÍA!AG201</f>
        <v>-</v>
      </c>
      <c r="Y196" s="148" t="str">
        <f>ENERGÍA!AH201</f>
        <v>-</v>
      </c>
      <c r="Z196" s="148">
        <f t="shared" si="135"/>
        <v>0</v>
      </c>
      <c r="AA196" s="148">
        <f t="shared" si="136"/>
        <v>0</v>
      </c>
      <c r="AB196" s="148">
        <f>ENERGÍA!AL201</f>
        <v>0</v>
      </c>
      <c r="AC196" s="1280" t="s">
        <v>1659</v>
      </c>
      <c r="AD196" s="1280"/>
      <c r="AE196" s="1280"/>
      <c r="AF196" s="148"/>
      <c r="AG196" s="148"/>
      <c r="AH196" s="148">
        <f t="shared" si="137"/>
        <v>0</v>
      </c>
      <c r="AI196" s="148">
        <f t="shared" si="138"/>
        <v>0</v>
      </c>
      <c r="AJ196" s="1280" t="s">
        <v>1659</v>
      </c>
      <c r="AK196" s="1280"/>
      <c r="AL196" s="1280"/>
      <c r="AM196" s="148">
        <f>IF(AB196=0,0,VLOOKUP(P196,BASE!$BX$4:$CE$36,8,FALSE))</f>
        <v>0</v>
      </c>
      <c r="AN196" s="1287"/>
      <c r="AO196" s="1282"/>
      <c r="AY196" s="609"/>
    </row>
    <row r="197" spans="15:51" ht="15" customHeight="1">
      <c r="O197" s="610" t="s">
        <v>583</v>
      </c>
      <c r="P197" s="1273" t="str">
        <f t="shared" si="139"/>
        <v>Estufa de Tiro Balanceado - Etiqueta C (Gas)</v>
      </c>
      <c r="Q197" s="1273"/>
      <c r="R197" s="148">
        <f t="shared" si="131"/>
        <v>0</v>
      </c>
      <c r="S197" s="148">
        <f t="shared" si="132"/>
        <v>0</v>
      </c>
      <c r="T197" s="148" t="str">
        <f t="shared" si="140"/>
        <v>Aire Acondicionado - Clase D - Tipo Split</v>
      </c>
      <c r="U197" s="148">
        <f t="shared" si="133"/>
        <v>0</v>
      </c>
      <c r="V197" s="148">
        <f t="shared" si="134"/>
        <v>0</v>
      </c>
      <c r="W197" s="148">
        <f>ENERGÍA!X202</f>
        <v>0</v>
      </c>
      <c r="X197" s="148" t="str">
        <f>ENERGÍA!AG202</f>
        <v>-</v>
      </c>
      <c r="Y197" s="148" t="str">
        <f>ENERGÍA!AH202</f>
        <v>-</v>
      </c>
      <c r="Z197" s="148">
        <f t="shared" si="135"/>
        <v>0</v>
      </c>
      <c r="AA197" s="148">
        <f t="shared" si="136"/>
        <v>0</v>
      </c>
      <c r="AB197" s="148">
        <f>ENERGÍA!AL202</f>
        <v>0</v>
      </c>
      <c r="AC197" s="148" t="s">
        <v>1167</v>
      </c>
      <c r="AD197" s="176" t="e">
        <f>IF(DATOS!F48="No",#REF!,SUM(AA190:AA200)/SUM(AB190:AB200))</f>
        <v>#DIV/0!</v>
      </c>
      <c r="AE197" s="148"/>
      <c r="AF197" s="148"/>
      <c r="AG197" s="148"/>
      <c r="AH197" s="148">
        <f t="shared" si="137"/>
        <v>0</v>
      </c>
      <c r="AI197" s="148">
        <f t="shared" si="138"/>
        <v>0</v>
      </c>
      <c r="AJ197" s="148" t="s">
        <v>1167</v>
      </c>
      <c r="AK197" s="148" t="e">
        <f>IF(DATOS!F47="No",AD197,SUM(AI190:AI200)/SUM(AB190:AB200))</f>
        <v>#DIV/0!</v>
      </c>
      <c r="AL197" s="148"/>
      <c r="AM197" s="148">
        <f>IF(AB197=0,0,VLOOKUP(P197,BASE!$BX$4:$CE$36,8,FALSE))</f>
        <v>0</v>
      </c>
      <c r="AN197" s="1287"/>
      <c r="AO197" s="1282"/>
      <c r="AY197" s="609"/>
    </row>
    <row r="198" spans="15:51" ht="15" customHeight="1">
      <c r="O198" s="610" t="s">
        <v>566</v>
      </c>
      <c r="P198" s="1273" t="str">
        <f t="shared" si="139"/>
        <v>Estufa de Tiro Balanceado - Etiqueta C (Gas)</v>
      </c>
      <c r="Q198" s="1273"/>
      <c r="R198" s="148">
        <f t="shared" si="131"/>
        <v>0</v>
      </c>
      <c r="S198" s="148">
        <f t="shared" si="132"/>
        <v>0</v>
      </c>
      <c r="T198" s="148" t="str">
        <f t="shared" si="140"/>
        <v>Aire Acondicionado - Clase D - Tipo Split</v>
      </c>
      <c r="U198" s="148">
        <f t="shared" si="133"/>
        <v>0</v>
      </c>
      <c r="V198" s="148">
        <f t="shared" si="134"/>
        <v>0</v>
      </c>
      <c r="W198" s="148">
        <f>ENERGÍA!X203</f>
        <v>0</v>
      </c>
      <c r="X198" s="148" t="str">
        <f>ENERGÍA!AG203</f>
        <v>-</v>
      </c>
      <c r="Y198" s="148" t="str">
        <f>ENERGÍA!AH203</f>
        <v>-</v>
      </c>
      <c r="Z198" s="148">
        <f t="shared" si="135"/>
        <v>0</v>
      </c>
      <c r="AA198" s="148">
        <f t="shared" si="136"/>
        <v>0</v>
      </c>
      <c r="AB198" s="148">
        <f>ENERGÍA!AL203</f>
        <v>0</v>
      </c>
      <c r="AC198" s="148" t="s">
        <v>1165</v>
      </c>
      <c r="AD198" s="176" t="e">
        <f>IF(AD197&lt;BASE!BY1,(AD194*AD197)-((AD194*AD197)*0.25),AD194*AD197)</f>
        <v>#DIV/0!</v>
      </c>
      <c r="AE198" s="148" t="s">
        <v>755</v>
      </c>
      <c r="AF198" s="148"/>
      <c r="AG198" s="148"/>
      <c r="AH198" s="148">
        <f t="shared" si="137"/>
        <v>0</v>
      </c>
      <c r="AI198" s="148">
        <f t="shared" si="138"/>
        <v>0</v>
      </c>
      <c r="AJ198" s="148" t="s">
        <v>1165</v>
      </c>
      <c r="AK198" s="175" t="e">
        <f>AK194*AK197</f>
        <v>#N/A</v>
      </c>
      <c r="AL198" s="148" t="s">
        <v>755</v>
      </c>
      <c r="AM198" s="148">
        <f>IF(AB198=0,0,VLOOKUP(P198,BASE!$BX$4:$CE$36,8,FALSE))</f>
        <v>0</v>
      </c>
      <c r="AN198" s="1287"/>
      <c r="AO198" s="1282"/>
      <c r="AY198" s="609"/>
    </row>
    <row r="199" spans="15:51" ht="15" customHeight="1">
      <c r="O199" s="610" t="s">
        <v>572</v>
      </c>
      <c r="P199" s="1273" t="str">
        <f t="shared" si="139"/>
        <v>Estufa de Tiro Balanceado - Etiqueta C (Gas)</v>
      </c>
      <c r="Q199" s="1273"/>
      <c r="R199" s="148">
        <f t="shared" si="131"/>
        <v>0</v>
      </c>
      <c r="S199" s="148">
        <f t="shared" si="132"/>
        <v>0</v>
      </c>
      <c r="T199" s="148" t="str">
        <f t="shared" si="140"/>
        <v>Aire Acondicionado - Clase D - Tipo Split</v>
      </c>
      <c r="U199" s="148">
        <f t="shared" si="133"/>
        <v>0</v>
      </c>
      <c r="V199" s="148">
        <f t="shared" si="134"/>
        <v>0</v>
      </c>
      <c r="W199" s="148">
        <f>ENERGÍA!X204</f>
        <v>0</v>
      </c>
      <c r="X199" s="148" t="str">
        <f>ENERGÍA!AG204</f>
        <v>-</v>
      </c>
      <c r="Y199" s="148" t="str">
        <f>ENERGÍA!AH204</f>
        <v>-</v>
      </c>
      <c r="Z199" s="148">
        <f t="shared" si="135"/>
        <v>0</v>
      </c>
      <c r="AA199" s="148">
        <f t="shared" si="136"/>
        <v>0</v>
      </c>
      <c r="AB199" s="148">
        <f>ENERGÍA!AL204</f>
        <v>0</v>
      </c>
      <c r="AC199" s="148"/>
      <c r="AD199" s="148"/>
      <c r="AE199" s="148"/>
      <c r="AF199" s="148"/>
      <c r="AG199" s="148"/>
      <c r="AH199" s="148">
        <f t="shared" si="137"/>
        <v>0</v>
      </c>
      <c r="AI199" s="148">
        <f t="shared" si="138"/>
        <v>0</v>
      </c>
      <c r="AJ199" s="148"/>
      <c r="AK199" s="148"/>
      <c r="AL199" s="148"/>
      <c r="AM199" s="148">
        <f>IF(AB199=0,0,VLOOKUP(P199,BASE!$BX$4:$CE$36,8,FALSE))</f>
        <v>0</v>
      </c>
      <c r="AN199" s="1287"/>
      <c r="AO199" s="1282"/>
      <c r="AY199" s="609"/>
    </row>
    <row r="200" spans="15:51" ht="15" customHeight="1">
      <c r="O200" s="610" t="s">
        <v>8</v>
      </c>
      <c r="P200" s="1273" t="str">
        <f t="shared" si="139"/>
        <v>Estufa de Tiro Balanceado - Etiqueta C (Gas)</v>
      </c>
      <c r="Q200" s="1273"/>
      <c r="R200" s="148">
        <f t="shared" si="131"/>
        <v>0</v>
      </c>
      <c r="S200" s="148">
        <f t="shared" si="132"/>
        <v>0</v>
      </c>
      <c r="T200" s="148" t="str">
        <f t="shared" si="140"/>
        <v>Aire Acondicionado - Clase D - Tipo Split</v>
      </c>
      <c r="U200" s="148">
        <f t="shared" si="133"/>
        <v>0</v>
      </c>
      <c r="V200" s="148">
        <f t="shared" si="134"/>
        <v>0</v>
      </c>
      <c r="W200" s="148">
        <f>ENERGÍA!X205</f>
        <v>0</v>
      </c>
      <c r="X200" s="148" t="str">
        <f>ENERGÍA!AG205</f>
        <v>-</v>
      </c>
      <c r="Y200" s="148" t="str">
        <f>ENERGÍA!AH205</f>
        <v>-</v>
      </c>
      <c r="Z200" s="148">
        <f t="shared" si="135"/>
        <v>0</v>
      </c>
      <c r="AA200" s="148">
        <f t="shared" si="136"/>
        <v>0</v>
      </c>
      <c r="AB200" s="148">
        <f>ENERGÍA!AL205</f>
        <v>0</v>
      </c>
      <c r="AC200" s="148" t="s">
        <v>1180</v>
      </c>
      <c r="AD200" s="176" t="e">
        <f>IF(AD197&lt;BASE!BZ6,((AD194*AD197)*0.25),0)</f>
        <v>#DIV/0!</v>
      </c>
      <c r="AE200" s="148" t="s">
        <v>759</v>
      </c>
      <c r="AF200" s="148"/>
      <c r="AG200" s="148"/>
      <c r="AH200" s="148">
        <f t="shared" si="137"/>
        <v>0</v>
      </c>
      <c r="AI200" s="148">
        <f t="shared" si="138"/>
        <v>0</v>
      </c>
      <c r="AJ200" s="148"/>
      <c r="AK200" s="148"/>
      <c r="AL200" s="148"/>
      <c r="AM200" s="148">
        <f>IF(AB200=0,0,VLOOKUP(P200,BASE!$BX$4:$CE$36,8,FALSE))</f>
        <v>0</v>
      </c>
      <c r="AN200" s="1288"/>
      <c r="AO200" s="1282"/>
      <c r="AY200" s="609"/>
    </row>
    <row r="201" spans="15:51" ht="15" customHeight="1">
      <c r="O201" s="324"/>
      <c r="P201" s="102"/>
      <c r="Q201" s="102"/>
      <c r="R201" s="102"/>
      <c r="S201" s="102"/>
      <c r="T201" s="102"/>
      <c r="U201" s="102"/>
      <c r="V201" s="148"/>
      <c r="W201" s="102"/>
      <c r="X201" s="102"/>
      <c r="Y201" s="102"/>
      <c r="Z201" s="102"/>
      <c r="AA201" s="102"/>
      <c r="AB201" s="102"/>
      <c r="AC201" s="102"/>
      <c r="AD201" s="102"/>
      <c r="AE201" s="102"/>
      <c r="AF201" s="102"/>
      <c r="AG201" s="102"/>
      <c r="AH201" s="102"/>
      <c r="AI201" s="102"/>
      <c r="AJ201" s="102"/>
      <c r="AK201" s="102"/>
      <c r="AL201" s="102"/>
      <c r="AM201" s="148"/>
      <c r="AN201" s="1275" t="s">
        <v>1450</v>
      </c>
      <c r="AO201" s="148"/>
      <c r="AY201" s="609"/>
    </row>
    <row r="202" spans="15:51" ht="15" customHeight="1">
      <c r="O202" s="324"/>
      <c r="P202" s="102"/>
      <c r="Q202" s="102"/>
      <c r="R202" s="102"/>
      <c r="S202" s="102"/>
      <c r="T202" s="102"/>
      <c r="U202" s="102"/>
      <c r="V202" s="148"/>
      <c r="W202" s="102"/>
      <c r="X202" s="148" t="e">
        <f>IF(DATOS!F48="No",1,IF((SUM(X190:X200)/SUM(W190:W200))=1,1,0))</f>
        <v>#DIV/0!</v>
      </c>
      <c r="Y202" s="148" t="e">
        <f>IF(DATOS!F47="No",1,IF((SUM(Y190:Y200)/SUM(W190:W200))=1,1,0))</f>
        <v>#DIV/0!</v>
      </c>
      <c r="Z202" s="102"/>
      <c r="AA202" s="102"/>
      <c r="AB202" s="102"/>
      <c r="AC202" s="102"/>
      <c r="AD202" s="102"/>
      <c r="AE202" s="102"/>
      <c r="AF202" s="102"/>
      <c r="AG202" s="102"/>
      <c r="AH202" s="102"/>
      <c r="AI202" s="102"/>
      <c r="AJ202" s="102"/>
      <c r="AK202" s="102"/>
      <c r="AL202" s="102"/>
      <c r="AM202" s="148">
        <f>IF(K364="No",1,IF(K373="Si",0.95,1))</f>
        <v>1</v>
      </c>
      <c r="AN202" s="1277"/>
      <c r="AO202" s="148">
        <f>IF(K364="No",1,IF(K372="Si",0.98,1))</f>
        <v>1</v>
      </c>
      <c r="AY202" s="609"/>
    </row>
    <row r="203" spans="15:51" ht="15" customHeight="1">
      <c r="O203" s="324"/>
      <c r="P203" s="102"/>
      <c r="Q203" s="102"/>
      <c r="R203" s="102"/>
      <c r="S203" s="102"/>
      <c r="T203" s="102"/>
      <c r="U203" s="102"/>
      <c r="V203" s="148"/>
      <c r="W203" s="102"/>
      <c r="X203" s="582"/>
      <c r="Y203" s="102"/>
      <c r="Z203" s="102"/>
      <c r="AA203" s="102"/>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582"/>
      <c r="AX203" s="148"/>
      <c r="AY203" s="609"/>
    </row>
    <row r="204" spans="15:51" ht="15" customHeight="1">
      <c r="O204" s="1280" t="s">
        <v>602</v>
      </c>
      <c r="P204" s="1280"/>
      <c r="Q204" s="1280"/>
      <c r="R204" s="1280"/>
      <c r="S204" s="1280"/>
      <c r="T204" s="1280"/>
      <c r="U204" s="1280"/>
      <c r="V204" s="1280"/>
      <c r="W204" s="102"/>
      <c r="X204" s="1280" t="s">
        <v>602</v>
      </c>
      <c r="Y204" s="1280"/>
      <c r="Z204" s="1280"/>
      <c r="AA204" s="1280"/>
      <c r="AB204" s="1280"/>
      <c r="AC204" s="1280"/>
      <c r="AD204" s="1280"/>
      <c r="AE204" s="1280"/>
      <c r="AF204" s="1280"/>
      <c r="AG204" s="1280"/>
      <c r="AH204" s="1280"/>
      <c r="AI204" s="1280"/>
      <c r="AJ204" s="1280"/>
      <c r="AK204" s="1280"/>
      <c r="AL204" s="1280"/>
      <c r="AM204" s="1280"/>
      <c r="AN204" s="1280"/>
      <c r="AO204" s="1280"/>
      <c r="AP204" s="1280"/>
      <c r="AQ204" s="1280"/>
      <c r="AR204" s="1280"/>
      <c r="AS204" s="1280"/>
      <c r="AT204" s="1280"/>
      <c r="AU204" s="1280"/>
      <c r="AV204" s="1280"/>
      <c r="AW204" s="1280"/>
      <c r="AX204" s="1280"/>
      <c r="AY204" s="609"/>
    </row>
    <row r="205" spans="15:51" ht="15" customHeight="1">
      <c r="O205" s="324"/>
      <c r="P205" s="102"/>
      <c r="Q205" s="148"/>
      <c r="R205" s="148"/>
      <c r="S205" s="102"/>
      <c r="T205" s="102"/>
      <c r="U205" s="102"/>
      <c r="V205" s="148"/>
      <c r="W205" s="102"/>
      <c r="X205" s="582"/>
      <c r="Y205" s="102"/>
      <c r="Z205" s="102"/>
      <c r="AA205" s="102"/>
      <c r="AB205" s="102"/>
      <c r="AC205" s="102"/>
      <c r="AD205" s="102"/>
      <c r="AE205" s="102"/>
      <c r="AF205" s="102"/>
      <c r="AG205" s="102"/>
      <c r="AH205" s="148"/>
      <c r="AI205" s="102"/>
      <c r="AJ205" s="102"/>
      <c r="AK205" s="102"/>
      <c r="AL205" s="102"/>
      <c r="AM205" s="102"/>
      <c r="AN205" s="102"/>
      <c r="AO205" s="102"/>
      <c r="AP205" s="102"/>
      <c r="AQ205" s="102"/>
      <c r="AR205" s="102"/>
      <c r="AS205" s="102"/>
      <c r="AT205" s="102"/>
      <c r="AU205" s="102"/>
      <c r="AV205" s="102"/>
      <c r="AW205" s="582"/>
      <c r="AX205" s="148"/>
      <c r="AY205" s="609"/>
    </row>
    <row r="206" spans="15:51" ht="15" customHeight="1">
      <c r="O206" s="1273" t="s">
        <v>608</v>
      </c>
      <c r="P206" s="1273"/>
      <c r="Q206" s="1273"/>
      <c r="R206" s="1273"/>
      <c r="S206" s="1273"/>
      <c r="T206" s="1273"/>
      <c r="U206" s="1273"/>
      <c r="V206" s="1273"/>
      <c r="W206" s="102"/>
      <c r="X206" s="1273" t="s">
        <v>608</v>
      </c>
      <c r="Y206" s="1273"/>
      <c r="Z206" s="1273"/>
      <c r="AA206" s="1273"/>
      <c r="AB206" s="1273"/>
      <c r="AC206" s="1273"/>
      <c r="AD206" s="1273"/>
      <c r="AE206" s="102"/>
      <c r="AF206" s="1283" t="s">
        <v>1123</v>
      </c>
      <c r="AG206" s="609"/>
      <c r="AH206" s="609"/>
      <c r="AI206" s="609"/>
      <c r="AJ206" s="609"/>
      <c r="AK206" s="609"/>
      <c r="AL206" s="609"/>
      <c r="AM206" s="609"/>
      <c r="AN206" s="609"/>
      <c r="AO206" s="609"/>
      <c r="AP206" s="609"/>
      <c r="AQ206" s="609"/>
      <c r="AR206" s="609"/>
      <c r="AS206" s="609"/>
      <c r="AT206" s="609"/>
      <c r="AU206" s="609"/>
      <c r="AV206" s="609"/>
      <c r="AW206" s="609"/>
      <c r="AX206" s="609"/>
      <c r="AY206" s="609"/>
    </row>
    <row r="207" spans="15:51" ht="15" customHeight="1">
      <c r="O207" s="324"/>
      <c r="P207" s="102"/>
      <c r="Q207" s="148"/>
      <c r="R207" s="148"/>
      <c r="S207" s="102"/>
      <c r="T207" s="102"/>
      <c r="U207" s="102"/>
      <c r="V207" s="148"/>
      <c r="W207" s="102"/>
      <c r="X207" s="582"/>
      <c r="Y207" s="102"/>
      <c r="Z207" s="102"/>
      <c r="AA207" s="102"/>
      <c r="AB207" s="102"/>
      <c r="AC207" s="102"/>
      <c r="AD207" s="102"/>
      <c r="AE207" s="102"/>
      <c r="AF207" s="1283"/>
      <c r="AG207" s="609"/>
      <c r="AH207" s="609"/>
      <c r="AI207" s="609"/>
      <c r="AJ207" s="609"/>
      <c r="AK207" s="609"/>
      <c r="AL207" s="609"/>
      <c r="AM207" s="609"/>
      <c r="AN207" s="609"/>
      <c r="AO207" s="609"/>
      <c r="AP207" s="609"/>
      <c r="AQ207" s="609"/>
      <c r="AR207" s="609"/>
      <c r="AS207" s="609"/>
      <c r="AT207" s="609"/>
      <c r="AU207" s="609"/>
      <c r="AV207" s="609"/>
      <c r="AW207" s="609"/>
      <c r="AX207" s="609"/>
      <c r="AY207" s="609"/>
    </row>
    <row r="208" spans="15:51" ht="15" customHeight="1">
      <c r="O208" s="147" t="s">
        <v>598</v>
      </c>
      <c r="P208" s="1273" t="s">
        <v>603</v>
      </c>
      <c r="Q208" s="1273"/>
      <c r="R208" s="148" t="s">
        <v>227</v>
      </c>
      <c r="S208" s="166" t="s">
        <v>604</v>
      </c>
      <c r="T208" s="148" t="s">
        <v>612</v>
      </c>
      <c r="U208" s="166" t="s">
        <v>813</v>
      </c>
      <c r="V208" s="148"/>
      <c r="W208" s="148"/>
      <c r="X208" s="582"/>
      <c r="Y208" s="166" t="s">
        <v>1124</v>
      </c>
      <c r="Z208" s="166" t="s">
        <v>1660</v>
      </c>
      <c r="AA208" s="166" t="s">
        <v>811</v>
      </c>
      <c r="AB208" s="166" t="s">
        <v>810</v>
      </c>
      <c r="AC208" s="166" t="s">
        <v>809</v>
      </c>
      <c r="AD208" s="148"/>
      <c r="AE208" s="102"/>
      <c r="AF208" s="1283"/>
      <c r="AG208" s="609"/>
      <c r="AH208" s="609"/>
      <c r="AI208" s="609"/>
      <c r="AJ208" s="609"/>
      <c r="AK208" s="609"/>
      <c r="AL208" s="609"/>
      <c r="AM208" s="609"/>
      <c r="AN208" s="609"/>
      <c r="AO208" s="609"/>
      <c r="AP208" s="609"/>
      <c r="AQ208" s="609"/>
      <c r="AR208" s="609"/>
      <c r="AS208" s="609"/>
      <c r="AT208" s="609"/>
      <c r="AU208" s="609"/>
      <c r="AV208" s="609"/>
      <c r="AW208" s="609"/>
      <c r="AX208" s="609"/>
      <c r="AY208" s="609"/>
    </row>
    <row r="209" spans="15:51" ht="15" customHeight="1">
      <c r="O209" s="610" t="s">
        <v>574</v>
      </c>
      <c r="P209" s="1273" t="str">
        <f>'BASE DE DATOS'!GI16</f>
        <v>Halógenas</v>
      </c>
      <c r="Q209" s="1273"/>
      <c r="R209" s="148">
        <f>ENERGÍA!S214</f>
        <v>0</v>
      </c>
      <c r="S209" s="148">
        <f>'BASE DE DATOS'!GI17</f>
        <v>20</v>
      </c>
      <c r="T209" s="148" t="str">
        <f>'BASE DE DATOS'!GI18</f>
        <v>Sin Control</v>
      </c>
      <c r="U209" s="176" t="str">
        <f>'BASE DE DATOS'!GI19</f>
        <v>No</v>
      </c>
      <c r="V209" s="148"/>
      <c r="W209" s="102"/>
      <c r="X209" s="582" t="s">
        <v>574</v>
      </c>
      <c r="Y209" s="148">
        <f>ENERGÍA!Z214</f>
        <v>8</v>
      </c>
      <c r="Z209" s="148">
        <f>ENERGÍA!AA214</f>
        <v>0</v>
      </c>
      <c r="AA209" s="148">
        <f>((R209*S209)*Y209)*365</f>
        <v>0</v>
      </c>
      <c r="AB209" s="1274">
        <f>SUM(AA209:AA219)</f>
        <v>0</v>
      </c>
      <c r="AC209" s="1274">
        <f>AB209*0.001</f>
        <v>0</v>
      </c>
      <c r="AD209" s="102"/>
      <c r="AE209" s="102"/>
      <c r="AF209" s="1283"/>
      <c r="AG209" s="612"/>
      <c r="AH209" s="612"/>
      <c r="AI209" s="612"/>
      <c r="AJ209" s="612"/>
      <c r="AK209" s="612"/>
      <c r="AL209" s="612"/>
      <c r="AM209" s="612"/>
      <c r="AN209" s="612"/>
      <c r="AO209" s="612"/>
      <c r="AP209" s="612"/>
      <c r="AQ209" s="612"/>
      <c r="AR209" s="612"/>
      <c r="AS209" s="612"/>
      <c r="AT209" s="612"/>
      <c r="AU209" s="612"/>
      <c r="AV209" s="612"/>
      <c r="AW209" s="612"/>
      <c r="AX209" s="612"/>
      <c r="AY209" s="612"/>
    </row>
    <row r="210" spans="15:51" ht="15" customHeight="1">
      <c r="O210" s="610" t="s">
        <v>575</v>
      </c>
      <c r="P210" s="1273" t="str">
        <f>P209</f>
        <v>Halógenas</v>
      </c>
      <c r="Q210" s="1273"/>
      <c r="R210" s="148">
        <f>ENERGÍA!S215</f>
        <v>0</v>
      </c>
      <c r="S210" s="148">
        <f>S209</f>
        <v>20</v>
      </c>
      <c r="T210" s="148" t="str">
        <f>T209</f>
        <v>Sin Control</v>
      </c>
      <c r="U210" s="176" t="str">
        <f>U209</f>
        <v>No</v>
      </c>
      <c r="V210" s="148"/>
      <c r="W210" s="102"/>
      <c r="X210" s="582" t="s">
        <v>575</v>
      </c>
      <c r="Y210" s="148">
        <f>ENERGÍA!Z215</f>
        <v>8</v>
      </c>
      <c r="Z210" s="148">
        <f>ENERGÍA!AA215</f>
        <v>0</v>
      </c>
      <c r="AA210" s="148">
        <f t="shared" ref="AA210:AA219" si="141">((R210*S210)*Y210)*365</f>
        <v>0</v>
      </c>
      <c r="AB210" s="1274"/>
      <c r="AC210" s="1274"/>
      <c r="AD210" s="102"/>
      <c r="AE210" s="102"/>
      <c r="AF210" s="1283"/>
      <c r="AG210" s="612"/>
      <c r="AH210" s="612"/>
      <c r="AI210" s="612"/>
      <c r="AJ210" s="612"/>
      <c r="AK210" s="612"/>
      <c r="AL210" s="612"/>
      <c r="AM210" s="612"/>
      <c r="AN210" s="612"/>
      <c r="AO210" s="612"/>
      <c r="AP210" s="612"/>
      <c r="AQ210" s="612"/>
      <c r="AR210" s="612"/>
      <c r="AS210" s="612"/>
      <c r="AT210" s="612"/>
      <c r="AU210" s="612"/>
      <c r="AV210" s="612"/>
      <c r="AW210" s="612"/>
      <c r="AX210" s="612"/>
      <c r="AY210" s="612"/>
    </row>
    <row r="211" spans="15:51" ht="15" customHeight="1">
      <c r="O211" s="610" t="s">
        <v>576</v>
      </c>
      <c r="P211" s="1273" t="str">
        <f t="shared" ref="P211:P219" si="142">P210</f>
        <v>Halógenas</v>
      </c>
      <c r="Q211" s="1273"/>
      <c r="R211" s="148">
        <f>ENERGÍA!S216</f>
        <v>0</v>
      </c>
      <c r="S211" s="148">
        <f t="shared" ref="S211:S219" si="143">S210</f>
        <v>20</v>
      </c>
      <c r="T211" s="148" t="str">
        <f t="shared" ref="T211:T219" si="144">T210</f>
        <v>Sin Control</v>
      </c>
      <c r="U211" s="176" t="str">
        <f t="shared" ref="U211:U219" si="145">U210</f>
        <v>No</v>
      </c>
      <c r="V211" s="148"/>
      <c r="W211" s="102"/>
      <c r="X211" s="582" t="s">
        <v>576</v>
      </c>
      <c r="Y211" s="148">
        <f>ENERGÍA!Z216</f>
        <v>8</v>
      </c>
      <c r="Z211" s="148">
        <f>ENERGÍA!AA216</f>
        <v>0</v>
      </c>
      <c r="AA211" s="148">
        <f t="shared" si="141"/>
        <v>0</v>
      </c>
      <c r="AB211" s="1274"/>
      <c r="AC211" s="1274"/>
      <c r="AD211" s="102"/>
      <c r="AE211" s="102"/>
      <c r="AF211" s="1283"/>
      <c r="AG211" s="612"/>
      <c r="AH211" s="612"/>
      <c r="AI211" s="612"/>
      <c r="AJ211" s="612"/>
      <c r="AK211" s="612"/>
      <c r="AL211" s="612"/>
      <c r="AM211" s="612"/>
      <c r="AN211" s="612"/>
      <c r="AO211" s="612"/>
      <c r="AP211" s="612"/>
      <c r="AQ211" s="612"/>
      <c r="AR211" s="612"/>
      <c r="AS211" s="612"/>
      <c r="AT211" s="612"/>
      <c r="AU211" s="612"/>
      <c r="AV211" s="612"/>
      <c r="AW211" s="612"/>
      <c r="AX211" s="612"/>
      <c r="AY211" s="612"/>
    </row>
    <row r="212" spans="15:51" ht="15" customHeight="1">
      <c r="O212" s="610" t="s">
        <v>577</v>
      </c>
      <c r="P212" s="1273" t="str">
        <f t="shared" si="142"/>
        <v>Halógenas</v>
      </c>
      <c r="Q212" s="1273"/>
      <c r="R212" s="148">
        <f>ENERGÍA!S217</f>
        <v>0</v>
      </c>
      <c r="S212" s="148">
        <f t="shared" si="143"/>
        <v>20</v>
      </c>
      <c r="T212" s="148" t="str">
        <f t="shared" si="144"/>
        <v>Sin Control</v>
      </c>
      <c r="U212" s="176" t="str">
        <f t="shared" si="145"/>
        <v>No</v>
      </c>
      <c r="V212" s="148"/>
      <c r="W212" s="102"/>
      <c r="X212" s="582" t="s">
        <v>577</v>
      </c>
      <c r="Y212" s="148">
        <f>ENERGÍA!Z217</f>
        <v>8</v>
      </c>
      <c r="Z212" s="148">
        <f>ENERGÍA!AA217</f>
        <v>0</v>
      </c>
      <c r="AA212" s="148">
        <f t="shared" si="141"/>
        <v>0</v>
      </c>
      <c r="AB212" s="1274"/>
      <c r="AC212" s="1274"/>
      <c r="AD212" s="102"/>
      <c r="AE212" s="102"/>
      <c r="AF212" s="1283"/>
      <c r="AG212" s="612"/>
      <c r="AH212" s="612"/>
      <c r="AI212" s="612"/>
      <c r="AJ212" s="612"/>
      <c r="AK212" s="612"/>
      <c r="AL212" s="612"/>
      <c r="AM212" s="612"/>
      <c r="AN212" s="612"/>
      <c r="AO212" s="612"/>
      <c r="AP212" s="612"/>
      <c r="AQ212" s="612"/>
      <c r="AR212" s="612"/>
      <c r="AS212" s="612"/>
      <c r="AT212" s="612"/>
      <c r="AU212" s="612"/>
      <c r="AV212" s="612"/>
      <c r="AW212" s="612"/>
      <c r="AX212" s="612"/>
      <c r="AY212" s="612"/>
    </row>
    <row r="213" spans="15:51" ht="15" customHeight="1">
      <c r="O213" s="610" t="s">
        <v>578</v>
      </c>
      <c r="P213" s="1273" t="str">
        <f t="shared" si="142"/>
        <v>Halógenas</v>
      </c>
      <c r="Q213" s="1273"/>
      <c r="R213" s="148">
        <f>ENERGÍA!S218</f>
        <v>0</v>
      </c>
      <c r="S213" s="148">
        <f t="shared" si="143"/>
        <v>20</v>
      </c>
      <c r="T213" s="148" t="str">
        <f t="shared" si="144"/>
        <v>Sin Control</v>
      </c>
      <c r="U213" s="176" t="str">
        <f t="shared" si="145"/>
        <v>No</v>
      </c>
      <c r="V213" s="148"/>
      <c r="W213" s="102"/>
      <c r="X213" s="582" t="s">
        <v>578</v>
      </c>
      <c r="Y213" s="148">
        <f>ENERGÍA!Z218</f>
        <v>8</v>
      </c>
      <c r="Z213" s="148">
        <f>ENERGÍA!AA218</f>
        <v>0</v>
      </c>
      <c r="AA213" s="148">
        <f t="shared" si="141"/>
        <v>0</v>
      </c>
      <c r="AB213" s="1274"/>
      <c r="AC213" s="1274"/>
      <c r="AD213" s="102"/>
      <c r="AE213" s="102"/>
      <c r="AF213" s="1283"/>
      <c r="AG213" s="612"/>
      <c r="AH213" s="612"/>
      <c r="AI213" s="612"/>
      <c r="AJ213" s="612"/>
      <c r="AK213" s="612"/>
      <c r="AL213" s="612"/>
      <c r="AM213" s="612"/>
      <c r="AN213" s="612"/>
      <c r="AO213" s="612"/>
      <c r="AP213" s="612"/>
      <c r="AQ213" s="612"/>
      <c r="AR213" s="612"/>
      <c r="AS213" s="612"/>
      <c r="AT213" s="612"/>
      <c r="AU213" s="612"/>
      <c r="AV213" s="612"/>
      <c r="AW213" s="612"/>
      <c r="AX213" s="612"/>
      <c r="AY213" s="612"/>
    </row>
    <row r="214" spans="15:51" ht="15" customHeight="1">
      <c r="O214" s="610" t="s">
        <v>579</v>
      </c>
      <c r="P214" s="1273" t="str">
        <f t="shared" si="142"/>
        <v>Halógenas</v>
      </c>
      <c r="Q214" s="1273"/>
      <c r="R214" s="148">
        <f>ENERGÍA!S219</f>
        <v>0</v>
      </c>
      <c r="S214" s="148">
        <f t="shared" si="143"/>
        <v>20</v>
      </c>
      <c r="T214" s="148" t="str">
        <f t="shared" si="144"/>
        <v>Sin Control</v>
      </c>
      <c r="U214" s="176" t="str">
        <f t="shared" si="145"/>
        <v>No</v>
      </c>
      <c r="V214" s="148"/>
      <c r="W214" s="102"/>
      <c r="X214" s="582" t="s">
        <v>579</v>
      </c>
      <c r="Y214" s="148">
        <f>ENERGÍA!Z219</f>
        <v>10</v>
      </c>
      <c r="Z214" s="148">
        <f>ENERGÍA!AA219</f>
        <v>0</v>
      </c>
      <c r="AA214" s="148">
        <f t="shared" si="141"/>
        <v>0</v>
      </c>
      <c r="AB214" s="1274"/>
      <c r="AC214" s="1274"/>
      <c r="AD214" s="102"/>
      <c r="AE214" s="102"/>
      <c r="AF214" s="1283"/>
      <c r="AG214" s="612"/>
      <c r="AH214" s="612"/>
      <c r="AI214" s="612"/>
      <c r="AJ214" s="612"/>
      <c r="AK214" s="612"/>
      <c r="AL214" s="612"/>
      <c r="AM214" s="612"/>
      <c r="AN214" s="612"/>
      <c r="AO214" s="612"/>
      <c r="AP214" s="612"/>
      <c r="AQ214" s="612"/>
      <c r="AR214" s="612"/>
      <c r="AS214" s="612"/>
      <c r="AT214" s="612"/>
      <c r="AU214" s="612"/>
      <c r="AV214" s="612"/>
      <c r="AW214" s="612"/>
      <c r="AX214" s="612"/>
      <c r="AY214" s="612"/>
    </row>
    <row r="215" spans="15:51" ht="15" customHeight="1">
      <c r="O215" s="610" t="s">
        <v>611</v>
      </c>
      <c r="P215" s="1273" t="str">
        <f t="shared" si="142"/>
        <v>Halógenas</v>
      </c>
      <c r="Q215" s="1273"/>
      <c r="R215" s="148">
        <f>ENERGÍA!S220</f>
        <v>0</v>
      </c>
      <c r="S215" s="148">
        <f t="shared" si="143"/>
        <v>20</v>
      </c>
      <c r="T215" s="148" t="str">
        <f t="shared" si="144"/>
        <v>Sin Control</v>
      </c>
      <c r="U215" s="176" t="str">
        <f t="shared" si="145"/>
        <v>No</v>
      </c>
      <c r="V215" s="148"/>
      <c r="W215" s="102"/>
      <c r="X215" s="582" t="s">
        <v>611</v>
      </c>
      <c r="Y215" s="148">
        <f>ENERGÍA!Z220</f>
        <v>6</v>
      </c>
      <c r="Z215" s="148">
        <f>ENERGÍA!AA220</f>
        <v>0</v>
      </c>
      <c r="AA215" s="148">
        <f t="shared" si="141"/>
        <v>0</v>
      </c>
      <c r="AB215" s="1274"/>
      <c r="AC215" s="1274"/>
      <c r="AD215" s="102"/>
      <c r="AE215" s="102"/>
      <c r="AF215" s="1282">
        <f>AC209+AC224</f>
        <v>111.69</v>
      </c>
      <c r="AG215" s="612"/>
      <c r="AH215" s="612"/>
      <c r="AI215" s="612"/>
      <c r="AJ215" s="612"/>
      <c r="AK215" s="612"/>
      <c r="AL215" s="612"/>
      <c r="AM215" s="612"/>
      <c r="AN215" s="612"/>
      <c r="AO215" s="612"/>
      <c r="AP215" s="612"/>
      <c r="AQ215" s="612"/>
      <c r="AR215" s="612"/>
      <c r="AS215" s="612"/>
      <c r="AT215" s="612"/>
      <c r="AU215" s="612"/>
      <c r="AV215" s="612"/>
      <c r="AW215" s="612"/>
      <c r="AX215" s="612"/>
      <c r="AY215" s="612"/>
    </row>
    <row r="216" spans="15:51" ht="15" customHeight="1">
      <c r="O216" s="610" t="s">
        <v>583</v>
      </c>
      <c r="P216" s="1273" t="str">
        <f t="shared" si="142"/>
        <v>Halógenas</v>
      </c>
      <c r="Q216" s="1273"/>
      <c r="R216" s="148">
        <f>ENERGÍA!S221</f>
        <v>0</v>
      </c>
      <c r="S216" s="148">
        <f t="shared" si="143"/>
        <v>20</v>
      </c>
      <c r="T216" s="148" t="str">
        <f t="shared" si="144"/>
        <v>Sin Control</v>
      </c>
      <c r="U216" s="176" t="str">
        <f t="shared" si="145"/>
        <v>No</v>
      </c>
      <c r="V216" s="148"/>
      <c r="W216" s="102"/>
      <c r="X216" s="582" t="s">
        <v>583</v>
      </c>
      <c r="Y216" s="148">
        <f>ENERGÍA!Z221</f>
        <v>10</v>
      </c>
      <c r="Z216" s="148">
        <f>ENERGÍA!AA221</f>
        <v>0</v>
      </c>
      <c r="AA216" s="148">
        <f t="shared" si="141"/>
        <v>0</v>
      </c>
      <c r="AB216" s="1274"/>
      <c r="AC216" s="1274"/>
      <c r="AD216" s="102"/>
      <c r="AE216" s="102"/>
      <c r="AF216" s="1282"/>
      <c r="AG216" s="612"/>
      <c r="AH216" s="612"/>
      <c r="AI216" s="612"/>
      <c r="AJ216" s="612"/>
      <c r="AK216" s="612"/>
      <c r="AL216" s="612"/>
      <c r="AM216" s="612"/>
      <c r="AN216" s="612"/>
      <c r="AO216" s="612"/>
      <c r="AP216" s="612"/>
      <c r="AQ216" s="612"/>
      <c r="AR216" s="612"/>
      <c r="AS216" s="612"/>
      <c r="AT216" s="612"/>
      <c r="AU216" s="612"/>
      <c r="AV216" s="612"/>
      <c r="AW216" s="612"/>
      <c r="AX216" s="612"/>
      <c r="AY216" s="612"/>
    </row>
    <row r="217" spans="15:51" ht="15" customHeight="1">
      <c r="O217" s="610" t="s">
        <v>566</v>
      </c>
      <c r="P217" s="1273" t="str">
        <f t="shared" si="142"/>
        <v>Halógenas</v>
      </c>
      <c r="Q217" s="1273"/>
      <c r="R217" s="148">
        <f>ENERGÍA!S222</f>
        <v>0</v>
      </c>
      <c r="S217" s="148">
        <f t="shared" si="143"/>
        <v>20</v>
      </c>
      <c r="T217" s="148" t="str">
        <f t="shared" si="144"/>
        <v>Sin Control</v>
      </c>
      <c r="U217" s="176" t="str">
        <f t="shared" si="145"/>
        <v>No</v>
      </c>
      <c r="V217" s="148"/>
      <c r="W217" s="102"/>
      <c r="X217" s="582" t="s">
        <v>566</v>
      </c>
      <c r="Y217" s="148">
        <f>ENERGÍA!Z222</f>
        <v>4</v>
      </c>
      <c r="Z217" s="148">
        <f>ENERGÍA!AA222</f>
        <v>0</v>
      </c>
      <c r="AA217" s="148">
        <f t="shared" si="141"/>
        <v>0</v>
      </c>
      <c r="AB217" s="1274"/>
      <c r="AC217" s="1274"/>
      <c r="AD217" s="102"/>
      <c r="AE217" s="102"/>
      <c r="AF217" s="1282"/>
      <c r="AG217" s="612"/>
      <c r="AH217" s="612"/>
      <c r="AI217" s="612"/>
      <c r="AJ217" s="612"/>
      <c r="AK217" s="612"/>
      <c r="AL217" s="612"/>
      <c r="AM217" s="612"/>
      <c r="AN217" s="612"/>
      <c r="AO217" s="612"/>
      <c r="AP217" s="612"/>
      <c r="AQ217" s="612"/>
      <c r="AR217" s="612"/>
      <c r="AS217" s="612"/>
      <c r="AT217" s="612"/>
      <c r="AU217" s="612"/>
      <c r="AV217" s="612"/>
      <c r="AW217" s="612"/>
      <c r="AX217" s="612"/>
      <c r="AY217" s="612"/>
    </row>
    <row r="218" spans="15:51" ht="15" customHeight="1">
      <c r="O218" s="610" t="s">
        <v>572</v>
      </c>
      <c r="P218" s="1273" t="str">
        <f t="shared" si="142"/>
        <v>Halógenas</v>
      </c>
      <c r="Q218" s="1273"/>
      <c r="R218" s="148">
        <f>ENERGÍA!S223</f>
        <v>0</v>
      </c>
      <c r="S218" s="148">
        <f t="shared" si="143"/>
        <v>20</v>
      </c>
      <c r="T218" s="148" t="str">
        <f t="shared" si="144"/>
        <v>Sin Control</v>
      </c>
      <c r="U218" s="176" t="str">
        <f t="shared" si="145"/>
        <v>No</v>
      </c>
      <c r="V218" s="148"/>
      <c r="W218" s="102"/>
      <c r="X218" s="582" t="s">
        <v>572</v>
      </c>
      <c r="Y218" s="148">
        <f>ENERGÍA!Z223</f>
        <v>10</v>
      </c>
      <c r="Z218" s="148">
        <f>ENERGÍA!AA223</f>
        <v>0</v>
      </c>
      <c r="AA218" s="148">
        <f t="shared" si="141"/>
        <v>0</v>
      </c>
      <c r="AB218" s="1274"/>
      <c r="AC218" s="1274"/>
      <c r="AD218" s="102"/>
      <c r="AE218" s="102"/>
      <c r="AF218" s="1282"/>
      <c r="AG218" s="612"/>
      <c r="AH218" s="612"/>
      <c r="AI218" s="612"/>
      <c r="AJ218" s="612"/>
      <c r="AK218" s="612"/>
      <c r="AL218" s="612"/>
      <c r="AM218" s="612"/>
      <c r="AN218" s="612"/>
      <c r="AO218" s="612"/>
      <c r="AP218" s="612"/>
      <c r="AQ218" s="612"/>
      <c r="AR218" s="612"/>
      <c r="AS218" s="612"/>
      <c r="AT218" s="612"/>
      <c r="AU218" s="612"/>
      <c r="AV218" s="612"/>
      <c r="AW218" s="612"/>
      <c r="AX218" s="612"/>
      <c r="AY218" s="612"/>
    </row>
    <row r="219" spans="15:51" ht="15" customHeight="1">
      <c r="O219" s="610" t="s">
        <v>8</v>
      </c>
      <c r="P219" s="1273" t="str">
        <f t="shared" si="142"/>
        <v>Halógenas</v>
      </c>
      <c r="Q219" s="1273"/>
      <c r="R219" s="148">
        <f>ENERGÍA!S224</f>
        <v>0</v>
      </c>
      <c r="S219" s="148">
        <f t="shared" si="143"/>
        <v>20</v>
      </c>
      <c r="T219" s="148" t="str">
        <f t="shared" si="144"/>
        <v>Sin Control</v>
      </c>
      <c r="U219" s="176" t="str">
        <f t="shared" si="145"/>
        <v>No</v>
      </c>
      <c r="V219" s="148"/>
      <c r="W219" s="102"/>
      <c r="X219" s="582" t="s">
        <v>8</v>
      </c>
      <c r="Y219" s="148">
        <f>ENERGÍA!Z224</f>
        <v>6</v>
      </c>
      <c r="Z219" s="148">
        <f>ENERGÍA!AA224</f>
        <v>0</v>
      </c>
      <c r="AA219" s="148">
        <f t="shared" si="141"/>
        <v>0</v>
      </c>
      <c r="AB219" s="1274"/>
      <c r="AC219" s="1274"/>
      <c r="AD219" s="102"/>
      <c r="AE219" s="102"/>
      <c r="AF219" s="1282"/>
      <c r="AG219" s="612"/>
      <c r="AH219" s="612"/>
      <c r="AI219" s="612"/>
      <c r="AJ219" s="612"/>
      <c r="AK219" s="612"/>
      <c r="AL219" s="612"/>
      <c r="AM219" s="612"/>
      <c r="AN219" s="612"/>
      <c r="AO219" s="612"/>
      <c r="AP219" s="612"/>
      <c r="AQ219" s="612"/>
      <c r="AR219" s="612"/>
      <c r="AS219" s="612"/>
      <c r="AT219" s="612"/>
      <c r="AU219" s="612"/>
      <c r="AV219" s="612"/>
      <c r="AW219" s="612"/>
      <c r="AX219" s="612"/>
      <c r="AY219" s="612"/>
    </row>
    <row r="220" spans="15:51" ht="15" customHeight="1">
      <c r="O220" s="324"/>
      <c r="P220" s="102"/>
      <c r="Q220" s="148"/>
      <c r="R220" s="148"/>
      <c r="S220" s="102"/>
      <c r="T220" s="102"/>
      <c r="U220" s="102"/>
      <c r="V220" s="148"/>
      <c r="W220" s="102"/>
      <c r="X220" s="582"/>
      <c r="Y220" s="102"/>
      <c r="Z220" s="102"/>
      <c r="AA220" s="102"/>
      <c r="AB220" s="102"/>
      <c r="AC220" s="102"/>
      <c r="AD220" s="102"/>
      <c r="AE220" s="102"/>
      <c r="AF220" s="1282"/>
      <c r="AG220" s="612"/>
      <c r="AH220" s="612"/>
      <c r="AI220" s="612"/>
      <c r="AJ220" s="612"/>
      <c r="AK220" s="612"/>
      <c r="AL220" s="612"/>
      <c r="AM220" s="612"/>
      <c r="AN220" s="612"/>
      <c r="AO220" s="612"/>
      <c r="AP220" s="612"/>
      <c r="AQ220" s="612"/>
      <c r="AR220" s="612"/>
      <c r="AS220" s="612"/>
      <c r="AT220" s="612"/>
      <c r="AU220" s="612"/>
      <c r="AV220" s="612"/>
      <c r="AW220" s="612"/>
      <c r="AX220" s="612"/>
      <c r="AY220" s="612"/>
    </row>
    <row r="221" spans="15:51" ht="15" customHeight="1">
      <c r="O221" s="1273" t="s">
        <v>609</v>
      </c>
      <c r="P221" s="1273"/>
      <c r="Q221" s="1273"/>
      <c r="R221" s="1273"/>
      <c r="S221" s="1273"/>
      <c r="T221" s="1273"/>
      <c r="U221" s="1273"/>
      <c r="V221" s="1273"/>
      <c r="W221" s="102"/>
      <c r="X221" s="1273" t="s">
        <v>609</v>
      </c>
      <c r="Y221" s="1273"/>
      <c r="Z221" s="1273"/>
      <c r="AA221" s="1273"/>
      <c r="AB221" s="1273"/>
      <c r="AC221" s="1273"/>
      <c r="AD221" s="1273"/>
      <c r="AE221" s="102"/>
      <c r="AF221" s="1282"/>
      <c r="AG221" s="612"/>
      <c r="AH221" s="612"/>
      <c r="AI221" s="612"/>
      <c r="AJ221" s="612"/>
      <c r="AK221" s="612"/>
      <c r="AL221" s="612"/>
      <c r="AM221" s="612"/>
      <c r="AN221" s="612"/>
      <c r="AO221" s="612"/>
      <c r="AP221" s="612"/>
      <c r="AQ221" s="612"/>
      <c r="AR221" s="612"/>
      <c r="AS221" s="612"/>
      <c r="AT221" s="612"/>
      <c r="AU221" s="612"/>
      <c r="AV221" s="612"/>
      <c r="AW221" s="612"/>
      <c r="AX221" s="612"/>
      <c r="AY221" s="612"/>
    </row>
    <row r="222" spans="15:51" ht="15" customHeight="1">
      <c r="O222" s="324"/>
      <c r="P222" s="102"/>
      <c r="Q222" s="148"/>
      <c r="R222" s="148"/>
      <c r="S222" s="102"/>
      <c r="T222" s="102"/>
      <c r="U222" s="102"/>
      <c r="V222" s="148"/>
      <c r="W222" s="102"/>
      <c r="X222" s="582"/>
      <c r="Y222" s="102"/>
      <c r="Z222" s="102"/>
      <c r="AA222" s="102"/>
      <c r="AB222" s="102"/>
      <c r="AC222" s="102"/>
      <c r="AD222" s="102"/>
      <c r="AE222" s="102"/>
      <c r="AF222" s="1282"/>
      <c r="AG222" s="612"/>
      <c r="AH222" s="612"/>
      <c r="AI222" s="612"/>
      <c r="AJ222" s="612"/>
      <c r="AK222" s="612"/>
      <c r="AL222" s="612"/>
      <c r="AM222" s="612"/>
      <c r="AN222" s="612"/>
      <c r="AO222" s="612"/>
      <c r="AP222" s="612"/>
      <c r="AQ222" s="612"/>
      <c r="AR222" s="612"/>
      <c r="AS222" s="612"/>
      <c r="AT222" s="612"/>
      <c r="AU222" s="612"/>
      <c r="AV222" s="612"/>
      <c r="AW222" s="612"/>
      <c r="AX222" s="612"/>
      <c r="AY222" s="612"/>
    </row>
    <row r="223" spans="15:51" ht="15" customHeight="1">
      <c r="O223" s="147" t="s">
        <v>598</v>
      </c>
      <c r="P223" s="1273" t="s">
        <v>603</v>
      </c>
      <c r="Q223" s="1273"/>
      <c r="R223" s="148" t="s">
        <v>227</v>
      </c>
      <c r="S223" s="166" t="s">
        <v>604</v>
      </c>
      <c r="T223" s="148" t="s">
        <v>612</v>
      </c>
      <c r="U223" s="148"/>
      <c r="V223" s="148"/>
      <c r="W223" s="148"/>
      <c r="X223" s="582"/>
      <c r="Y223" s="166" t="s">
        <v>1124</v>
      </c>
      <c r="Z223" s="102"/>
      <c r="AA223" s="166" t="s">
        <v>811</v>
      </c>
      <c r="AB223" s="166" t="s">
        <v>810</v>
      </c>
      <c r="AC223" s="166" t="s">
        <v>809</v>
      </c>
      <c r="AD223" s="148"/>
      <c r="AE223" s="102"/>
      <c r="AF223" s="1282"/>
      <c r="AG223" s="609"/>
      <c r="AH223" s="609"/>
      <c r="AI223" s="609"/>
      <c r="AJ223" s="609"/>
      <c r="AK223" s="609"/>
      <c r="AL223" s="609"/>
      <c r="AM223" s="609"/>
      <c r="AN223" s="609"/>
      <c r="AO223" s="609"/>
      <c r="AP223" s="609"/>
      <c r="AQ223" s="609"/>
      <c r="AR223" s="609"/>
      <c r="AS223" s="609"/>
      <c r="AT223" s="609"/>
      <c r="AU223" s="609"/>
      <c r="AV223" s="609"/>
      <c r="AW223" s="609"/>
      <c r="AX223" s="609"/>
      <c r="AY223" s="609"/>
    </row>
    <row r="224" spans="15:51" ht="15" customHeight="1">
      <c r="O224" s="610" t="s">
        <v>584</v>
      </c>
      <c r="P224" s="1273" t="str">
        <f>'BASE DE DATOS'!GM16</f>
        <v>Halógenas</v>
      </c>
      <c r="Q224" s="1273"/>
      <c r="R224" s="148">
        <f>ENERGÍA!S229</f>
        <v>1</v>
      </c>
      <c r="S224" s="148">
        <f>'BASE DE DATOS'!GM17</f>
        <v>24</v>
      </c>
      <c r="T224" s="148" t="str">
        <f>'BASE DE DATOS'!GM18</f>
        <v>Sin Control</v>
      </c>
      <c r="U224" s="102"/>
      <c r="V224" s="148"/>
      <c r="W224" s="102"/>
      <c r="X224" s="582" t="s">
        <v>584</v>
      </c>
      <c r="Y224" s="148">
        <f>ENERGÍA!Z229</f>
        <v>5</v>
      </c>
      <c r="Z224" s="102"/>
      <c r="AA224" s="148">
        <f>(((R224*S224)*Y224)*365)*0.75</f>
        <v>32850</v>
      </c>
      <c r="AB224" s="1274">
        <f>SUM(AA224:AA227)</f>
        <v>111690</v>
      </c>
      <c r="AC224" s="1274">
        <f>AB224*0.001</f>
        <v>111.69</v>
      </c>
      <c r="AD224" s="102"/>
      <c r="AE224" s="102"/>
      <c r="AF224" s="1282"/>
      <c r="AG224" s="612"/>
      <c r="AH224" s="612"/>
      <c r="AI224" s="612"/>
      <c r="AJ224" s="612"/>
      <c r="AK224" s="612"/>
      <c r="AL224" s="612"/>
      <c r="AM224" s="612"/>
      <c r="AN224" s="612"/>
      <c r="AO224" s="612"/>
      <c r="AP224" s="612"/>
      <c r="AQ224" s="612"/>
      <c r="AR224" s="612"/>
      <c r="AS224" s="612"/>
      <c r="AT224" s="612"/>
      <c r="AU224" s="612"/>
      <c r="AV224" s="612"/>
      <c r="AW224" s="612"/>
      <c r="AX224" s="612"/>
      <c r="AY224" s="612"/>
    </row>
    <row r="225" spans="15:51" ht="15" customHeight="1">
      <c r="O225" s="610" t="s">
        <v>610</v>
      </c>
      <c r="P225" s="1273" t="str">
        <f>P224</f>
        <v>Halógenas</v>
      </c>
      <c r="Q225" s="1273"/>
      <c r="R225" s="148">
        <f>ENERGÍA!S230</f>
        <v>1</v>
      </c>
      <c r="S225" s="148">
        <f>S224</f>
        <v>24</v>
      </c>
      <c r="T225" s="148" t="str">
        <f>T224</f>
        <v>Sin Control</v>
      </c>
      <c r="U225" s="102"/>
      <c r="V225" s="148"/>
      <c r="W225" s="102"/>
      <c r="X225" s="582" t="s">
        <v>610</v>
      </c>
      <c r="Y225" s="148">
        <f>ENERGÍA!Z230</f>
        <v>12</v>
      </c>
      <c r="Z225" s="102"/>
      <c r="AA225" s="148">
        <f>(((R225*S225)*Y225)*365)*0.75</f>
        <v>78840</v>
      </c>
      <c r="AB225" s="1274"/>
      <c r="AC225" s="1274"/>
      <c r="AD225" s="102"/>
      <c r="AE225" s="102"/>
      <c r="AF225" s="1282"/>
      <c r="AG225" s="612"/>
      <c r="AH225" s="612"/>
      <c r="AI225" s="612"/>
      <c r="AJ225" s="612"/>
      <c r="AK225" s="612"/>
      <c r="AL225" s="612"/>
      <c r="AM225" s="612"/>
      <c r="AN225" s="612"/>
      <c r="AO225" s="612"/>
      <c r="AP225" s="612"/>
      <c r="AQ225" s="612"/>
      <c r="AR225" s="612"/>
      <c r="AS225" s="612"/>
      <c r="AT225" s="612"/>
      <c r="AU225" s="612"/>
      <c r="AV225" s="612"/>
      <c r="AW225" s="612"/>
      <c r="AX225" s="612"/>
      <c r="AY225" s="612"/>
    </row>
    <row r="226" spans="15:51" ht="15" customHeight="1">
      <c r="O226" s="610" t="s">
        <v>8</v>
      </c>
      <c r="P226" s="1273" t="str">
        <f t="shared" ref="P226:P227" si="146">P225</f>
        <v>Halógenas</v>
      </c>
      <c r="Q226" s="1273"/>
      <c r="R226" s="148">
        <f>ENERGÍA!S231</f>
        <v>0</v>
      </c>
      <c r="S226" s="148">
        <f t="shared" ref="S226:S227" si="147">S225</f>
        <v>24</v>
      </c>
      <c r="T226" s="148" t="str">
        <f t="shared" ref="T226:T227" si="148">T225</f>
        <v>Sin Control</v>
      </c>
      <c r="U226" s="102"/>
      <c r="V226" s="148"/>
      <c r="W226" s="102"/>
      <c r="X226" s="582" t="s">
        <v>8</v>
      </c>
      <c r="Y226" s="148">
        <f>ENERGÍA!Z231</f>
        <v>5</v>
      </c>
      <c r="Z226" s="102"/>
      <c r="AA226" s="148">
        <f>(((R226*S226)*Y226)*365)*0.75</f>
        <v>0</v>
      </c>
      <c r="AB226" s="1274"/>
      <c r="AC226" s="1274"/>
      <c r="AD226" s="102"/>
      <c r="AE226" s="102"/>
      <c r="AF226" s="1282"/>
      <c r="AG226" s="612"/>
      <c r="AH226" s="612"/>
      <c r="AI226" s="612"/>
      <c r="AJ226" s="612"/>
      <c r="AK226" s="612"/>
      <c r="AL226" s="612"/>
      <c r="AM226" s="612"/>
      <c r="AN226" s="612"/>
      <c r="AO226" s="612"/>
      <c r="AP226" s="612"/>
      <c r="AQ226" s="612"/>
      <c r="AR226" s="612"/>
      <c r="AS226" s="612"/>
      <c r="AT226" s="612"/>
      <c r="AU226" s="612"/>
      <c r="AV226" s="612"/>
      <c r="AW226" s="612"/>
      <c r="AX226" s="612"/>
      <c r="AY226" s="612"/>
    </row>
    <row r="227" spans="15:51" ht="15" customHeight="1">
      <c r="O227" s="610" t="s">
        <v>8</v>
      </c>
      <c r="P227" s="1273" t="str">
        <f t="shared" si="146"/>
        <v>Halógenas</v>
      </c>
      <c r="Q227" s="1273"/>
      <c r="R227" s="148">
        <f>ENERGÍA!S232</f>
        <v>0</v>
      </c>
      <c r="S227" s="148">
        <f t="shared" si="147"/>
        <v>24</v>
      </c>
      <c r="T227" s="148" t="str">
        <f t="shared" si="148"/>
        <v>Sin Control</v>
      </c>
      <c r="U227" s="102"/>
      <c r="V227" s="148"/>
      <c r="W227" s="102"/>
      <c r="X227" s="582" t="s">
        <v>8</v>
      </c>
      <c r="Y227" s="148">
        <f>ENERGÍA!Z232</f>
        <v>5</v>
      </c>
      <c r="Z227" s="102"/>
      <c r="AA227" s="148">
        <f>(((R227*S227)*Y227)*365)*0.75</f>
        <v>0</v>
      </c>
      <c r="AB227" s="1274"/>
      <c r="AC227" s="1274"/>
      <c r="AD227" s="102"/>
      <c r="AE227" s="102"/>
      <c r="AF227" s="1282"/>
      <c r="AG227" s="612"/>
      <c r="AH227" s="612"/>
      <c r="AI227" s="612"/>
      <c r="AJ227" s="612"/>
      <c r="AK227" s="612"/>
      <c r="AL227" s="612"/>
      <c r="AM227" s="612"/>
      <c r="AN227" s="612"/>
      <c r="AO227" s="612"/>
      <c r="AP227" s="612"/>
      <c r="AQ227" s="612"/>
      <c r="AR227" s="612"/>
      <c r="AS227" s="612"/>
      <c r="AT227" s="612"/>
      <c r="AU227" s="612"/>
      <c r="AV227" s="612"/>
      <c r="AW227" s="612"/>
      <c r="AX227" s="612"/>
      <c r="AY227" s="612"/>
    </row>
    <row r="228" spans="15:51" ht="15" customHeight="1">
      <c r="O228" s="324"/>
      <c r="P228" s="102"/>
      <c r="Q228" s="102"/>
      <c r="R228" s="102"/>
      <c r="S228" s="102"/>
      <c r="T228" s="102"/>
      <c r="U228" s="102"/>
      <c r="V228" s="148"/>
      <c r="W228" s="102"/>
      <c r="X228" s="582"/>
      <c r="Y228" s="102"/>
      <c r="Z228" s="102"/>
      <c r="AA228" s="102"/>
      <c r="AB228" s="102"/>
      <c r="AC228" s="102"/>
      <c r="AD228" s="102"/>
      <c r="AE228" s="102"/>
      <c r="AF228" s="102"/>
      <c r="AG228" s="102"/>
      <c r="AH228" s="102"/>
      <c r="AI228" s="102"/>
      <c r="AJ228" s="102"/>
      <c r="AK228" s="102"/>
      <c r="AL228" s="102"/>
      <c r="AM228" s="102"/>
      <c r="AN228" s="102"/>
      <c r="AO228" s="102"/>
      <c r="AP228" s="102"/>
      <c r="AQ228" s="102"/>
      <c r="AR228" s="102"/>
      <c r="AS228" s="102"/>
      <c r="AT228" s="102"/>
      <c r="AU228" s="102"/>
      <c r="AV228" s="102"/>
      <c r="AW228" s="102"/>
      <c r="AX228" s="102"/>
      <c r="AY228" s="612"/>
    </row>
    <row r="229" spans="15:51" ht="15" customHeight="1">
      <c r="O229" s="1280" t="s">
        <v>617</v>
      </c>
      <c r="P229" s="1280"/>
      <c r="Q229" s="1280"/>
      <c r="R229" s="1280"/>
      <c r="S229" s="1280"/>
      <c r="T229" s="1280"/>
      <c r="U229" s="1280"/>
      <c r="V229" s="1280"/>
      <c r="W229" s="102"/>
      <c r="X229" s="1280" t="s">
        <v>617</v>
      </c>
      <c r="Y229" s="1280"/>
      <c r="Z229" s="1280"/>
      <c r="AA229" s="1280"/>
      <c r="AB229" s="1280"/>
      <c r="AC229" s="1280"/>
      <c r="AD229" s="1280"/>
      <c r="AE229" s="1280"/>
      <c r="AF229" s="1280"/>
      <c r="AG229" s="1280"/>
      <c r="AH229" s="1280"/>
      <c r="AI229" s="1280"/>
      <c r="AJ229" s="1280"/>
      <c r="AK229" s="1280"/>
      <c r="AL229" s="1280"/>
      <c r="AM229" s="1280"/>
      <c r="AN229" s="1280"/>
      <c r="AO229" s="1280"/>
      <c r="AP229" s="1280"/>
      <c r="AQ229" s="1280"/>
      <c r="AR229" s="1280"/>
      <c r="AS229" s="1280"/>
      <c r="AT229" s="1280"/>
      <c r="AU229" s="1280"/>
      <c r="AV229" s="1280"/>
      <c r="AW229" s="1280"/>
      <c r="AX229" s="1280"/>
      <c r="AY229" s="612"/>
    </row>
    <row r="230" spans="15:51" ht="15" customHeight="1">
      <c r="O230" s="324"/>
      <c r="P230" s="102"/>
      <c r="Q230" s="148"/>
      <c r="R230" s="148"/>
      <c r="S230" s="102"/>
      <c r="T230" s="102"/>
      <c r="U230" s="102"/>
      <c r="V230" s="148"/>
      <c r="W230" s="102"/>
      <c r="X230" s="582"/>
      <c r="Y230" s="102"/>
      <c r="Z230" s="102"/>
      <c r="AA230" s="102"/>
      <c r="AB230" s="102"/>
      <c r="AC230" s="102"/>
      <c r="AD230" s="102"/>
      <c r="AE230" s="102"/>
      <c r="AF230" s="102"/>
      <c r="AH230" s="102"/>
      <c r="AI230" s="102"/>
      <c r="AJ230" s="102"/>
      <c r="AK230" s="102"/>
      <c r="AL230" s="102"/>
      <c r="AM230" s="102"/>
      <c r="AN230" s="102"/>
      <c r="AO230" s="102"/>
      <c r="AP230" s="102"/>
      <c r="AQ230" s="102"/>
      <c r="AR230" s="102"/>
      <c r="AS230" s="102"/>
      <c r="AT230" s="102"/>
      <c r="AU230" s="102"/>
      <c r="AV230" s="102"/>
      <c r="AW230" s="102"/>
      <c r="AX230" s="102"/>
      <c r="AY230" s="612"/>
    </row>
    <row r="231" spans="15:51" ht="15" customHeight="1">
      <c r="O231" s="1273"/>
      <c r="P231" s="1273"/>
      <c r="Q231" s="148" t="s">
        <v>717</v>
      </c>
      <c r="R231" s="148" t="s">
        <v>623</v>
      </c>
      <c r="S231" s="1281" t="s">
        <v>812</v>
      </c>
      <c r="T231" s="1281"/>
      <c r="U231" s="1273" t="s">
        <v>1081</v>
      </c>
      <c r="V231" s="1273"/>
      <c r="W231" s="102"/>
      <c r="X231" s="1273"/>
      <c r="Y231" s="1273"/>
      <c r="Z231" s="166" t="s">
        <v>1124</v>
      </c>
      <c r="AA231" s="166" t="s">
        <v>811</v>
      </c>
      <c r="AB231" s="166" t="s">
        <v>810</v>
      </c>
      <c r="AC231" s="148" t="s">
        <v>1182</v>
      </c>
      <c r="AD231" s="226" t="s">
        <v>1305</v>
      </c>
      <c r="AE231" s="102"/>
      <c r="AF231" s="611" t="s">
        <v>809</v>
      </c>
      <c r="AG231" s="102"/>
      <c r="AH231" s="102"/>
      <c r="AI231" s="1273"/>
      <c r="AJ231" s="1273"/>
      <c r="AK231" s="166"/>
      <c r="AL231" s="166"/>
      <c r="AM231" s="166"/>
      <c r="AN231" s="148"/>
      <c r="AO231" s="102"/>
      <c r="AP231" s="148"/>
      <c r="AQ231" s="102"/>
      <c r="AR231" s="102"/>
      <c r="AS231" s="102"/>
      <c r="AT231" s="102"/>
      <c r="AU231" s="102"/>
      <c r="AV231" s="102"/>
      <c r="AW231" s="226"/>
      <c r="AX231" s="611"/>
      <c r="AY231" s="612"/>
    </row>
    <row r="232" spans="15:51" ht="15" customHeight="1">
      <c r="O232" s="1278" t="s">
        <v>618</v>
      </c>
      <c r="P232" s="582" t="s">
        <v>1126</v>
      </c>
      <c r="Q232" s="148" t="s">
        <v>1218</v>
      </c>
      <c r="R232" s="148" t="str">
        <f>'BASE DE DATOS'!GH23</f>
        <v>Gas</v>
      </c>
      <c r="S232" s="1273">
        <f>IF(R232="Eléctrico",'BASE DE DATOS'!GK23,'BASE DE DATOS'!GI23)</f>
        <v>1607</v>
      </c>
      <c r="T232" s="1273"/>
      <c r="U232" s="1273">
        <f>'BASE DE DATOS'!GL23</f>
        <v>1.25</v>
      </c>
      <c r="V232" s="1273"/>
      <c r="W232" s="102"/>
      <c r="X232" s="1279" t="s">
        <v>618</v>
      </c>
      <c r="Y232" s="582" t="s">
        <v>1126</v>
      </c>
      <c r="Z232" s="1274">
        <f>BT15/365</f>
        <v>-0.54794520547945202</v>
      </c>
      <c r="AA232" s="148">
        <f>IF(ENERGÍA!AB237&gt;1,($Z$232*S232)*365,0)</f>
        <v>0</v>
      </c>
      <c r="AB232" s="1273">
        <f>SUM(AA232:AA238)</f>
        <v>1139530</v>
      </c>
      <c r="AC232" s="148">
        <f>IF(AA232&gt;1,(U232*$Z$232)*365,0)</f>
        <v>0</v>
      </c>
      <c r="AD232" s="1280">
        <f>AC232+AC236+AC233</f>
        <v>0</v>
      </c>
      <c r="AE232" s="102"/>
      <c r="AF232" s="1282">
        <f>AB232*0.001</f>
        <v>1139.53</v>
      </c>
      <c r="AG232" s="102"/>
      <c r="AH232" s="102"/>
      <c r="AI232" s="1279"/>
      <c r="AJ232" s="582"/>
      <c r="AK232" s="1274"/>
      <c r="AL232" s="176"/>
      <c r="AM232" s="1274"/>
      <c r="AN232" s="176"/>
      <c r="AO232" s="102"/>
      <c r="AP232" s="1275"/>
      <c r="AQ232" s="102"/>
      <c r="AR232" s="102"/>
      <c r="AS232" s="102"/>
      <c r="AT232" s="102"/>
      <c r="AU232" s="102"/>
      <c r="AV232" s="102"/>
      <c r="AW232" s="1282"/>
      <c r="AX232" s="1282"/>
      <c r="AY232" s="612"/>
    </row>
    <row r="233" spans="15:51" ht="15" customHeight="1">
      <c r="O233" s="1278"/>
      <c r="P233" s="582" t="s">
        <v>1127</v>
      </c>
      <c r="Q233" s="148" t="s">
        <v>1218</v>
      </c>
      <c r="R233" s="148" t="s">
        <v>624</v>
      </c>
      <c r="S233" s="1274">
        <f>'BASE DE DATOS'!GI24</f>
        <v>4.2</v>
      </c>
      <c r="T233" s="1274"/>
      <c r="U233" s="1273">
        <f>'BASE DE DATOS'!GL24</f>
        <v>2.97</v>
      </c>
      <c r="V233" s="1273"/>
      <c r="W233" s="102"/>
      <c r="X233" s="1279"/>
      <c r="Y233" s="582" t="s">
        <v>1127</v>
      </c>
      <c r="Z233" s="1274"/>
      <c r="AA233" s="148">
        <f>IF(ENERGÍA!J238&gt;1,($AA$237*S233)*365,0)</f>
        <v>0</v>
      </c>
      <c r="AB233" s="1273"/>
      <c r="AC233" s="148">
        <f>IF(AA233&gt;1,(U233*$Z$232)*365,0)</f>
        <v>0</v>
      </c>
      <c r="AD233" s="1280"/>
      <c r="AE233" s="102"/>
      <c r="AF233" s="1282"/>
      <c r="AG233" s="102"/>
      <c r="AH233" s="102"/>
      <c r="AI233" s="1279"/>
      <c r="AJ233" s="582"/>
      <c r="AK233" s="1274"/>
      <c r="AL233" s="176"/>
      <c r="AM233" s="1274"/>
      <c r="AN233" s="176"/>
      <c r="AO233" s="102"/>
      <c r="AP233" s="1276"/>
      <c r="AQ233" s="102"/>
      <c r="AR233" s="102"/>
      <c r="AS233" s="102"/>
      <c r="AT233" s="102"/>
      <c r="AU233" s="102"/>
      <c r="AV233" s="102"/>
      <c r="AW233" s="1282"/>
      <c r="AX233" s="1282"/>
      <c r="AY233" s="612"/>
    </row>
    <row r="234" spans="15:51" ht="15" customHeight="1">
      <c r="O234" s="324"/>
      <c r="P234" s="102"/>
      <c r="Q234" s="102"/>
      <c r="R234" s="102"/>
      <c r="S234" s="102"/>
      <c r="T234" s="102"/>
      <c r="U234" s="102"/>
      <c r="V234" s="102"/>
      <c r="W234" s="102"/>
      <c r="X234" s="102"/>
      <c r="Y234" s="102"/>
      <c r="Z234" s="102"/>
      <c r="AA234" s="102"/>
      <c r="AB234" s="1273"/>
      <c r="AC234" s="148"/>
      <c r="AD234" s="1280"/>
      <c r="AE234" s="102"/>
      <c r="AF234" s="1282"/>
      <c r="AG234" s="102"/>
      <c r="AH234" s="102"/>
      <c r="AI234" s="102"/>
      <c r="AJ234" s="102"/>
      <c r="AK234" s="102"/>
      <c r="AL234" s="102"/>
      <c r="AM234" s="1274"/>
      <c r="AN234" s="102"/>
      <c r="AO234" s="102"/>
      <c r="AP234" s="1276"/>
      <c r="AQ234" s="102"/>
      <c r="AR234" s="102"/>
      <c r="AS234" s="102"/>
      <c r="AT234" s="102"/>
      <c r="AU234" s="102"/>
      <c r="AV234" s="102"/>
      <c r="AW234" s="1282"/>
      <c r="AX234" s="1282"/>
      <c r="AY234" s="612"/>
    </row>
    <row r="235" spans="15:51" ht="15" customHeight="1">
      <c r="O235" s="324"/>
      <c r="P235" s="102"/>
      <c r="Q235" s="102"/>
      <c r="R235" s="102"/>
      <c r="S235" s="102"/>
      <c r="T235" s="102"/>
      <c r="U235" s="102"/>
      <c r="V235" s="102"/>
      <c r="W235" s="102"/>
      <c r="X235" s="102"/>
      <c r="Y235" s="102"/>
      <c r="Z235" s="102"/>
      <c r="AA235" s="102"/>
      <c r="AB235" s="1273"/>
      <c r="AC235" s="148"/>
      <c r="AD235" s="1280"/>
      <c r="AE235" s="102"/>
      <c r="AF235" s="1282"/>
      <c r="AG235" s="102"/>
      <c r="AH235" s="102"/>
      <c r="AI235" s="102"/>
      <c r="AJ235" s="102"/>
      <c r="AK235" s="102"/>
      <c r="AL235" s="102"/>
      <c r="AM235" s="1274"/>
      <c r="AN235" s="102"/>
      <c r="AO235" s="102"/>
      <c r="AP235" s="1276"/>
      <c r="AQ235" s="102"/>
      <c r="AR235" s="102"/>
      <c r="AS235" s="102"/>
      <c r="AT235" s="102"/>
      <c r="AU235" s="102"/>
      <c r="AV235" s="102"/>
      <c r="AW235" s="1282"/>
      <c r="AX235" s="1282"/>
      <c r="AY235" s="612"/>
    </row>
    <row r="236" spans="15:51" ht="15" customHeight="1">
      <c r="O236" s="1279" t="s">
        <v>572</v>
      </c>
      <c r="P236" s="1279"/>
      <c r="Q236" s="148" t="s">
        <v>1218</v>
      </c>
      <c r="R236" s="148" t="str">
        <f>'BASE DE DATOS'!GH25</f>
        <v>Gas</v>
      </c>
      <c r="S236" s="1274">
        <f>'BASE DE DATOS'!GI25</f>
        <v>12</v>
      </c>
      <c r="T236" s="1274"/>
      <c r="U236" s="1273">
        <f>'BASE DE DATOS'!GL25</f>
        <v>0.68</v>
      </c>
      <c r="V236" s="1273"/>
      <c r="W236" s="102"/>
      <c r="X236" s="1279" t="s">
        <v>572</v>
      </c>
      <c r="Y236" s="1279"/>
      <c r="Z236" s="148">
        <v>3</v>
      </c>
      <c r="AA236" s="148">
        <f>(S236*Z236)*365</f>
        <v>13140</v>
      </c>
      <c r="AB236" s="1273"/>
      <c r="AC236" s="148">
        <v>0</v>
      </c>
      <c r="AD236" s="1280"/>
      <c r="AE236" s="102"/>
      <c r="AF236" s="1282"/>
      <c r="AG236" s="102"/>
      <c r="AH236" s="102"/>
      <c r="AI236" s="1279"/>
      <c r="AJ236" s="1279"/>
      <c r="AK236" s="176"/>
      <c r="AL236" s="176"/>
      <c r="AM236" s="1274"/>
      <c r="AN236" s="176"/>
      <c r="AO236" s="102"/>
      <c r="AP236" s="1276"/>
      <c r="AQ236" s="102"/>
      <c r="AR236" s="102"/>
      <c r="AS236" s="102"/>
      <c r="AT236" s="102"/>
      <c r="AU236" s="102"/>
      <c r="AV236" s="102"/>
      <c r="AW236" s="1282"/>
      <c r="AX236" s="1282"/>
      <c r="AY236" s="612"/>
    </row>
    <row r="237" spans="15:51" ht="15" customHeight="1">
      <c r="O237" s="1279" t="s">
        <v>620</v>
      </c>
      <c r="P237" s="1279"/>
      <c r="Q237" s="148" t="s">
        <v>1218</v>
      </c>
      <c r="R237" s="148" t="s">
        <v>625</v>
      </c>
      <c r="S237" s="1274">
        <f>'BASE DE DATOS'!GK26</f>
        <v>223</v>
      </c>
      <c r="T237" s="1274"/>
      <c r="U237" s="1273" t="s">
        <v>1080</v>
      </c>
      <c r="V237" s="1273"/>
      <c r="W237" s="102"/>
      <c r="X237" s="1279" t="s">
        <v>620</v>
      </c>
      <c r="Y237" s="1279"/>
      <c r="Z237" s="148">
        <v>2</v>
      </c>
      <c r="AA237" s="148">
        <f>(S237*Z237)*365</f>
        <v>162790</v>
      </c>
      <c r="AB237" s="1273"/>
      <c r="AC237" s="148">
        <v>0</v>
      </c>
      <c r="AD237" s="1280"/>
      <c r="AE237" s="102"/>
      <c r="AF237" s="1282"/>
      <c r="AG237" s="102"/>
      <c r="AH237" s="102"/>
      <c r="AI237" s="1279"/>
      <c r="AJ237" s="1279"/>
      <c r="AK237" s="176"/>
      <c r="AL237" s="176"/>
      <c r="AM237" s="1274"/>
      <c r="AN237" s="176"/>
      <c r="AO237" s="102"/>
      <c r="AP237" s="1276"/>
      <c r="AQ237" s="102"/>
      <c r="AR237" s="102"/>
      <c r="AS237" s="102"/>
      <c r="AT237" s="102"/>
      <c r="AU237" s="102"/>
      <c r="AV237" s="102"/>
      <c r="AW237" s="1282"/>
      <c r="AX237" s="1282"/>
      <c r="AY237" s="612"/>
    </row>
    <row r="238" spans="15:51" ht="15" customHeight="1">
      <c r="O238" s="1279" t="s">
        <v>619</v>
      </c>
      <c r="P238" s="1279"/>
      <c r="Q238" s="148" t="s">
        <v>1218</v>
      </c>
      <c r="R238" s="102"/>
      <c r="S238" s="1274">
        <f>'BASE DE DATOS'!GK27</f>
        <v>110</v>
      </c>
      <c r="T238" s="1274"/>
      <c r="U238" s="1273" t="s">
        <v>1080</v>
      </c>
      <c r="V238" s="1273"/>
      <c r="W238" s="102"/>
      <c r="X238" s="1279" t="s">
        <v>619</v>
      </c>
      <c r="Y238" s="1279"/>
      <c r="Z238" s="148">
        <v>24</v>
      </c>
      <c r="AA238" s="148">
        <f>(S238*Z238)*365</f>
        <v>963600</v>
      </c>
      <c r="AB238" s="1273"/>
      <c r="AC238" s="148">
        <v>0</v>
      </c>
      <c r="AD238" s="1280"/>
      <c r="AE238" s="102"/>
      <c r="AF238" s="1282"/>
      <c r="AG238" s="102"/>
      <c r="AH238" s="102"/>
      <c r="AI238" s="1279"/>
      <c r="AJ238" s="1279"/>
      <c r="AK238" s="176"/>
      <c r="AL238" s="176"/>
      <c r="AM238" s="1274"/>
      <c r="AN238" s="176"/>
      <c r="AO238" s="102"/>
      <c r="AP238" s="1277"/>
      <c r="AQ238" s="102"/>
      <c r="AR238" s="102"/>
      <c r="AS238" s="102"/>
      <c r="AT238" s="102"/>
      <c r="AU238" s="102"/>
      <c r="AV238" s="102"/>
      <c r="AW238" s="1282"/>
      <c r="AX238" s="1282"/>
      <c r="AY238" s="612"/>
    </row>
    <row r="239" spans="15:51" ht="15" customHeight="1">
      <c r="O239" s="324"/>
      <c r="P239" s="102"/>
      <c r="Q239" s="102"/>
      <c r="R239" s="102"/>
      <c r="S239" s="102"/>
      <c r="T239" s="102"/>
      <c r="U239" s="102"/>
      <c r="V239" s="148"/>
      <c r="W239" s="102"/>
      <c r="X239" s="582"/>
      <c r="Y239" s="102"/>
      <c r="Z239" s="102"/>
      <c r="AA239" s="102"/>
      <c r="AB239" s="102"/>
      <c r="AC239" s="102"/>
      <c r="AD239" s="102"/>
      <c r="AE239" s="102"/>
      <c r="AF239" s="102"/>
      <c r="AG239" s="102"/>
      <c r="AH239" s="102"/>
      <c r="AI239" s="102"/>
      <c r="AJ239" s="102"/>
      <c r="AK239" s="102"/>
      <c r="AL239" s="102"/>
      <c r="AM239" s="102"/>
      <c r="AN239" s="102"/>
      <c r="AO239" s="102"/>
      <c r="AP239" s="102"/>
      <c r="AQ239" s="102"/>
      <c r="AR239" s="102"/>
      <c r="AS239" s="102"/>
      <c r="AT239" s="102"/>
      <c r="AU239" s="102"/>
      <c r="AV239" s="102"/>
      <c r="AW239" s="102"/>
      <c r="AX239" s="102"/>
      <c r="AY239" s="612"/>
    </row>
    <row r="240" spans="15:51" ht="15" customHeight="1">
      <c r="O240" s="159"/>
      <c r="P240" s="159"/>
      <c r="Q240" s="159"/>
      <c r="R240" s="159"/>
      <c r="S240" s="159"/>
      <c r="T240" s="159"/>
      <c r="U240" s="159"/>
      <c r="V240" s="159"/>
      <c r="W240" s="102"/>
      <c r="X240" s="159"/>
      <c r="Y240" s="159"/>
      <c r="Z240" s="159"/>
      <c r="AA240" s="159"/>
      <c r="AB240" s="159"/>
      <c r="AC240" s="159"/>
      <c r="AD240" s="159"/>
      <c r="AE240" s="159"/>
      <c r="AF240" s="159"/>
      <c r="AG240" s="159"/>
      <c r="AH240" s="159"/>
      <c r="AI240" s="159"/>
      <c r="AJ240" s="159"/>
      <c r="AK240" s="159"/>
      <c r="AL240" s="159"/>
      <c r="AM240" s="159"/>
      <c r="AN240" s="159"/>
      <c r="AO240" s="159"/>
      <c r="AP240" s="159"/>
      <c r="AQ240" s="159"/>
      <c r="AR240" s="159"/>
      <c r="AS240" s="159"/>
      <c r="AT240" s="159"/>
      <c r="AU240" s="159"/>
      <c r="AV240" s="159"/>
      <c r="AW240" s="159"/>
      <c r="AX240" s="159"/>
      <c r="AY240" s="612"/>
    </row>
    <row r="241" spans="15:51" ht="15" customHeight="1">
      <c r="O241" s="324"/>
      <c r="P241" s="102"/>
      <c r="Q241" s="148"/>
      <c r="R241" s="148"/>
      <c r="S241" s="102"/>
      <c r="T241" s="102"/>
      <c r="U241" s="102"/>
      <c r="V241" s="148"/>
      <c r="W241" s="102"/>
      <c r="X241" s="582"/>
      <c r="Y241" s="102"/>
      <c r="Z241" s="102"/>
      <c r="AA241" s="102"/>
      <c r="AB241" s="102"/>
      <c r="AC241" s="102"/>
      <c r="AD241" s="102"/>
      <c r="AE241" s="102"/>
      <c r="AF241" s="102"/>
      <c r="AG241" s="102"/>
      <c r="AH241" s="102"/>
      <c r="AI241" s="102"/>
      <c r="AJ241" s="102"/>
      <c r="AK241" s="102"/>
      <c r="AL241" s="102"/>
      <c r="AM241" s="102"/>
      <c r="AN241" s="102"/>
      <c r="AO241" s="102"/>
      <c r="AP241" s="102"/>
      <c r="AQ241" s="102"/>
      <c r="AR241" s="102"/>
      <c r="AS241" s="102"/>
      <c r="AT241" s="102"/>
      <c r="AU241" s="102"/>
      <c r="AV241" s="102"/>
      <c r="AW241" s="102"/>
      <c r="AX241" s="102"/>
      <c r="AY241" s="612"/>
    </row>
    <row r="242" spans="15:51" ht="15" customHeight="1">
      <c r="O242" s="102"/>
      <c r="P242" s="102"/>
      <c r="Q242" s="102"/>
      <c r="R242" s="102"/>
      <c r="S242" s="102"/>
      <c r="T242" s="102"/>
      <c r="U242" s="102"/>
      <c r="V242" s="102"/>
      <c r="W242" s="102"/>
      <c r="X242" s="102"/>
      <c r="Y242" s="102"/>
      <c r="Z242" s="102"/>
      <c r="AA242" s="102"/>
      <c r="AB242" s="102"/>
      <c r="AC242" s="102"/>
      <c r="AD242" s="102"/>
      <c r="AE242" s="102"/>
      <c r="AF242" s="102"/>
      <c r="AG242" s="102"/>
      <c r="AH242" s="102"/>
      <c r="AI242" s="102"/>
      <c r="AJ242" s="102"/>
      <c r="AK242" s="102"/>
      <c r="AL242" s="102"/>
      <c r="AM242" s="102"/>
      <c r="AN242" s="102"/>
      <c r="AO242" s="102"/>
      <c r="AP242" s="102"/>
      <c r="AQ242" s="102"/>
      <c r="AR242" s="102"/>
      <c r="AS242" s="102"/>
      <c r="AT242" s="102"/>
      <c r="AU242" s="102"/>
      <c r="AV242" s="102"/>
      <c r="AW242" s="102"/>
      <c r="AX242" s="102"/>
      <c r="AY242" s="612"/>
    </row>
    <row r="243" spans="15:51" ht="15" customHeight="1">
      <c r="O243" s="324"/>
      <c r="P243" s="102"/>
      <c r="Q243" s="148"/>
      <c r="R243" s="148"/>
      <c r="S243" s="102"/>
      <c r="T243" s="102"/>
      <c r="U243" s="102"/>
      <c r="V243" s="148"/>
      <c r="W243" s="102"/>
      <c r="X243" s="582"/>
      <c r="Y243" s="102"/>
      <c r="Z243" s="102"/>
      <c r="AA243" s="102"/>
      <c r="AB243" s="102"/>
      <c r="AC243" s="102"/>
      <c r="AD243" s="102"/>
      <c r="AE243" s="102"/>
      <c r="AF243" s="102"/>
      <c r="AG243" s="102"/>
      <c r="AH243" s="102"/>
      <c r="AI243" s="102"/>
      <c r="AJ243" s="102"/>
      <c r="AK243" s="102"/>
      <c r="AL243" s="102"/>
      <c r="AM243" s="102"/>
      <c r="AN243" s="102"/>
      <c r="AO243" s="102"/>
      <c r="AP243" s="102"/>
      <c r="AQ243" s="102"/>
      <c r="AR243" s="102"/>
      <c r="AS243" s="102"/>
      <c r="AT243" s="102"/>
      <c r="AU243" s="102"/>
      <c r="AV243" s="102"/>
      <c r="AW243" s="102"/>
      <c r="AX243" s="102"/>
      <c r="AY243" s="612"/>
    </row>
    <row r="244" spans="15:51" ht="15" customHeight="1">
      <c r="O244" s="610"/>
      <c r="P244" s="148"/>
      <c r="Q244" s="148"/>
      <c r="R244" s="102"/>
      <c r="S244" s="102"/>
      <c r="T244" s="102"/>
      <c r="U244" s="330"/>
      <c r="V244" s="330"/>
      <c r="W244" s="102"/>
      <c r="X244" s="582"/>
      <c r="Y244" s="102"/>
      <c r="Z244" s="102"/>
      <c r="AA244" s="102"/>
      <c r="AB244" s="102"/>
      <c r="AC244" s="102"/>
      <c r="AD244" s="102"/>
      <c r="AE244" s="102"/>
      <c r="AF244" s="611"/>
      <c r="AG244" s="102"/>
      <c r="AH244" s="102"/>
      <c r="AI244" s="148"/>
      <c r="AJ244" s="148"/>
      <c r="AK244" s="148"/>
      <c r="AL244" s="102"/>
      <c r="AM244" s="102"/>
      <c r="AN244" s="148"/>
      <c r="AO244" s="148"/>
      <c r="AP244" s="102"/>
      <c r="AQ244" s="102"/>
      <c r="AR244" s="102"/>
      <c r="AS244" s="102"/>
      <c r="AT244" s="102"/>
      <c r="AU244" s="102"/>
      <c r="AV244" s="102"/>
      <c r="AW244" s="102"/>
      <c r="AX244" s="611"/>
      <c r="AY244" s="612"/>
    </row>
    <row r="245" spans="15:51" ht="15" customHeight="1">
      <c r="O245" s="610"/>
      <c r="P245" s="176"/>
      <c r="Q245" s="148"/>
      <c r="R245" s="102"/>
      <c r="S245" s="102"/>
      <c r="T245" s="102"/>
      <c r="U245" s="330"/>
      <c r="V245" s="330"/>
      <c r="W245" s="102"/>
      <c r="X245" s="582"/>
      <c r="Y245" s="102"/>
      <c r="Z245" s="102"/>
      <c r="AA245" s="102"/>
      <c r="AB245" s="102"/>
      <c r="AC245" s="102"/>
      <c r="AD245" s="102"/>
      <c r="AE245" s="102"/>
      <c r="AF245" s="613"/>
      <c r="AG245" s="102"/>
      <c r="AH245" s="102"/>
      <c r="AI245" s="148"/>
      <c r="AJ245" s="176"/>
      <c r="AK245" s="176"/>
      <c r="AL245" s="102"/>
      <c r="AM245" s="102"/>
      <c r="AN245" s="148"/>
      <c r="AO245" s="148"/>
      <c r="AP245" s="102"/>
      <c r="AQ245" s="148"/>
      <c r="AR245" s="148"/>
      <c r="AS245" s="102"/>
      <c r="AT245" s="148"/>
      <c r="AU245" s="102"/>
      <c r="AV245" s="614"/>
      <c r="AW245" s="102"/>
      <c r="AX245" s="613"/>
      <c r="AY245" s="612"/>
    </row>
    <row r="246" spans="15:51" ht="15" customHeight="1">
      <c r="O246" s="147"/>
      <c r="P246" s="148"/>
      <c r="Q246" s="148"/>
      <c r="R246" s="102"/>
      <c r="S246" s="102"/>
      <c r="T246" s="102"/>
      <c r="U246" s="330"/>
      <c r="V246" s="330"/>
      <c r="W246" s="102"/>
      <c r="X246" s="582"/>
      <c r="Y246" s="102"/>
      <c r="Z246" s="102"/>
      <c r="AA246" s="102"/>
      <c r="AB246" s="102"/>
      <c r="AC246" s="102"/>
      <c r="AD246" s="102"/>
      <c r="AE246" s="102"/>
      <c r="AF246" s="613"/>
      <c r="AG246" s="102"/>
      <c r="AH246" s="102"/>
      <c r="AI246" s="148"/>
      <c r="AJ246" s="176"/>
      <c r="AK246" s="102"/>
      <c r="AL246" s="102"/>
      <c r="AM246" s="102"/>
      <c r="AN246" s="148"/>
      <c r="AO246" s="148"/>
      <c r="AP246" s="102"/>
      <c r="AQ246" s="148"/>
      <c r="AR246" s="148"/>
      <c r="AS246" s="102"/>
      <c r="AT246" s="102"/>
      <c r="AU246" s="102"/>
      <c r="AV246" s="615"/>
      <c r="AW246" s="102"/>
      <c r="AX246" s="613"/>
      <c r="AY246" s="612"/>
    </row>
    <row r="247" spans="15:51" ht="15" customHeight="1">
      <c r="O247" s="147"/>
      <c r="P247" s="148"/>
      <c r="Q247" s="148"/>
      <c r="R247" s="102"/>
      <c r="S247" s="102"/>
      <c r="T247" s="102"/>
      <c r="U247" s="330"/>
      <c r="V247" s="330"/>
      <c r="W247" s="102"/>
      <c r="X247" s="582"/>
      <c r="Y247" s="102"/>
      <c r="Z247" s="102"/>
      <c r="AA247" s="102"/>
      <c r="AB247" s="102"/>
      <c r="AC247" s="102"/>
      <c r="AD247" s="102"/>
      <c r="AE247" s="102"/>
      <c r="AF247" s="613"/>
      <c r="AG247" s="102"/>
      <c r="AH247" s="102"/>
      <c r="AI247" s="148"/>
      <c r="AJ247" s="226"/>
      <c r="AK247" s="102"/>
      <c r="AL247" s="102"/>
      <c r="AM247" s="102"/>
      <c r="AN247" s="148"/>
      <c r="AO247" s="148"/>
      <c r="AP247" s="102"/>
      <c r="AQ247" s="148"/>
      <c r="AR247" s="148"/>
      <c r="AS247" s="102"/>
      <c r="AT247" s="102"/>
      <c r="AU247" s="102"/>
      <c r="AV247" s="616"/>
      <c r="AW247" s="102"/>
      <c r="AX247" s="613"/>
      <c r="AY247" s="612"/>
    </row>
    <row r="248" spans="15:51" ht="15" customHeight="1">
      <c r="O248" s="324"/>
      <c r="P248" s="102"/>
      <c r="Q248" s="102"/>
      <c r="R248" s="148"/>
      <c r="S248" s="102"/>
      <c r="T248" s="102"/>
      <c r="U248" s="102"/>
      <c r="V248" s="148"/>
      <c r="W248" s="102"/>
      <c r="X248" s="582"/>
      <c r="Y248" s="102"/>
      <c r="Z248" s="102"/>
      <c r="AA248" s="102"/>
      <c r="AB248" s="102"/>
      <c r="AC248" s="102"/>
      <c r="AD248" s="102"/>
      <c r="AE248" s="102"/>
      <c r="AF248" s="102"/>
      <c r="AG248" s="102"/>
      <c r="AH248" s="102"/>
      <c r="AI248" s="102"/>
      <c r="AJ248" s="102"/>
      <c r="AK248" s="102"/>
      <c r="AL248" s="102"/>
      <c r="AM248" s="102"/>
      <c r="AN248" s="102"/>
      <c r="AO248" s="102"/>
      <c r="AP248" s="102"/>
      <c r="AQ248" s="102"/>
      <c r="AR248" s="102"/>
      <c r="AS248" s="102"/>
      <c r="AT248" s="102"/>
      <c r="AU248" s="102"/>
      <c r="AV248" s="102"/>
      <c r="AW248" s="102"/>
      <c r="AX248" s="102"/>
      <c r="AY248" s="612"/>
    </row>
    <row r="249" spans="15:51" ht="15" customHeight="1">
      <c r="O249" s="102"/>
      <c r="P249" s="102"/>
      <c r="Q249" s="102"/>
      <c r="R249" s="102"/>
      <c r="S249" s="102"/>
      <c r="T249" s="102"/>
      <c r="U249" s="102"/>
      <c r="V249" s="102"/>
      <c r="W249" s="102"/>
      <c r="X249" s="102"/>
      <c r="Y249" s="102"/>
      <c r="Z249" s="102"/>
      <c r="AA249" s="102"/>
      <c r="AB249" s="102"/>
      <c r="AC249" s="102"/>
      <c r="AD249" s="102"/>
      <c r="AE249" s="102"/>
      <c r="AF249" s="102"/>
      <c r="AG249" s="102"/>
      <c r="AH249" s="102"/>
      <c r="AI249" s="102"/>
      <c r="AJ249" s="102"/>
      <c r="AK249" s="102"/>
      <c r="AL249" s="102"/>
      <c r="AM249" s="102"/>
      <c r="AN249" s="102"/>
      <c r="AO249" s="102"/>
      <c r="AP249" s="102"/>
      <c r="AQ249" s="102"/>
      <c r="AR249" s="102"/>
      <c r="AS249" s="102"/>
      <c r="AT249" s="102"/>
      <c r="AU249" s="102"/>
      <c r="AV249" s="102"/>
      <c r="AW249" s="102"/>
      <c r="AX249" s="102"/>
      <c r="AY249" s="612"/>
    </row>
    <row r="250" spans="15:51" ht="15" customHeight="1">
      <c r="O250" s="324"/>
      <c r="P250" s="102"/>
      <c r="Q250" s="148"/>
      <c r="R250" s="148"/>
      <c r="S250" s="102"/>
      <c r="T250" s="102"/>
      <c r="U250" s="102"/>
      <c r="V250" s="148"/>
      <c r="W250" s="102"/>
      <c r="X250" s="582"/>
      <c r="Y250" s="102"/>
      <c r="Z250" s="102"/>
      <c r="AA250" s="102"/>
      <c r="AB250" s="102"/>
      <c r="AC250" s="102"/>
      <c r="AD250" s="102"/>
      <c r="AE250" s="102"/>
      <c r="AF250" s="102"/>
      <c r="AG250" s="102"/>
      <c r="AH250" s="102"/>
      <c r="AI250" s="102"/>
      <c r="AJ250" s="102"/>
      <c r="AK250" s="102"/>
      <c r="AL250" s="102"/>
      <c r="AM250" s="102"/>
      <c r="AN250" s="102"/>
      <c r="AO250" s="102"/>
      <c r="AP250" s="102"/>
      <c r="AQ250" s="102"/>
      <c r="AR250" s="102"/>
      <c r="AS250" s="102"/>
      <c r="AT250" s="102"/>
      <c r="AU250" s="102"/>
      <c r="AV250" s="102"/>
      <c r="AW250" s="102"/>
      <c r="AX250" s="102"/>
      <c r="AY250" s="612"/>
    </row>
    <row r="251" spans="15:51" ht="15" customHeight="1">
      <c r="O251" s="610"/>
      <c r="P251" s="176"/>
      <c r="Q251" s="148"/>
      <c r="R251" s="102"/>
      <c r="S251" s="102"/>
      <c r="T251" s="102"/>
      <c r="U251" s="102"/>
      <c r="V251" s="330"/>
      <c r="W251" s="102"/>
      <c r="X251" s="582"/>
      <c r="Y251" s="102"/>
      <c r="Z251" s="102"/>
      <c r="AA251" s="102"/>
      <c r="AB251" s="102"/>
      <c r="AC251" s="102"/>
      <c r="AD251" s="102"/>
      <c r="AE251" s="102"/>
      <c r="AF251" s="611"/>
      <c r="AG251" s="102"/>
      <c r="AH251" s="102"/>
      <c r="AI251" s="148"/>
      <c r="AJ251" s="226"/>
      <c r="AK251" s="102"/>
      <c r="AL251" s="102"/>
      <c r="AM251" s="102"/>
      <c r="AN251" s="102"/>
      <c r="AO251" s="102"/>
      <c r="AP251" s="102"/>
      <c r="AQ251" s="102"/>
      <c r="AR251" s="102"/>
      <c r="AS251" s="102"/>
      <c r="AT251" s="102"/>
      <c r="AU251" s="102"/>
      <c r="AV251" s="102"/>
      <c r="AW251" s="102"/>
      <c r="AX251" s="611"/>
      <c r="AY251" s="612"/>
    </row>
    <row r="252" spans="15:51" ht="15" customHeight="1">
      <c r="O252" s="610"/>
      <c r="P252" s="176"/>
      <c r="Q252" s="102"/>
      <c r="R252" s="612"/>
      <c r="S252" s="617"/>
      <c r="T252" s="617"/>
      <c r="U252" s="617"/>
      <c r="V252" s="618"/>
      <c r="W252" s="102"/>
      <c r="X252" s="102"/>
      <c r="Y252" s="102"/>
      <c r="Z252" s="102"/>
      <c r="AA252" s="102"/>
      <c r="AB252" s="102"/>
      <c r="AC252" s="102"/>
      <c r="AD252" s="102"/>
      <c r="AE252" s="102"/>
      <c r="AF252" s="613"/>
      <c r="AG252" s="102"/>
      <c r="AH252" s="102"/>
      <c r="AI252" s="102"/>
      <c r="AJ252" s="102"/>
      <c r="AK252" s="102"/>
      <c r="AL252" s="102"/>
      <c r="AM252" s="102"/>
      <c r="AN252" s="102"/>
      <c r="AO252" s="102"/>
      <c r="AP252" s="102"/>
      <c r="AQ252" s="102"/>
      <c r="AR252" s="102"/>
      <c r="AS252" s="102"/>
      <c r="AT252" s="148"/>
      <c r="AU252" s="102"/>
      <c r="AV252" s="614"/>
      <c r="AW252" s="102"/>
      <c r="AX252" s="619"/>
      <c r="AY252" s="612"/>
    </row>
    <row r="253" spans="15:51" ht="15" customHeight="1">
      <c r="O253" s="610"/>
      <c r="P253" s="176"/>
      <c r="Q253" s="148"/>
      <c r="R253" s="102"/>
      <c r="S253" s="102"/>
      <c r="T253" s="102"/>
      <c r="U253" s="102"/>
      <c r="V253" s="102"/>
      <c r="W253" s="102"/>
      <c r="X253" s="582"/>
      <c r="Y253" s="102"/>
      <c r="Z253" s="102"/>
      <c r="AA253" s="102"/>
      <c r="AB253" s="102"/>
      <c r="AC253" s="102"/>
      <c r="AD253" s="102"/>
      <c r="AE253" s="102"/>
      <c r="AF253" s="613"/>
      <c r="AG253" s="102"/>
      <c r="AH253" s="102"/>
      <c r="AI253" s="102"/>
      <c r="AJ253" s="102"/>
      <c r="AK253" s="102"/>
      <c r="AL253" s="102"/>
      <c r="AM253" s="102"/>
      <c r="AN253" s="102"/>
      <c r="AO253" s="102"/>
      <c r="AP253" s="102"/>
      <c r="AQ253" s="102"/>
      <c r="AR253" s="102"/>
      <c r="AS253" s="102"/>
      <c r="AT253" s="102"/>
      <c r="AU253" s="102"/>
      <c r="AV253" s="615"/>
      <c r="AW253" s="102"/>
      <c r="AX253" s="620"/>
      <c r="AY253" s="612"/>
    </row>
    <row r="254" spans="15:51" ht="15" customHeight="1">
      <c r="O254" s="610"/>
      <c r="P254" s="176"/>
      <c r="Q254" s="148"/>
      <c r="R254" s="102"/>
      <c r="S254" s="102"/>
      <c r="T254" s="102"/>
      <c r="U254" s="102"/>
      <c r="V254" s="102"/>
      <c r="W254" s="102"/>
      <c r="X254" s="582"/>
      <c r="Y254" s="102"/>
      <c r="Z254" s="102"/>
      <c r="AA254" s="102"/>
      <c r="AB254" s="102"/>
      <c r="AC254" s="102"/>
      <c r="AD254" s="102"/>
      <c r="AE254" s="102"/>
      <c r="AF254" s="175"/>
      <c r="AG254" s="102"/>
      <c r="AH254" s="102"/>
      <c r="AI254" s="102"/>
      <c r="AJ254" s="102"/>
      <c r="AK254" s="102"/>
      <c r="AL254" s="102"/>
      <c r="AM254" s="102"/>
      <c r="AN254" s="102"/>
      <c r="AO254" s="102"/>
      <c r="AP254" s="102"/>
      <c r="AQ254" s="102"/>
      <c r="AR254" s="102"/>
      <c r="AS254" s="102"/>
      <c r="AT254" s="102"/>
      <c r="AU254" s="102"/>
      <c r="AV254" s="616"/>
      <c r="AW254" s="102"/>
      <c r="AX254" s="621"/>
      <c r="AY254" s="612"/>
    </row>
    <row r="255" spans="15:51" ht="15" customHeight="1">
      <c r="O255" s="324"/>
      <c r="P255" s="102"/>
      <c r="Q255" s="148"/>
      <c r="R255" s="148"/>
      <c r="S255" s="102"/>
      <c r="T255" s="102"/>
      <c r="U255" s="102"/>
      <c r="V255" s="148"/>
      <c r="W255" s="102"/>
      <c r="X255" s="582"/>
      <c r="Y255" s="102"/>
      <c r="Z255" s="102"/>
      <c r="AA255" s="102"/>
      <c r="AB255" s="102"/>
      <c r="AC255" s="102"/>
      <c r="AD255" s="102"/>
      <c r="AE255" s="102"/>
      <c r="AF255" s="102"/>
      <c r="AG255" s="102"/>
      <c r="AH255" s="102"/>
      <c r="AI255" s="102"/>
      <c r="AJ255" s="102"/>
      <c r="AK255" s="102"/>
      <c r="AL255" s="102"/>
      <c r="AM255" s="102"/>
      <c r="AN255" s="102"/>
      <c r="AO255" s="102"/>
      <c r="AP255" s="102"/>
      <c r="AQ255" s="102"/>
      <c r="AR255" s="102"/>
      <c r="AS255" s="102"/>
      <c r="AT255" s="102"/>
      <c r="AU255" s="102"/>
      <c r="AV255" s="102"/>
      <c r="AW255" s="102"/>
      <c r="AX255" s="102"/>
      <c r="AY255" s="612"/>
    </row>
    <row r="256" spans="15:51" ht="15" customHeight="1">
      <c r="O256" s="102"/>
      <c r="P256" s="102"/>
      <c r="Q256" s="102"/>
      <c r="R256" s="102"/>
      <c r="S256" s="102"/>
      <c r="T256" s="102"/>
      <c r="U256" s="102"/>
      <c r="V256" s="102"/>
      <c r="W256" s="102"/>
      <c r="X256" s="102"/>
      <c r="Y256" s="102"/>
      <c r="Z256" s="102"/>
      <c r="AA256" s="102"/>
      <c r="AB256" s="102"/>
      <c r="AC256" s="102"/>
      <c r="AD256" s="102"/>
      <c r="AE256" s="102"/>
      <c r="AF256" s="102"/>
      <c r="AG256" s="102"/>
      <c r="AH256" s="102"/>
      <c r="AI256" s="102"/>
      <c r="AJ256" s="102"/>
      <c r="AK256" s="102"/>
      <c r="AL256" s="102"/>
      <c r="AM256" s="102"/>
      <c r="AN256" s="102"/>
      <c r="AO256" s="102"/>
      <c r="AP256" s="102"/>
      <c r="AQ256" s="102"/>
      <c r="AR256" s="102"/>
      <c r="AS256" s="102"/>
      <c r="AT256" s="102"/>
      <c r="AU256" s="102"/>
      <c r="AV256" s="102"/>
      <c r="AW256" s="102"/>
      <c r="AX256" s="102"/>
      <c r="AY256" s="612"/>
    </row>
    <row r="257" spans="15:51" ht="15" customHeight="1">
      <c r="O257" s="324"/>
      <c r="P257" s="102"/>
      <c r="Q257" s="148"/>
      <c r="R257" s="148"/>
      <c r="S257" s="102"/>
      <c r="T257" s="102"/>
      <c r="U257" s="102"/>
      <c r="V257" s="148"/>
      <c r="W257" s="102"/>
      <c r="X257" s="582"/>
      <c r="Y257" s="102"/>
      <c r="Z257" s="102"/>
      <c r="AA257" s="102"/>
      <c r="AB257" s="102"/>
      <c r="AC257" s="102"/>
      <c r="AD257" s="102"/>
      <c r="AE257" s="102"/>
      <c r="AF257" s="102"/>
      <c r="AG257" s="102"/>
      <c r="AH257" s="102"/>
      <c r="AI257" s="102"/>
      <c r="AJ257" s="102"/>
      <c r="AK257" s="102"/>
      <c r="AL257" s="102"/>
      <c r="AM257" s="102"/>
      <c r="AN257" s="102"/>
      <c r="AO257" s="102"/>
      <c r="AP257" s="102"/>
      <c r="AQ257" s="102"/>
      <c r="AR257" s="102"/>
      <c r="AS257" s="102"/>
      <c r="AT257" s="102"/>
      <c r="AU257" s="102"/>
      <c r="AV257" s="102"/>
      <c r="AW257" s="102"/>
      <c r="AX257" s="102"/>
      <c r="AY257" s="612"/>
    </row>
    <row r="258" spans="15:51" ht="15" customHeight="1">
      <c r="O258" s="324"/>
      <c r="P258" s="176"/>
      <c r="Q258" s="148"/>
      <c r="R258" s="102"/>
      <c r="S258" s="102"/>
      <c r="T258" s="102"/>
      <c r="U258" s="330"/>
      <c r="V258" s="330"/>
      <c r="W258" s="102"/>
      <c r="X258" s="582"/>
      <c r="Y258" s="102"/>
      <c r="Z258" s="102"/>
      <c r="AA258" s="102"/>
      <c r="AB258" s="102"/>
      <c r="AC258" s="622"/>
      <c r="AD258" s="622"/>
      <c r="AE258" s="622"/>
      <c r="AF258" s="175"/>
      <c r="AG258" s="148"/>
      <c r="AH258" s="148"/>
      <c r="AI258" s="102"/>
      <c r="AJ258" s="102"/>
      <c r="AK258" s="102"/>
      <c r="AL258" s="102"/>
      <c r="AM258" s="102"/>
      <c r="AN258" s="102"/>
      <c r="AO258" s="102"/>
      <c r="AP258" s="102"/>
      <c r="AQ258" s="102"/>
      <c r="AR258" s="102"/>
      <c r="AS258" s="102"/>
      <c r="AT258" s="102"/>
      <c r="AU258" s="102"/>
      <c r="AV258" s="622"/>
      <c r="AW258" s="622"/>
      <c r="AX258" s="613"/>
      <c r="AY258" s="612"/>
    </row>
    <row r="259" spans="15:51" ht="15" customHeight="1">
      <c r="O259" s="324"/>
      <c r="P259" s="176"/>
      <c r="Q259" s="148"/>
      <c r="R259" s="582"/>
      <c r="S259" s="582"/>
      <c r="T259" s="582"/>
      <c r="U259" s="176"/>
      <c r="V259" s="176"/>
      <c r="W259" s="102"/>
      <c r="X259" s="582"/>
      <c r="Y259" s="102"/>
      <c r="Z259" s="102"/>
      <c r="AA259" s="102"/>
      <c r="AB259" s="102"/>
      <c r="AC259" s="611"/>
      <c r="AD259" s="611"/>
      <c r="AE259" s="611"/>
      <c r="AF259" s="175"/>
      <c r="AG259" s="148"/>
      <c r="AH259" s="148"/>
      <c r="AI259" s="102"/>
      <c r="AJ259" s="102"/>
      <c r="AK259" s="102"/>
      <c r="AL259" s="102"/>
      <c r="AM259" s="102"/>
      <c r="AN259" s="102"/>
      <c r="AO259" s="102"/>
      <c r="AP259" s="102"/>
      <c r="AQ259" s="102"/>
      <c r="AR259" s="102"/>
      <c r="AS259" s="102"/>
      <c r="AT259" s="102"/>
      <c r="AU259" s="102"/>
      <c r="AV259" s="611"/>
      <c r="AW259" s="611"/>
      <c r="AX259" s="175"/>
      <c r="AY259" s="612"/>
    </row>
    <row r="260" spans="15:51" ht="15" customHeight="1">
      <c r="O260" s="324"/>
      <c r="P260" s="176"/>
      <c r="Q260" s="148"/>
      <c r="R260" s="582"/>
      <c r="S260" s="582"/>
      <c r="T260" s="582"/>
      <c r="U260" s="176"/>
      <c r="V260" s="176"/>
      <c r="W260" s="102"/>
      <c r="X260" s="582"/>
      <c r="Y260" s="102"/>
      <c r="Z260" s="102"/>
      <c r="AA260" s="102"/>
      <c r="AB260" s="102"/>
      <c r="AC260" s="102"/>
      <c r="AD260" s="102"/>
      <c r="AE260" s="102"/>
      <c r="AF260" s="102"/>
      <c r="AG260" s="148"/>
      <c r="AH260" s="148"/>
      <c r="AI260" s="102"/>
      <c r="AJ260" s="102"/>
      <c r="AK260" s="102"/>
      <c r="AL260" s="102"/>
      <c r="AM260" s="102"/>
      <c r="AN260" s="102"/>
      <c r="AO260" s="102"/>
      <c r="AP260" s="102"/>
      <c r="AQ260" s="102"/>
      <c r="AR260" s="102"/>
      <c r="AS260" s="102"/>
      <c r="AT260" s="102"/>
      <c r="AU260" s="102"/>
      <c r="AV260" s="611"/>
      <c r="AW260" s="611"/>
      <c r="AX260" s="175"/>
      <c r="AY260" s="612"/>
    </row>
    <row r="261" spans="15:51" ht="15" customHeight="1">
      <c r="O261" s="324"/>
      <c r="P261" s="176"/>
      <c r="Q261" s="148"/>
      <c r="R261" s="582"/>
      <c r="S261" s="582"/>
      <c r="T261" s="582"/>
      <c r="U261" s="176"/>
      <c r="V261" s="176"/>
      <c r="W261" s="102"/>
      <c r="X261" s="582"/>
      <c r="Y261" s="102"/>
      <c r="Z261" s="102"/>
      <c r="AA261" s="102"/>
      <c r="AB261" s="102"/>
      <c r="AC261" s="611"/>
      <c r="AD261" s="611"/>
      <c r="AE261" s="611"/>
      <c r="AF261" s="175"/>
      <c r="AG261" s="148"/>
      <c r="AH261" s="148"/>
      <c r="AI261" s="102"/>
      <c r="AJ261" s="102"/>
      <c r="AK261" s="102"/>
      <c r="AL261" s="102"/>
      <c r="AM261" s="102"/>
      <c r="AN261" s="102"/>
      <c r="AO261" s="102"/>
      <c r="AP261" s="102"/>
      <c r="AQ261" s="102"/>
      <c r="AR261" s="102"/>
      <c r="AS261" s="102"/>
      <c r="AT261" s="102"/>
      <c r="AU261" s="102"/>
      <c r="AV261" s="611"/>
      <c r="AW261" s="611"/>
      <c r="AX261" s="175"/>
      <c r="AY261" s="612"/>
    </row>
    <row r="262" spans="15:51" ht="15" customHeight="1">
      <c r="O262" s="623"/>
      <c r="P262" s="624"/>
      <c r="Q262" s="624"/>
      <c r="R262" s="624"/>
      <c r="S262" s="624"/>
      <c r="T262" s="624"/>
      <c r="U262" s="624"/>
      <c r="V262" s="624"/>
      <c r="W262" s="624"/>
      <c r="X262" s="624"/>
      <c r="Y262" s="624"/>
      <c r="Z262" s="624"/>
      <c r="AA262" s="624"/>
      <c r="AB262" s="624"/>
      <c r="AC262" s="624"/>
      <c r="AD262" s="624"/>
      <c r="AE262" s="624"/>
      <c r="AF262" s="624"/>
      <c r="AG262" s="624"/>
      <c r="AH262" s="624"/>
      <c r="AI262" s="624"/>
      <c r="AJ262" s="624"/>
      <c r="AK262" s="624"/>
      <c r="AL262" s="624"/>
      <c r="AM262" s="624"/>
      <c r="AN262" s="624"/>
      <c r="AO262" s="624"/>
      <c r="AP262" s="624"/>
      <c r="AQ262" s="624"/>
      <c r="AR262" s="624"/>
      <c r="AS262" s="624"/>
      <c r="AT262" s="624"/>
      <c r="AU262" s="624"/>
      <c r="AV262" s="624"/>
      <c r="AW262" s="624"/>
      <c r="AX262" s="158"/>
      <c r="AY262" s="609"/>
    </row>
    <row r="263" spans="15:51" ht="15" customHeight="1">
      <c r="O263" s="147"/>
      <c r="P263" s="148"/>
      <c r="Q263" s="148"/>
      <c r="R263" s="148"/>
      <c r="S263" s="148"/>
      <c r="T263" s="148"/>
      <c r="U263" s="148"/>
      <c r="V263" s="148"/>
      <c r="W263" s="148"/>
      <c r="X263" s="582"/>
      <c r="Y263" s="148"/>
      <c r="Z263" s="148"/>
      <c r="AA263" s="148"/>
      <c r="AB263" s="148"/>
      <c r="AC263" s="148"/>
      <c r="AD263" s="148"/>
      <c r="AE263" s="148"/>
      <c r="AF263" s="148"/>
      <c r="AG263" s="148"/>
      <c r="AH263" s="148"/>
      <c r="AI263" s="148"/>
      <c r="AJ263" s="148"/>
      <c r="AK263" s="148"/>
      <c r="AL263" s="148"/>
      <c r="AM263" s="148"/>
      <c r="AN263" s="148"/>
      <c r="AO263" s="148"/>
      <c r="AP263" s="148"/>
      <c r="AQ263" s="148"/>
      <c r="AR263" s="148"/>
      <c r="AS263" s="148"/>
      <c r="AT263" s="148"/>
      <c r="AU263" s="148"/>
      <c r="AV263" s="148"/>
      <c r="AW263" s="148"/>
      <c r="AX263" s="148"/>
      <c r="AY263" s="609"/>
    </row>
    <row r="264" spans="15:51" ht="15" customHeight="1">
      <c r="O264" s="147"/>
      <c r="P264" s="148"/>
      <c r="Q264" s="148"/>
      <c r="R264" s="148"/>
      <c r="S264" s="148"/>
      <c r="T264" s="148"/>
      <c r="U264" s="148"/>
      <c r="V264" s="148"/>
      <c r="W264" s="148"/>
      <c r="X264" s="582"/>
      <c r="Y264" s="148"/>
      <c r="Z264" s="148"/>
      <c r="AA264" s="148"/>
      <c r="AB264" s="148"/>
      <c r="AC264" s="148"/>
      <c r="AD264" s="148"/>
      <c r="AE264" s="148"/>
      <c r="AF264" s="148"/>
      <c r="AG264" s="148"/>
      <c r="AH264" s="148"/>
      <c r="AI264" s="148"/>
      <c r="AJ264" s="148"/>
      <c r="AK264" s="148"/>
      <c r="AL264" s="148"/>
      <c r="AM264" s="148"/>
      <c r="AN264" s="148"/>
      <c r="AO264" s="148"/>
      <c r="AP264" s="148"/>
      <c r="AQ264" s="148"/>
      <c r="AR264" s="148"/>
      <c r="AS264" s="148"/>
      <c r="AT264" s="148"/>
      <c r="AU264" s="148"/>
      <c r="AV264" s="148"/>
      <c r="AW264" s="148"/>
      <c r="AX264" s="148"/>
      <c r="AY264" s="609"/>
    </row>
    <row r="265" spans="15:51" ht="15" customHeight="1">
      <c r="O265" s="147"/>
      <c r="P265" s="148"/>
      <c r="Q265" s="148"/>
      <c r="R265" s="148"/>
      <c r="S265" s="148"/>
      <c r="T265" s="148"/>
      <c r="U265" s="148"/>
      <c r="V265" s="148"/>
      <c r="W265" s="148"/>
      <c r="X265" s="582"/>
      <c r="Y265" s="148"/>
      <c r="Z265" s="148"/>
      <c r="AA265" s="148"/>
      <c r="AB265" s="148"/>
      <c r="AC265" s="148"/>
      <c r="AD265" s="148"/>
      <c r="AE265" s="148"/>
      <c r="AF265" s="148"/>
      <c r="AG265" s="148"/>
      <c r="AH265" s="148"/>
      <c r="AI265" s="148"/>
      <c r="AJ265" s="148"/>
      <c r="AK265" s="148"/>
      <c r="AL265" s="148"/>
      <c r="AM265" s="148"/>
      <c r="AN265" s="148"/>
      <c r="AO265" s="148"/>
      <c r="AP265" s="148"/>
      <c r="AQ265" s="148"/>
      <c r="AR265" s="148"/>
      <c r="AS265" s="148"/>
      <c r="AT265" s="148"/>
      <c r="AU265" s="148"/>
      <c r="AV265" s="148"/>
      <c r="AW265" s="148"/>
      <c r="AX265" s="148"/>
      <c r="AY265" s="609"/>
    </row>
    <row r="266" spans="15:51" ht="15" customHeight="1">
      <c r="O266" s="625"/>
      <c r="P266" s="148"/>
      <c r="Q266" s="148"/>
      <c r="R266" s="148"/>
      <c r="S266" s="148"/>
      <c r="T266" s="148"/>
      <c r="U266" s="148"/>
      <c r="V266" s="148"/>
      <c r="W266" s="148"/>
      <c r="X266" s="582"/>
      <c r="Y266" s="148"/>
      <c r="Z266" s="148"/>
      <c r="AA266" s="148"/>
      <c r="AB266" s="148"/>
      <c r="AC266" s="148"/>
      <c r="AD266" s="148"/>
      <c r="AE266" s="148"/>
      <c r="AF266" s="148"/>
      <c r="AG266" s="148"/>
      <c r="AH266" s="148"/>
      <c r="AI266" s="148"/>
      <c r="AJ266" s="148"/>
      <c r="AK266" s="148"/>
      <c r="AL266" s="148"/>
      <c r="AM266" s="148"/>
      <c r="AN266" s="148"/>
      <c r="AO266" s="148"/>
      <c r="AP266" s="148"/>
      <c r="AQ266" s="148"/>
      <c r="AR266" s="148"/>
      <c r="AS266" s="148"/>
      <c r="AT266" s="148"/>
      <c r="AU266" s="148"/>
      <c r="AV266" s="148"/>
      <c r="AW266" s="148"/>
      <c r="AX266" s="148"/>
      <c r="AY266" s="609"/>
    </row>
    <row r="267" spans="15:51" ht="15" customHeight="1">
      <c r="O267" s="147"/>
      <c r="P267" s="148"/>
      <c r="Q267" s="148"/>
      <c r="R267" s="148"/>
      <c r="S267" s="148"/>
      <c r="T267" s="148"/>
      <c r="U267" s="148"/>
      <c r="V267" s="148"/>
      <c r="W267" s="148"/>
      <c r="X267" s="582"/>
      <c r="Y267" s="148"/>
      <c r="Z267" s="148"/>
      <c r="AA267" s="148"/>
      <c r="AB267" s="148"/>
      <c r="AC267" s="148"/>
      <c r="AD267" s="148"/>
      <c r="AE267" s="148"/>
      <c r="AF267" s="148"/>
      <c r="AG267" s="148"/>
      <c r="AH267" s="148"/>
      <c r="AI267" s="148"/>
      <c r="AJ267" s="148"/>
      <c r="AK267" s="148"/>
      <c r="AL267" s="148"/>
      <c r="AM267" s="148"/>
      <c r="AN267" s="148"/>
      <c r="AO267" s="148"/>
      <c r="AP267" s="148"/>
      <c r="AQ267" s="148"/>
      <c r="AR267" s="148"/>
      <c r="AS267" s="148"/>
      <c r="AT267" s="148"/>
      <c r="AU267" s="148"/>
      <c r="AV267" s="148"/>
      <c r="AW267" s="148"/>
      <c r="AX267" s="148"/>
      <c r="AY267" s="609"/>
    </row>
    <row r="268" spans="15:51" ht="15" customHeight="1">
      <c r="O268" s="612"/>
      <c r="P268" s="617"/>
      <c r="Q268" s="617"/>
      <c r="R268" s="617"/>
      <c r="S268" s="617"/>
      <c r="T268" s="617"/>
      <c r="U268" s="617"/>
      <c r="V268" s="617"/>
      <c r="W268" s="617"/>
      <c r="X268" s="617"/>
      <c r="Y268" s="617"/>
      <c r="Z268" s="617"/>
      <c r="AA268" s="617"/>
      <c r="AB268" s="617"/>
      <c r="AC268" s="617"/>
      <c r="AD268" s="617"/>
      <c r="AE268" s="617"/>
      <c r="AF268" s="617"/>
      <c r="AG268" s="617"/>
      <c r="AH268" s="617"/>
      <c r="AI268" s="617"/>
      <c r="AJ268" s="617"/>
      <c r="AK268" s="617"/>
      <c r="AL268" s="617"/>
      <c r="AM268" s="617"/>
      <c r="AN268" s="617"/>
      <c r="AO268" s="617"/>
      <c r="AP268" s="617"/>
      <c r="AQ268" s="617"/>
      <c r="AR268" s="617"/>
      <c r="AS268" s="617"/>
      <c r="AT268" s="617"/>
      <c r="AU268" s="617"/>
      <c r="AV268" s="617"/>
      <c r="AW268" s="617"/>
      <c r="AX268" s="324"/>
      <c r="AY268" s="609"/>
    </row>
    <row r="269" spans="15:51" ht="15" customHeight="1">
      <c r="O269" s="626"/>
      <c r="P269" s="609"/>
      <c r="Q269" s="148"/>
      <c r="R269" s="148"/>
      <c r="S269" s="148"/>
      <c r="T269" s="148"/>
      <c r="U269" s="148"/>
      <c r="V269" s="148"/>
      <c r="W269" s="148"/>
      <c r="X269" s="582"/>
      <c r="Y269" s="148"/>
      <c r="Z269" s="148"/>
      <c r="AA269" s="148"/>
      <c r="AB269" s="148"/>
      <c r="AC269" s="148"/>
      <c r="AD269" s="148"/>
      <c r="AE269" s="148"/>
      <c r="AF269" s="148"/>
      <c r="AG269" s="148"/>
      <c r="AH269" s="148"/>
      <c r="AI269" s="148"/>
      <c r="AJ269" s="148"/>
      <c r="AK269" s="148"/>
      <c r="AL269" s="148"/>
      <c r="AM269" s="148"/>
      <c r="AN269" s="148"/>
      <c r="AO269" s="148"/>
      <c r="AP269" s="148"/>
      <c r="AQ269" s="148"/>
      <c r="AR269" s="148"/>
      <c r="AS269" s="148"/>
      <c r="AT269" s="148"/>
      <c r="AU269" s="148"/>
      <c r="AV269" s="148"/>
      <c r="AW269" s="148"/>
      <c r="AX269" s="148"/>
      <c r="AY269" s="609"/>
    </row>
    <row r="270" spans="15:51" ht="15" customHeight="1">
      <c r="O270" s="612"/>
      <c r="P270" s="324"/>
      <c r="Q270" s="102"/>
      <c r="R270" s="148"/>
      <c r="S270" s="148"/>
      <c r="T270" s="148"/>
      <c r="U270" s="148"/>
      <c r="V270" s="148"/>
      <c r="W270" s="148"/>
      <c r="X270" s="582"/>
      <c r="Y270" s="148"/>
      <c r="Z270" s="148"/>
      <c r="AA270" s="148"/>
      <c r="AB270" s="148"/>
      <c r="AC270" s="148"/>
      <c r="AD270" s="148"/>
      <c r="AE270" s="148"/>
      <c r="AF270" s="148"/>
      <c r="AG270" s="148"/>
      <c r="AH270" s="148"/>
      <c r="AI270" s="148"/>
      <c r="AJ270" s="148"/>
      <c r="AK270" s="148"/>
      <c r="AL270" s="148"/>
      <c r="AM270" s="148"/>
      <c r="AN270" s="148"/>
      <c r="AO270" s="148"/>
      <c r="AP270" s="148"/>
      <c r="AQ270" s="148"/>
      <c r="AR270" s="148"/>
      <c r="AS270" s="148"/>
      <c r="AT270" s="148"/>
      <c r="AU270" s="148"/>
      <c r="AV270" s="148"/>
      <c r="AW270" s="148"/>
      <c r="AX270" s="148"/>
      <c r="AY270" s="609"/>
    </row>
    <row r="271" spans="15:51" ht="15" customHeight="1">
      <c r="O271" s="626"/>
      <c r="P271" s="609"/>
      <c r="Q271" s="148"/>
      <c r="R271" s="148"/>
      <c r="S271" s="148"/>
      <c r="T271" s="148"/>
      <c r="U271" s="148"/>
      <c r="V271" s="148"/>
      <c r="W271" s="148"/>
      <c r="X271" s="582"/>
      <c r="Y271" s="148"/>
      <c r="Z271" s="148"/>
      <c r="AA271" s="148"/>
      <c r="AB271" s="148"/>
      <c r="AC271" s="148"/>
      <c r="AD271" s="148"/>
      <c r="AE271" s="148"/>
      <c r="AF271" s="148"/>
      <c r="AG271" s="148"/>
      <c r="AH271" s="148"/>
      <c r="AI271" s="148"/>
      <c r="AJ271" s="148"/>
      <c r="AK271" s="148"/>
      <c r="AL271" s="148"/>
      <c r="AM271" s="148"/>
      <c r="AN271" s="148"/>
      <c r="AO271" s="148"/>
      <c r="AP271" s="148"/>
      <c r="AQ271" s="148"/>
      <c r="AR271" s="148"/>
      <c r="AS271" s="148"/>
      <c r="AT271" s="148"/>
      <c r="AU271" s="148"/>
      <c r="AV271" s="148"/>
      <c r="AW271" s="148"/>
      <c r="AX271" s="148"/>
      <c r="AY271" s="609"/>
    </row>
    <row r="272" spans="15:51" ht="15" customHeight="1">
      <c r="O272" s="626"/>
      <c r="P272" s="609"/>
      <c r="Q272" s="148"/>
      <c r="R272" s="148"/>
      <c r="S272" s="148"/>
      <c r="T272" s="148"/>
      <c r="U272" s="148"/>
      <c r="V272" s="148"/>
      <c r="W272" s="627"/>
      <c r="X272" s="627"/>
      <c r="Y272" s="576"/>
      <c r="Z272" s="576"/>
      <c r="AA272" s="148"/>
      <c r="AB272" s="148"/>
      <c r="AC272" s="148"/>
      <c r="AD272" s="148"/>
      <c r="AE272" s="148"/>
      <c r="AF272" s="148"/>
      <c r="AG272" s="148"/>
      <c r="AH272" s="148"/>
      <c r="AI272" s="148"/>
      <c r="AJ272" s="148"/>
      <c r="AK272" s="148"/>
      <c r="AL272" s="148"/>
      <c r="AM272" s="148"/>
      <c r="AN272" s="148"/>
      <c r="AO272" s="148"/>
      <c r="AP272" s="148"/>
      <c r="AQ272" s="148"/>
      <c r="AR272" s="148"/>
      <c r="AS272" s="148"/>
      <c r="AT272" s="148"/>
      <c r="AU272" s="148"/>
      <c r="AV272" s="148"/>
      <c r="AW272" s="148"/>
      <c r="AX272" s="148"/>
      <c r="AY272" s="609"/>
    </row>
    <row r="273" spans="15:51" ht="15" customHeight="1">
      <c r="O273" s="626"/>
      <c r="P273" s="609"/>
      <c r="Q273" s="148"/>
      <c r="R273" s="148"/>
      <c r="S273" s="148"/>
      <c r="T273" s="148"/>
      <c r="U273" s="148"/>
      <c r="V273" s="148"/>
      <c r="W273" s="148"/>
      <c r="X273" s="582"/>
      <c r="Y273" s="148"/>
      <c r="Z273" s="148"/>
      <c r="AA273" s="148"/>
      <c r="AB273" s="148"/>
      <c r="AC273" s="148"/>
      <c r="AD273" s="148"/>
      <c r="AE273" s="148"/>
      <c r="AF273" s="148"/>
      <c r="AG273" s="148"/>
      <c r="AH273" s="148"/>
      <c r="AI273" s="148"/>
      <c r="AJ273" s="148"/>
      <c r="AK273" s="148"/>
      <c r="AL273" s="148"/>
      <c r="AM273" s="148"/>
      <c r="AN273" s="148"/>
      <c r="AO273" s="148"/>
      <c r="AP273" s="148"/>
      <c r="AQ273" s="148"/>
      <c r="AR273" s="148"/>
      <c r="AS273" s="148"/>
      <c r="AT273" s="148"/>
      <c r="AU273" s="148"/>
      <c r="AV273" s="148"/>
      <c r="AW273" s="148"/>
      <c r="AX273" s="148"/>
      <c r="AY273" s="609"/>
    </row>
    <row r="274" spans="15:51" ht="15" customHeight="1">
      <c r="O274" s="626"/>
      <c r="P274" s="609"/>
      <c r="Q274" s="148"/>
      <c r="R274" s="148"/>
      <c r="S274" s="148"/>
      <c r="T274" s="148"/>
      <c r="U274" s="148"/>
      <c r="V274" s="148"/>
      <c r="W274" s="148"/>
      <c r="X274" s="582"/>
      <c r="Y274" s="148"/>
      <c r="Z274" s="148"/>
      <c r="AA274" s="148"/>
      <c r="AB274" s="148"/>
      <c r="AC274" s="148"/>
      <c r="AD274" s="148"/>
      <c r="AE274" s="148"/>
      <c r="AF274" s="148"/>
      <c r="AG274" s="148"/>
      <c r="AH274" s="148"/>
      <c r="AI274" s="148"/>
      <c r="AJ274" s="148"/>
      <c r="AK274" s="148"/>
      <c r="AL274" s="148"/>
      <c r="AM274" s="148"/>
      <c r="AN274" s="148"/>
      <c r="AO274" s="148"/>
      <c r="AP274" s="148"/>
      <c r="AQ274" s="148"/>
      <c r="AR274" s="148"/>
      <c r="AS274" s="148"/>
      <c r="AT274" s="148"/>
      <c r="AU274" s="148"/>
      <c r="AV274" s="148"/>
      <c r="AW274" s="148"/>
      <c r="AX274" s="148"/>
      <c r="AY274" s="609"/>
    </row>
    <row r="275" spans="15:51" ht="15" customHeight="1">
      <c r="O275" s="626"/>
      <c r="P275" s="609"/>
      <c r="Q275" s="148"/>
      <c r="R275" s="148"/>
      <c r="S275" s="148"/>
      <c r="T275" s="148"/>
      <c r="U275" s="148"/>
      <c r="V275" s="148"/>
      <c r="W275" s="148"/>
      <c r="X275" s="582"/>
      <c r="Y275" s="148"/>
      <c r="Z275" s="148"/>
      <c r="AA275" s="148"/>
      <c r="AB275" s="148"/>
      <c r="AC275" s="148"/>
      <c r="AD275" s="148"/>
      <c r="AE275" s="148"/>
      <c r="AF275" s="148"/>
      <c r="AG275" s="148"/>
      <c r="AH275" s="148"/>
      <c r="AI275" s="148"/>
      <c r="AJ275" s="148"/>
      <c r="AK275" s="148"/>
      <c r="AL275" s="148"/>
      <c r="AM275" s="148"/>
      <c r="AN275" s="148"/>
      <c r="AO275" s="148"/>
      <c r="AP275" s="148"/>
      <c r="AQ275" s="148"/>
      <c r="AR275" s="148"/>
      <c r="AS275" s="148"/>
      <c r="AT275" s="148"/>
      <c r="AU275" s="148"/>
      <c r="AV275" s="148"/>
      <c r="AW275" s="148"/>
      <c r="AX275" s="148"/>
      <c r="AY275" s="609"/>
    </row>
    <row r="276" spans="15:51" ht="15" customHeight="1">
      <c r="O276" s="626"/>
      <c r="P276" s="609"/>
      <c r="Q276" s="148"/>
      <c r="R276" s="148"/>
      <c r="S276" s="148"/>
      <c r="T276" s="148"/>
      <c r="U276" s="176"/>
      <c r="V276" s="148"/>
      <c r="W276" s="148"/>
      <c r="X276" s="582"/>
      <c r="Y276" s="148"/>
      <c r="Z276" s="148"/>
      <c r="AA276" s="148"/>
      <c r="AB276" s="148"/>
      <c r="AC276" s="148"/>
      <c r="AD276" s="148"/>
      <c r="AE276" s="148"/>
      <c r="AF276" s="148"/>
      <c r="AG276" s="148"/>
      <c r="AH276" s="148"/>
      <c r="AI276" s="148"/>
      <c r="AJ276" s="148"/>
      <c r="AK276" s="148"/>
      <c r="AL276" s="148"/>
      <c r="AM276" s="148"/>
      <c r="AN276" s="148"/>
      <c r="AO276" s="148"/>
      <c r="AP276" s="148"/>
      <c r="AQ276" s="148"/>
      <c r="AR276" s="148"/>
      <c r="AS276" s="148"/>
      <c r="AT276" s="148"/>
      <c r="AU276" s="148"/>
      <c r="AV276" s="148"/>
      <c r="AW276" s="148"/>
      <c r="AX276" s="148"/>
      <c r="AY276" s="609"/>
    </row>
    <row r="277" spans="15:51" ht="15" customHeight="1">
      <c r="O277" s="626"/>
      <c r="P277" s="609"/>
      <c r="Q277" s="148"/>
      <c r="R277" s="148"/>
      <c r="S277" s="148"/>
      <c r="T277" s="148"/>
      <c r="U277" s="148"/>
      <c r="V277" s="148"/>
      <c r="W277" s="148"/>
      <c r="X277" s="582"/>
      <c r="Y277" s="148"/>
      <c r="Z277" s="148"/>
      <c r="AA277" s="148"/>
      <c r="AB277" s="148"/>
      <c r="AC277" s="148"/>
      <c r="AD277" s="148"/>
      <c r="AE277" s="148"/>
      <c r="AF277" s="148"/>
      <c r="AG277" s="148"/>
      <c r="AH277" s="148"/>
      <c r="AI277" s="148"/>
      <c r="AJ277" s="148"/>
      <c r="AK277" s="148"/>
      <c r="AL277" s="148"/>
      <c r="AM277" s="148"/>
      <c r="AN277" s="148"/>
      <c r="AO277" s="148"/>
      <c r="AP277" s="148"/>
      <c r="AQ277" s="148"/>
      <c r="AR277" s="148"/>
      <c r="AS277" s="148"/>
      <c r="AT277" s="148"/>
      <c r="AU277" s="148"/>
      <c r="AV277" s="148"/>
      <c r="AW277" s="148"/>
      <c r="AX277" s="148"/>
      <c r="AY277" s="609"/>
    </row>
    <row r="278" spans="15:51" ht="15" customHeight="1">
      <c r="O278" s="626"/>
      <c r="P278" s="609"/>
      <c r="Q278" s="148"/>
      <c r="R278" s="148"/>
      <c r="S278" s="148"/>
      <c r="T278" s="148"/>
      <c r="U278" s="148"/>
      <c r="V278" s="148"/>
      <c r="W278" s="148"/>
      <c r="X278" s="582"/>
      <c r="Y278" s="148"/>
      <c r="Z278" s="148"/>
      <c r="AA278" s="148"/>
      <c r="AB278" s="148"/>
      <c r="AC278" s="148"/>
      <c r="AD278" s="148"/>
      <c r="AE278" s="148"/>
      <c r="AF278" s="148"/>
      <c r="AG278" s="148"/>
      <c r="AH278" s="148"/>
      <c r="AI278" s="148"/>
      <c r="AJ278" s="148"/>
      <c r="AK278" s="148"/>
      <c r="AL278" s="148"/>
      <c r="AM278" s="148"/>
      <c r="AN278" s="148"/>
      <c r="AO278" s="148"/>
      <c r="AP278" s="148"/>
      <c r="AQ278" s="148"/>
      <c r="AR278" s="148"/>
      <c r="AS278" s="148"/>
      <c r="AT278" s="148"/>
      <c r="AU278" s="148"/>
      <c r="AV278" s="148"/>
      <c r="AW278" s="148"/>
      <c r="AX278" s="148"/>
      <c r="AY278" s="609"/>
    </row>
    <row r="279" spans="15:51" ht="15" customHeight="1">
      <c r="O279" s="626"/>
      <c r="P279" s="609"/>
      <c r="Q279" s="148"/>
      <c r="R279" s="148"/>
      <c r="S279" s="148"/>
      <c r="T279" s="148"/>
      <c r="U279" s="148"/>
      <c r="V279" s="148"/>
      <c r="W279" s="148"/>
      <c r="X279" s="582"/>
      <c r="Y279" s="148"/>
      <c r="Z279" s="148"/>
      <c r="AA279" s="148"/>
      <c r="AB279" s="148"/>
      <c r="AC279" s="148"/>
      <c r="AD279" s="148"/>
      <c r="AE279" s="148"/>
      <c r="AF279" s="148"/>
      <c r="AG279" s="148"/>
      <c r="AH279" s="148"/>
      <c r="AI279" s="148"/>
      <c r="AJ279" s="148"/>
      <c r="AK279" s="148"/>
      <c r="AL279" s="148"/>
      <c r="AM279" s="148"/>
      <c r="AN279" s="148"/>
      <c r="AO279" s="148"/>
      <c r="AP279" s="148"/>
      <c r="AQ279" s="148"/>
      <c r="AR279" s="148"/>
      <c r="AS279" s="148"/>
      <c r="AT279" s="148"/>
      <c r="AU279" s="148"/>
      <c r="AV279" s="148"/>
      <c r="AW279" s="148"/>
      <c r="AX279" s="148"/>
      <c r="AY279" s="609"/>
    </row>
    <row r="280" spans="15:51" ht="15" customHeight="1">
      <c r="O280" s="626"/>
      <c r="P280" s="609"/>
      <c r="Q280" s="148"/>
      <c r="R280" s="148"/>
      <c r="S280" s="148"/>
      <c r="T280" s="148"/>
      <c r="U280" s="148"/>
      <c r="V280" s="148"/>
      <c r="W280" s="148"/>
      <c r="X280" s="582"/>
      <c r="Y280" s="148"/>
      <c r="Z280" s="148"/>
      <c r="AA280" s="148"/>
      <c r="AB280" s="148"/>
      <c r="AC280" s="148"/>
      <c r="AD280" s="148"/>
      <c r="AE280" s="148"/>
      <c r="AF280" s="148"/>
      <c r="AG280" s="148"/>
      <c r="AH280" s="148"/>
      <c r="AI280" s="148"/>
      <c r="AJ280" s="148"/>
      <c r="AK280" s="148"/>
      <c r="AL280" s="148"/>
      <c r="AM280" s="148"/>
      <c r="AN280" s="148"/>
      <c r="AO280" s="148"/>
      <c r="AP280" s="148"/>
      <c r="AQ280" s="148"/>
      <c r="AR280" s="148"/>
      <c r="AS280" s="148"/>
      <c r="AT280" s="148"/>
      <c r="AU280" s="148"/>
      <c r="AV280" s="148"/>
      <c r="AW280" s="148"/>
      <c r="AX280" s="148"/>
      <c r="AY280" s="609"/>
    </row>
    <row r="281" spans="15:51" ht="15" customHeight="1">
      <c r="O281" s="626"/>
      <c r="P281" s="609"/>
      <c r="Q281" s="148"/>
      <c r="R281" s="148"/>
      <c r="S281" s="148"/>
      <c r="T281" s="148"/>
      <c r="U281" s="148"/>
      <c r="V281" s="148"/>
      <c r="W281" s="148"/>
      <c r="X281" s="582"/>
      <c r="Y281" s="148"/>
      <c r="Z281" s="148"/>
      <c r="AA281" s="148"/>
      <c r="AB281" s="148"/>
      <c r="AC281" s="148"/>
      <c r="AD281" s="148"/>
      <c r="AE281" s="148"/>
      <c r="AF281" s="148"/>
      <c r="AG281" s="148"/>
      <c r="AH281" s="148"/>
      <c r="AI281" s="148"/>
      <c r="AJ281" s="148"/>
      <c r="AK281" s="148"/>
      <c r="AL281" s="148"/>
      <c r="AM281" s="148"/>
      <c r="AN281" s="148"/>
      <c r="AO281" s="148"/>
      <c r="AP281" s="148"/>
      <c r="AQ281" s="148"/>
      <c r="AR281" s="148"/>
      <c r="AS281" s="148"/>
      <c r="AT281" s="148"/>
      <c r="AU281" s="148"/>
      <c r="AV281" s="148"/>
      <c r="AW281" s="148"/>
      <c r="AX281" s="148"/>
      <c r="AY281" s="609"/>
    </row>
    <row r="282" spans="15:51" ht="15" customHeight="1">
      <c r="O282" s="626"/>
      <c r="P282" s="609"/>
      <c r="Q282" s="148"/>
      <c r="R282" s="148"/>
      <c r="S282" s="148"/>
      <c r="T282" s="148"/>
      <c r="U282" s="148"/>
      <c r="V282" s="148"/>
      <c r="W282" s="148"/>
      <c r="X282" s="582"/>
      <c r="Y282" s="148"/>
      <c r="Z282" s="148"/>
      <c r="AA282" s="148"/>
      <c r="AB282" s="148"/>
      <c r="AC282" s="148"/>
      <c r="AD282" s="148"/>
      <c r="AE282" s="148"/>
      <c r="AF282" s="148"/>
      <c r="AG282" s="148"/>
      <c r="AH282" s="148"/>
      <c r="AI282" s="148"/>
      <c r="AJ282" s="148"/>
      <c r="AK282" s="148"/>
      <c r="AL282" s="148"/>
      <c r="AM282" s="148"/>
      <c r="AN282" s="148"/>
      <c r="AO282" s="148"/>
      <c r="AP282" s="148"/>
      <c r="AQ282" s="148"/>
      <c r="AR282" s="148"/>
      <c r="AS282" s="148"/>
      <c r="AT282" s="148"/>
      <c r="AU282" s="148"/>
      <c r="AV282" s="148"/>
      <c r="AW282" s="148"/>
      <c r="AX282" s="148"/>
      <c r="AY282" s="609"/>
    </row>
    <row r="283" spans="15:51" ht="15" customHeight="1">
      <c r="O283" s="626"/>
      <c r="P283" s="609"/>
      <c r="Q283" s="148"/>
      <c r="R283" s="148"/>
      <c r="S283" s="148"/>
      <c r="T283" s="148"/>
      <c r="U283" s="148"/>
      <c r="V283" s="148"/>
      <c r="W283" s="148"/>
      <c r="X283" s="582"/>
      <c r="Y283" s="148"/>
      <c r="Z283" s="148"/>
      <c r="AA283" s="148"/>
      <c r="AB283" s="148"/>
      <c r="AC283" s="148"/>
      <c r="AD283" s="148"/>
      <c r="AE283" s="148"/>
      <c r="AF283" s="148"/>
      <c r="AG283" s="148"/>
      <c r="AH283" s="148"/>
      <c r="AI283" s="148"/>
      <c r="AJ283" s="148"/>
      <c r="AK283" s="148"/>
      <c r="AL283" s="148"/>
      <c r="AM283" s="148"/>
      <c r="AN283" s="148"/>
      <c r="AO283" s="148"/>
      <c r="AP283" s="148"/>
      <c r="AQ283" s="148"/>
      <c r="AR283" s="148"/>
      <c r="AS283" s="148"/>
      <c r="AT283" s="148"/>
      <c r="AU283" s="148"/>
      <c r="AV283" s="148"/>
      <c r="AW283" s="148"/>
      <c r="AX283" s="148"/>
      <c r="AY283" s="609"/>
    </row>
    <row r="284" spans="15:51" ht="15" customHeight="1">
      <c r="O284" s="626"/>
      <c r="P284" s="609"/>
      <c r="Q284" s="148"/>
      <c r="R284" s="148"/>
      <c r="S284" s="148"/>
      <c r="T284" s="148"/>
      <c r="U284" s="148"/>
      <c r="V284" s="148"/>
      <c r="W284" s="148"/>
      <c r="X284" s="582"/>
      <c r="Y284" s="148"/>
      <c r="Z284" s="148"/>
      <c r="AA284" s="148"/>
      <c r="AB284" s="148"/>
      <c r="AC284" s="148"/>
      <c r="AD284" s="148"/>
      <c r="AE284" s="148"/>
      <c r="AF284" s="148"/>
      <c r="AG284" s="148"/>
      <c r="AH284" s="148"/>
      <c r="AI284" s="148"/>
      <c r="AJ284" s="148"/>
      <c r="AK284" s="148"/>
      <c r="AL284" s="148"/>
      <c r="AM284" s="148"/>
      <c r="AN284" s="148"/>
      <c r="AO284" s="148"/>
      <c r="AP284" s="148"/>
      <c r="AQ284" s="148"/>
      <c r="AR284" s="148"/>
      <c r="AS284" s="148"/>
      <c r="AT284" s="148"/>
      <c r="AU284" s="148"/>
      <c r="AV284" s="148"/>
      <c r="AW284" s="148"/>
      <c r="AX284" s="148"/>
      <c r="AY284" s="609"/>
    </row>
    <row r="285" spans="15:51" ht="15" customHeight="1">
      <c r="O285" s="626"/>
      <c r="P285" s="609"/>
      <c r="Q285" s="148"/>
      <c r="R285" s="148"/>
      <c r="S285" s="148"/>
      <c r="T285" s="148"/>
      <c r="U285" s="148"/>
      <c r="V285" s="148"/>
      <c r="W285" s="148"/>
      <c r="X285" s="582"/>
      <c r="Y285" s="148"/>
      <c r="Z285" s="148"/>
      <c r="AA285" s="148"/>
      <c r="AB285" s="148"/>
      <c r="AC285" s="148"/>
      <c r="AD285" s="148"/>
      <c r="AE285" s="148"/>
      <c r="AF285" s="148"/>
      <c r="AG285" s="148"/>
      <c r="AH285" s="148"/>
      <c r="AI285" s="148"/>
      <c r="AJ285" s="148"/>
      <c r="AK285" s="148"/>
      <c r="AL285" s="148"/>
      <c r="AM285" s="148"/>
      <c r="AN285" s="148"/>
      <c r="AO285" s="148"/>
      <c r="AP285" s="148"/>
      <c r="AQ285" s="148"/>
      <c r="AR285" s="148"/>
      <c r="AS285" s="148"/>
      <c r="AT285" s="148"/>
      <c r="AU285" s="148"/>
      <c r="AV285" s="148"/>
      <c r="AW285" s="148"/>
      <c r="AX285" s="148"/>
      <c r="AY285" s="609"/>
    </row>
    <row r="286" spans="15:51" ht="15" customHeight="1">
      <c r="O286" s="626"/>
      <c r="P286" s="609"/>
      <c r="Q286" s="148"/>
      <c r="R286" s="148"/>
      <c r="S286" s="148"/>
      <c r="T286" s="148"/>
      <c r="U286" s="148"/>
      <c r="V286" s="148"/>
      <c r="W286" s="148"/>
      <c r="X286" s="582"/>
      <c r="Y286" s="148"/>
      <c r="Z286" s="148"/>
      <c r="AA286" s="148"/>
      <c r="AB286" s="148"/>
      <c r="AC286" s="148"/>
      <c r="AD286" s="148"/>
      <c r="AE286" s="148"/>
      <c r="AF286" s="148"/>
      <c r="AG286" s="148"/>
      <c r="AH286" s="148"/>
      <c r="AI286" s="148"/>
      <c r="AJ286" s="148"/>
      <c r="AK286" s="148"/>
      <c r="AL286" s="148"/>
      <c r="AM286" s="148"/>
      <c r="AN286" s="148"/>
      <c r="AO286" s="148"/>
      <c r="AP286" s="148"/>
      <c r="AQ286" s="148"/>
      <c r="AR286" s="148"/>
      <c r="AS286" s="148"/>
      <c r="AT286" s="148"/>
      <c r="AU286" s="148"/>
      <c r="AV286" s="148"/>
      <c r="AW286" s="148"/>
      <c r="AX286" s="148"/>
      <c r="AY286" s="609"/>
    </row>
    <row r="287" spans="15:51" ht="15" customHeight="1">
      <c r="O287" s="626"/>
      <c r="P287" s="609"/>
      <c r="Q287" s="148"/>
      <c r="R287" s="148"/>
      <c r="S287" s="148"/>
      <c r="T287" s="148"/>
      <c r="U287" s="148"/>
      <c r="V287" s="148"/>
      <c r="W287" s="148"/>
      <c r="X287" s="582"/>
      <c r="Y287" s="148"/>
      <c r="Z287" s="148"/>
      <c r="AA287" s="148"/>
      <c r="AB287" s="148"/>
      <c r="AC287" s="148"/>
      <c r="AD287" s="148"/>
      <c r="AE287" s="148"/>
      <c r="AF287" s="148"/>
      <c r="AG287" s="148"/>
      <c r="AH287" s="148"/>
      <c r="AI287" s="148"/>
      <c r="AJ287" s="148"/>
      <c r="AK287" s="148"/>
      <c r="AL287" s="148"/>
      <c r="AM287" s="148"/>
      <c r="AN287" s="148"/>
      <c r="AO287" s="148"/>
      <c r="AP287" s="148"/>
      <c r="AQ287" s="148"/>
      <c r="AR287" s="148"/>
      <c r="AS287" s="148"/>
      <c r="AT287" s="148"/>
      <c r="AU287" s="148"/>
      <c r="AV287" s="148"/>
      <c r="AW287" s="148"/>
      <c r="AX287" s="148"/>
      <c r="AY287" s="609"/>
    </row>
    <row r="288" spans="15:51" ht="15" customHeight="1">
      <c r="O288" s="612"/>
      <c r="P288" s="617"/>
      <c r="Q288" s="617"/>
      <c r="R288" s="617"/>
      <c r="S288" s="617"/>
      <c r="T288" s="617"/>
      <c r="U288" s="617"/>
      <c r="V288" s="617"/>
      <c r="W288" s="617"/>
      <c r="X288" s="617"/>
      <c r="Y288" s="617"/>
      <c r="Z288" s="617"/>
      <c r="AA288" s="617"/>
      <c r="AB288" s="617"/>
      <c r="AC288" s="617"/>
      <c r="AD288" s="617"/>
      <c r="AE288" s="617"/>
      <c r="AF288" s="617"/>
      <c r="AG288" s="617"/>
      <c r="AH288" s="617"/>
      <c r="AI288" s="617"/>
      <c r="AJ288" s="617"/>
      <c r="AK288" s="617"/>
      <c r="AL288" s="617"/>
      <c r="AM288" s="617"/>
      <c r="AN288" s="617"/>
      <c r="AO288" s="617"/>
      <c r="AP288" s="617"/>
      <c r="AQ288" s="617"/>
      <c r="AR288" s="617"/>
      <c r="AS288" s="617"/>
      <c r="AT288" s="617"/>
      <c r="AU288" s="617"/>
      <c r="AV288" s="617"/>
      <c r="AW288" s="617"/>
      <c r="AX288" s="324"/>
      <c r="AY288" s="609"/>
    </row>
    <row r="289" spans="15:51" ht="15" customHeight="1">
      <c r="O289" s="626"/>
      <c r="P289" s="609"/>
      <c r="Q289" s="148"/>
      <c r="R289" s="148"/>
      <c r="S289" s="148"/>
      <c r="T289" s="148"/>
      <c r="U289" s="148"/>
      <c r="V289" s="148"/>
      <c r="W289" s="148"/>
      <c r="X289" s="582"/>
      <c r="Y289" s="148"/>
      <c r="Z289" s="148"/>
      <c r="AA289" s="148"/>
      <c r="AB289" s="148"/>
      <c r="AC289" s="148"/>
      <c r="AD289" s="148"/>
      <c r="AE289" s="148"/>
      <c r="AF289" s="148"/>
      <c r="AG289" s="148"/>
      <c r="AH289" s="148"/>
      <c r="AI289" s="148"/>
      <c r="AJ289" s="148"/>
      <c r="AK289" s="148"/>
      <c r="AL289" s="148"/>
      <c r="AM289" s="148"/>
      <c r="AN289" s="148"/>
      <c r="AO289" s="148"/>
      <c r="AP289" s="148"/>
      <c r="AQ289" s="148"/>
      <c r="AR289" s="148"/>
      <c r="AS289" s="148"/>
      <c r="AT289" s="148"/>
      <c r="AU289" s="148"/>
      <c r="AV289" s="148"/>
      <c r="AW289" s="148"/>
      <c r="AX289" s="148"/>
      <c r="AY289" s="609"/>
    </row>
    <row r="290" spans="15:51" ht="15" customHeight="1">
      <c r="O290" s="147"/>
      <c r="P290" s="148"/>
      <c r="Q290" s="148"/>
      <c r="R290" s="148"/>
      <c r="S290" s="148"/>
      <c r="T290" s="148"/>
      <c r="U290" s="148"/>
      <c r="V290" s="148"/>
      <c r="W290" s="148"/>
      <c r="X290" s="582"/>
      <c r="Y290" s="148"/>
      <c r="Z290" s="148"/>
      <c r="AA290" s="148"/>
      <c r="AB290" s="148"/>
      <c r="AC290" s="148"/>
      <c r="AD290" s="148"/>
      <c r="AE290" s="148"/>
      <c r="AF290" s="148"/>
      <c r="AG290" s="148"/>
      <c r="AH290" s="148"/>
      <c r="AI290" s="148"/>
      <c r="AJ290" s="148"/>
      <c r="AK290" s="148"/>
      <c r="AL290" s="148"/>
      <c r="AM290" s="148"/>
      <c r="AN290" s="148"/>
      <c r="AO290" s="148"/>
      <c r="AP290" s="148"/>
      <c r="AQ290" s="148"/>
      <c r="AR290" s="148"/>
      <c r="AS290" s="148"/>
      <c r="AT290" s="148"/>
      <c r="AU290" s="148"/>
      <c r="AV290" s="148"/>
      <c r="AW290" s="148"/>
      <c r="AX290" s="148"/>
      <c r="AY290" s="609"/>
    </row>
    <row r="291" spans="15:51" ht="15" customHeight="1">
      <c r="O291" s="147"/>
      <c r="P291" s="148"/>
      <c r="Q291" s="148"/>
      <c r="R291" s="148"/>
      <c r="S291" s="148"/>
      <c r="T291" s="148"/>
      <c r="U291" s="148"/>
      <c r="V291" s="148"/>
      <c r="W291" s="148"/>
      <c r="X291" s="582"/>
      <c r="Y291" s="148"/>
      <c r="Z291" s="148"/>
      <c r="AA291" s="148"/>
      <c r="AB291" s="148"/>
      <c r="AC291" s="148"/>
      <c r="AD291" s="148"/>
      <c r="AE291" s="148"/>
      <c r="AF291" s="148"/>
      <c r="AG291" s="148"/>
      <c r="AH291" s="148"/>
      <c r="AI291" s="148"/>
      <c r="AJ291" s="148"/>
      <c r="AK291" s="148"/>
      <c r="AL291" s="148"/>
      <c r="AM291" s="148"/>
      <c r="AN291" s="148"/>
      <c r="AO291" s="148"/>
      <c r="AP291" s="148"/>
      <c r="AQ291" s="148"/>
      <c r="AR291" s="148"/>
      <c r="AS291" s="148"/>
      <c r="AT291" s="148"/>
      <c r="AU291" s="148"/>
      <c r="AV291" s="148"/>
      <c r="AW291" s="148"/>
      <c r="AX291" s="148"/>
      <c r="AY291" s="609"/>
    </row>
    <row r="292" spans="15:51" ht="15" customHeight="1">
      <c r="O292" s="612"/>
      <c r="P292" s="617"/>
      <c r="Q292" s="617"/>
      <c r="R292" s="617"/>
      <c r="S292" s="617"/>
      <c r="T292" s="617"/>
      <c r="U292" s="617"/>
      <c r="V292" s="617"/>
      <c r="W292" s="617"/>
      <c r="X292" s="617"/>
      <c r="Y292" s="617"/>
      <c r="Z292" s="617"/>
      <c r="AA292" s="617"/>
      <c r="AB292" s="617"/>
      <c r="AC292" s="617"/>
      <c r="AD292" s="617"/>
      <c r="AE292" s="617"/>
      <c r="AF292" s="617"/>
      <c r="AG292" s="617"/>
      <c r="AH292" s="617"/>
      <c r="AI292" s="617"/>
      <c r="AJ292" s="617"/>
      <c r="AK292" s="617"/>
      <c r="AL292" s="617"/>
      <c r="AM292" s="617"/>
      <c r="AN292" s="617"/>
      <c r="AO292" s="617"/>
      <c r="AP292" s="617"/>
      <c r="AQ292" s="617"/>
      <c r="AR292" s="617"/>
      <c r="AS292" s="617"/>
      <c r="AT292" s="617"/>
      <c r="AU292" s="617"/>
      <c r="AV292" s="617"/>
      <c r="AW292" s="617"/>
      <c r="AX292" s="324"/>
      <c r="AY292" s="609"/>
    </row>
    <row r="293" spans="15:51" ht="15" customHeight="1">
      <c r="O293" s="147"/>
      <c r="P293" s="148"/>
      <c r="Q293" s="148"/>
      <c r="R293" s="148"/>
      <c r="S293" s="148"/>
      <c r="T293" s="148"/>
      <c r="U293" s="148"/>
      <c r="V293" s="148"/>
      <c r="W293" s="148"/>
      <c r="X293" s="582"/>
      <c r="Y293" s="148"/>
      <c r="Z293" s="148"/>
      <c r="AA293" s="148"/>
      <c r="AB293" s="148"/>
      <c r="AC293" s="148"/>
      <c r="AD293" s="148"/>
      <c r="AE293" s="148"/>
      <c r="AF293" s="148"/>
      <c r="AG293" s="148"/>
      <c r="AH293" s="148"/>
      <c r="AI293" s="148"/>
      <c r="AJ293" s="148"/>
      <c r="AK293" s="148"/>
      <c r="AL293" s="148"/>
      <c r="AM293" s="148"/>
      <c r="AN293" s="148"/>
      <c r="AO293" s="148"/>
      <c r="AP293" s="148"/>
      <c r="AQ293" s="148"/>
      <c r="AR293" s="148"/>
      <c r="AS293" s="148"/>
      <c r="AT293" s="148"/>
      <c r="AU293" s="148"/>
      <c r="AV293" s="148"/>
      <c r="AW293" s="148"/>
      <c r="AX293" s="148"/>
      <c r="AY293" s="609"/>
    </row>
    <row r="294" spans="15:51" ht="15" customHeight="1">
      <c r="O294" s="612"/>
      <c r="P294" s="617"/>
      <c r="Q294" s="617"/>
      <c r="R294" s="617"/>
      <c r="S294" s="617"/>
      <c r="T294" s="617"/>
      <c r="U294" s="617"/>
      <c r="V294" s="617"/>
      <c r="W294" s="617"/>
      <c r="X294" s="617"/>
      <c r="Y294" s="617"/>
      <c r="Z294" s="617"/>
      <c r="AA294" s="617"/>
      <c r="AB294" s="617"/>
      <c r="AC294" s="617"/>
      <c r="AD294" s="617"/>
      <c r="AE294" s="617"/>
      <c r="AF294" s="617"/>
      <c r="AG294" s="617"/>
      <c r="AH294" s="617"/>
      <c r="AI294" s="617"/>
      <c r="AJ294" s="617"/>
      <c r="AK294" s="617"/>
      <c r="AL294" s="617"/>
      <c r="AM294" s="617"/>
      <c r="AN294" s="617"/>
      <c r="AO294" s="617"/>
      <c r="AP294" s="617"/>
      <c r="AQ294" s="617"/>
      <c r="AR294" s="617"/>
      <c r="AS294" s="617"/>
      <c r="AT294" s="617"/>
      <c r="AU294" s="617"/>
      <c r="AV294" s="617"/>
      <c r="AW294" s="617"/>
      <c r="AX294" s="324"/>
      <c r="AY294" s="609"/>
    </row>
    <row r="295" spans="15:51" ht="15" customHeight="1">
      <c r="O295" s="147"/>
      <c r="P295" s="582"/>
      <c r="Q295" s="102"/>
      <c r="R295" s="102"/>
      <c r="S295" s="102"/>
      <c r="T295" s="102"/>
      <c r="U295" s="102"/>
      <c r="V295" s="102"/>
      <c r="W295" s="102"/>
      <c r="X295" s="582"/>
      <c r="Y295" s="148"/>
      <c r="Z295" s="148"/>
      <c r="AA295" s="148"/>
      <c r="AB295" s="148"/>
      <c r="AC295" s="148"/>
      <c r="AD295" s="148"/>
      <c r="AE295" s="148"/>
      <c r="AF295" s="148"/>
      <c r="AG295" s="148"/>
      <c r="AH295" s="148"/>
      <c r="AI295" s="148"/>
      <c r="AJ295" s="148"/>
      <c r="AK295" s="148"/>
      <c r="AL295" s="148"/>
      <c r="AM295" s="148"/>
      <c r="AN295" s="148"/>
      <c r="AO295" s="148"/>
      <c r="AP295" s="148"/>
      <c r="AQ295" s="148"/>
      <c r="AR295" s="148"/>
      <c r="AS295" s="148"/>
      <c r="AT295" s="148"/>
      <c r="AU295" s="148"/>
      <c r="AV295" s="148"/>
      <c r="AW295" s="148"/>
      <c r="AX295" s="148"/>
      <c r="AY295" s="609"/>
    </row>
    <row r="296" spans="15:51" ht="15" customHeight="1">
      <c r="O296" s="147"/>
      <c r="P296" s="166"/>
      <c r="Q296" s="148"/>
      <c r="R296" s="148"/>
      <c r="S296" s="148"/>
      <c r="T296" s="166"/>
      <c r="U296" s="166"/>
      <c r="V296" s="166"/>
      <c r="W296" s="148"/>
      <c r="X296" s="614"/>
      <c r="Y296" s="102"/>
      <c r="Z296" s="628"/>
      <c r="AA296" s="628"/>
      <c r="AB296" s="628"/>
      <c r="AC296" s="628"/>
      <c r="AD296" s="628"/>
      <c r="AE296" s="628"/>
      <c r="AF296" s="628"/>
      <c r="AG296" s="628"/>
      <c r="AH296" s="628"/>
      <c r="AI296" s="628"/>
      <c r="AJ296" s="628"/>
      <c r="AK296" s="628"/>
      <c r="AL296" s="628"/>
      <c r="AM296" s="148"/>
      <c r="AN296" s="148"/>
      <c r="AO296" s="148"/>
      <c r="AP296" s="148"/>
      <c r="AQ296" s="148"/>
      <c r="AR296" s="148"/>
      <c r="AS296" s="148"/>
      <c r="AT296" s="148"/>
      <c r="AU296" s="148"/>
      <c r="AV296" s="148"/>
      <c r="AW296" s="148"/>
      <c r="AX296" s="148"/>
      <c r="AY296" s="609"/>
    </row>
    <row r="297" spans="15:51" ht="15" customHeight="1">
      <c r="O297" s="147"/>
      <c r="P297" s="176"/>
      <c r="Q297" s="148"/>
      <c r="R297" s="176"/>
      <c r="S297" s="176"/>
      <c r="T297" s="176"/>
      <c r="U297" s="176"/>
      <c r="V297" s="176"/>
      <c r="W297" s="148"/>
      <c r="X297" s="615"/>
      <c r="Y297" s="330"/>
      <c r="Z297" s="176"/>
      <c r="AA297" s="176"/>
      <c r="AB297" s="176"/>
      <c r="AC297" s="176"/>
      <c r="AD297" s="176"/>
      <c r="AE297" s="176"/>
      <c r="AF297" s="176"/>
      <c r="AG297" s="176"/>
      <c r="AH297" s="176"/>
      <c r="AI297" s="176"/>
      <c r="AJ297" s="176"/>
      <c r="AK297" s="176"/>
      <c r="AL297" s="176"/>
      <c r="AM297" s="148"/>
      <c r="AN297" s="148"/>
      <c r="AO297" s="148"/>
      <c r="AP297" s="148"/>
      <c r="AQ297" s="148"/>
      <c r="AR297" s="148"/>
      <c r="AS297" s="148"/>
      <c r="AT297" s="148"/>
      <c r="AU297" s="148"/>
      <c r="AV297" s="148"/>
      <c r="AW297" s="148"/>
      <c r="AX297" s="148"/>
      <c r="AY297" s="609"/>
    </row>
    <row r="298" spans="15:51" ht="15" customHeight="1">
      <c r="O298" s="147"/>
      <c r="P298" s="176"/>
      <c r="Q298" s="148"/>
      <c r="R298" s="176"/>
      <c r="S298" s="176"/>
      <c r="T298" s="176"/>
      <c r="U298" s="176"/>
      <c r="V298" s="176"/>
      <c r="W298" s="148"/>
      <c r="X298" s="615"/>
      <c r="Y298" s="330"/>
      <c r="Z298" s="176"/>
      <c r="AA298" s="176"/>
      <c r="AB298" s="176"/>
      <c r="AC298" s="176"/>
      <c r="AD298" s="176"/>
      <c r="AE298" s="176"/>
      <c r="AF298" s="176"/>
      <c r="AG298" s="176"/>
      <c r="AH298" s="176"/>
      <c r="AI298" s="176"/>
      <c r="AJ298" s="176"/>
      <c r="AK298" s="176"/>
      <c r="AL298" s="176"/>
      <c r="AM298" s="148"/>
      <c r="AN298" s="148"/>
      <c r="AO298" s="148"/>
      <c r="AP298" s="148"/>
      <c r="AQ298" s="148"/>
      <c r="AR298" s="148"/>
      <c r="AS298" s="148"/>
      <c r="AT298" s="148"/>
      <c r="AU298" s="148"/>
      <c r="AV298" s="148"/>
      <c r="AW298" s="148"/>
      <c r="AX298" s="148"/>
      <c r="AY298" s="609"/>
    </row>
    <row r="299" spans="15:51" ht="15" customHeight="1">
      <c r="O299" s="147"/>
      <c r="P299" s="176"/>
      <c r="Q299" s="148"/>
      <c r="R299" s="176"/>
      <c r="S299" s="176"/>
      <c r="T299" s="176"/>
      <c r="U299" s="176"/>
      <c r="V299" s="176"/>
      <c r="W299" s="148"/>
      <c r="X299" s="615"/>
      <c r="Y299" s="330"/>
      <c r="Z299" s="176"/>
      <c r="AA299" s="176"/>
      <c r="AB299" s="176"/>
      <c r="AC299" s="176"/>
      <c r="AD299" s="176"/>
      <c r="AE299" s="176"/>
      <c r="AF299" s="176"/>
      <c r="AG299" s="176"/>
      <c r="AH299" s="176"/>
      <c r="AI299" s="176"/>
      <c r="AJ299" s="176"/>
      <c r="AK299" s="176"/>
      <c r="AL299" s="176"/>
      <c r="AM299" s="148"/>
      <c r="AN299" s="148"/>
      <c r="AO299" s="148"/>
      <c r="AP299" s="148"/>
      <c r="AQ299" s="148"/>
      <c r="AR299" s="148"/>
      <c r="AS299" s="148"/>
      <c r="AT299" s="148"/>
      <c r="AU299" s="148"/>
      <c r="AV299" s="148"/>
      <c r="AW299" s="148"/>
      <c r="AX299" s="148"/>
      <c r="AY299" s="609"/>
    </row>
    <row r="300" spans="15:51" ht="15" customHeight="1">
      <c r="O300" s="147"/>
      <c r="P300" s="176"/>
      <c r="Q300" s="148"/>
      <c r="R300" s="176"/>
      <c r="S300" s="176"/>
      <c r="T300" s="176"/>
      <c r="U300" s="176"/>
      <c r="V300" s="176"/>
      <c r="W300" s="148"/>
      <c r="X300" s="615"/>
      <c r="Y300" s="330"/>
      <c r="Z300" s="176"/>
      <c r="AA300" s="176"/>
      <c r="AB300" s="176"/>
      <c r="AC300" s="176"/>
      <c r="AD300" s="176"/>
      <c r="AE300" s="176"/>
      <c r="AF300" s="176"/>
      <c r="AG300" s="176"/>
      <c r="AH300" s="176"/>
      <c r="AI300" s="176"/>
      <c r="AJ300" s="176"/>
      <c r="AK300" s="176"/>
      <c r="AL300" s="176"/>
      <c r="AM300" s="148"/>
      <c r="AN300" s="148"/>
      <c r="AO300" s="148"/>
      <c r="AP300" s="148"/>
      <c r="AQ300" s="148"/>
      <c r="AR300" s="148"/>
      <c r="AS300" s="148"/>
      <c r="AT300" s="148"/>
      <c r="AU300" s="148"/>
      <c r="AV300" s="148"/>
      <c r="AW300" s="148"/>
      <c r="AX300" s="148"/>
      <c r="AY300" s="609"/>
    </row>
    <row r="301" spans="15:51" ht="15" customHeight="1">
      <c r="O301" s="147"/>
      <c r="P301" s="176"/>
      <c r="Q301" s="148"/>
      <c r="R301" s="176"/>
      <c r="S301" s="176"/>
      <c r="T301" s="176"/>
      <c r="U301" s="176"/>
      <c r="V301" s="176"/>
      <c r="W301" s="148"/>
      <c r="X301" s="616"/>
      <c r="Y301" s="330"/>
      <c r="Z301" s="176"/>
      <c r="AA301" s="176"/>
      <c r="AB301" s="176"/>
      <c r="AC301" s="176"/>
      <c r="AD301" s="176"/>
      <c r="AE301" s="176"/>
      <c r="AF301" s="176"/>
      <c r="AG301" s="176"/>
      <c r="AH301" s="176"/>
      <c r="AI301" s="176"/>
      <c r="AJ301" s="176"/>
      <c r="AK301" s="176"/>
      <c r="AL301" s="176"/>
      <c r="AM301" s="148"/>
      <c r="AN301" s="148"/>
      <c r="AO301" s="148"/>
      <c r="AP301" s="148"/>
      <c r="AQ301" s="148"/>
      <c r="AR301" s="148"/>
      <c r="AS301" s="148"/>
      <c r="AT301" s="148"/>
      <c r="AU301" s="148"/>
      <c r="AV301" s="148"/>
      <c r="AW301" s="148"/>
      <c r="AX301" s="148"/>
      <c r="AY301" s="609"/>
    </row>
    <row r="302" spans="15:51" ht="15" customHeight="1">
      <c r="O302" s="147"/>
      <c r="P302" s="148"/>
      <c r="Q302" s="148"/>
      <c r="R302" s="148"/>
      <c r="S302" s="148"/>
      <c r="T302" s="148"/>
      <c r="U302" s="148"/>
      <c r="V302" s="148"/>
      <c r="W302" s="148"/>
      <c r="X302" s="582"/>
      <c r="Y302" s="148"/>
      <c r="Z302" s="148"/>
      <c r="AA302" s="148"/>
      <c r="AB302" s="148"/>
      <c r="AC302" s="148"/>
      <c r="AD302" s="148"/>
      <c r="AE302" s="148"/>
      <c r="AF302" s="148"/>
      <c r="AG302" s="148"/>
      <c r="AH302" s="148"/>
      <c r="AI302" s="148"/>
      <c r="AJ302" s="148"/>
      <c r="AK302" s="148"/>
      <c r="AL302" s="148"/>
      <c r="AM302" s="148"/>
      <c r="AN302" s="148"/>
      <c r="AO302" s="148"/>
      <c r="AP302" s="148"/>
      <c r="AQ302" s="148"/>
      <c r="AR302" s="148"/>
      <c r="AS302" s="148"/>
      <c r="AT302" s="148"/>
      <c r="AU302" s="148"/>
      <c r="AV302" s="148"/>
      <c r="AW302" s="148"/>
      <c r="AX302" s="148"/>
      <c r="AY302" s="609"/>
    </row>
    <row r="303" spans="15:51" ht="15" customHeight="1">
      <c r="O303" s="612"/>
      <c r="P303" s="617"/>
      <c r="Q303" s="617"/>
      <c r="R303" s="617"/>
      <c r="S303" s="617"/>
      <c r="T303" s="617"/>
      <c r="U303" s="617"/>
      <c r="V303" s="617"/>
      <c r="W303" s="617"/>
      <c r="X303" s="617"/>
      <c r="Y303" s="617"/>
      <c r="Z303" s="617"/>
      <c r="AA303" s="617"/>
      <c r="AB303" s="617"/>
      <c r="AC303" s="617"/>
      <c r="AD303" s="617"/>
      <c r="AE303" s="617"/>
      <c r="AF303" s="617"/>
      <c r="AG303" s="617"/>
      <c r="AH303" s="617"/>
      <c r="AI303" s="617"/>
      <c r="AJ303" s="617"/>
      <c r="AK303" s="617"/>
      <c r="AL303" s="617"/>
      <c r="AM303" s="617"/>
      <c r="AN303" s="617"/>
      <c r="AO303" s="617"/>
      <c r="AP303" s="617"/>
      <c r="AQ303" s="617"/>
      <c r="AR303" s="617"/>
      <c r="AS303" s="617"/>
      <c r="AT303" s="617"/>
      <c r="AU303" s="617"/>
      <c r="AV303" s="617"/>
      <c r="AW303" s="617"/>
      <c r="AX303" s="324"/>
      <c r="AY303" s="609"/>
    </row>
    <row r="304" spans="15:51" ht="15" customHeight="1">
      <c r="O304" s="147"/>
      <c r="P304" s="582"/>
      <c r="Q304" s="102"/>
      <c r="R304" s="102"/>
      <c r="S304" s="102"/>
      <c r="T304" s="102"/>
      <c r="U304" s="102"/>
      <c r="V304" s="102"/>
      <c r="W304" s="102"/>
      <c r="X304" s="582"/>
      <c r="Y304" s="148"/>
      <c r="Z304" s="148"/>
      <c r="AA304" s="148"/>
      <c r="AB304" s="148"/>
      <c r="AC304" s="148"/>
      <c r="AD304" s="148"/>
      <c r="AE304" s="148"/>
      <c r="AF304" s="148"/>
      <c r="AG304" s="148"/>
      <c r="AH304" s="148"/>
      <c r="AI304" s="148"/>
      <c r="AJ304" s="148"/>
      <c r="AK304" s="148"/>
      <c r="AL304" s="148"/>
      <c r="AM304" s="148"/>
      <c r="AN304" s="148"/>
      <c r="AO304" s="148"/>
      <c r="AP304" s="148"/>
      <c r="AQ304" s="148"/>
      <c r="AR304" s="148"/>
      <c r="AS304" s="148"/>
      <c r="AT304" s="148"/>
      <c r="AU304" s="148"/>
      <c r="AV304" s="148"/>
      <c r="AW304" s="148"/>
      <c r="AX304" s="148"/>
      <c r="AY304" s="609"/>
    </row>
    <row r="305" spans="15:51" ht="15" customHeight="1">
      <c r="O305" s="147"/>
      <c r="P305" s="166"/>
      <c r="Q305" s="148"/>
      <c r="R305" s="148"/>
      <c r="S305" s="148"/>
      <c r="T305" s="166"/>
      <c r="U305" s="166"/>
      <c r="V305" s="166"/>
      <c r="W305" s="148"/>
      <c r="X305" s="614"/>
      <c r="Y305" s="102"/>
      <c r="Z305" s="628"/>
      <c r="AA305" s="628"/>
      <c r="AB305" s="628"/>
      <c r="AC305" s="628"/>
      <c r="AD305" s="628"/>
      <c r="AE305" s="628"/>
      <c r="AF305" s="628"/>
      <c r="AG305" s="628"/>
      <c r="AH305" s="628"/>
      <c r="AI305" s="628"/>
      <c r="AJ305" s="628"/>
      <c r="AK305" s="628"/>
      <c r="AL305" s="628"/>
      <c r="AM305" s="148"/>
      <c r="AN305" s="148"/>
      <c r="AO305" s="148"/>
      <c r="AP305" s="148"/>
      <c r="AQ305" s="148"/>
      <c r="AR305" s="148"/>
      <c r="AS305" s="148"/>
      <c r="AT305" s="148"/>
      <c r="AU305" s="148"/>
      <c r="AV305" s="148"/>
      <c r="AW305" s="148"/>
      <c r="AX305" s="148"/>
      <c r="AY305" s="609"/>
    </row>
    <row r="306" spans="15:51" ht="15" customHeight="1">
      <c r="O306" s="147"/>
      <c r="P306" s="176"/>
      <c r="Q306" s="148"/>
      <c r="R306" s="176"/>
      <c r="S306" s="176"/>
      <c r="T306" s="176"/>
      <c r="U306" s="176"/>
      <c r="V306" s="176"/>
      <c r="W306" s="148"/>
      <c r="X306" s="615"/>
      <c r="Y306" s="330"/>
      <c r="Z306" s="176"/>
      <c r="AA306" s="176"/>
      <c r="AB306" s="176"/>
      <c r="AC306" s="176"/>
      <c r="AD306" s="176"/>
      <c r="AE306" s="176"/>
      <c r="AF306" s="176"/>
      <c r="AG306" s="176"/>
      <c r="AH306" s="176"/>
      <c r="AI306" s="176"/>
      <c r="AJ306" s="176"/>
      <c r="AK306" s="176"/>
      <c r="AL306" s="176"/>
      <c r="AM306" s="148"/>
      <c r="AN306" s="148"/>
      <c r="AO306" s="148"/>
      <c r="AP306" s="148"/>
      <c r="AQ306" s="148"/>
      <c r="AR306" s="148"/>
      <c r="AS306" s="148"/>
      <c r="AT306" s="148"/>
      <c r="AU306" s="148"/>
      <c r="AV306" s="148"/>
      <c r="AW306" s="148"/>
      <c r="AX306" s="148"/>
      <c r="AY306" s="609"/>
    </row>
    <row r="307" spans="15:51" ht="15" customHeight="1">
      <c r="O307" s="147"/>
      <c r="P307" s="176"/>
      <c r="Q307" s="148"/>
      <c r="R307" s="176"/>
      <c r="S307" s="176"/>
      <c r="T307" s="176"/>
      <c r="U307" s="176"/>
      <c r="V307" s="176"/>
      <c r="W307" s="148"/>
      <c r="X307" s="615"/>
      <c r="Y307" s="330"/>
      <c r="Z307" s="176"/>
      <c r="AA307" s="176"/>
      <c r="AB307" s="176"/>
      <c r="AC307" s="176"/>
      <c r="AD307" s="176"/>
      <c r="AE307" s="176"/>
      <c r="AF307" s="176"/>
      <c r="AG307" s="176"/>
      <c r="AH307" s="176"/>
      <c r="AI307" s="176"/>
      <c r="AJ307" s="176"/>
      <c r="AK307" s="176"/>
      <c r="AL307" s="176"/>
      <c r="AM307" s="148"/>
      <c r="AN307" s="148"/>
      <c r="AO307" s="148"/>
      <c r="AP307" s="148"/>
      <c r="AQ307" s="148"/>
      <c r="AR307" s="148"/>
      <c r="AS307" s="148"/>
      <c r="AT307" s="148"/>
      <c r="AU307" s="148"/>
      <c r="AV307" s="148"/>
      <c r="AW307" s="148"/>
      <c r="AX307" s="148"/>
      <c r="AY307" s="609"/>
    </row>
    <row r="308" spans="15:51" ht="15" customHeight="1">
      <c r="O308" s="147"/>
      <c r="P308" s="176"/>
      <c r="Q308" s="148"/>
      <c r="R308" s="176"/>
      <c r="S308" s="176"/>
      <c r="T308" s="176"/>
      <c r="U308" s="176"/>
      <c r="V308" s="176"/>
      <c r="W308" s="148"/>
      <c r="X308" s="615"/>
      <c r="Y308" s="330"/>
      <c r="Z308" s="176"/>
      <c r="AA308" s="176"/>
      <c r="AB308" s="176"/>
      <c r="AC308" s="176"/>
      <c r="AD308" s="176"/>
      <c r="AE308" s="176"/>
      <c r="AF308" s="176"/>
      <c r="AG308" s="176"/>
      <c r="AH308" s="176"/>
      <c r="AI308" s="176"/>
      <c r="AJ308" s="176"/>
      <c r="AK308" s="176"/>
      <c r="AL308" s="176"/>
      <c r="AM308" s="148"/>
      <c r="AN308" s="148"/>
      <c r="AO308" s="148"/>
      <c r="AP308" s="148"/>
      <c r="AQ308" s="148"/>
      <c r="AR308" s="148"/>
      <c r="AS308" s="148"/>
      <c r="AT308" s="148"/>
      <c r="AU308" s="148"/>
      <c r="AV308" s="148"/>
      <c r="AW308" s="148"/>
      <c r="AX308" s="148"/>
      <c r="AY308" s="609"/>
    </row>
    <row r="309" spans="15:51" ht="15" customHeight="1">
      <c r="O309" s="147"/>
      <c r="P309" s="176"/>
      <c r="Q309" s="148"/>
      <c r="R309" s="176"/>
      <c r="S309" s="176"/>
      <c r="T309" s="176"/>
      <c r="U309" s="176"/>
      <c r="V309" s="176"/>
      <c r="W309" s="148"/>
      <c r="X309" s="615"/>
      <c r="Y309" s="330"/>
      <c r="Z309" s="176"/>
      <c r="AA309" s="176"/>
      <c r="AB309" s="176"/>
      <c r="AC309" s="176"/>
      <c r="AD309" s="176"/>
      <c r="AE309" s="176"/>
      <c r="AF309" s="176"/>
      <c r="AG309" s="176"/>
      <c r="AH309" s="176"/>
      <c r="AI309" s="176"/>
      <c r="AJ309" s="176"/>
      <c r="AK309" s="176"/>
      <c r="AL309" s="176"/>
      <c r="AM309" s="148"/>
      <c r="AN309" s="148"/>
      <c r="AO309" s="148"/>
      <c r="AP309" s="148"/>
      <c r="AQ309" s="148"/>
      <c r="AR309" s="148"/>
      <c r="AS309" s="148"/>
      <c r="AT309" s="148"/>
      <c r="AU309" s="148"/>
      <c r="AV309" s="148"/>
      <c r="AW309" s="148"/>
      <c r="AX309" s="148"/>
      <c r="AY309" s="609"/>
    </row>
    <row r="310" spans="15:51" ht="15" customHeight="1">
      <c r="O310" s="147"/>
      <c r="P310" s="176"/>
      <c r="Q310" s="148"/>
      <c r="R310" s="176"/>
      <c r="S310" s="176"/>
      <c r="T310" s="176"/>
      <c r="U310" s="176"/>
      <c r="V310" s="176"/>
      <c r="W310" s="148"/>
      <c r="X310" s="616"/>
      <c r="Y310" s="330"/>
      <c r="Z310" s="176"/>
      <c r="AA310" s="176"/>
      <c r="AB310" s="176"/>
      <c r="AC310" s="176"/>
      <c r="AD310" s="176"/>
      <c r="AE310" s="176"/>
      <c r="AF310" s="176"/>
      <c r="AG310" s="176"/>
      <c r="AH310" s="176"/>
      <c r="AI310" s="176"/>
      <c r="AJ310" s="176"/>
      <c r="AK310" s="176"/>
      <c r="AL310" s="176"/>
      <c r="AM310" s="148"/>
      <c r="AN310" s="148"/>
      <c r="AO310" s="148"/>
      <c r="AP310" s="148"/>
      <c r="AQ310" s="148"/>
      <c r="AR310" s="148"/>
      <c r="AS310" s="148"/>
      <c r="AT310" s="148"/>
      <c r="AU310" s="148"/>
      <c r="AV310" s="148"/>
      <c r="AW310" s="148"/>
      <c r="AX310" s="148"/>
      <c r="AY310" s="609"/>
    </row>
    <row r="311" spans="15:51" ht="15" customHeight="1">
      <c r="O311" s="147"/>
      <c r="P311" s="148"/>
      <c r="Q311" s="148"/>
      <c r="R311" s="148"/>
      <c r="S311" s="148"/>
      <c r="T311" s="148"/>
      <c r="U311" s="148"/>
      <c r="V311" s="582"/>
      <c r="W311" s="582"/>
      <c r="X311" s="582"/>
      <c r="Y311" s="148"/>
      <c r="Z311" s="148"/>
      <c r="AA311" s="148"/>
      <c r="AB311" s="148"/>
      <c r="AC311" s="148"/>
      <c r="AD311" s="148"/>
      <c r="AE311" s="148"/>
      <c r="AF311" s="148"/>
      <c r="AG311" s="148"/>
      <c r="AH311" s="148"/>
      <c r="AI311" s="148"/>
      <c r="AJ311" s="148"/>
      <c r="AK311" s="148"/>
      <c r="AL311" s="148"/>
      <c r="AM311" s="148"/>
      <c r="AN311" s="148"/>
      <c r="AO311" s="148"/>
      <c r="AP311" s="148"/>
      <c r="AQ311" s="148"/>
      <c r="AR311" s="148"/>
      <c r="AS311" s="148"/>
      <c r="AT311" s="148"/>
      <c r="AU311" s="148"/>
      <c r="AV311" s="148"/>
      <c r="AW311" s="148"/>
      <c r="AX311" s="148"/>
      <c r="AY311" s="609"/>
    </row>
    <row r="312" spans="15:51" ht="15" customHeight="1">
      <c r="O312" s="612"/>
      <c r="P312" s="617"/>
      <c r="Q312" s="617"/>
      <c r="R312" s="617"/>
      <c r="S312" s="617"/>
      <c r="T312" s="617"/>
      <c r="U312" s="617"/>
      <c r="V312" s="617"/>
      <c r="W312" s="617"/>
      <c r="X312" s="617"/>
      <c r="Y312" s="617"/>
      <c r="Z312" s="617"/>
      <c r="AA312" s="617"/>
      <c r="AB312" s="617"/>
      <c r="AC312" s="617"/>
      <c r="AD312" s="617"/>
      <c r="AE312" s="617"/>
      <c r="AF312" s="617"/>
      <c r="AG312" s="617"/>
      <c r="AH312" s="617"/>
      <c r="AI312" s="617"/>
      <c r="AJ312" s="617"/>
      <c r="AK312" s="617"/>
      <c r="AL312" s="617"/>
      <c r="AM312" s="617"/>
      <c r="AN312" s="617"/>
      <c r="AO312" s="617"/>
      <c r="AP312" s="617"/>
      <c r="AQ312" s="617"/>
      <c r="AR312" s="617"/>
      <c r="AS312" s="617"/>
      <c r="AT312" s="617"/>
      <c r="AU312" s="617"/>
      <c r="AV312" s="617"/>
      <c r="AW312" s="617"/>
      <c r="AX312" s="324"/>
      <c r="AY312" s="609"/>
    </row>
    <row r="313" spans="15:51" ht="15" customHeight="1">
      <c r="O313" s="147"/>
      <c r="P313" s="582"/>
      <c r="Q313" s="102"/>
      <c r="R313" s="102"/>
      <c r="S313" s="102"/>
      <c r="T313" s="102"/>
      <c r="U313" s="102"/>
      <c r="V313" s="102"/>
      <c r="W313" s="102"/>
      <c r="X313" s="582"/>
      <c r="Y313" s="148"/>
      <c r="Z313" s="148"/>
      <c r="AA313" s="148"/>
      <c r="AB313" s="148"/>
      <c r="AC313" s="148"/>
      <c r="AD313" s="148"/>
      <c r="AE313" s="148"/>
      <c r="AF313" s="148"/>
      <c r="AG313" s="148"/>
      <c r="AH313" s="148"/>
      <c r="AI313" s="148"/>
      <c r="AJ313" s="148"/>
      <c r="AK313" s="148"/>
      <c r="AL313" s="148"/>
      <c r="AM313" s="148"/>
      <c r="AN313" s="148"/>
      <c r="AO313" s="148"/>
      <c r="AP313" s="148"/>
      <c r="AQ313" s="148"/>
      <c r="AR313" s="148"/>
      <c r="AS313" s="148"/>
      <c r="AT313" s="148"/>
      <c r="AU313" s="148"/>
      <c r="AV313" s="148"/>
      <c r="AW313" s="148"/>
      <c r="AX313" s="148"/>
      <c r="AY313" s="609"/>
    </row>
    <row r="314" spans="15:51" ht="15" customHeight="1">
      <c r="O314" s="147"/>
      <c r="P314" s="166"/>
      <c r="Q314" s="148"/>
      <c r="R314" s="148"/>
      <c r="S314" s="148"/>
      <c r="T314" s="166"/>
      <c r="U314" s="166"/>
      <c r="V314" s="166"/>
      <c r="W314" s="148"/>
      <c r="X314" s="614"/>
      <c r="Y314" s="102"/>
      <c r="Z314" s="628"/>
      <c r="AA314" s="628"/>
      <c r="AB314" s="628"/>
      <c r="AC314" s="628"/>
      <c r="AD314" s="628"/>
      <c r="AE314" s="628"/>
      <c r="AF314" s="628"/>
      <c r="AG314" s="628"/>
      <c r="AH314" s="628"/>
      <c r="AI314" s="628"/>
      <c r="AJ314" s="628"/>
      <c r="AK314" s="628"/>
      <c r="AL314" s="628"/>
      <c r="AM314" s="148"/>
      <c r="AN314" s="148"/>
      <c r="AO314" s="148"/>
      <c r="AP314" s="148"/>
      <c r="AQ314" s="148"/>
      <c r="AR314" s="148"/>
      <c r="AS314" s="148"/>
      <c r="AT314" s="148"/>
      <c r="AU314" s="148"/>
      <c r="AV314" s="148"/>
      <c r="AW314" s="148"/>
      <c r="AX314" s="148"/>
      <c r="AY314" s="609"/>
    </row>
    <row r="315" spans="15:51" ht="15" customHeight="1">
      <c r="O315" s="147"/>
      <c r="P315" s="176"/>
      <c r="Q315" s="148"/>
      <c r="R315" s="176"/>
      <c r="S315" s="176"/>
      <c r="T315" s="176"/>
      <c r="U315" s="176"/>
      <c r="V315" s="176"/>
      <c r="W315" s="148"/>
      <c r="X315" s="615"/>
      <c r="Y315" s="330"/>
      <c r="Z315" s="176"/>
      <c r="AA315" s="176"/>
      <c r="AB315" s="176"/>
      <c r="AC315" s="176"/>
      <c r="AD315" s="176"/>
      <c r="AE315" s="176"/>
      <c r="AF315" s="176"/>
      <c r="AG315" s="176"/>
      <c r="AH315" s="176"/>
      <c r="AI315" s="176"/>
      <c r="AJ315" s="176"/>
      <c r="AK315" s="176"/>
      <c r="AL315" s="176"/>
      <c r="AM315" s="148"/>
      <c r="AN315" s="148"/>
      <c r="AO315" s="148"/>
      <c r="AP315" s="148"/>
      <c r="AQ315" s="148"/>
      <c r="AR315" s="148"/>
      <c r="AS315" s="148"/>
      <c r="AT315" s="148"/>
      <c r="AU315" s="148"/>
      <c r="AV315" s="148"/>
      <c r="AW315" s="148"/>
      <c r="AX315" s="148"/>
      <c r="AY315" s="609"/>
    </row>
    <row r="316" spans="15:51" ht="15" customHeight="1">
      <c r="O316" s="147"/>
      <c r="P316" s="176"/>
      <c r="Q316" s="148"/>
      <c r="R316" s="176"/>
      <c r="S316" s="176"/>
      <c r="T316" s="176"/>
      <c r="U316" s="176"/>
      <c r="V316" s="176"/>
      <c r="W316" s="148"/>
      <c r="X316" s="615"/>
      <c r="Y316" s="330"/>
      <c r="Z316" s="176"/>
      <c r="AA316" s="176"/>
      <c r="AB316" s="176"/>
      <c r="AC316" s="176"/>
      <c r="AD316" s="176"/>
      <c r="AE316" s="176"/>
      <c r="AF316" s="176"/>
      <c r="AG316" s="176"/>
      <c r="AH316" s="176"/>
      <c r="AI316" s="176"/>
      <c r="AJ316" s="176"/>
      <c r="AK316" s="176"/>
      <c r="AL316" s="176"/>
      <c r="AM316" s="148"/>
      <c r="AN316" s="148"/>
      <c r="AO316" s="148"/>
      <c r="AP316" s="148"/>
      <c r="AQ316" s="148"/>
      <c r="AR316" s="148"/>
      <c r="AS316" s="148"/>
      <c r="AT316" s="148"/>
      <c r="AU316" s="148"/>
      <c r="AV316" s="148"/>
      <c r="AW316" s="148"/>
      <c r="AX316" s="148"/>
      <c r="AY316" s="609"/>
    </row>
    <row r="317" spans="15:51" ht="15" customHeight="1">
      <c r="O317" s="147"/>
      <c r="P317" s="176"/>
      <c r="Q317" s="148"/>
      <c r="R317" s="176"/>
      <c r="S317" s="176"/>
      <c r="T317" s="176"/>
      <c r="U317" s="176"/>
      <c r="V317" s="176"/>
      <c r="W317" s="148"/>
      <c r="X317" s="615"/>
      <c r="Y317" s="330"/>
      <c r="Z317" s="176"/>
      <c r="AA317" s="176"/>
      <c r="AB317" s="176"/>
      <c r="AC317" s="176"/>
      <c r="AD317" s="176"/>
      <c r="AE317" s="176"/>
      <c r="AF317" s="176"/>
      <c r="AG317" s="176"/>
      <c r="AH317" s="176"/>
      <c r="AI317" s="176"/>
      <c r="AJ317" s="176"/>
      <c r="AK317" s="176"/>
      <c r="AL317" s="176"/>
      <c r="AM317" s="148"/>
      <c r="AN317" s="148"/>
      <c r="AO317" s="148"/>
      <c r="AP317" s="148"/>
      <c r="AQ317" s="148"/>
      <c r="AR317" s="148"/>
      <c r="AS317" s="148"/>
      <c r="AT317" s="148"/>
      <c r="AU317" s="148"/>
      <c r="AV317" s="148"/>
      <c r="AW317" s="148"/>
      <c r="AX317" s="148"/>
      <c r="AY317" s="609"/>
    </row>
    <row r="318" spans="15:51" ht="15" customHeight="1">
      <c r="O318" s="147"/>
      <c r="P318" s="176"/>
      <c r="Q318" s="148"/>
      <c r="R318" s="176"/>
      <c r="S318" s="176"/>
      <c r="T318" s="176"/>
      <c r="U318" s="176"/>
      <c r="V318" s="176"/>
      <c r="W318" s="148"/>
      <c r="X318" s="615"/>
      <c r="Y318" s="330"/>
      <c r="Z318" s="176"/>
      <c r="AA318" s="176"/>
      <c r="AB318" s="176"/>
      <c r="AC318" s="176"/>
      <c r="AD318" s="176"/>
      <c r="AE318" s="176"/>
      <c r="AF318" s="176"/>
      <c r="AG318" s="176"/>
      <c r="AH318" s="176"/>
      <c r="AI318" s="176"/>
      <c r="AJ318" s="176"/>
      <c r="AK318" s="176"/>
      <c r="AL318" s="176"/>
      <c r="AM318" s="148"/>
      <c r="AN318" s="148"/>
      <c r="AO318" s="148"/>
      <c r="AP318" s="148"/>
      <c r="AQ318" s="148"/>
      <c r="AR318" s="148"/>
      <c r="AS318" s="148"/>
      <c r="AT318" s="148"/>
      <c r="AU318" s="148"/>
      <c r="AV318" s="148"/>
      <c r="AW318" s="148"/>
      <c r="AX318" s="148"/>
      <c r="AY318" s="609"/>
    </row>
    <row r="319" spans="15:51" ht="15" customHeight="1">
      <c r="O319" s="147"/>
      <c r="P319" s="176"/>
      <c r="Q319" s="148"/>
      <c r="R319" s="176"/>
      <c r="S319" s="176"/>
      <c r="T319" s="176"/>
      <c r="U319" s="176"/>
      <c r="V319" s="176"/>
      <c r="W319" s="148"/>
      <c r="X319" s="616"/>
      <c r="Y319" s="330"/>
      <c r="Z319" s="176"/>
      <c r="AA319" s="176"/>
      <c r="AB319" s="176"/>
      <c r="AC319" s="176"/>
      <c r="AD319" s="176"/>
      <c r="AE319" s="176"/>
      <c r="AF319" s="176"/>
      <c r="AG319" s="176"/>
      <c r="AH319" s="176"/>
      <c r="AI319" s="176"/>
      <c r="AJ319" s="176"/>
      <c r="AK319" s="176"/>
      <c r="AL319" s="176"/>
      <c r="AM319" s="148"/>
      <c r="AN319" s="148"/>
      <c r="AO319" s="148"/>
      <c r="AP319" s="148"/>
      <c r="AQ319" s="148"/>
      <c r="AR319" s="148"/>
      <c r="AS319" s="148"/>
      <c r="AT319" s="148"/>
      <c r="AU319" s="148"/>
      <c r="AV319" s="148"/>
      <c r="AW319" s="148"/>
      <c r="AX319" s="148"/>
      <c r="AY319" s="609"/>
    </row>
    <row r="320" spans="15:51" ht="15" customHeight="1">
      <c r="O320" s="147"/>
      <c r="P320" s="148"/>
      <c r="Q320" s="148"/>
      <c r="R320" s="148"/>
      <c r="S320" s="148"/>
      <c r="T320" s="148"/>
      <c r="U320" s="148"/>
      <c r="V320" s="148"/>
      <c r="W320" s="148"/>
      <c r="X320" s="582"/>
      <c r="Y320" s="148"/>
      <c r="Z320" s="148"/>
      <c r="AA320" s="148"/>
      <c r="AB320" s="148"/>
      <c r="AC320" s="148"/>
      <c r="AD320" s="148"/>
      <c r="AE320" s="148"/>
      <c r="AF320" s="148"/>
      <c r="AG320" s="148"/>
      <c r="AH320" s="148"/>
      <c r="AI320" s="148"/>
      <c r="AJ320" s="148"/>
      <c r="AK320" s="148"/>
      <c r="AL320" s="148"/>
      <c r="AM320" s="148"/>
      <c r="AN320" s="148"/>
      <c r="AO320" s="148"/>
      <c r="AP320" s="148"/>
      <c r="AQ320" s="148"/>
      <c r="AR320" s="148"/>
      <c r="AS320" s="148"/>
      <c r="AT320" s="148"/>
      <c r="AU320" s="148"/>
      <c r="AV320" s="148"/>
      <c r="AW320" s="148"/>
      <c r="AX320" s="148"/>
      <c r="AY320" s="609"/>
    </row>
    <row r="321" spans="15:51" ht="15" customHeight="1">
      <c r="O321" s="612"/>
      <c r="P321" s="617"/>
      <c r="Q321" s="617"/>
      <c r="R321" s="617"/>
      <c r="S321" s="617"/>
      <c r="T321" s="617"/>
      <c r="U321" s="617"/>
      <c r="V321" s="617"/>
      <c r="W321" s="617"/>
      <c r="X321" s="617"/>
      <c r="Y321" s="617"/>
      <c r="Z321" s="617"/>
      <c r="AA321" s="617"/>
      <c r="AB321" s="617"/>
      <c r="AC321" s="617"/>
      <c r="AD321" s="617"/>
      <c r="AE321" s="617"/>
      <c r="AF321" s="617"/>
      <c r="AG321" s="617"/>
      <c r="AH321" s="617"/>
      <c r="AI321" s="617"/>
      <c r="AJ321" s="617"/>
      <c r="AK321" s="617"/>
      <c r="AL321" s="617"/>
      <c r="AM321" s="617"/>
      <c r="AN321" s="617"/>
      <c r="AO321" s="617"/>
      <c r="AP321" s="617"/>
      <c r="AQ321" s="617"/>
      <c r="AR321" s="617"/>
      <c r="AS321" s="617"/>
      <c r="AT321" s="617"/>
      <c r="AU321" s="617"/>
      <c r="AV321" s="617"/>
      <c r="AW321" s="617"/>
      <c r="AX321" s="324"/>
      <c r="AY321" s="609"/>
    </row>
    <row r="322" spans="15:51" ht="15" customHeight="1">
      <c r="O322" s="147"/>
      <c r="P322" s="582"/>
      <c r="Q322" s="102"/>
      <c r="R322" s="102"/>
      <c r="S322" s="102"/>
      <c r="T322" s="102"/>
      <c r="U322" s="102"/>
      <c r="V322" s="102"/>
      <c r="W322" s="102"/>
      <c r="X322" s="582"/>
      <c r="Y322" s="148"/>
      <c r="Z322" s="148"/>
      <c r="AA322" s="148"/>
      <c r="AB322" s="148"/>
      <c r="AC322" s="148"/>
      <c r="AD322" s="148"/>
      <c r="AE322" s="148"/>
      <c r="AF322" s="148"/>
      <c r="AG322" s="148"/>
      <c r="AH322" s="148"/>
      <c r="AI322" s="148"/>
      <c r="AJ322" s="148"/>
      <c r="AK322" s="148"/>
      <c r="AL322" s="148"/>
      <c r="AM322" s="148"/>
      <c r="AN322" s="148"/>
      <c r="AO322" s="148"/>
      <c r="AP322" s="148"/>
      <c r="AQ322" s="148"/>
      <c r="AR322" s="148"/>
      <c r="AS322" s="148"/>
      <c r="AT322" s="148"/>
      <c r="AU322" s="148"/>
      <c r="AV322" s="148"/>
      <c r="AW322" s="148"/>
      <c r="AX322" s="148"/>
      <c r="AY322" s="609"/>
    </row>
    <row r="323" spans="15:51" ht="15" customHeight="1">
      <c r="O323" s="147"/>
      <c r="P323" s="166"/>
      <c r="Q323" s="148"/>
      <c r="R323" s="148"/>
      <c r="S323" s="148"/>
      <c r="T323" s="166"/>
      <c r="U323" s="166"/>
      <c r="V323" s="166"/>
      <c r="W323" s="148"/>
      <c r="X323" s="614"/>
      <c r="Y323" s="102"/>
      <c r="Z323" s="628"/>
      <c r="AA323" s="628"/>
      <c r="AB323" s="628"/>
      <c r="AC323" s="628"/>
      <c r="AD323" s="628"/>
      <c r="AE323" s="628"/>
      <c r="AF323" s="628"/>
      <c r="AG323" s="628"/>
      <c r="AH323" s="628"/>
      <c r="AI323" s="628"/>
      <c r="AJ323" s="628"/>
      <c r="AK323" s="628"/>
      <c r="AL323" s="628"/>
      <c r="AM323" s="148"/>
      <c r="AN323" s="148"/>
      <c r="AO323" s="148"/>
      <c r="AP323" s="148"/>
      <c r="AQ323" s="148"/>
      <c r="AR323" s="148"/>
      <c r="AS323" s="148"/>
      <c r="AT323" s="148"/>
      <c r="AU323" s="148"/>
      <c r="AV323" s="148"/>
      <c r="AW323" s="148"/>
      <c r="AX323" s="148"/>
      <c r="AY323" s="609"/>
    </row>
    <row r="324" spans="15:51" ht="15" customHeight="1">
      <c r="O324" s="147"/>
      <c r="P324" s="176"/>
      <c r="Q324" s="148"/>
      <c r="R324" s="176"/>
      <c r="S324" s="176"/>
      <c r="T324" s="176"/>
      <c r="U324" s="176"/>
      <c r="V324" s="176"/>
      <c r="W324" s="148"/>
      <c r="X324" s="615"/>
      <c r="Y324" s="330"/>
      <c r="Z324" s="176"/>
      <c r="AA324" s="176"/>
      <c r="AB324" s="176"/>
      <c r="AC324" s="176"/>
      <c r="AD324" s="176"/>
      <c r="AE324" s="176"/>
      <c r="AF324" s="176"/>
      <c r="AG324" s="176"/>
      <c r="AH324" s="176"/>
      <c r="AI324" s="176"/>
      <c r="AJ324" s="176"/>
      <c r="AK324" s="176"/>
      <c r="AL324" s="176"/>
      <c r="AM324" s="148"/>
      <c r="AN324" s="148"/>
      <c r="AO324" s="148"/>
      <c r="AP324" s="148"/>
      <c r="AQ324" s="148"/>
      <c r="AR324" s="148"/>
      <c r="AS324" s="148"/>
      <c r="AT324" s="148"/>
      <c r="AU324" s="148"/>
      <c r="AV324" s="148"/>
      <c r="AW324" s="148"/>
      <c r="AX324" s="148"/>
      <c r="AY324" s="609"/>
    </row>
    <row r="325" spans="15:51" ht="15" customHeight="1">
      <c r="O325" s="147"/>
      <c r="P325" s="176"/>
      <c r="Q325" s="148"/>
      <c r="R325" s="176"/>
      <c r="S325" s="176"/>
      <c r="T325" s="176"/>
      <c r="U325" s="176"/>
      <c r="V325" s="176"/>
      <c r="W325" s="148"/>
      <c r="X325" s="615"/>
      <c r="Y325" s="330"/>
      <c r="Z325" s="176"/>
      <c r="AA325" s="176"/>
      <c r="AB325" s="176"/>
      <c r="AC325" s="176"/>
      <c r="AD325" s="176"/>
      <c r="AE325" s="176"/>
      <c r="AF325" s="176"/>
      <c r="AG325" s="176"/>
      <c r="AH325" s="176"/>
      <c r="AI325" s="176"/>
      <c r="AJ325" s="176"/>
      <c r="AK325" s="176"/>
      <c r="AL325" s="176"/>
      <c r="AM325" s="148"/>
      <c r="AN325" s="148"/>
      <c r="AO325" s="148"/>
      <c r="AP325" s="148"/>
      <c r="AQ325" s="148"/>
      <c r="AR325" s="148"/>
      <c r="AS325" s="148"/>
      <c r="AT325" s="148"/>
      <c r="AU325" s="148"/>
      <c r="AV325" s="148"/>
      <c r="AW325" s="148"/>
      <c r="AX325" s="148"/>
      <c r="AY325" s="609"/>
    </row>
    <row r="326" spans="15:51" ht="15" customHeight="1">
      <c r="O326" s="147"/>
      <c r="P326" s="176"/>
      <c r="Q326" s="148"/>
      <c r="R326" s="176"/>
      <c r="S326" s="176"/>
      <c r="T326" s="176"/>
      <c r="U326" s="176"/>
      <c r="V326" s="176"/>
      <c r="W326" s="148"/>
      <c r="X326" s="615"/>
      <c r="Y326" s="330"/>
      <c r="Z326" s="176"/>
      <c r="AA326" s="176"/>
      <c r="AB326" s="176"/>
      <c r="AC326" s="176"/>
      <c r="AD326" s="176"/>
      <c r="AE326" s="176"/>
      <c r="AF326" s="176"/>
      <c r="AG326" s="176"/>
      <c r="AH326" s="176"/>
      <c r="AI326" s="176"/>
      <c r="AJ326" s="176"/>
      <c r="AK326" s="176"/>
      <c r="AL326" s="176"/>
      <c r="AM326" s="148"/>
      <c r="AN326" s="148"/>
      <c r="AO326" s="148"/>
      <c r="AP326" s="148"/>
      <c r="AQ326" s="148"/>
      <c r="AR326" s="148"/>
      <c r="AS326" s="148"/>
      <c r="AT326" s="148"/>
      <c r="AU326" s="148"/>
      <c r="AV326" s="148"/>
      <c r="AW326" s="148"/>
      <c r="AX326" s="148"/>
      <c r="AY326" s="609"/>
    </row>
    <row r="327" spans="15:51" ht="15" customHeight="1">
      <c r="O327" s="147"/>
      <c r="P327" s="176"/>
      <c r="Q327" s="148"/>
      <c r="R327" s="176"/>
      <c r="S327" s="176"/>
      <c r="T327" s="176"/>
      <c r="U327" s="176"/>
      <c r="V327" s="176"/>
      <c r="W327" s="148"/>
      <c r="X327" s="615"/>
      <c r="Y327" s="330"/>
      <c r="Z327" s="176"/>
      <c r="AA327" s="176"/>
      <c r="AB327" s="176"/>
      <c r="AC327" s="176"/>
      <c r="AD327" s="176"/>
      <c r="AE327" s="176"/>
      <c r="AF327" s="176"/>
      <c r="AG327" s="176"/>
      <c r="AH327" s="176"/>
      <c r="AI327" s="176"/>
      <c r="AJ327" s="176"/>
      <c r="AK327" s="176"/>
      <c r="AL327" s="176"/>
      <c r="AM327" s="148"/>
      <c r="AN327" s="148"/>
      <c r="AO327" s="148"/>
      <c r="AP327" s="148"/>
      <c r="AQ327" s="148"/>
      <c r="AR327" s="148"/>
      <c r="AS327" s="148"/>
      <c r="AT327" s="148"/>
      <c r="AU327" s="148"/>
      <c r="AV327" s="148"/>
      <c r="AW327" s="148"/>
      <c r="AX327" s="148"/>
      <c r="AY327" s="609"/>
    </row>
    <row r="328" spans="15:51" ht="15" customHeight="1">
      <c r="O328" s="147"/>
      <c r="P328" s="176"/>
      <c r="Q328" s="148"/>
      <c r="R328" s="176"/>
      <c r="S328" s="176"/>
      <c r="T328" s="176"/>
      <c r="U328" s="176"/>
      <c r="V328" s="176"/>
      <c r="W328" s="148"/>
      <c r="X328" s="616"/>
      <c r="Y328" s="330"/>
      <c r="Z328" s="176"/>
      <c r="AA328" s="176"/>
      <c r="AB328" s="176"/>
      <c r="AC328" s="176"/>
      <c r="AD328" s="176"/>
      <c r="AE328" s="176"/>
      <c r="AF328" s="176"/>
      <c r="AG328" s="176"/>
      <c r="AH328" s="176"/>
      <c r="AI328" s="176"/>
      <c r="AJ328" s="176"/>
      <c r="AK328" s="176"/>
      <c r="AL328" s="176"/>
      <c r="AM328" s="148"/>
      <c r="AN328" s="148"/>
      <c r="AO328" s="148"/>
      <c r="AP328" s="148"/>
      <c r="AQ328" s="148"/>
      <c r="AR328" s="148"/>
      <c r="AS328" s="148"/>
      <c r="AT328" s="148"/>
      <c r="AU328" s="148"/>
      <c r="AV328" s="148"/>
      <c r="AW328" s="148"/>
      <c r="AX328" s="148"/>
      <c r="AY328" s="609"/>
    </row>
    <row r="329" spans="15:51" ht="15" customHeight="1">
      <c r="O329" s="147"/>
      <c r="P329" s="148"/>
      <c r="Q329" s="148"/>
      <c r="R329" s="148"/>
      <c r="S329" s="148"/>
      <c r="T329" s="148"/>
      <c r="U329" s="148"/>
      <c r="V329" s="148"/>
      <c r="W329" s="148"/>
      <c r="X329" s="582"/>
      <c r="Y329" s="148"/>
      <c r="Z329" s="148"/>
      <c r="AA329" s="148"/>
      <c r="AB329" s="148"/>
      <c r="AC329" s="148"/>
      <c r="AD329" s="148"/>
      <c r="AE329" s="148"/>
      <c r="AF329" s="148"/>
      <c r="AG329" s="148"/>
      <c r="AH329" s="148"/>
      <c r="AI329" s="148"/>
      <c r="AJ329" s="148"/>
      <c r="AK329" s="148"/>
      <c r="AL329" s="148"/>
      <c r="AM329" s="148"/>
      <c r="AN329" s="148"/>
      <c r="AO329" s="148"/>
      <c r="AP329" s="148"/>
      <c r="AQ329" s="148"/>
      <c r="AR329" s="148"/>
      <c r="AS329" s="148"/>
      <c r="AT329" s="148"/>
      <c r="AU329" s="148"/>
      <c r="AV329" s="148"/>
      <c r="AW329" s="148"/>
      <c r="AX329" s="148"/>
      <c r="AY329" s="609"/>
    </row>
    <row r="330" spans="15:51" ht="15" customHeight="1">
      <c r="O330" s="147"/>
      <c r="P330" s="148"/>
      <c r="Q330" s="148"/>
      <c r="R330" s="148"/>
      <c r="S330" s="148"/>
      <c r="T330" s="148"/>
      <c r="U330" s="148"/>
      <c r="V330" s="148"/>
      <c r="W330" s="148"/>
      <c r="X330" s="612"/>
      <c r="Y330" s="324"/>
      <c r="Z330" s="330"/>
      <c r="AA330" s="176"/>
      <c r="AB330" s="176"/>
      <c r="AC330" s="176"/>
      <c r="AD330" s="176"/>
      <c r="AE330" s="176"/>
      <c r="AF330" s="176"/>
      <c r="AG330" s="176"/>
      <c r="AH330" s="176"/>
      <c r="AI330" s="176"/>
      <c r="AJ330" s="176"/>
      <c r="AK330" s="176"/>
      <c r="AL330" s="176"/>
      <c r="AM330" s="148"/>
      <c r="AN330" s="148"/>
      <c r="AO330" s="148"/>
      <c r="AP330" s="148"/>
      <c r="AQ330" s="148"/>
      <c r="AR330" s="148"/>
      <c r="AS330" s="148"/>
      <c r="AT330" s="148"/>
      <c r="AU330" s="148"/>
      <c r="AV330" s="148"/>
      <c r="AW330" s="148"/>
      <c r="AX330" s="148"/>
      <c r="AY330" s="609"/>
    </row>
    <row r="331" spans="15:51" ht="15" customHeight="1">
      <c r="O331" s="147"/>
      <c r="P331" s="148"/>
      <c r="Q331" s="148"/>
      <c r="R331" s="148"/>
      <c r="S331" s="148"/>
      <c r="T331" s="148"/>
      <c r="U331" s="148"/>
      <c r="V331" s="148"/>
      <c r="W331" s="148"/>
      <c r="X331" s="148"/>
      <c r="Y331" s="148"/>
      <c r="Z331" s="148"/>
      <c r="AA331" s="148"/>
      <c r="AB331" s="148"/>
      <c r="AC331" s="148"/>
      <c r="AD331" s="148"/>
      <c r="AE331" s="148"/>
      <c r="AF331" s="148"/>
      <c r="AG331" s="148"/>
      <c r="AH331" s="148"/>
      <c r="AI331" s="148"/>
      <c r="AJ331" s="148"/>
      <c r="AK331" s="148"/>
      <c r="AL331" s="148"/>
      <c r="AM331" s="148"/>
      <c r="AN331" s="148"/>
      <c r="AO331" s="148"/>
      <c r="AP331" s="148"/>
      <c r="AQ331" s="148"/>
      <c r="AR331" s="148"/>
      <c r="AS331" s="148"/>
      <c r="AT331" s="148"/>
      <c r="AU331" s="148"/>
      <c r="AV331" s="148"/>
      <c r="AW331" s="148"/>
      <c r="AX331" s="148"/>
      <c r="AY331" s="609"/>
    </row>
    <row r="332" spans="15:51" ht="15" customHeight="1">
      <c r="O332" s="147"/>
      <c r="P332" s="148"/>
      <c r="Q332" s="148"/>
      <c r="R332" s="148"/>
      <c r="S332" s="148"/>
      <c r="T332" s="148"/>
      <c r="U332" s="148"/>
      <c r="V332" s="148"/>
      <c r="W332" s="148"/>
      <c r="X332" s="148"/>
      <c r="Y332" s="148"/>
      <c r="Z332" s="148"/>
      <c r="AA332" s="148"/>
      <c r="AB332" s="148"/>
      <c r="AC332" s="148"/>
      <c r="AD332" s="148"/>
      <c r="AE332" s="148"/>
      <c r="AF332" s="148"/>
      <c r="AG332" s="148"/>
      <c r="AH332" s="148"/>
      <c r="AI332" s="148"/>
      <c r="AJ332" s="148"/>
      <c r="AK332" s="148"/>
      <c r="AL332" s="148"/>
      <c r="AM332" s="148"/>
      <c r="AN332" s="148"/>
      <c r="AO332" s="148"/>
      <c r="AP332" s="148"/>
      <c r="AQ332" s="148"/>
      <c r="AR332" s="148"/>
      <c r="AS332" s="148"/>
      <c r="AT332" s="148"/>
      <c r="AU332" s="148"/>
      <c r="AV332" s="148"/>
      <c r="AW332" s="148"/>
      <c r="AX332" s="148"/>
      <c r="AY332" s="609"/>
    </row>
    <row r="333" spans="15:51" ht="15" customHeight="1">
      <c r="O333" s="147"/>
      <c r="P333" s="148"/>
      <c r="Q333" s="148"/>
      <c r="R333" s="148"/>
      <c r="S333" s="148"/>
      <c r="T333" s="148"/>
      <c r="U333" s="148"/>
      <c r="V333" s="148"/>
      <c r="W333" s="148"/>
      <c r="X333" s="148"/>
      <c r="Y333" s="148"/>
      <c r="Z333" s="148"/>
      <c r="AA333" s="148"/>
      <c r="AB333" s="148"/>
      <c r="AC333" s="148"/>
      <c r="AD333" s="148"/>
      <c r="AE333" s="148"/>
      <c r="AF333" s="148"/>
      <c r="AG333" s="148"/>
      <c r="AH333" s="148"/>
      <c r="AI333" s="148"/>
      <c r="AJ333" s="148"/>
      <c r="AK333" s="148"/>
      <c r="AL333" s="148"/>
      <c r="AM333" s="148"/>
      <c r="AN333" s="148"/>
      <c r="AO333" s="148"/>
      <c r="AP333" s="148"/>
      <c r="AQ333" s="148"/>
      <c r="AR333" s="148"/>
      <c r="AS333" s="148"/>
      <c r="AT333" s="148"/>
      <c r="AU333" s="148"/>
      <c r="AV333" s="148"/>
      <c r="AW333" s="148"/>
      <c r="AX333" s="148"/>
      <c r="AY333" s="609"/>
    </row>
    <row r="334" spans="15:51" ht="15" customHeight="1">
      <c r="O334" s="102"/>
      <c r="P334" s="102"/>
      <c r="Q334" s="102"/>
      <c r="R334" s="102"/>
      <c r="S334" s="102"/>
      <c r="T334" s="102"/>
      <c r="U334" s="102"/>
      <c r="V334" s="102"/>
      <c r="W334" s="102"/>
      <c r="X334" s="102"/>
      <c r="Y334" s="102"/>
      <c r="Z334" s="102"/>
      <c r="AA334" s="148"/>
      <c r="AB334" s="148"/>
      <c r="AC334" s="148"/>
      <c r="AD334" s="148"/>
      <c r="AE334" s="148"/>
      <c r="AF334" s="148"/>
      <c r="AG334" s="148"/>
      <c r="AH334" s="148"/>
      <c r="AI334" s="148"/>
      <c r="AJ334" s="148"/>
      <c r="AK334" s="148"/>
      <c r="AL334" s="148"/>
      <c r="AM334" s="148"/>
      <c r="AN334" s="148"/>
      <c r="AO334" s="148"/>
      <c r="AP334" s="148"/>
      <c r="AQ334" s="148"/>
      <c r="AR334" s="148"/>
      <c r="AS334" s="148"/>
      <c r="AT334" s="148"/>
      <c r="AU334" s="148"/>
      <c r="AV334" s="148"/>
      <c r="AW334" s="148"/>
      <c r="AX334" s="148"/>
      <c r="AY334" s="609"/>
    </row>
    <row r="335" spans="15:51" ht="15" customHeight="1">
      <c r="O335" s="147"/>
      <c r="P335" s="148"/>
      <c r="Q335" s="148"/>
      <c r="R335" s="148"/>
      <c r="S335" s="148"/>
      <c r="T335" s="148"/>
      <c r="U335" s="148"/>
      <c r="V335" s="148"/>
      <c r="W335" s="148"/>
      <c r="X335" s="148"/>
      <c r="Y335" s="148"/>
      <c r="Z335" s="148"/>
      <c r="AA335" s="148"/>
      <c r="AB335" s="148"/>
      <c r="AC335" s="148"/>
      <c r="AD335" s="148"/>
      <c r="AE335" s="148"/>
      <c r="AF335" s="148"/>
      <c r="AG335" s="148"/>
      <c r="AH335" s="148"/>
      <c r="AI335" s="148"/>
      <c r="AJ335" s="148"/>
      <c r="AK335" s="148"/>
      <c r="AL335" s="148"/>
      <c r="AM335" s="148"/>
      <c r="AN335" s="148"/>
      <c r="AO335" s="148"/>
      <c r="AP335" s="148"/>
      <c r="AQ335" s="148"/>
      <c r="AR335" s="148"/>
      <c r="AS335" s="148"/>
      <c r="AT335" s="148"/>
      <c r="AU335" s="148"/>
      <c r="AV335" s="148"/>
      <c r="AW335" s="148"/>
      <c r="AX335" s="148"/>
      <c r="AY335" s="609"/>
    </row>
    <row r="336" spans="15:51" ht="15" customHeight="1">
      <c r="O336" s="147"/>
      <c r="P336" s="166"/>
      <c r="Q336" s="148"/>
      <c r="R336" s="148"/>
      <c r="S336" s="148"/>
      <c r="T336" s="166"/>
      <c r="U336" s="166"/>
      <c r="V336" s="166"/>
      <c r="W336" s="148"/>
      <c r="X336" s="148"/>
      <c r="Y336" s="148"/>
      <c r="Z336" s="148"/>
      <c r="AA336" s="148"/>
      <c r="AB336" s="148"/>
      <c r="AC336" s="148"/>
      <c r="AD336" s="148"/>
      <c r="AE336" s="148"/>
      <c r="AF336" s="148"/>
      <c r="AG336" s="148"/>
      <c r="AH336" s="148"/>
      <c r="AI336" s="148"/>
      <c r="AJ336" s="148"/>
      <c r="AK336" s="148"/>
      <c r="AL336" s="148"/>
      <c r="AM336" s="148"/>
      <c r="AN336" s="148"/>
      <c r="AO336" s="148"/>
      <c r="AP336" s="148"/>
      <c r="AQ336" s="148"/>
      <c r="AR336" s="148"/>
      <c r="AS336" s="148"/>
      <c r="AT336" s="148"/>
      <c r="AU336" s="148"/>
      <c r="AV336" s="148"/>
      <c r="AW336" s="148"/>
      <c r="AX336" s="148"/>
      <c r="AY336" s="609"/>
    </row>
    <row r="337" spans="15:51" ht="15" customHeight="1">
      <c r="O337" s="147"/>
      <c r="P337" s="148"/>
      <c r="Q337" s="148"/>
      <c r="R337" s="148"/>
      <c r="S337" s="148"/>
      <c r="T337" s="148"/>
      <c r="U337" s="148"/>
      <c r="V337" s="148"/>
      <c r="W337" s="148"/>
      <c r="X337" s="148"/>
      <c r="Y337" s="148"/>
      <c r="Z337" s="148"/>
      <c r="AA337" s="148"/>
      <c r="AB337" s="148"/>
      <c r="AC337" s="148"/>
      <c r="AD337" s="148"/>
      <c r="AE337" s="148"/>
      <c r="AF337" s="148"/>
      <c r="AG337" s="148"/>
      <c r="AH337" s="148"/>
      <c r="AI337" s="148"/>
      <c r="AJ337" s="148"/>
      <c r="AK337" s="148"/>
      <c r="AL337" s="148"/>
      <c r="AM337" s="148"/>
      <c r="AN337" s="148"/>
      <c r="AO337" s="148"/>
      <c r="AP337" s="148"/>
      <c r="AQ337" s="148"/>
      <c r="AR337" s="148"/>
      <c r="AS337" s="148"/>
      <c r="AT337" s="148"/>
      <c r="AU337" s="148"/>
      <c r="AV337" s="148"/>
      <c r="AW337" s="148"/>
      <c r="AX337" s="148"/>
      <c r="AY337" s="609"/>
    </row>
    <row r="338" spans="15:51" ht="15" customHeight="1">
      <c r="O338" s="147"/>
      <c r="P338" s="148"/>
      <c r="Q338" s="148"/>
      <c r="R338" s="148"/>
      <c r="S338" s="148"/>
      <c r="T338" s="148"/>
      <c r="U338" s="148"/>
      <c r="V338" s="148"/>
      <c r="W338" s="148"/>
      <c r="X338" s="148"/>
      <c r="Y338" s="148"/>
      <c r="Z338" s="148"/>
      <c r="AA338" s="148"/>
      <c r="AB338" s="148"/>
      <c r="AC338" s="148"/>
      <c r="AD338" s="148"/>
      <c r="AE338" s="148"/>
      <c r="AF338" s="148"/>
      <c r="AG338" s="148"/>
      <c r="AH338" s="148"/>
      <c r="AI338" s="148"/>
      <c r="AJ338" s="148"/>
      <c r="AK338" s="148"/>
      <c r="AL338" s="148"/>
      <c r="AM338" s="148"/>
      <c r="AN338" s="148"/>
      <c r="AO338" s="148"/>
      <c r="AP338" s="148"/>
      <c r="AQ338" s="148"/>
      <c r="AR338" s="148"/>
      <c r="AS338" s="148"/>
      <c r="AT338" s="148"/>
      <c r="AU338" s="148"/>
      <c r="AV338" s="148"/>
      <c r="AW338" s="148"/>
      <c r="AX338" s="148"/>
      <c r="AY338" s="609"/>
    </row>
    <row r="339" spans="15:51" ht="15" customHeight="1">
      <c r="O339" s="147"/>
      <c r="P339" s="176"/>
      <c r="Q339" s="148"/>
      <c r="R339" s="176"/>
      <c r="S339" s="176"/>
      <c r="T339" s="176"/>
      <c r="U339" s="176"/>
      <c r="V339" s="176"/>
      <c r="W339" s="148"/>
      <c r="X339" s="148"/>
      <c r="Y339" s="148"/>
      <c r="Z339" s="148"/>
      <c r="AA339" s="148"/>
      <c r="AB339" s="148"/>
      <c r="AC339" s="148"/>
      <c r="AD339" s="148"/>
      <c r="AE339" s="148"/>
      <c r="AF339" s="148"/>
      <c r="AG339" s="148"/>
      <c r="AH339" s="148"/>
      <c r="AI339" s="148"/>
      <c r="AJ339" s="148"/>
      <c r="AK339" s="148"/>
      <c r="AL339" s="148"/>
      <c r="AM339" s="148"/>
      <c r="AN339" s="148"/>
      <c r="AO339" s="148"/>
      <c r="AP339" s="148"/>
      <c r="AQ339" s="148"/>
      <c r="AR339" s="148"/>
      <c r="AS339" s="148"/>
      <c r="AT339" s="148"/>
      <c r="AU339" s="148"/>
      <c r="AV339" s="148"/>
      <c r="AW339" s="148"/>
      <c r="AX339" s="148"/>
      <c r="AY339" s="609"/>
    </row>
    <row r="340" spans="15:51" ht="15" customHeight="1">
      <c r="O340" s="147"/>
      <c r="P340" s="148"/>
      <c r="Q340" s="148"/>
      <c r="R340" s="148"/>
      <c r="S340" s="148"/>
      <c r="T340" s="148"/>
      <c r="U340" s="148"/>
      <c r="V340" s="148"/>
      <c r="W340" s="148"/>
      <c r="X340" s="148"/>
      <c r="Y340" s="148"/>
      <c r="Z340" s="148"/>
      <c r="AA340" s="148"/>
      <c r="AB340" s="148"/>
      <c r="AC340" s="148"/>
      <c r="AD340" s="148"/>
      <c r="AE340" s="148"/>
      <c r="AF340" s="148"/>
      <c r="AG340" s="148"/>
      <c r="AH340" s="148"/>
      <c r="AI340" s="148"/>
      <c r="AJ340" s="148"/>
      <c r="AK340" s="148"/>
      <c r="AL340" s="148"/>
      <c r="AM340" s="148"/>
      <c r="AN340" s="148"/>
      <c r="AO340" s="148"/>
      <c r="AP340" s="148"/>
      <c r="AQ340" s="148"/>
      <c r="AR340" s="148"/>
      <c r="AS340" s="148"/>
      <c r="AT340" s="148"/>
      <c r="AU340" s="148"/>
      <c r="AV340" s="148"/>
      <c r="AW340" s="148"/>
      <c r="AX340" s="148"/>
      <c r="AY340" s="609"/>
    </row>
    <row r="341" spans="15:51" ht="15" customHeight="1">
      <c r="O341" s="102"/>
      <c r="P341" s="102"/>
      <c r="Q341" s="102"/>
      <c r="R341" s="102"/>
      <c r="S341" s="102"/>
      <c r="T341" s="102"/>
      <c r="U341" s="102"/>
      <c r="V341" s="102"/>
      <c r="W341" s="102"/>
      <c r="X341" s="102"/>
      <c r="Y341" s="102"/>
      <c r="Z341" s="102"/>
      <c r="AA341" s="148"/>
      <c r="AB341" s="148"/>
      <c r="AC341" s="148"/>
      <c r="AD341" s="148"/>
      <c r="AE341" s="148"/>
      <c r="AF341" s="148"/>
      <c r="AG341" s="148"/>
      <c r="AH341" s="148"/>
      <c r="AI341" s="148"/>
      <c r="AJ341" s="148"/>
      <c r="AK341" s="148"/>
      <c r="AL341" s="148"/>
      <c r="AM341" s="148"/>
      <c r="AN341" s="148"/>
      <c r="AO341" s="148"/>
      <c r="AP341" s="148"/>
      <c r="AQ341" s="148"/>
      <c r="AR341" s="148"/>
      <c r="AS341" s="148"/>
      <c r="AT341" s="148"/>
      <c r="AU341" s="148"/>
      <c r="AV341" s="148"/>
      <c r="AW341" s="148"/>
      <c r="AX341" s="148"/>
      <c r="AY341" s="609"/>
    </row>
    <row r="342" spans="15:51" ht="15" customHeight="1">
      <c r="O342" s="147"/>
      <c r="P342" s="148"/>
      <c r="Q342" s="148"/>
      <c r="R342" s="148"/>
      <c r="S342" s="148"/>
      <c r="T342" s="148"/>
      <c r="U342" s="148"/>
      <c r="V342" s="148"/>
      <c r="W342" s="148"/>
      <c r="X342" s="148"/>
      <c r="Y342" s="148"/>
      <c r="Z342" s="148"/>
      <c r="AA342" s="148"/>
      <c r="AB342" s="148"/>
      <c r="AC342" s="148"/>
      <c r="AD342" s="148"/>
      <c r="AE342" s="148"/>
      <c r="AF342" s="148"/>
      <c r="AG342" s="148"/>
      <c r="AH342" s="148"/>
      <c r="AI342" s="148"/>
      <c r="AJ342" s="148"/>
      <c r="AK342" s="148"/>
      <c r="AL342" s="148"/>
      <c r="AM342" s="148"/>
      <c r="AN342" s="148"/>
      <c r="AO342" s="148"/>
      <c r="AP342" s="148"/>
      <c r="AQ342" s="148"/>
      <c r="AR342" s="148"/>
      <c r="AS342" s="148"/>
      <c r="AT342" s="148"/>
      <c r="AU342" s="148"/>
      <c r="AV342" s="148"/>
      <c r="AW342" s="148"/>
      <c r="AX342" s="148"/>
      <c r="AY342" s="609"/>
    </row>
    <row r="343" spans="15:51" ht="15" customHeight="1">
      <c r="O343" s="147"/>
      <c r="P343" s="166"/>
      <c r="Q343" s="148"/>
      <c r="R343" s="148"/>
      <c r="S343" s="148"/>
      <c r="T343" s="166"/>
      <c r="U343" s="166"/>
      <c r="V343" s="166"/>
      <c r="W343" s="148"/>
      <c r="X343" s="148"/>
      <c r="Y343" s="148"/>
      <c r="Z343" s="148"/>
      <c r="AA343" s="148"/>
      <c r="AB343" s="148"/>
      <c r="AC343" s="148"/>
      <c r="AD343" s="148"/>
      <c r="AE343" s="148"/>
      <c r="AF343" s="148"/>
      <c r="AG343" s="148"/>
      <c r="AH343" s="148"/>
      <c r="AI343" s="148"/>
      <c r="AJ343" s="148"/>
      <c r="AK343" s="148"/>
      <c r="AL343" s="148"/>
      <c r="AM343" s="148"/>
      <c r="AN343" s="148"/>
      <c r="AO343" s="148"/>
      <c r="AP343" s="148"/>
      <c r="AQ343" s="148"/>
      <c r="AR343" s="148"/>
      <c r="AS343" s="148"/>
      <c r="AT343" s="148"/>
      <c r="AU343" s="148"/>
      <c r="AV343" s="148"/>
      <c r="AW343" s="148"/>
      <c r="AX343" s="148"/>
      <c r="AY343" s="609"/>
    </row>
    <row r="344" spans="15:51" ht="15" customHeight="1">
      <c r="O344" s="147"/>
      <c r="P344" s="148"/>
      <c r="Q344" s="148"/>
      <c r="R344" s="148"/>
      <c r="S344" s="148"/>
      <c r="T344" s="148"/>
      <c r="U344" s="148"/>
      <c r="V344" s="148"/>
      <c r="W344" s="148"/>
      <c r="X344" s="148"/>
      <c r="Y344" s="148"/>
      <c r="Z344" s="148"/>
      <c r="AA344" s="148"/>
      <c r="AB344" s="148"/>
      <c r="AC344" s="148"/>
      <c r="AD344" s="148"/>
      <c r="AE344" s="148"/>
      <c r="AF344" s="148"/>
      <c r="AG344" s="148"/>
      <c r="AH344" s="148"/>
      <c r="AI344" s="148"/>
      <c r="AJ344" s="148"/>
      <c r="AK344" s="148"/>
      <c r="AL344" s="148"/>
      <c r="AM344" s="148"/>
      <c r="AN344" s="148"/>
      <c r="AO344" s="148"/>
      <c r="AP344" s="148"/>
      <c r="AQ344" s="148"/>
      <c r="AR344" s="148"/>
      <c r="AS344" s="148"/>
      <c r="AT344" s="148"/>
      <c r="AU344" s="148"/>
      <c r="AV344" s="148"/>
      <c r="AW344" s="148"/>
      <c r="AX344" s="148"/>
      <c r="AY344" s="609"/>
    </row>
    <row r="345" spans="15:51" ht="15" customHeight="1">
      <c r="O345" s="147"/>
      <c r="P345" s="148"/>
      <c r="Q345" s="148"/>
      <c r="R345" s="148"/>
      <c r="S345" s="148"/>
      <c r="T345" s="148"/>
      <c r="U345" s="148"/>
      <c r="V345" s="148"/>
      <c r="W345" s="148"/>
      <c r="X345" s="148"/>
      <c r="Y345" s="148"/>
      <c r="Z345" s="148"/>
      <c r="AA345" s="148"/>
      <c r="AB345" s="148"/>
      <c r="AC345" s="148"/>
      <c r="AD345" s="148"/>
      <c r="AE345" s="148"/>
      <c r="AF345" s="148"/>
      <c r="AG345" s="148"/>
      <c r="AH345" s="148"/>
      <c r="AI345" s="148"/>
      <c r="AJ345" s="148"/>
      <c r="AK345" s="148"/>
      <c r="AL345" s="148"/>
      <c r="AM345" s="148"/>
      <c r="AN345" s="148"/>
      <c r="AO345" s="148"/>
      <c r="AP345" s="148"/>
      <c r="AQ345" s="148"/>
      <c r="AR345" s="148"/>
      <c r="AS345" s="148"/>
      <c r="AT345" s="148"/>
      <c r="AU345" s="148"/>
      <c r="AV345" s="148"/>
      <c r="AW345" s="148"/>
      <c r="AX345" s="148"/>
      <c r="AY345" s="609"/>
    </row>
    <row r="346" spans="15:51" ht="15" customHeight="1">
      <c r="O346" s="147"/>
      <c r="P346" s="176"/>
      <c r="Q346" s="148"/>
      <c r="R346" s="176"/>
      <c r="S346" s="176"/>
      <c r="T346" s="176"/>
      <c r="U346" s="176"/>
      <c r="V346" s="176"/>
      <c r="W346" s="148"/>
      <c r="X346" s="148"/>
      <c r="Y346" s="148"/>
      <c r="Z346" s="148"/>
      <c r="AA346" s="148"/>
      <c r="AB346" s="148"/>
      <c r="AC346" s="148"/>
      <c r="AD346" s="148"/>
      <c r="AE346" s="148"/>
      <c r="AF346" s="148"/>
      <c r="AG346" s="148"/>
      <c r="AH346" s="148"/>
      <c r="AI346" s="148"/>
      <c r="AJ346" s="148"/>
      <c r="AK346" s="148"/>
      <c r="AL346" s="148"/>
      <c r="AM346" s="148"/>
      <c r="AN346" s="148"/>
      <c r="AO346" s="148"/>
      <c r="AP346" s="148"/>
      <c r="AQ346" s="148"/>
      <c r="AR346" s="148"/>
      <c r="AS346" s="148"/>
      <c r="AT346" s="148"/>
      <c r="AU346" s="148"/>
      <c r="AV346" s="148"/>
      <c r="AW346" s="148"/>
      <c r="AX346" s="148"/>
      <c r="AY346" s="609"/>
    </row>
    <row r="347" spans="15:51" ht="15" customHeight="1">
      <c r="O347" s="147"/>
      <c r="P347" s="148"/>
      <c r="Q347" s="148"/>
      <c r="R347" s="148"/>
      <c r="S347" s="148"/>
      <c r="T347" s="148"/>
      <c r="U347" s="148"/>
      <c r="V347" s="148"/>
      <c r="W347" s="148"/>
      <c r="X347" s="148"/>
      <c r="Y347" s="148"/>
      <c r="Z347" s="148"/>
      <c r="AA347" s="148"/>
      <c r="AB347" s="148"/>
      <c r="AC347" s="148"/>
      <c r="AD347" s="148"/>
      <c r="AE347" s="148"/>
      <c r="AF347" s="148"/>
      <c r="AG347" s="148"/>
      <c r="AH347" s="148"/>
      <c r="AI347" s="148"/>
      <c r="AJ347" s="148"/>
      <c r="AK347" s="148"/>
      <c r="AL347" s="148"/>
      <c r="AM347" s="148"/>
      <c r="AN347" s="148"/>
      <c r="AO347" s="148"/>
      <c r="AP347" s="148"/>
      <c r="AQ347" s="148"/>
      <c r="AR347" s="148"/>
      <c r="AS347" s="148"/>
      <c r="AT347" s="148"/>
      <c r="AU347" s="148"/>
      <c r="AV347" s="148"/>
      <c r="AW347" s="148"/>
      <c r="AX347" s="148"/>
      <c r="AY347" s="609"/>
    </row>
    <row r="348" spans="15:51" ht="15" customHeight="1">
      <c r="O348" s="102"/>
      <c r="P348" s="102"/>
      <c r="Q348" s="102"/>
      <c r="R348" s="102"/>
      <c r="S348" s="102"/>
      <c r="T348" s="102"/>
      <c r="U348" s="102"/>
      <c r="V348" s="102"/>
      <c r="W348" s="102"/>
      <c r="X348" s="102"/>
      <c r="Y348" s="102"/>
      <c r="Z348" s="102"/>
      <c r="AA348" s="148"/>
      <c r="AB348" s="148"/>
      <c r="AC348" s="148"/>
      <c r="AD348" s="148"/>
      <c r="AE348" s="148"/>
      <c r="AF348" s="148"/>
      <c r="AG348" s="148"/>
      <c r="AH348" s="148"/>
      <c r="AI348" s="148"/>
      <c r="AJ348" s="148"/>
      <c r="AK348" s="148"/>
      <c r="AL348" s="148"/>
      <c r="AM348" s="148"/>
      <c r="AN348" s="148"/>
      <c r="AO348" s="148"/>
      <c r="AP348" s="148"/>
      <c r="AQ348" s="148"/>
      <c r="AR348" s="148"/>
      <c r="AS348" s="148"/>
      <c r="AT348" s="148"/>
      <c r="AU348" s="148"/>
      <c r="AV348" s="148"/>
      <c r="AW348" s="148"/>
      <c r="AX348" s="148"/>
      <c r="AY348" s="609"/>
    </row>
    <row r="349" spans="15:51" ht="15" customHeight="1">
      <c r="O349" s="147"/>
      <c r="P349" s="148"/>
      <c r="Q349" s="148"/>
      <c r="R349" s="148"/>
      <c r="S349" s="148"/>
      <c r="T349" s="148"/>
      <c r="U349" s="148"/>
      <c r="V349" s="148"/>
      <c r="W349" s="148"/>
      <c r="X349" s="148"/>
      <c r="Y349" s="148"/>
      <c r="Z349" s="148"/>
      <c r="AA349" s="148"/>
      <c r="AB349" s="148"/>
      <c r="AC349" s="148"/>
      <c r="AD349" s="148"/>
      <c r="AE349" s="148"/>
      <c r="AF349" s="148"/>
      <c r="AG349" s="148"/>
      <c r="AH349" s="148"/>
      <c r="AI349" s="148"/>
      <c r="AJ349" s="148"/>
      <c r="AK349" s="148"/>
      <c r="AL349" s="148"/>
      <c r="AM349" s="148"/>
      <c r="AN349" s="148"/>
      <c r="AO349" s="148"/>
      <c r="AP349" s="148"/>
      <c r="AQ349" s="148"/>
      <c r="AR349" s="148"/>
      <c r="AS349" s="148"/>
      <c r="AT349" s="148"/>
      <c r="AU349" s="148"/>
      <c r="AV349" s="148"/>
      <c r="AW349" s="148"/>
      <c r="AX349" s="148"/>
      <c r="AY349" s="609"/>
    </row>
    <row r="350" spans="15:51" ht="15" customHeight="1">
      <c r="O350" s="147"/>
      <c r="P350" s="166"/>
      <c r="Q350" s="148"/>
      <c r="R350" s="148"/>
      <c r="S350" s="148"/>
      <c r="T350" s="166"/>
      <c r="U350" s="166"/>
      <c r="V350" s="166"/>
      <c r="W350" s="148"/>
      <c r="X350" s="148"/>
      <c r="Y350" s="148"/>
      <c r="Z350" s="148"/>
      <c r="AA350" s="148"/>
      <c r="AB350" s="148"/>
      <c r="AC350" s="148"/>
      <c r="AD350" s="148"/>
      <c r="AE350" s="148"/>
      <c r="AF350" s="148"/>
      <c r="AG350" s="148"/>
      <c r="AH350" s="148"/>
      <c r="AI350" s="148"/>
      <c r="AJ350" s="148"/>
      <c r="AK350" s="148"/>
      <c r="AL350" s="148"/>
      <c r="AM350" s="148"/>
      <c r="AN350" s="148"/>
      <c r="AO350" s="148"/>
      <c r="AP350" s="148"/>
      <c r="AQ350" s="148"/>
      <c r="AR350" s="148"/>
      <c r="AS350" s="148"/>
      <c r="AT350" s="148"/>
      <c r="AU350" s="148"/>
      <c r="AV350" s="148"/>
      <c r="AW350" s="148"/>
      <c r="AX350" s="148"/>
      <c r="AY350" s="609"/>
    </row>
    <row r="351" spans="15:51" ht="15" customHeight="1">
      <c r="O351" s="147"/>
      <c r="P351" s="148"/>
      <c r="Q351" s="148"/>
      <c r="R351" s="148"/>
      <c r="S351" s="148"/>
      <c r="T351" s="148"/>
      <c r="U351" s="148"/>
      <c r="V351" s="148"/>
      <c r="W351" s="148"/>
      <c r="X351" s="148"/>
      <c r="Y351" s="148"/>
      <c r="Z351" s="148"/>
      <c r="AA351" s="148"/>
      <c r="AB351" s="148"/>
      <c r="AC351" s="148"/>
      <c r="AD351" s="148"/>
      <c r="AE351" s="148"/>
      <c r="AF351" s="148"/>
      <c r="AG351" s="148"/>
      <c r="AH351" s="148"/>
      <c r="AI351" s="148"/>
      <c r="AJ351" s="148"/>
      <c r="AK351" s="148"/>
      <c r="AL351" s="148"/>
      <c r="AM351" s="148"/>
      <c r="AN351" s="148"/>
      <c r="AO351" s="148"/>
      <c r="AP351" s="148"/>
      <c r="AQ351" s="148"/>
      <c r="AR351" s="148"/>
      <c r="AS351" s="148"/>
      <c r="AT351" s="148"/>
      <c r="AU351" s="148"/>
      <c r="AV351" s="148"/>
      <c r="AW351" s="148"/>
      <c r="AX351" s="148"/>
      <c r="AY351" s="609"/>
    </row>
    <row r="352" spans="15:51" ht="15" customHeight="1">
      <c r="O352" s="147"/>
      <c r="P352" s="148"/>
      <c r="Q352" s="148"/>
      <c r="R352" s="148"/>
      <c r="S352" s="148"/>
      <c r="T352" s="148"/>
      <c r="U352" s="148"/>
      <c r="V352" s="148"/>
      <c r="W352" s="148"/>
      <c r="X352" s="148"/>
      <c r="Y352" s="148"/>
      <c r="Z352" s="148"/>
      <c r="AA352" s="148"/>
      <c r="AB352" s="148"/>
      <c r="AC352" s="148"/>
      <c r="AD352" s="148"/>
      <c r="AE352" s="148"/>
      <c r="AF352" s="148"/>
      <c r="AG352" s="148"/>
      <c r="AH352" s="148"/>
      <c r="AI352" s="148"/>
      <c r="AJ352" s="148"/>
      <c r="AK352" s="148"/>
      <c r="AL352" s="148"/>
      <c r="AM352" s="148"/>
      <c r="AN352" s="148"/>
      <c r="AO352" s="148"/>
      <c r="AP352" s="148"/>
      <c r="AQ352" s="148"/>
      <c r="AR352" s="148"/>
      <c r="AS352" s="148"/>
      <c r="AT352" s="148"/>
      <c r="AU352" s="148"/>
      <c r="AV352" s="148"/>
      <c r="AW352" s="148"/>
      <c r="AX352" s="148"/>
      <c r="AY352" s="609"/>
    </row>
    <row r="353" spans="15:51" ht="15" customHeight="1">
      <c r="O353" s="147"/>
      <c r="P353" s="176"/>
      <c r="Q353" s="148"/>
      <c r="R353" s="176"/>
      <c r="S353" s="176"/>
      <c r="T353" s="176"/>
      <c r="U353" s="176"/>
      <c r="V353" s="176"/>
      <c r="W353" s="148"/>
      <c r="X353" s="148"/>
      <c r="Y353" s="148"/>
      <c r="Z353" s="148"/>
      <c r="AA353" s="148"/>
      <c r="AB353" s="148"/>
      <c r="AC353" s="148"/>
      <c r="AD353" s="148"/>
      <c r="AE353" s="148"/>
      <c r="AF353" s="148"/>
      <c r="AG353" s="148"/>
      <c r="AH353" s="148"/>
      <c r="AI353" s="148"/>
      <c r="AJ353" s="148"/>
      <c r="AK353" s="148"/>
      <c r="AL353" s="148"/>
      <c r="AM353" s="148"/>
      <c r="AN353" s="148"/>
      <c r="AO353" s="148"/>
      <c r="AP353" s="148"/>
      <c r="AQ353" s="148"/>
      <c r="AR353" s="148"/>
      <c r="AS353" s="148"/>
      <c r="AT353" s="148"/>
      <c r="AU353" s="148"/>
      <c r="AV353" s="148"/>
      <c r="AW353" s="148"/>
      <c r="AX353" s="148"/>
      <c r="AY353" s="609"/>
    </row>
    <row r="354" spans="15:51" ht="15" customHeight="1">
      <c r="O354" s="147"/>
      <c r="P354" s="148"/>
      <c r="Q354" s="148"/>
      <c r="R354" s="148"/>
      <c r="S354" s="148"/>
      <c r="T354" s="148"/>
      <c r="U354" s="148"/>
      <c r="V354" s="148"/>
      <c r="W354" s="148"/>
      <c r="X354" s="148"/>
      <c r="Y354" s="148"/>
      <c r="Z354" s="148"/>
      <c r="AA354" s="148"/>
      <c r="AB354" s="148"/>
      <c r="AC354" s="148"/>
      <c r="AD354" s="148"/>
      <c r="AE354" s="148"/>
      <c r="AF354" s="148"/>
      <c r="AG354" s="148"/>
      <c r="AH354" s="148"/>
      <c r="AI354" s="148"/>
      <c r="AJ354" s="148"/>
      <c r="AK354" s="148"/>
      <c r="AL354" s="148"/>
      <c r="AM354" s="148"/>
      <c r="AN354" s="148"/>
      <c r="AO354" s="148"/>
      <c r="AP354" s="148"/>
      <c r="AQ354" s="148"/>
      <c r="AR354" s="148"/>
      <c r="AS354" s="148"/>
      <c r="AT354" s="148"/>
      <c r="AU354" s="148"/>
      <c r="AV354" s="148"/>
      <c r="AW354" s="148"/>
      <c r="AX354" s="148"/>
      <c r="AY354" s="609"/>
    </row>
    <row r="355" spans="15:51" ht="15" customHeight="1">
      <c r="O355" s="102"/>
      <c r="P355" s="102"/>
      <c r="Q355" s="102"/>
      <c r="R355" s="102"/>
      <c r="S355" s="102"/>
      <c r="T355" s="102"/>
      <c r="U355" s="102"/>
      <c r="V355" s="102"/>
      <c r="W355" s="102"/>
      <c r="X355" s="102"/>
      <c r="Y355" s="102"/>
      <c r="Z355" s="102"/>
      <c r="AA355" s="148"/>
      <c r="AB355" s="148"/>
      <c r="AC355" s="148"/>
      <c r="AD355" s="148"/>
      <c r="AE355" s="148"/>
      <c r="AF355" s="148"/>
      <c r="AG355" s="148"/>
      <c r="AH355" s="148"/>
      <c r="AI355" s="148"/>
      <c r="AJ355" s="148"/>
      <c r="AK355" s="148"/>
      <c r="AL355" s="148"/>
      <c r="AM355" s="148"/>
      <c r="AN355" s="148"/>
      <c r="AO355" s="148"/>
      <c r="AP355" s="148"/>
      <c r="AQ355" s="148"/>
      <c r="AR355" s="148"/>
      <c r="AS355" s="148"/>
      <c r="AT355" s="148"/>
      <c r="AU355" s="148"/>
      <c r="AV355" s="148"/>
      <c r="AW355" s="148"/>
      <c r="AX355" s="148"/>
      <c r="AY355" s="609"/>
    </row>
    <row r="356" spans="15:51" ht="15" customHeight="1">
      <c r="O356" s="147"/>
      <c r="P356" s="148"/>
      <c r="Q356" s="148"/>
      <c r="R356" s="148"/>
      <c r="S356" s="148"/>
      <c r="T356" s="148"/>
      <c r="U356" s="148"/>
      <c r="V356" s="148"/>
      <c r="W356" s="148"/>
      <c r="X356" s="148"/>
      <c r="Y356" s="148"/>
      <c r="Z356" s="148"/>
      <c r="AA356" s="148"/>
      <c r="AB356" s="148"/>
      <c r="AC356" s="148"/>
      <c r="AD356" s="148"/>
      <c r="AE356" s="148"/>
      <c r="AF356" s="148"/>
      <c r="AG356" s="148"/>
      <c r="AH356" s="148"/>
      <c r="AI356" s="148"/>
      <c r="AJ356" s="148"/>
      <c r="AK356" s="148"/>
      <c r="AL356" s="148"/>
      <c r="AM356" s="148"/>
      <c r="AN356" s="148"/>
      <c r="AO356" s="148"/>
      <c r="AP356" s="148"/>
      <c r="AQ356" s="148"/>
      <c r="AR356" s="148"/>
      <c r="AS356" s="148"/>
      <c r="AT356" s="148"/>
      <c r="AU356" s="148"/>
      <c r="AV356" s="148"/>
      <c r="AW356" s="148"/>
      <c r="AX356" s="148"/>
      <c r="AY356" s="609"/>
    </row>
    <row r="357" spans="15:51" ht="15" customHeight="1">
      <c r="O357" s="147"/>
      <c r="P357" s="166"/>
      <c r="Q357" s="148"/>
      <c r="R357" s="148"/>
      <c r="S357" s="148"/>
      <c r="T357" s="166"/>
      <c r="U357" s="166"/>
      <c r="V357" s="166"/>
      <c r="W357" s="148"/>
      <c r="X357" s="148"/>
      <c r="Y357" s="148"/>
      <c r="Z357" s="148"/>
      <c r="AA357" s="148"/>
      <c r="AB357" s="148"/>
      <c r="AC357" s="148"/>
      <c r="AD357" s="148"/>
      <c r="AE357" s="148"/>
      <c r="AF357" s="148"/>
      <c r="AG357" s="148"/>
      <c r="AH357" s="148"/>
      <c r="AI357" s="148"/>
      <c r="AJ357" s="148"/>
      <c r="AK357" s="148"/>
      <c r="AL357" s="148"/>
      <c r="AM357" s="148"/>
      <c r="AN357" s="148"/>
      <c r="AO357" s="148"/>
      <c r="AP357" s="148"/>
      <c r="AQ357" s="148"/>
      <c r="AR357" s="148"/>
      <c r="AS357" s="148"/>
      <c r="AT357" s="148"/>
      <c r="AU357" s="148"/>
      <c r="AV357" s="148"/>
      <c r="AW357" s="148"/>
      <c r="AX357" s="148"/>
      <c r="AY357" s="609"/>
    </row>
    <row r="358" spans="15:51" ht="15" customHeight="1">
      <c r="O358" s="147"/>
      <c r="P358" s="148"/>
      <c r="Q358" s="148"/>
      <c r="R358" s="148"/>
      <c r="S358" s="148"/>
      <c r="T358" s="148"/>
      <c r="U358" s="148"/>
      <c r="V358" s="148"/>
      <c r="W358" s="148"/>
      <c r="X358" s="148"/>
      <c r="Y358" s="148"/>
      <c r="Z358" s="148"/>
      <c r="AA358" s="148"/>
      <c r="AB358" s="148"/>
      <c r="AC358" s="148"/>
      <c r="AD358" s="148"/>
      <c r="AE358" s="148"/>
      <c r="AF358" s="148"/>
      <c r="AG358" s="148"/>
      <c r="AH358" s="148"/>
      <c r="AI358" s="148"/>
      <c r="AJ358" s="148"/>
      <c r="AK358" s="148"/>
      <c r="AL358" s="148"/>
      <c r="AM358" s="148"/>
      <c r="AN358" s="148"/>
      <c r="AO358" s="148"/>
      <c r="AP358" s="148"/>
      <c r="AQ358" s="148"/>
      <c r="AR358" s="148"/>
      <c r="AS358" s="148"/>
      <c r="AT358" s="148"/>
      <c r="AU358" s="148"/>
      <c r="AV358" s="148"/>
      <c r="AW358" s="148"/>
      <c r="AX358" s="148"/>
      <c r="AY358" s="609"/>
    </row>
    <row r="359" spans="15:51" ht="15" customHeight="1">
      <c r="O359" s="147"/>
      <c r="P359" s="148"/>
      <c r="Q359" s="148"/>
      <c r="R359" s="148"/>
      <c r="S359" s="148"/>
      <c r="T359" s="148"/>
      <c r="U359" s="148"/>
      <c r="V359" s="148"/>
      <c r="W359" s="148"/>
      <c r="X359" s="148"/>
      <c r="Y359" s="148"/>
      <c r="Z359" s="148"/>
      <c r="AA359" s="148"/>
      <c r="AB359" s="148"/>
      <c r="AC359" s="148"/>
      <c r="AD359" s="148"/>
      <c r="AE359" s="148"/>
      <c r="AF359" s="148"/>
      <c r="AG359" s="148"/>
      <c r="AH359" s="148"/>
      <c r="AI359" s="148"/>
      <c r="AJ359" s="148"/>
      <c r="AK359" s="148"/>
      <c r="AL359" s="148"/>
      <c r="AM359" s="148"/>
      <c r="AN359" s="148"/>
      <c r="AO359" s="148"/>
      <c r="AP359" s="148"/>
      <c r="AQ359" s="148"/>
      <c r="AR359" s="148"/>
      <c r="AS359" s="148"/>
      <c r="AT359" s="148"/>
      <c r="AU359" s="148"/>
      <c r="AV359" s="148"/>
      <c r="AW359" s="148"/>
      <c r="AX359" s="148"/>
      <c r="AY359" s="609"/>
    </row>
    <row r="360" spans="15:51" ht="15" customHeight="1">
      <c r="O360" s="147"/>
      <c r="P360" s="176"/>
      <c r="Q360" s="148"/>
      <c r="R360" s="176"/>
      <c r="S360" s="176"/>
      <c r="T360" s="176"/>
      <c r="U360" s="176"/>
      <c r="V360" s="176"/>
      <c r="W360" s="148"/>
      <c r="X360" s="148"/>
      <c r="Y360" s="148"/>
      <c r="Z360" s="148"/>
      <c r="AA360" s="148"/>
      <c r="AB360" s="148"/>
      <c r="AC360" s="148"/>
      <c r="AD360" s="148"/>
      <c r="AE360" s="148"/>
      <c r="AF360" s="148"/>
      <c r="AG360" s="148"/>
      <c r="AH360" s="148"/>
      <c r="AI360" s="148"/>
      <c r="AJ360" s="148"/>
      <c r="AK360" s="148"/>
      <c r="AL360" s="148"/>
      <c r="AM360" s="148"/>
      <c r="AN360" s="148"/>
      <c r="AO360" s="148"/>
      <c r="AP360" s="148"/>
      <c r="AQ360" s="148"/>
      <c r="AR360" s="148"/>
      <c r="AS360" s="148"/>
      <c r="AT360" s="148"/>
      <c r="AU360" s="148"/>
      <c r="AV360" s="148"/>
      <c r="AW360" s="148"/>
      <c r="AX360" s="148"/>
      <c r="AY360" s="609"/>
    </row>
    <row r="361" spans="15:51" ht="15" customHeight="1">
      <c r="O361" s="147"/>
      <c r="P361" s="148"/>
      <c r="Q361" s="148"/>
      <c r="R361" s="148"/>
      <c r="S361" s="148"/>
      <c r="T361" s="148"/>
      <c r="U361" s="148"/>
      <c r="V361" s="148"/>
      <c r="W361" s="148"/>
      <c r="X361" s="582"/>
      <c r="Y361" s="148"/>
      <c r="Z361" s="148"/>
      <c r="AA361" s="148"/>
      <c r="AB361" s="148"/>
      <c r="AC361" s="148"/>
      <c r="AD361" s="148"/>
      <c r="AE361" s="148"/>
      <c r="AF361" s="148"/>
      <c r="AG361" s="148"/>
      <c r="AH361" s="148"/>
      <c r="AI361" s="148"/>
      <c r="AJ361" s="148"/>
      <c r="AK361" s="148"/>
      <c r="AL361" s="148"/>
      <c r="AM361" s="148"/>
      <c r="AN361" s="148"/>
      <c r="AO361" s="148"/>
      <c r="AP361" s="148"/>
      <c r="AQ361" s="148"/>
      <c r="AR361" s="148"/>
      <c r="AS361" s="148"/>
      <c r="AT361" s="148"/>
      <c r="AU361" s="148"/>
      <c r="AV361" s="148"/>
      <c r="AW361" s="148"/>
      <c r="AX361" s="148"/>
      <c r="AY361" s="609"/>
    </row>
    <row r="362" spans="15:51" ht="15" customHeight="1">
      <c r="O362" s="147"/>
      <c r="P362" s="148"/>
      <c r="Q362" s="148"/>
      <c r="R362" s="148"/>
      <c r="S362" s="148"/>
      <c r="T362" s="148"/>
      <c r="U362" s="148"/>
      <c r="V362" s="148"/>
      <c r="W362" s="148"/>
      <c r="X362" s="58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612"/>
    </row>
    <row r="363" spans="15:51" ht="15" customHeight="1">
      <c r="O363" s="147"/>
      <c r="P363" s="148"/>
      <c r="Q363" s="148"/>
      <c r="R363" s="148"/>
      <c r="S363" s="148"/>
      <c r="T363" s="148"/>
      <c r="U363" s="148"/>
      <c r="V363" s="148"/>
      <c r="W363" s="148"/>
      <c r="X363" s="58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612"/>
    </row>
    <row r="364" spans="15:51" ht="15" customHeight="1">
      <c r="O364" s="147"/>
      <c r="P364" s="148"/>
      <c r="Q364" s="148"/>
      <c r="R364" s="148"/>
      <c r="S364" s="148"/>
      <c r="T364" s="148"/>
      <c r="U364" s="148"/>
      <c r="V364" s="148"/>
      <c r="W364" s="102"/>
      <c r="X364" s="582"/>
      <c r="Y364" s="102"/>
      <c r="Z364" s="102"/>
      <c r="AA364" s="102"/>
      <c r="AB364" s="102"/>
      <c r="AC364" s="102"/>
      <c r="AD364" s="102"/>
      <c r="AE364" s="102"/>
      <c r="AF364" s="102"/>
      <c r="AG364" s="102"/>
      <c r="AH364" s="102"/>
      <c r="AI364" s="102"/>
      <c r="AJ364" s="102"/>
      <c r="AK364" s="102"/>
      <c r="AL364" s="102"/>
      <c r="AM364" s="102"/>
      <c r="AN364" s="102"/>
      <c r="AO364" s="102"/>
      <c r="AP364" s="102"/>
      <c r="AQ364" s="102"/>
      <c r="AR364" s="102"/>
      <c r="AS364" s="102"/>
      <c r="AT364" s="102"/>
      <c r="AU364" s="102"/>
      <c r="AV364" s="102"/>
      <c r="AW364" s="102"/>
      <c r="AX364" s="102"/>
      <c r="AY364" s="612"/>
    </row>
    <row r="365" spans="15:51" ht="15" customHeight="1">
      <c r="O365" s="147"/>
      <c r="P365" s="148"/>
      <c r="Q365" s="148"/>
      <c r="R365" s="148"/>
      <c r="S365" s="148"/>
      <c r="T365" s="148"/>
      <c r="U365" s="148"/>
      <c r="V365" s="148"/>
      <c r="W365" s="102"/>
      <c r="X365" s="582"/>
      <c r="Y365" s="102"/>
      <c r="Z365" s="102"/>
      <c r="AA365" s="102"/>
      <c r="AB365" s="102"/>
      <c r="AC365" s="102"/>
      <c r="AD365" s="102"/>
      <c r="AE365" s="102"/>
      <c r="AF365" s="102"/>
      <c r="AG365" s="102"/>
      <c r="AH365" s="102"/>
      <c r="AI365" s="102"/>
      <c r="AJ365" s="102"/>
      <c r="AK365" s="102"/>
      <c r="AL365" s="102"/>
      <c r="AM365" s="102"/>
      <c r="AN365" s="102"/>
      <c r="AO365" s="102"/>
      <c r="AP365" s="102"/>
      <c r="AQ365" s="102"/>
      <c r="AR365" s="102"/>
      <c r="AS365" s="102"/>
      <c r="AT365" s="102"/>
      <c r="AU365" s="102"/>
      <c r="AV365" s="102"/>
      <c r="AW365" s="102"/>
      <c r="AX365" s="102"/>
      <c r="AY365" s="612"/>
    </row>
    <row r="366" spans="15:51" ht="15" customHeight="1">
      <c r="O366" s="147"/>
      <c r="P366" s="148"/>
      <c r="Q366" s="148"/>
      <c r="R366" s="148"/>
      <c r="S366" s="148"/>
      <c r="T366" s="148"/>
      <c r="U366" s="148"/>
      <c r="V366" s="148"/>
      <c r="W366" s="102"/>
      <c r="X366" s="582"/>
      <c r="Y366" s="102"/>
      <c r="Z366" s="102"/>
      <c r="AA366" s="102"/>
      <c r="AB366" s="102"/>
      <c r="AC366" s="102"/>
      <c r="AD366" s="102"/>
      <c r="AE366" s="102"/>
      <c r="AF366" s="102"/>
      <c r="AG366" s="102"/>
      <c r="AH366" s="102"/>
      <c r="AI366" s="102"/>
      <c r="AJ366" s="102"/>
      <c r="AK366" s="102"/>
      <c r="AL366" s="102"/>
      <c r="AM366" s="102"/>
      <c r="AN366" s="102"/>
      <c r="AO366" s="102"/>
      <c r="AP366" s="102"/>
      <c r="AQ366" s="102"/>
      <c r="AR366" s="102"/>
      <c r="AS366" s="102"/>
      <c r="AT366" s="102"/>
      <c r="AU366" s="102"/>
      <c r="AV366" s="102"/>
      <c r="AW366" s="102"/>
      <c r="AX366" s="102"/>
      <c r="AY366" s="612"/>
    </row>
    <row r="367" spans="15:51" ht="15" customHeight="1">
      <c r="O367" s="147"/>
      <c r="P367" s="148"/>
      <c r="Q367" s="148"/>
      <c r="R367" s="148"/>
      <c r="S367" s="148"/>
      <c r="T367" s="148"/>
      <c r="U367" s="148"/>
      <c r="V367" s="148"/>
      <c r="W367" s="102"/>
      <c r="X367" s="582"/>
      <c r="Y367" s="102"/>
      <c r="Z367" s="102"/>
      <c r="AA367" s="102"/>
      <c r="AB367" s="102"/>
      <c r="AC367" s="102"/>
      <c r="AD367" s="102"/>
      <c r="AE367" s="102"/>
      <c r="AF367" s="102"/>
      <c r="AG367" s="102"/>
      <c r="AH367" s="102"/>
      <c r="AI367" s="102"/>
      <c r="AJ367" s="102"/>
      <c r="AK367" s="102"/>
      <c r="AL367" s="102"/>
      <c r="AM367" s="102"/>
      <c r="AN367" s="102"/>
      <c r="AO367" s="102"/>
      <c r="AP367" s="102"/>
      <c r="AQ367" s="102"/>
      <c r="AR367" s="102"/>
      <c r="AS367" s="102"/>
      <c r="AT367" s="102"/>
      <c r="AU367" s="102"/>
      <c r="AV367" s="102"/>
      <c r="AW367" s="102"/>
      <c r="AX367" s="102"/>
      <c r="AY367" s="612"/>
    </row>
    <row r="368" spans="15:51" ht="15" customHeight="1">
      <c r="O368" s="147"/>
      <c r="P368" s="148"/>
      <c r="Q368" s="148"/>
      <c r="R368" s="148"/>
      <c r="S368" s="148"/>
      <c r="T368" s="148"/>
      <c r="U368" s="148"/>
      <c r="V368" s="148"/>
      <c r="W368" s="102"/>
      <c r="X368" s="582"/>
      <c r="Y368" s="102"/>
      <c r="Z368" s="102"/>
      <c r="AA368" s="102"/>
      <c r="AB368" s="102"/>
      <c r="AC368" s="102"/>
      <c r="AD368" s="102"/>
      <c r="AE368" s="102"/>
      <c r="AF368" s="102"/>
      <c r="AG368" s="102"/>
      <c r="AH368" s="102"/>
      <c r="AI368" s="102"/>
      <c r="AJ368" s="102"/>
      <c r="AK368" s="102"/>
      <c r="AL368" s="102"/>
      <c r="AM368" s="102"/>
      <c r="AN368" s="102"/>
      <c r="AO368" s="102"/>
      <c r="AP368" s="102"/>
      <c r="AQ368" s="102"/>
      <c r="AR368" s="102"/>
      <c r="AS368" s="102"/>
      <c r="AT368" s="102"/>
      <c r="AU368" s="102"/>
      <c r="AV368" s="102"/>
      <c r="AW368" s="102"/>
      <c r="AX368" s="102"/>
      <c r="AY368" s="612"/>
    </row>
    <row r="369" spans="15:51" ht="15" customHeight="1">
      <c r="O369" s="147"/>
      <c r="P369" s="148"/>
      <c r="Q369" s="148"/>
      <c r="R369" s="148"/>
      <c r="S369" s="148"/>
      <c r="T369" s="148"/>
      <c r="U369" s="148"/>
      <c r="V369" s="148"/>
      <c r="W369" s="102"/>
      <c r="X369" s="582"/>
      <c r="Y369" s="102"/>
      <c r="Z369" s="102"/>
      <c r="AA369" s="102"/>
      <c r="AB369" s="102"/>
      <c r="AC369" s="102"/>
      <c r="AD369" s="102"/>
      <c r="AE369" s="102"/>
      <c r="AF369" s="102"/>
      <c r="AG369" s="102"/>
      <c r="AH369" s="102"/>
      <c r="AI369" s="102"/>
      <c r="AJ369" s="102"/>
      <c r="AK369" s="102"/>
      <c r="AL369" s="102"/>
      <c r="AM369" s="102"/>
      <c r="AN369" s="102"/>
      <c r="AO369" s="102"/>
      <c r="AP369" s="102"/>
      <c r="AQ369" s="102"/>
      <c r="AR369" s="102"/>
      <c r="AS369" s="102"/>
      <c r="AT369" s="102"/>
      <c r="AU369" s="102"/>
      <c r="AV369" s="102"/>
      <c r="AW369" s="102"/>
      <c r="AX369" s="102"/>
      <c r="AY369" s="612"/>
    </row>
    <row r="370" spans="15:51" ht="15" customHeight="1">
      <c r="O370" s="147"/>
      <c r="P370" s="148"/>
      <c r="Q370" s="148"/>
      <c r="R370" s="148"/>
      <c r="S370" s="148"/>
      <c r="T370" s="148"/>
      <c r="U370" s="148"/>
      <c r="V370" s="148"/>
      <c r="W370" s="102"/>
      <c r="X370" s="582"/>
      <c r="Y370" s="102"/>
      <c r="Z370" s="102"/>
      <c r="AA370" s="102"/>
      <c r="AB370" s="102"/>
      <c r="AC370" s="102"/>
      <c r="AD370" s="102"/>
      <c r="AE370" s="102"/>
      <c r="AF370" s="102"/>
      <c r="AG370" s="102"/>
      <c r="AH370" s="102"/>
      <c r="AI370" s="102"/>
      <c r="AJ370" s="102"/>
      <c r="AK370" s="102"/>
      <c r="AL370" s="102"/>
      <c r="AM370" s="102"/>
      <c r="AN370" s="102"/>
      <c r="AO370" s="102"/>
      <c r="AP370" s="102"/>
      <c r="AQ370" s="102"/>
      <c r="AR370" s="102"/>
      <c r="AS370" s="102"/>
      <c r="AT370" s="102"/>
      <c r="AU370" s="102"/>
      <c r="AV370" s="102"/>
      <c r="AW370" s="102"/>
      <c r="AX370" s="102"/>
      <c r="AY370" s="612"/>
    </row>
    <row r="371" spans="15:51" ht="15" customHeight="1">
      <c r="O371" s="147"/>
      <c r="P371" s="148"/>
      <c r="Q371" s="148"/>
      <c r="R371" s="148"/>
      <c r="S371" s="148"/>
      <c r="T371" s="148"/>
      <c r="U371" s="148"/>
      <c r="V371" s="148"/>
      <c r="W371" s="102"/>
      <c r="X371" s="582"/>
      <c r="Y371" s="102"/>
      <c r="Z371" s="102"/>
      <c r="AA371" s="102"/>
      <c r="AB371" s="102"/>
      <c r="AC371" s="102"/>
      <c r="AD371" s="102"/>
      <c r="AE371" s="102"/>
      <c r="AF371" s="102"/>
      <c r="AG371" s="102"/>
      <c r="AH371" s="102"/>
      <c r="AI371" s="102"/>
      <c r="AJ371" s="102"/>
      <c r="AK371" s="102"/>
      <c r="AL371" s="102"/>
      <c r="AM371" s="102"/>
      <c r="AN371" s="102"/>
      <c r="AO371" s="102"/>
      <c r="AP371" s="102"/>
      <c r="AQ371" s="102"/>
      <c r="AR371" s="102"/>
      <c r="AS371" s="102"/>
      <c r="AT371" s="102"/>
      <c r="AU371" s="102"/>
      <c r="AV371" s="102"/>
      <c r="AW371" s="102"/>
      <c r="AX371" s="102"/>
      <c r="AY371" s="612"/>
    </row>
    <row r="372" spans="15:51" ht="15" customHeight="1">
      <c r="O372" s="324"/>
      <c r="P372" s="102"/>
      <c r="Q372" s="148"/>
      <c r="R372" s="148"/>
      <c r="S372" s="102"/>
      <c r="T372" s="102"/>
      <c r="U372" s="102"/>
      <c r="V372" s="148"/>
      <c r="W372" s="102"/>
      <c r="X372" s="582"/>
      <c r="Y372" s="102"/>
      <c r="Z372" s="102"/>
      <c r="AA372" s="102"/>
      <c r="AB372" s="102"/>
      <c r="AC372" s="102"/>
      <c r="AD372" s="102"/>
      <c r="AE372" s="102"/>
      <c r="AF372" s="102"/>
      <c r="AG372" s="102"/>
      <c r="AH372" s="102"/>
      <c r="AI372" s="102"/>
      <c r="AJ372" s="102"/>
      <c r="AK372" s="102"/>
      <c r="AL372" s="102"/>
      <c r="AM372" s="102"/>
      <c r="AN372" s="102"/>
      <c r="AO372" s="102"/>
      <c r="AP372" s="102"/>
      <c r="AQ372" s="102"/>
      <c r="AR372" s="102"/>
      <c r="AS372" s="102"/>
      <c r="AT372" s="102"/>
      <c r="AU372" s="102"/>
      <c r="AV372" s="102"/>
      <c r="AW372" s="102"/>
      <c r="AX372" s="102"/>
      <c r="AY372" s="612"/>
    </row>
    <row r="373" spans="15:51" ht="15" customHeight="1">
      <c r="O373" s="324"/>
      <c r="P373" s="102"/>
      <c r="Q373" s="148"/>
      <c r="R373" s="148"/>
      <c r="S373" s="102"/>
      <c r="T373" s="102"/>
      <c r="U373" s="102"/>
      <c r="V373" s="148"/>
      <c r="W373" s="102"/>
      <c r="X373" s="582"/>
      <c r="Y373" s="102"/>
      <c r="Z373" s="102"/>
      <c r="AA373" s="102"/>
      <c r="AB373" s="102"/>
      <c r="AC373" s="102"/>
      <c r="AD373" s="102"/>
      <c r="AE373" s="102"/>
      <c r="AF373" s="102"/>
      <c r="AG373" s="102"/>
      <c r="AH373" s="102"/>
      <c r="AI373" s="102"/>
      <c r="AJ373" s="102"/>
      <c r="AK373" s="102"/>
      <c r="AL373" s="102"/>
      <c r="AM373" s="102"/>
      <c r="AN373" s="102"/>
      <c r="AO373" s="102"/>
      <c r="AP373" s="102"/>
      <c r="AQ373" s="102"/>
      <c r="AR373" s="102"/>
      <c r="AS373" s="102"/>
      <c r="AT373" s="102"/>
      <c r="AU373" s="102"/>
      <c r="AV373" s="102"/>
      <c r="AW373" s="102"/>
      <c r="AX373" s="102"/>
      <c r="AY373" s="612"/>
    </row>
    <row r="374" spans="15:51" ht="15" customHeight="1">
      <c r="O374" s="324"/>
      <c r="P374" s="102"/>
      <c r="Q374" s="148"/>
      <c r="R374" s="148"/>
      <c r="S374" s="102"/>
      <c r="T374" s="102"/>
      <c r="U374" s="102"/>
      <c r="V374" s="148"/>
      <c r="W374" s="102"/>
      <c r="X374" s="582"/>
      <c r="Y374" s="102"/>
      <c r="Z374" s="102"/>
      <c r="AA374" s="102"/>
      <c r="AB374" s="102"/>
      <c r="AC374" s="102"/>
      <c r="AD374" s="102"/>
      <c r="AE374" s="102"/>
      <c r="AF374" s="102"/>
      <c r="AG374" s="102"/>
      <c r="AH374" s="102"/>
      <c r="AI374" s="102"/>
      <c r="AJ374" s="102"/>
      <c r="AK374" s="102"/>
      <c r="AL374" s="102"/>
      <c r="AM374" s="102"/>
      <c r="AN374" s="102"/>
      <c r="AO374" s="102"/>
      <c r="AP374" s="102"/>
      <c r="AQ374" s="102"/>
      <c r="AR374" s="102"/>
      <c r="AS374" s="102"/>
      <c r="AT374" s="102"/>
      <c r="AU374" s="102"/>
      <c r="AV374" s="102"/>
      <c r="AW374" s="102"/>
      <c r="AX374" s="102"/>
    </row>
    <row r="375" spans="15:51" ht="15" customHeight="1">
      <c r="O375" s="324"/>
      <c r="P375" s="102"/>
      <c r="Q375" s="148"/>
      <c r="R375" s="148"/>
      <c r="S375" s="102"/>
      <c r="T375" s="102"/>
      <c r="U375" s="102"/>
      <c r="V375" s="148"/>
      <c r="W375" s="102"/>
      <c r="X375" s="582"/>
      <c r="Y375" s="102"/>
      <c r="Z375" s="102"/>
      <c r="AA375" s="102"/>
      <c r="AB375" s="102"/>
      <c r="AC375" s="102"/>
      <c r="AD375" s="102"/>
      <c r="AE375" s="102"/>
      <c r="AF375" s="102"/>
      <c r="AG375" s="102"/>
      <c r="AH375" s="102"/>
      <c r="AI375" s="102"/>
      <c r="AJ375" s="102"/>
      <c r="AK375" s="102"/>
      <c r="AL375" s="102"/>
      <c r="AM375" s="102"/>
      <c r="AN375" s="102"/>
      <c r="AO375" s="102"/>
      <c r="AP375" s="102"/>
      <c r="AQ375" s="102"/>
      <c r="AR375" s="102"/>
      <c r="AS375" s="102"/>
      <c r="AT375" s="102"/>
      <c r="AU375" s="102"/>
      <c r="AV375" s="102"/>
      <c r="AW375" s="102"/>
      <c r="AX375" s="102"/>
    </row>
    <row r="376" spans="15:51" ht="15" customHeight="1">
      <c r="O376" s="324"/>
      <c r="P376" s="102"/>
      <c r="Q376" s="148"/>
      <c r="R376" s="148"/>
      <c r="S376" s="102"/>
      <c r="T376" s="102"/>
      <c r="U376" s="102"/>
      <c r="V376" s="148"/>
      <c r="W376" s="102"/>
      <c r="X376" s="582"/>
      <c r="Y376" s="102"/>
      <c r="Z376" s="102"/>
      <c r="AA376" s="102"/>
      <c r="AB376" s="102"/>
      <c r="AC376" s="102"/>
      <c r="AD376" s="102"/>
      <c r="AE376" s="102"/>
      <c r="AF376" s="102"/>
      <c r="AG376" s="102"/>
      <c r="AH376" s="102"/>
      <c r="AI376" s="102"/>
      <c r="AJ376" s="102"/>
      <c r="AK376" s="102"/>
      <c r="AL376" s="102"/>
      <c r="AM376" s="102"/>
      <c r="AN376" s="102"/>
      <c r="AO376" s="102"/>
      <c r="AP376" s="102"/>
      <c r="AQ376" s="102"/>
      <c r="AR376" s="102"/>
      <c r="AS376" s="102"/>
      <c r="AT376" s="102"/>
      <c r="AU376" s="102"/>
      <c r="AV376" s="102"/>
      <c r="AW376" s="102"/>
      <c r="AX376" s="102"/>
    </row>
    <row r="377" spans="15:51" ht="15" customHeight="1">
      <c r="O377" s="324"/>
      <c r="P377" s="102"/>
      <c r="Q377" s="148"/>
      <c r="R377" s="148"/>
      <c r="S377" s="102"/>
      <c r="T377" s="102"/>
      <c r="U377" s="102"/>
      <c r="V377" s="148"/>
      <c r="W377" s="102"/>
      <c r="X377" s="582"/>
      <c r="Y377" s="102"/>
      <c r="Z377" s="102"/>
      <c r="AA377" s="102"/>
      <c r="AB377" s="102"/>
      <c r="AC377" s="102"/>
      <c r="AD377" s="102"/>
      <c r="AE377" s="102"/>
      <c r="AF377" s="102"/>
      <c r="AG377" s="102"/>
      <c r="AH377" s="102"/>
      <c r="AI377" s="102"/>
      <c r="AJ377" s="102"/>
      <c r="AK377" s="102"/>
      <c r="AL377" s="102"/>
      <c r="AM377" s="102"/>
      <c r="AN377" s="102"/>
      <c r="AO377" s="102"/>
      <c r="AP377" s="102"/>
      <c r="AQ377" s="102"/>
      <c r="AR377" s="102"/>
      <c r="AS377" s="102"/>
      <c r="AT377" s="102"/>
      <c r="AU377" s="102"/>
      <c r="AV377" s="102"/>
      <c r="AW377" s="102"/>
      <c r="AX377" s="102"/>
    </row>
    <row r="378" spans="15:51" ht="15" customHeight="1">
      <c r="O378" s="324"/>
      <c r="P378" s="102"/>
      <c r="Q378" s="148"/>
      <c r="R378" s="148"/>
      <c r="S378" s="102"/>
      <c r="T378" s="102"/>
      <c r="U378" s="102"/>
      <c r="V378" s="148"/>
      <c r="W378" s="102"/>
      <c r="X378" s="582"/>
      <c r="Y378" s="102"/>
      <c r="Z378" s="102"/>
      <c r="AA378" s="102"/>
      <c r="AB378" s="102"/>
      <c r="AC378" s="102"/>
      <c r="AD378" s="102"/>
      <c r="AE378" s="102"/>
      <c r="AF378" s="102"/>
      <c r="AG378" s="102"/>
      <c r="AH378" s="102"/>
      <c r="AI378" s="102"/>
      <c r="AJ378" s="102"/>
      <c r="AK378" s="102"/>
      <c r="AL378" s="102"/>
      <c r="AM378" s="102"/>
      <c r="AN378" s="102"/>
      <c r="AO378" s="102"/>
      <c r="AP378" s="102"/>
      <c r="AQ378" s="102"/>
      <c r="AR378" s="102"/>
      <c r="AS378" s="102"/>
      <c r="AT378" s="102"/>
      <c r="AU378" s="102"/>
      <c r="AV378" s="102"/>
      <c r="AW378" s="102"/>
      <c r="AX378" s="102"/>
    </row>
    <row r="379" spans="15:51" ht="15" customHeight="1">
      <c r="O379" s="324"/>
      <c r="P379" s="102"/>
      <c r="Q379" s="148"/>
      <c r="R379" s="148"/>
      <c r="S379" s="102"/>
      <c r="T379" s="102"/>
      <c r="U379" s="102"/>
      <c r="V379" s="148"/>
      <c r="W379" s="102"/>
      <c r="X379" s="582"/>
      <c r="Y379" s="102"/>
      <c r="Z379" s="102"/>
      <c r="AA379" s="102"/>
      <c r="AB379" s="102"/>
      <c r="AC379" s="102"/>
      <c r="AD379" s="102"/>
      <c r="AE379" s="102"/>
      <c r="AF379" s="102"/>
      <c r="AG379" s="102"/>
      <c r="AH379" s="102"/>
      <c r="AI379" s="102"/>
      <c r="AJ379" s="102"/>
      <c r="AK379" s="102"/>
      <c r="AL379" s="102"/>
      <c r="AM379" s="102"/>
      <c r="AN379" s="102"/>
      <c r="AO379" s="102"/>
      <c r="AP379" s="102"/>
      <c r="AQ379" s="102"/>
      <c r="AR379" s="102"/>
      <c r="AS379" s="102"/>
      <c r="AT379" s="102"/>
      <c r="AU379" s="102"/>
      <c r="AV379" s="102"/>
      <c r="AW379" s="102"/>
      <c r="AX379" s="102"/>
    </row>
    <row r="380" spans="15:51" ht="15" customHeight="1">
      <c r="O380" s="324"/>
      <c r="P380" s="102"/>
      <c r="Q380" s="148"/>
      <c r="R380" s="148"/>
      <c r="S380" s="102"/>
      <c r="T380" s="102"/>
      <c r="U380" s="102"/>
      <c r="V380" s="148"/>
      <c r="W380" s="102"/>
      <c r="X380" s="582"/>
      <c r="Y380" s="102"/>
      <c r="Z380" s="102"/>
      <c r="AA380" s="102"/>
      <c r="AB380" s="102"/>
      <c r="AC380" s="102"/>
      <c r="AD380" s="102"/>
      <c r="AE380" s="102"/>
      <c r="AF380" s="102"/>
      <c r="AG380" s="102"/>
      <c r="AH380" s="102"/>
      <c r="AI380" s="102"/>
      <c r="AJ380" s="102"/>
      <c r="AK380" s="102"/>
      <c r="AL380" s="102"/>
      <c r="AM380" s="102"/>
      <c r="AN380" s="102"/>
      <c r="AO380" s="102"/>
      <c r="AP380" s="102"/>
      <c r="AQ380" s="102"/>
      <c r="AR380" s="102"/>
      <c r="AS380" s="102"/>
      <c r="AT380" s="102"/>
      <c r="AU380" s="102"/>
      <c r="AV380" s="102"/>
      <c r="AW380" s="102"/>
      <c r="AX380" s="102"/>
    </row>
    <row r="381" spans="15:51" ht="15" customHeight="1">
      <c r="O381" s="324"/>
      <c r="P381" s="102"/>
      <c r="Q381" s="148"/>
      <c r="R381" s="148"/>
      <c r="S381" s="102"/>
      <c r="T381" s="102"/>
      <c r="U381" s="102"/>
      <c r="V381" s="148"/>
      <c r="W381" s="102"/>
      <c r="X381" s="582"/>
      <c r="Y381" s="102"/>
      <c r="Z381" s="102"/>
      <c r="AA381" s="102"/>
      <c r="AB381" s="102"/>
      <c r="AC381" s="102"/>
      <c r="AD381" s="102"/>
      <c r="AE381" s="102"/>
      <c r="AF381" s="102"/>
      <c r="AG381" s="102"/>
      <c r="AH381" s="102"/>
      <c r="AI381" s="102"/>
      <c r="AJ381" s="102"/>
      <c r="AK381" s="102"/>
      <c r="AL381" s="102"/>
      <c r="AM381" s="102"/>
      <c r="AN381" s="102"/>
      <c r="AO381" s="102"/>
      <c r="AP381" s="102"/>
      <c r="AQ381" s="102"/>
      <c r="AR381" s="102"/>
      <c r="AS381" s="102"/>
      <c r="AT381" s="102"/>
      <c r="AU381" s="102"/>
      <c r="AV381" s="102"/>
      <c r="AW381" s="102"/>
      <c r="AX381" s="102"/>
    </row>
    <row r="382" spans="15:51" ht="15" customHeight="1">
      <c r="O382" s="324"/>
      <c r="P382" s="102"/>
      <c r="Q382" s="148"/>
      <c r="R382" s="148"/>
      <c r="S382" s="102"/>
      <c r="T382" s="102"/>
      <c r="U382" s="102"/>
      <c r="V382" s="148"/>
      <c r="W382" s="102"/>
      <c r="X382" s="582"/>
      <c r="Y382" s="102"/>
      <c r="Z382" s="102"/>
      <c r="AA382" s="102"/>
      <c r="AB382" s="102"/>
      <c r="AC382" s="102"/>
      <c r="AD382" s="102"/>
      <c r="AE382" s="102"/>
      <c r="AF382" s="102"/>
      <c r="AG382" s="102"/>
      <c r="AH382" s="102"/>
      <c r="AI382" s="102"/>
      <c r="AJ382" s="102"/>
      <c r="AK382" s="102"/>
      <c r="AL382" s="102"/>
      <c r="AM382" s="102"/>
      <c r="AN382" s="102"/>
      <c r="AO382" s="102"/>
      <c r="AP382" s="102"/>
      <c r="AQ382" s="102"/>
      <c r="AR382" s="102"/>
      <c r="AS382" s="102"/>
      <c r="AT382" s="102"/>
      <c r="AU382" s="102"/>
      <c r="AV382" s="102"/>
      <c r="AW382" s="102"/>
      <c r="AX382" s="102"/>
    </row>
    <row r="383" spans="15:51" ht="15" customHeight="1">
      <c r="O383" s="324"/>
      <c r="P383" s="102"/>
      <c r="Q383" s="148"/>
      <c r="R383" s="148"/>
      <c r="S383" s="102"/>
      <c r="T383" s="102"/>
      <c r="U383" s="102"/>
      <c r="V383" s="148"/>
      <c r="W383" s="102"/>
      <c r="X383" s="582"/>
      <c r="Y383" s="102"/>
      <c r="Z383" s="102"/>
      <c r="AA383" s="102"/>
      <c r="AB383" s="102"/>
      <c r="AC383" s="102"/>
      <c r="AD383" s="102"/>
      <c r="AE383" s="102"/>
      <c r="AF383" s="102"/>
      <c r="AG383" s="102"/>
      <c r="AH383" s="102"/>
      <c r="AI383" s="102"/>
      <c r="AJ383" s="102"/>
      <c r="AK383" s="102"/>
      <c r="AL383" s="102"/>
      <c r="AM383" s="102"/>
      <c r="AN383" s="102"/>
      <c r="AO383" s="102"/>
      <c r="AP383" s="102"/>
      <c r="AQ383" s="102"/>
      <c r="AR383" s="102"/>
      <c r="AS383" s="102"/>
      <c r="AT383" s="102"/>
      <c r="AU383" s="102"/>
      <c r="AV383" s="102"/>
      <c r="AW383" s="102"/>
      <c r="AX383" s="102"/>
    </row>
    <row r="384" spans="15:51" ht="15" customHeight="1">
      <c r="O384" s="324"/>
      <c r="P384" s="102"/>
      <c r="Q384" s="148"/>
      <c r="R384" s="148"/>
      <c r="S384" s="102"/>
      <c r="T384" s="102"/>
      <c r="U384" s="102"/>
      <c r="V384" s="148"/>
      <c r="W384" s="102"/>
      <c r="X384" s="582"/>
      <c r="Y384" s="102"/>
      <c r="Z384" s="102"/>
      <c r="AA384" s="102"/>
      <c r="AB384" s="102"/>
      <c r="AC384" s="102"/>
      <c r="AD384" s="102"/>
      <c r="AE384" s="102"/>
      <c r="AF384" s="102"/>
      <c r="AG384" s="102"/>
      <c r="AH384" s="102"/>
      <c r="AI384" s="102"/>
      <c r="AJ384" s="102"/>
      <c r="AK384" s="102"/>
      <c r="AL384" s="102"/>
      <c r="AM384" s="102"/>
      <c r="AN384" s="102"/>
      <c r="AO384" s="102"/>
      <c r="AP384" s="102"/>
      <c r="AQ384" s="102"/>
      <c r="AR384" s="102"/>
      <c r="AS384" s="102"/>
      <c r="AT384" s="102"/>
      <c r="AU384" s="102"/>
      <c r="AV384" s="102"/>
      <c r="AW384" s="102"/>
      <c r="AX384" s="102"/>
    </row>
    <row r="385" spans="15:50" ht="15" customHeight="1">
      <c r="O385" s="324"/>
      <c r="P385" s="102"/>
      <c r="Q385" s="148"/>
      <c r="R385" s="148"/>
      <c r="S385" s="102"/>
      <c r="T385" s="102"/>
      <c r="U385" s="102"/>
      <c r="V385" s="148"/>
      <c r="W385" s="102"/>
      <c r="X385" s="582"/>
      <c r="Y385" s="102"/>
      <c r="Z385" s="102"/>
      <c r="AA385" s="102"/>
      <c r="AB385" s="102"/>
      <c r="AC385" s="102"/>
      <c r="AD385" s="102"/>
      <c r="AE385" s="102"/>
      <c r="AF385" s="102"/>
      <c r="AG385" s="102"/>
      <c r="AH385" s="102"/>
      <c r="AI385" s="102"/>
      <c r="AJ385" s="102"/>
      <c r="AK385" s="102"/>
      <c r="AL385" s="102"/>
      <c r="AM385" s="102"/>
      <c r="AN385" s="102"/>
      <c r="AO385" s="102"/>
      <c r="AP385" s="102"/>
      <c r="AQ385" s="102"/>
      <c r="AR385" s="102"/>
      <c r="AS385" s="102"/>
      <c r="AT385" s="102"/>
      <c r="AU385" s="102"/>
      <c r="AV385" s="102"/>
      <c r="AW385" s="102"/>
      <c r="AX385" s="102"/>
    </row>
    <row r="386" spans="15:50" ht="15" customHeight="1">
      <c r="O386" s="324"/>
      <c r="P386" s="102"/>
      <c r="Q386" s="148"/>
      <c r="R386" s="148"/>
      <c r="S386" s="102"/>
      <c r="T386" s="102"/>
      <c r="U386" s="102"/>
      <c r="V386" s="148"/>
      <c r="W386" s="102"/>
      <c r="X386" s="582"/>
      <c r="Y386" s="102"/>
      <c r="Z386" s="102"/>
      <c r="AA386" s="102"/>
      <c r="AB386" s="102"/>
      <c r="AC386" s="102"/>
      <c r="AD386" s="102"/>
      <c r="AE386" s="102"/>
      <c r="AF386" s="102"/>
      <c r="AG386" s="102"/>
      <c r="AH386" s="102"/>
      <c r="AI386" s="102"/>
      <c r="AJ386" s="102"/>
      <c r="AK386" s="102"/>
      <c r="AL386" s="102"/>
      <c r="AM386" s="102"/>
      <c r="AN386" s="102"/>
      <c r="AO386" s="102"/>
      <c r="AP386" s="102"/>
      <c r="AQ386" s="102"/>
      <c r="AR386" s="102"/>
      <c r="AS386" s="102"/>
      <c r="AT386" s="102"/>
      <c r="AU386" s="102"/>
      <c r="AV386" s="102"/>
      <c r="AW386" s="102"/>
      <c r="AX386" s="102"/>
    </row>
    <row r="387" spans="15:50" ht="15" customHeight="1">
      <c r="O387" s="324"/>
      <c r="P387" s="102"/>
      <c r="Q387" s="148"/>
      <c r="R387" s="148"/>
      <c r="S387" s="102"/>
      <c r="T387" s="102"/>
      <c r="U387" s="102"/>
      <c r="V387" s="148"/>
      <c r="W387" s="102"/>
      <c r="X387" s="582"/>
      <c r="Y387" s="102"/>
      <c r="Z387" s="102"/>
      <c r="AA387" s="102"/>
      <c r="AB387" s="102"/>
      <c r="AC387" s="102"/>
      <c r="AD387" s="102"/>
      <c r="AE387" s="102"/>
      <c r="AF387" s="102"/>
      <c r="AG387" s="102"/>
      <c r="AH387" s="102"/>
      <c r="AI387" s="102"/>
      <c r="AJ387" s="102"/>
      <c r="AK387" s="102"/>
      <c r="AL387" s="102"/>
      <c r="AM387" s="102"/>
      <c r="AN387" s="102"/>
      <c r="AO387" s="102"/>
      <c r="AP387" s="102"/>
      <c r="AQ387" s="102"/>
      <c r="AR387" s="102"/>
      <c r="AS387" s="102"/>
      <c r="AT387" s="102"/>
      <c r="AU387" s="102"/>
      <c r="AV387" s="102"/>
      <c r="AW387" s="102"/>
      <c r="AX387" s="102"/>
    </row>
    <row r="388" spans="15:50" ht="15" customHeight="1">
      <c r="O388" s="324"/>
      <c r="P388" s="102"/>
      <c r="Q388" s="148"/>
      <c r="R388" s="148"/>
      <c r="S388" s="102"/>
      <c r="T388" s="102"/>
      <c r="U388" s="102"/>
      <c r="V388" s="148"/>
      <c r="W388" s="102"/>
      <c r="X388" s="582"/>
      <c r="Y388" s="102"/>
      <c r="Z388" s="102"/>
      <c r="AA388" s="102"/>
      <c r="AB388" s="102"/>
      <c r="AC388" s="102"/>
      <c r="AD388" s="102"/>
      <c r="AE388" s="102"/>
      <c r="AF388" s="102"/>
      <c r="AG388" s="102"/>
      <c r="AH388" s="102"/>
      <c r="AI388" s="102"/>
      <c r="AJ388" s="102"/>
      <c r="AK388" s="102"/>
      <c r="AL388" s="102"/>
      <c r="AM388" s="102"/>
      <c r="AN388" s="102"/>
      <c r="AO388" s="102"/>
      <c r="AP388" s="102"/>
      <c r="AQ388" s="102"/>
      <c r="AR388" s="102"/>
      <c r="AS388" s="102"/>
      <c r="AT388" s="102"/>
      <c r="AU388" s="102"/>
      <c r="AV388" s="102"/>
      <c r="AW388" s="102"/>
      <c r="AX388" s="102"/>
    </row>
    <row r="389" spans="15:50" ht="15" customHeight="1">
      <c r="O389" s="324"/>
      <c r="P389" s="102"/>
      <c r="Q389" s="148"/>
      <c r="R389" s="148"/>
      <c r="S389" s="102"/>
      <c r="T389" s="102"/>
      <c r="U389" s="102"/>
      <c r="V389" s="148"/>
      <c r="W389" s="102"/>
      <c r="X389" s="582"/>
      <c r="Y389" s="102"/>
      <c r="Z389" s="102"/>
      <c r="AA389" s="102"/>
      <c r="AB389" s="102"/>
      <c r="AC389" s="102"/>
      <c r="AD389" s="102"/>
      <c r="AE389" s="102"/>
      <c r="AF389" s="102"/>
      <c r="AG389" s="102"/>
      <c r="AH389" s="102"/>
      <c r="AI389" s="102"/>
      <c r="AJ389" s="102"/>
      <c r="AK389" s="102"/>
      <c r="AL389" s="102"/>
      <c r="AM389" s="102"/>
      <c r="AN389" s="102"/>
      <c r="AO389" s="102"/>
      <c r="AP389" s="102"/>
      <c r="AQ389" s="102"/>
      <c r="AR389" s="102"/>
      <c r="AS389" s="102"/>
      <c r="AT389" s="102"/>
      <c r="AU389" s="102"/>
      <c r="AV389" s="102"/>
      <c r="AW389" s="102"/>
      <c r="AX389" s="102"/>
    </row>
    <row r="390" spans="15:50" ht="15" customHeight="1">
      <c r="O390" s="324"/>
      <c r="P390" s="102"/>
      <c r="Q390" s="148"/>
      <c r="R390" s="148"/>
      <c r="S390" s="102"/>
      <c r="T390" s="102"/>
      <c r="U390" s="102"/>
      <c r="V390" s="148"/>
      <c r="W390" s="102"/>
      <c r="X390" s="582"/>
      <c r="Y390" s="102"/>
      <c r="Z390" s="102"/>
      <c r="AA390" s="102"/>
      <c r="AB390" s="102"/>
      <c r="AC390" s="102"/>
      <c r="AD390" s="102"/>
      <c r="AE390" s="102"/>
      <c r="AF390" s="102"/>
      <c r="AG390" s="102"/>
      <c r="AH390" s="102"/>
      <c r="AI390" s="102"/>
      <c r="AJ390" s="102"/>
      <c r="AK390" s="102"/>
      <c r="AL390" s="102"/>
      <c r="AM390" s="102"/>
      <c r="AN390" s="102"/>
      <c r="AO390" s="102"/>
      <c r="AP390" s="102"/>
      <c r="AQ390" s="102"/>
      <c r="AR390" s="102"/>
      <c r="AS390" s="102"/>
      <c r="AT390" s="102"/>
      <c r="AU390" s="102"/>
      <c r="AV390" s="102"/>
      <c r="AW390" s="102"/>
      <c r="AX390" s="102"/>
    </row>
    <row r="391" spans="15:50" ht="15" customHeight="1">
      <c r="O391" s="324"/>
      <c r="P391" s="102"/>
      <c r="Q391" s="148"/>
      <c r="R391" s="148"/>
      <c r="S391" s="102"/>
      <c r="T391" s="102"/>
      <c r="U391" s="102"/>
      <c r="V391" s="148"/>
      <c r="W391" s="102"/>
      <c r="X391" s="582"/>
      <c r="Y391" s="102"/>
      <c r="Z391" s="102"/>
      <c r="AA391" s="102"/>
      <c r="AB391" s="102"/>
      <c r="AC391" s="102"/>
      <c r="AD391" s="102"/>
      <c r="AE391" s="102"/>
      <c r="AF391" s="102"/>
      <c r="AG391" s="102"/>
      <c r="AH391" s="102"/>
      <c r="AI391" s="102"/>
      <c r="AJ391" s="102"/>
      <c r="AK391" s="102"/>
      <c r="AL391" s="102"/>
      <c r="AM391" s="102"/>
      <c r="AN391" s="102"/>
      <c r="AO391" s="102"/>
      <c r="AP391" s="102"/>
      <c r="AQ391" s="102"/>
      <c r="AR391" s="102"/>
      <c r="AS391" s="102"/>
      <c r="AT391" s="102"/>
      <c r="AU391" s="102"/>
      <c r="AV391" s="102"/>
      <c r="AW391" s="102"/>
      <c r="AX391" s="102"/>
    </row>
    <row r="392" spans="15:50" ht="15" customHeight="1">
      <c r="O392" s="324"/>
      <c r="P392" s="102"/>
      <c r="Q392" s="148"/>
      <c r="R392" s="148"/>
      <c r="S392" s="102"/>
      <c r="T392" s="102"/>
      <c r="U392" s="102"/>
      <c r="V392" s="148"/>
      <c r="W392" s="102"/>
      <c r="X392" s="582"/>
      <c r="Y392" s="102"/>
      <c r="Z392" s="102"/>
      <c r="AA392" s="102"/>
      <c r="AB392" s="102"/>
      <c r="AC392" s="102"/>
      <c r="AD392" s="102"/>
      <c r="AE392" s="102"/>
      <c r="AF392" s="102"/>
      <c r="AG392" s="102"/>
      <c r="AH392" s="102"/>
      <c r="AI392" s="102"/>
      <c r="AJ392" s="102"/>
      <c r="AK392" s="102"/>
      <c r="AL392" s="102"/>
      <c r="AM392" s="102"/>
      <c r="AN392" s="102"/>
      <c r="AO392" s="102"/>
      <c r="AP392" s="102"/>
      <c r="AQ392" s="102"/>
      <c r="AR392" s="102"/>
      <c r="AS392" s="102"/>
      <c r="AT392" s="102"/>
      <c r="AU392" s="102"/>
      <c r="AV392" s="102"/>
      <c r="AW392" s="102"/>
      <c r="AX392" s="102"/>
    </row>
    <row r="393" spans="15:50" ht="15" customHeight="1">
      <c r="O393" s="324"/>
      <c r="P393" s="102"/>
      <c r="Q393" s="148"/>
      <c r="R393" s="148"/>
      <c r="S393" s="102"/>
      <c r="T393" s="102"/>
      <c r="U393" s="102"/>
      <c r="V393" s="148"/>
      <c r="W393" s="102"/>
      <c r="X393" s="582"/>
      <c r="Y393" s="102"/>
      <c r="Z393" s="102"/>
      <c r="AA393" s="102"/>
      <c r="AB393" s="102"/>
      <c r="AC393" s="102"/>
      <c r="AD393" s="102"/>
      <c r="AE393" s="102"/>
      <c r="AF393" s="102"/>
      <c r="AG393" s="102"/>
      <c r="AH393" s="102"/>
      <c r="AI393" s="102"/>
      <c r="AJ393" s="102"/>
      <c r="AK393" s="102"/>
      <c r="AL393" s="102"/>
      <c r="AM393" s="102"/>
      <c r="AN393" s="102"/>
      <c r="AO393" s="102"/>
      <c r="AP393" s="102"/>
      <c r="AQ393" s="102"/>
      <c r="AR393" s="102"/>
      <c r="AS393" s="102"/>
      <c r="AT393" s="102"/>
      <c r="AU393" s="102"/>
      <c r="AV393" s="102"/>
      <c r="AW393" s="102"/>
      <c r="AX393" s="102"/>
    </row>
    <row r="394" spans="15:50" ht="15" customHeight="1">
      <c r="O394" s="324"/>
      <c r="P394" s="102"/>
      <c r="Q394" s="148"/>
      <c r="R394" s="148"/>
      <c r="S394" s="102"/>
      <c r="T394" s="102"/>
      <c r="U394" s="102"/>
      <c r="V394" s="148"/>
      <c r="W394" s="102"/>
      <c r="X394" s="582"/>
      <c r="Y394" s="102"/>
      <c r="Z394" s="102"/>
      <c r="AA394" s="102"/>
      <c r="AB394" s="102"/>
      <c r="AC394" s="102"/>
      <c r="AD394" s="102"/>
      <c r="AE394" s="102"/>
      <c r="AF394" s="102"/>
      <c r="AG394" s="102"/>
      <c r="AH394" s="102"/>
      <c r="AI394" s="102"/>
      <c r="AJ394" s="102"/>
      <c r="AK394" s="102"/>
      <c r="AL394" s="102"/>
      <c r="AM394" s="102"/>
      <c r="AN394" s="102"/>
      <c r="AO394" s="102"/>
      <c r="AP394" s="102"/>
      <c r="AQ394" s="102"/>
      <c r="AR394" s="102"/>
      <c r="AS394" s="102"/>
      <c r="AT394" s="102"/>
      <c r="AU394" s="102"/>
      <c r="AV394" s="102"/>
      <c r="AW394" s="102"/>
      <c r="AX394" s="102"/>
    </row>
  </sheetData>
  <sheetProtection algorithmName="SHA-512" hashValue="6y8DDcmRQ8rkh3YF/O/yFDNg+Ntu7r5jIwyEUgweC9EESMj72PhOPyPsyKTL64dr7/cqKOVCInTmanQrXkHHpQ==" saltValue="SPc3vO2FHboCEnkH9BO3Yg==" spinCount="100000" sheet="1" objects="1" scenarios="1" selectLockedCells="1"/>
  <mergeCells count="438">
    <mergeCell ref="AG40:AJ40"/>
    <mergeCell ref="B4:J5"/>
    <mergeCell ref="K4:L5"/>
    <mergeCell ref="O4:T5"/>
    <mergeCell ref="U4:U5"/>
    <mergeCell ref="V4:V5"/>
    <mergeCell ref="X4:AW5"/>
    <mergeCell ref="M2:N6"/>
    <mergeCell ref="B32:L32"/>
    <mergeCell ref="B34:C34"/>
    <mergeCell ref="D34:F34"/>
    <mergeCell ref="G34:J34"/>
    <mergeCell ref="K34:L34"/>
    <mergeCell ref="B9:L30"/>
    <mergeCell ref="B7:L7"/>
    <mergeCell ref="O7:AW7"/>
    <mergeCell ref="P9:T9"/>
    <mergeCell ref="P10:T10"/>
    <mergeCell ref="O34:P34"/>
    <mergeCell ref="O13:V24"/>
    <mergeCell ref="O12:V12"/>
    <mergeCell ref="D37:F37"/>
    <mergeCell ref="G37:J37"/>
    <mergeCell ref="K37:L37"/>
    <mergeCell ref="O37:P37"/>
    <mergeCell ref="D38:F38"/>
    <mergeCell ref="G38:J38"/>
    <mergeCell ref="K38:L38"/>
    <mergeCell ref="O38:P38"/>
    <mergeCell ref="D35:F35"/>
    <mergeCell ref="G35:J35"/>
    <mergeCell ref="K35:L35"/>
    <mergeCell ref="O35:P35"/>
    <mergeCell ref="D36:F36"/>
    <mergeCell ref="G36:J36"/>
    <mergeCell ref="K36:L36"/>
    <mergeCell ref="O36:P36"/>
    <mergeCell ref="B44:B45"/>
    <mergeCell ref="C44:G45"/>
    <mergeCell ref="H44:I44"/>
    <mergeCell ref="J44:J45"/>
    <mergeCell ref="K44:K45"/>
    <mergeCell ref="L44:L45"/>
    <mergeCell ref="B40:L40"/>
    <mergeCell ref="O40:W40"/>
    <mergeCell ref="Y40:AE40"/>
    <mergeCell ref="AD44:AD45"/>
    <mergeCell ref="AE44:AE45"/>
    <mergeCell ref="B42:L42"/>
    <mergeCell ref="O42:W42"/>
    <mergeCell ref="Y42:AC42"/>
    <mergeCell ref="C46:G46"/>
    <mergeCell ref="C47:G47"/>
    <mergeCell ref="Y47:AC47"/>
    <mergeCell ref="C48:G48"/>
    <mergeCell ref="Y48:AE48"/>
    <mergeCell ref="U44:U45"/>
    <mergeCell ref="V44:V45"/>
    <mergeCell ref="Y44:Y45"/>
    <mergeCell ref="Z44:AA45"/>
    <mergeCell ref="AB44:AB45"/>
    <mergeCell ref="AC44:AC45"/>
    <mergeCell ref="O44:O45"/>
    <mergeCell ref="P44:P45"/>
    <mergeCell ref="Q44:Q45"/>
    <mergeCell ref="R44:R45"/>
    <mergeCell ref="S44:S45"/>
    <mergeCell ref="T44:T45"/>
    <mergeCell ref="H46:I48"/>
    <mergeCell ref="B50:L50"/>
    <mergeCell ref="O50:W50"/>
    <mergeCell ref="B52:L52"/>
    <mergeCell ref="O52:W52"/>
    <mergeCell ref="AE52:AE57"/>
    <mergeCell ref="B54:B55"/>
    <mergeCell ref="C54:G55"/>
    <mergeCell ref="H54:I54"/>
    <mergeCell ref="J54:J55"/>
    <mergeCell ref="K54:K55"/>
    <mergeCell ref="C59:G59"/>
    <mergeCell ref="Y59:Z59"/>
    <mergeCell ref="AC59:AD59"/>
    <mergeCell ref="AG59:AS59"/>
    <mergeCell ref="C60:G60"/>
    <mergeCell ref="C56:G56"/>
    <mergeCell ref="C57:G57"/>
    <mergeCell ref="C58:G58"/>
    <mergeCell ref="T54:T55"/>
    <mergeCell ref="U54:U55"/>
    <mergeCell ref="V54:V55"/>
    <mergeCell ref="W54:W55"/>
    <mergeCell ref="AH54:AJ54"/>
    <mergeCell ref="H55:I55"/>
    <mergeCell ref="L54:L55"/>
    <mergeCell ref="O54:O55"/>
    <mergeCell ref="P54:P55"/>
    <mergeCell ref="Q54:Q55"/>
    <mergeCell ref="R54:R55"/>
    <mergeCell ref="S54:S55"/>
    <mergeCell ref="H56:I60"/>
    <mergeCell ref="B62:L62"/>
    <mergeCell ref="O62:W62"/>
    <mergeCell ref="B64:B65"/>
    <mergeCell ref="C64:G65"/>
    <mergeCell ref="H64:I64"/>
    <mergeCell ref="J64:J65"/>
    <mergeCell ref="K64:K65"/>
    <mergeCell ref="L64:L65"/>
    <mergeCell ref="O64:O65"/>
    <mergeCell ref="P64:P65"/>
    <mergeCell ref="W64:W65"/>
    <mergeCell ref="Y64:AD65"/>
    <mergeCell ref="AE64:AE65"/>
    <mergeCell ref="H65:I65"/>
    <mergeCell ref="C66:G66"/>
    <mergeCell ref="AB66:AD66"/>
    <mergeCell ref="Q64:Q65"/>
    <mergeCell ref="R64:R65"/>
    <mergeCell ref="S64:S65"/>
    <mergeCell ref="T64:T65"/>
    <mergeCell ref="U64:U65"/>
    <mergeCell ref="V64:V65"/>
    <mergeCell ref="C70:G70"/>
    <mergeCell ref="AB70:AC70"/>
    <mergeCell ref="AE70:AE76"/>
    <mergeCell ref="B72:L72"/>
    <mergeCell ref="O72:W72"/>
    <mergeCell ref="AB72:AC72"/>
    <mergeCell ref="B74:B75"/>
    <mergeCell ref="C74:G75"/>
    <mergeCell ref="H74:I74"/>
    <mergeCell ref="H66:I70"/>
    <mergeCell ref="C67:G67"/>
    <mergeCell ref="C68:G68"/>
    <mergeCell ref="Y68:AC68"/>
    <mergeCell ref="C69:G69"/>
    <mergeCell ref="AB69:AC69"/>
    <mergeCell ref="AB74:AC74"/>
    <mergeCell ref="AG74:AS74"/>
    <mergeCell ref="H75:I75"/>
    <mergeCell ref="C76:G76"/>
    <mergeCell ref="AB76:AC76"/>
    <mergeCell ref="R74:R75"/>
    <mergeCell ref="S74:S75"/>
    <mergeCell ref="T74:T75"/>
    <mergeCell ref="U74:U75"/>
    <mergeCell ref="V74:V75"/>
    <mergeCell ref="W74:W75"/>
    <mergeCell ref="J74:J75"/>
    <mergeCell ref="K74:K75"/>
    <mergeCell ref="L74:L75"/>
    <mergeCell ref="O74:O75"/>
    <mergeCell ref="P74:P75"/>
    <mergeCell ref="Q74:Q75"/>
    <mergeCell ref="C80:G80"/>
    <mergeCell ref="B82:L82"/>
    <mergeCell ref="O82:W82"/>
    <mergeCell ref="AE82:AE87"/>
    <mergeCell ref="AG82:AS82"/>
    <mergeCell ref="B84:B85"/>
    <mergeCell ref="C84:G85"/>
    <mergeCell ref="H84:I84"/>
    <mergeCell ref="J84:J85"/>
    <mergeCell ref="H76:I80"/>
    <mergeCell ref="C77:G77"/>
    <mergeCell ref="C78:G78"/>
    <mergeCell ref="Y78:AC78"/>
    <mergeCell ref="C79:G79"/>
    <mergeCell ref="Y79:AE79"/>
    <mergeCell ref="AV90:AV91"/>
    <mergeCell ref="AW90:AW91"/>
    <mergeCell ref="C88:G88"/>
    <mergeCell ref="AV88:AV89"/>
    <mergeCell ref="AW88:AW89"/>
    <mergeCell ref="C89:G89"/>
    <mergeCell ref="Y89:AE89"/>
    <mergeCell ref="AV84:AW87"/>
    <mergeCell ref="H85:I85"/>
    <mergeCell ref="C86:G86"/>
    <mergeCell ref="C87:G87"/>
    <mergeCell ref="S84:S85"/>
    <mergeCell ref="T84:T85"/>
    <mergeCell ref="U84:U85"/>
    <mergeCell ref="V84:V85"/>
    <mergeCell ref="W84:W85"/>
    <mergeCell ref="AG84:AS84"/>
    <mergeCell ref="K84:K85"/>
    <mergeCell ref="L84:L85"/>
    <mergeCell ref="O84:O85"/>
    <mergeCell ref="P84:P85"/>
    <mergeCell ref="Q84:Q85"/>
    <mergeCell ref="R84:R85"/>
    <mergeCell ref="B92:L92"/>
    <mergeCell ref="O92:W92"/>
    <mergeCell ref="Y92:AA92"/>
    <mergeCell ref="AB92:AD92"/>
    <mergeCell ref="AG92:AS92"/>
    <mergeCell ref="C94:J94"/>
    <mergeCell ref="Y94:AD94"/>
    <mergeCell ref="C90:G90"/>
    <mergeCell ref="Y90:AA90"/>
    <mergeCell ref="AB90:AD90"/>
    <mergeCell ref="H86:I90"/>
    <mergeCell ref="B102:B103"/>
    <mergeCell ref="C102:E102"/>
    <mergeCell ref="F102:G102"/>
    <mergeCell ref="H102:I102"/>
    <mergeCell ref="J102:J103"/>
    <mergeCell ref="K102:L102"/>
    <mergeCell ref="AV94:AW95"/>
    <mergeCell ref="C95:J95"/>
    <mergeCell ref="C96:J96"/>
    <mergeCell ref="B98:L98"/>
    <mergeCell ref="O98:AE98"/>
    <mergeCell ref="B100:L100"/>
    <mergeCell ref="O100:AE100"/>
    <mergeCell ref="Z102:Z103"/>
    <mergeCell ref="AA102:AA103"/>
    <mergeCell ref="AB102:AB103"/>
    <mergeCell ref="AC102:AC103"/>
    <mergeCell ref="AD102:AD103"/>
    <mergeCell ref="C115:D115"/>
    <mergeCell ref="P102:P103"/>
    <mergeCell ref="R102:R103"/>
    <mergeCell ref="T102:T103"/>
    <mergeCell ref="U102:V102"/>
    <mergeCell ref="X102:X103"/>
    <mergeCell ref="Y102:Y103"/>
    <mergeCell ref="C116:D116"/>
    <mergeCell ref="AG116:AS116"/>
    <mergeCell ref="B118:L118"/>
    <mergeCell ref="O118:AE118"/>
    <mergeCell ref="B120:B121"/>
    <mergeCell ref="C120:E120"/>
    <mergeCell ref="F120:G120"/>
    <mergeCell ref="H120:I120"/>
    <mergeCell ref="J120:J121"/>
    <mergeCell ref="K120:L120"/>
    <mergeCell ref="Z120:Z121"/>
    <mergeCell ref="AA120:AA121"/>
    <mergeCell ref="AB120:AB121"/>
    <mergeCell ref="AC120:AC121"/>
    <mergeCell ref="AD120:AD121"/>
    <mergeCell ref="C133:D133"/>
    <mergeCell ref="P120:P121"/>
    <mergeCell ref="R120:R121"/>
    <mergeCell ref="T120:T121"/>
    <mergeCell ref="U120:V120"/>
    <mergeCell ref="X120:X121"/>
    <mergeCell ref="Y120:Y121"/>
    <mergeCell ref="C134:D134"/>
    <mergeCell ref="B136:L136"/>
    <mergeCell ref="O136:AE136"/>
    <mergeCell ref="B138:B139"/>
    <mergeCell ref="C138:E138"/>
    <mergeCell ref="F138:G138"/>
    <mergeCell ref="H138:I138"/>
    <mergeCell ref="J138:J139"/>
    <mergeCell ref="K138:L138"/>
    <mergeCell ref="P138:P139"/>
    <mergeCell ref="AA138:AA139"/>
    <mergeCell ref="AB138:AB139"/>
    <mergeCell ref="T156:T157"/>
    <mergeCell ref="U156:V156"/>
    <mergeCell ref="X156:X157"/>
    <mergeCell ref="Y156:Y157"/>
    <mergeCell ref="Z156:Z157"/>
    <mergeCell ref="AC138:AC139"/>
    <mergeCell ref="AD138:AD139"/>
    <mergeCell ref="AG139:AS141"/>
    <mergeCell ref="C151:D151"/>
    <mergeCell ref="R138:R139"/>
    <mergeCell ref="T138:T139"/>
    <mergeCell ref="U138:V138"/>
    <mergeCell ref="X138:X139"/>
    <mergeCell ref="Y138:Y139"/>
    <mergeCell ref="Z138:Z139"/>
    <mergeCell ref="AE175:AE184"/>
    <mergeCell ref="AF175:AF184"/>
    <mergeCell ref="C176:L176"/>
    <mergeCell ref="C177:L177"/>
    <mergeCell ref="C178:L178"/>
    <mergeCell ref="C179:L179"/>
    <mergeCell ref="C180:L180"/>
    <mergeCell ref="C181:L181"/>
    <mergeCell ref="C182:L182"/>
    <mergeCell ref="C183:L183"/>
    <mergeCell ref="C175:L175"/>
    <mergeCell ref="Q175:Q184"/>
    <mergeCell ref="X175:X184"/>
    <mergeCell ref="Z175:Z184"/>
    <mergeCell ref="AA175:AA184"/>
    <mergeCell ref="AB175:AB184"/>
    <mergeCell ref="AD175:AD184"/>
    <mergeCell ref="C184:L184"/>
    <mergeCell ref="B172:L172"/>
    <mergeCell ref="O172:AF172"/>
    <mergeCell ref="C174:L174"/>
    <mergeCell ref="C169:D169"/>
    <mergeCell ref="C170:D170"/>
    <mergeCell ref="AZ4:AZ5"/>
    <mergeCell ref="BA4:BA5"/>
    <mergeCell ref="BB4:BB5"/>
    <mergeCell ref="BC4:BD5"/>
    <mergeCell ref="C152:D152"/>
    <mergeCell ref="B154:L154"/>
    <mergeCell ref="O154:AE154"/>
    <mergeCell ref="B156:B157"/>
    <mergeCell ref="C156:E156"/>
    <mergeCell ref="F156:G156"/>
    <mergeCell ref="H156:I156"/>
    <mergeCell ref="J156:J157"/>
    <mergeCell ref="K156:L156"/>
    <mergeCell ref="P156:P157"/>
    <mergeCell ref="AA156:AA157"/>
    <mergeCell ref="AB156:AB157"/>
    <mergeCell ref="AC156:AC157"/>
    <mergeCell ref="AD156:AD157"/>
    <mergeCell ref="R156:R157"/>
    <mergeCell ref="BK5:BR6"/>
    <mergeCell ref="BS5:BS6"/>
    <mergeCell ref="BT5:BT6"/>
    <mergeCell ref="BG11:BH11"/>
    <mergeCell ref="BG12:BH13"/>
    <mergeCell ref="AZ2:BH3"/>
    <mergeCell ref="BK2:BT3"/>
    <mergeCell ref="BK8:BT9"/>
    <mergeCell ref="AZ8:BH9"/>
    <mergeCell ref="BB12:BC12"/>
    <mergeCell ref="BE12:BF13"/>
    <mergeCell ref="AZ13:BA13"/>
    <mergeCell ref="BB13:BC13"/>
    <mergeCell ref="BB10:BC10"/>
    <mergeCell ref="BG10:BH10"/>
    <mergeCell ref="BS15:BS16"/>
    <mergeCell ref="BT15:BT16"/>
    <mergeCell ref="AZ14:BA14"/>
    <mergeCell ref="BB14:BC14"/>
    <mergeCell ref="AZ15:BA15"/>
    <mergeCell ref="BB15:BC15"/>
    <mergeCell ref="BQ15:BQ16"/>
    <mergeCell ref="BR15:BR16"/>
    <mergeCell ref="AZ16:BA16"/>
    <mergeCell ref="BB16:BC16"/>
    <mergeCell ref="BJ10:BJ16"/>
    <mergeCell ref="AZ11:BA11"/>
    <mergeCell ref="BB11:BC11"/>
    <mergeCell ref="AZ12:BA12"/>
    <mergeCell ref="O187:V187"/>
    <mergeCell ref="P189:Q189"/>
    <mergeCell ref="AC189:AE189"/>
    <mergeCell ref="AJ189:AL189"/>
    <mergeCell ref="AM189:AN189"/>
    <mergeCell ref="P190:Q190"/>
    <mergeCell ref="AX232:AX238"/>
    <mergeCell ref="AW232:AW238"/>
    <mergeCell ref="AC224:AC227"/>
    <mergeCell ref="P214:Q214"/>
    <mergeCell ref="P210:Q210"/>
    <mergeCell ref="AC209:AC219"/>
    <mergeCell ref="AN201:AN202"/>
    <mergeCell ref="O204:V204"/>
    <mergeCell ref="P200:Q200"/>
    <mergeCell ref="AO192:AO200"/>
    <mergeCell ref="P193:Q193"/>
    <mergeCell ref="P194:Q194"/>
    <mergeCell ref="P195:Q195"/>
    <mergeCell ref="P196:Q196"/>
    <mergeCell ref="AC196:AE196"/>
    <mergeCell ref="AJ196:AL196"/>
    <mergeCell ref="P197:Q197"/>
    <mergeCell ref="AN190:AN200"/>
    <mergeCell ref="P191:Q191"/>
    <mergeCell ref="P192:Q192"/>
    <mergeCell ref="AC192:AE192"/>
    <mergeCell ref="AJ192:AL192"/>
    <mergeCell ref="P198:Q198"/>
    <mergeCell ref="P199:Q199"/>
    <mergeCell ref="P215:Q215"/>
    <mergeCell ref="AF215:AF227"/>
    <mergeCell ref="P216:Q216"/>
    <mergeCell ref="P217:Q217"/>
    <mergeCell ref="P218:Q218"/>
    <mergeCell ref="P211:Q211"/>
    <mergeCell ref="P212:Q212"/>
    <mergeCell ref="P213:Q213"/>
    <mergeCell ref="X204:AX204"/>
    <mergeCell ref="O206:V206"/>
    <mergeCell ref="X206:AD206"/>
    <mergeCell ref="AF206:AF214"/>
    <mergeCell ref="P208:Q208"/>
    <mergeCell ref="P209:Q209"/>
    <mergeCell ref="AB209:AB219"/>
    <mergeCell ref="P219:Q219"/>
    <mergeCell ref="O221:V221"/>
    <mergeCell ref="X221:AD221"/>
    <mergeCell ref="P227:Q227"/>
    <mergeCell ref="O229:V229"/>
    <mergeCell ref="X229:AX229"/>
    <mergeCell ref="O231:P231"/>
    <mergeCell ref="S231:T231"/>
    <mergeCell ref="U231:V231"/>
    <mergeCell ref="X237:Y237"/>
    <mergeCell ref="AI237:AJ237"/>
    <mergeCell ref="AD232:AD238"/>
    <mergeCell ref="AF232:AF238"/>
    <mergeCell ref="AI232:AI233"/>
    <mergeCell ref="X231:Y231"/>
    <mergeCell ref="AI231:AJ231"/>
    <mergeCell ref="X236:Y236"/>
    <mergeCell ref="AI236:AJ236"/>
    <mergeCell ref="O237:P237"/>
    <mergeCell ref="S237:T237"/>
    <mergeCell ref="U237:V237"/>
    <mergeCell ref="P223:Q223"/>
    <mergeCell ref="P224:Q224"/>
    <mergeCell ref="AB224:AB227"/>
    <mergeCell ref="P225:Q225"/>
    <mergeCell ref="P226:Q226"/>
    <mergeCell ref="AK232:AK233"/>
    <mergeCell ref="AM232:AM238"/>
    <mergeCell ref="AP232:AP238"/>
    <mergeCell ref="O232:O233"/>
    <mergeCell ref="S232:T232"/>
    <mergeCell ref="U232:V232"/>
    <mergeCell ref="X232:X233"/>
    <mergeCell ref="Z232:Z233"/>
    <mergeCell ref="AB232:AB238"/>
    <mergeCell ref="S233:T233"/>
    <mergeCell ref="U233:V233"/>
    <mergeCell ref="O236:P236"/>
    <mergeCell ref="S236:T236"/>
    <mergeCell ref="O238:P238"/>
    <mergeCell ref="S238:T238"/>
    <mergeCell ref="U238:V238"/>
    <mergeCell ref="X238:Y238"/>
    <mergeCell ref="AI238:AJ238"/>
    <mergeCell ref="U236:V236"/>
  </mergeCells>
  <conditionalFormatting sqref="H46 H56">
    <cfRule type="containsText" dxfId="1416" priority="12" operator="containsText" text="No Cumple">
      <formula>NOT(ISERROR(SEARCH("No Cumple",H46)))</formula>
    </cfRule>
  </conditionalFormatting>
  <conditionalFormatting sqref="C175:L184">
    <cfRule type="expression" dxfId="1415" priority="11">
      <formula>O175=0</formula>
    </cfRule>
  </conditionalFormatting>
  <conditionalFormatting sqref="H66">
    <cfRule type="containsText" dxfId="1414" priority="10" operator="containsText" text="No Cumple">
      <formula>NOT(ISERROR(SEARCH("No Cumple",H66)))</formula>
    </cfRule>
  </conditionalFormatting>
  <conditionalFormatting sqref="H76">
    <cfRule type="containsText" dxfId="1413" priority="9" operator="containsText" text="No Cumple">
      <formula>NOT(ISERROR(SEARCH("No Cumple",H76)))</formula>
    </cfRule>
  </conditionalFormatting>
  <conditionalFormatting sqref="H86">
    <cfRule type="containsText" dxfId="1412" priority="8" operator="containsText" text="No Cumple">
      <formula>NOT(ISERROR(SEARCH("No Cumple",H86)))</formula>
    </cfRule>
  </conditionalFormatting>
  <dataValidations disablePrompts="1" count="3">
    <dataValidation type="list" allowBlank="1" showInputMessage="1" showErrorMessage="1" sqref="C39" xr:uid="{00000000-0002-0000-0900-000000000000}">
      <formula1>ORIENTACIONES</formula1>
    </dataValidation>
    <dataValidation type="list" allowBlank="1" showInputMessage="1" showErrorMessage="1" sqref="C185:D185" xr:uid="{00000000-0002-0000-0900-000001000000}">
      <formula1>$AL$3:$AL$6</formula1>
    </dataValidation>
    <dataValidation type="list" allowBlank="1" showInputMessage="1" showErrorMessage="1" sqref="P187:Q189" xr:uid="{00000000-0002-0000-0900-000002000000}">
      <formula1>$AN$3:$AN$6</formula1>
    </dataValidation>
  </dataValidations>
  <printOptions gridLines="1"/>
  <pageMargins left="0.23622047244094491" right="0.23622047244094491" top="0.74803149606299213" bottom="0.74803149606299213" header="0.31496062992125984" footer="0.31496062992125984"/>
  <pageSetup paperSize="9" scale="10" fitToWidth="0"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AX191"/>
  <sheetViews>
    <sheetView zoomScale="90" zoomScaleNormal="90" zoomScalePageLayoutView="90" workbookViewId="0">
      <pane ySplit="6" topLeftCell="A7" activePane="bottomLeft" state="frozen"/>
      <selection pane="bottomLeft" activeCell="C35" sqref="C35"/>
    </sheetView>
  </sheetViews>
  <sheetFormatPr baseColWidth="10" defaultColWidth="11.5" defaultRowHeight="15" customHeight="1"/>
  <cols>
    <col min="1" max="1" width="2.6640625" style="126" customWidth="1"/>
    <col min="2" max="2" width="26.83203125" style="126" customWidth="1"/>
    <col min="3" max="3" width="16.6640625" style="126" customWidth="1"/>
    <col min="4" max="5" width="10" style="580" customWidth="1"/>
    <col min="6" max="6" width="12.5" style="126" customWidth="1"/>
    <col min="7" max="7" width="11.1640625" style="126" customWidth="1"/>
    <col min="8" max="8" width="13.6640625" style="126" customWidth="1"/>
    <col min="9" max="9" width="12.33203125" style="126" bestFit="1" customWidth="1"/>
    <col min="10" max="10" width="14.1640625" style="126" customWidth="1"/>
    <col min="11" max="11" width="19" style="580" customWidth="1"/>
    <col min="12" max="12" width="11.83203125" style="580" customWidth="1"/>
    <col min="13" max="14" width="2.83203125" style="126" customWidth="1"/>
    <col min="15" max="15" width="28.1640625" style="126" customWidth="1"/>
    <col min="16" max="16" width="24.5" style="126" customWidth="1"/>
    <col min="17" max="17" width="14" style="580" customWidth="1"/>
    <col min="18" max="18" width="10.83203125" style="580" customWidth="1"/>
    <col min="19" max="19" width="19.1640625" style="126" customWidth="1"/>
    <col min="20" max="20" width="41.5" style="126" customWidth="1"/>
    <col min="21" max="21" width="19.5" style="126" customWidth="1"/>
    <col min="22" max="22" width="19.5" style="580" customWidth="1"/>
    <col min="23" max="23" width="20.6640625" style="126" customWidth="1"/>
    <col min="24" max="24" width="20.1640625" style="581" customWidth="1"/>
    <col min="25" max="25" width="24.33203125" style="126" customWidth="1"/>
    <col min="26" max="26" width="16.6640625" style="126" customWidth="1"/>
    <col min="27" max="27" width="20" style="126" customWidth="1"/>
    <col min="28" max="28" width="25.33203125" style="126" customWidth="1"/>
    <col min="29" max="29" width="31.5" style="126" customWidth="1"/>
    <col min="30" max="30" width="32.33203125" style="126" customWidth="1"/>
    <col min="31" max="31" width="31.6640625" style="126" customWidth="1"/>
    <col min="32" max="32" width="13.6640625" style="126" customWidth="1"/>
    <col min="33" max="33" width="29.1640625" style="126" customWidth="1"/>
    <col min="34" max="34" width="24" style="126" customWidth="1"/>
    <col min="35" max="35" width="15" style="126" customWidth="1"/>
    <col min="36" max="36" width="25" style="126" customWidth="1"/>
    <col min="37" max="37" width="20.1640625" style="126" customWidth="1"/>
    <col min="38" max="38" width="20" style="126" customWidth="1"/>
    <col min="39" max="39" width="31.5" style="126" customWidth="1"/>
    <col min="40" max="40" width="14.33203125" style="126" customWidth="1"/>
    <col min="41" max="41" width="24.5" style="126" customWidth="1"/>
    <col min="42" max="42" width="22.33203125" style="126" customWidth="1"/>
    <col min="43" max="43" width="31" style="126" customWidth="1"/>
    <col min="44" max="44" width="31.83203125" style="126" customWidth="1"/>
    <col min="45" max="45" width="27.6640625" style="126" customWidth="1"/>
    <col min="46" max="46" width="26.6640625" style="126" customWidth="1"/>
    <col min="47" max="47" width="25.33203125" style="126" customWidth="1"/>
    <col min="48" max="48" width="32.33203125" style="126" customWidth="1"/>
    <col min="49" max="49" width="31.6640625" style="126" customWidth="1"/>
    <col min="50" max="50" width="11.5" style="126" customWidth="1"/>
    <col min="51" max="16384" width="11.5" style="126"/>
  </cols>
  <sheetData>
    <row r="1" spans="2:50" ht="15" customHeight="1">
      <c r="Y1" s="148"/>
      <c r="Z1" s="148"/>
      <c r="AA1" s="148"/>
    </row>
    <row r="2" spans="2:50" s="102" customFormat="1" ht="25" customHeight="1">
      <c r="B2" s="159" t="s">
        <v>220</v>
      </c>
      <c r="D2" s="148"/>
      <c r="E2" s="148"/>
      <c r="K2" s="148"/>
      <c r="L2" s="148"/>
      <c r="M2" s="102">
        <v>1</v>
      </c>
      <c r="O2" s="159" t="s">
        <v>220</v>
      </c>
      <c r="Q2" s="148"/>
      <c r="R2" s="148"/>
      <c r="V2" s="148"/>
      <c r="X2" s="582"/>
      <c r="Y2" s="148"/>
      <c r="Z2" s="148"/>
      <c r="AA2" s="148"/>
      <c r="AX2" s="136"/>
    </row>
    <row r="3" spans="2:50" ht="6" customHeight="1">
      <c r="Y3" s="148"/>
      <c r="Z3" s="148"/>
      <c r="AA3" s="148"/>
    </row>
    <row r="4" spans="2:50" s="148" customFormat="1" ht="20" customHeight="1">
      <c r="B4" s="1392" t="s">
        <v>1790</v>
      </c>
      <c r="C4" s="1393"/>
      <c r="D4" s="1393"/>
      <c r="E4" s="1393"/>
      <c r="F4" s="1393"/>
      <c r="G4" s="1393"/>
      <c r="H4" s="1393"/>
      <c r="I4" s="1393"/>
      <c r="J4" s="1394"/>
      <c r="K4" s="1392" t="s">
        <v>1789</v>
      </c>
      <c r="L4" s="1394"/>
      <c r="M4" s="629"/>
      <c r="N4" s="629"/>
      <c r="O4" s="1392">
        <v>1</v>
      </c>
      <c r="P4" s="1393"/>
      <c r="Q4" s="1393"/>
      <c r="R4" s="1393"/>
      <c r="S4" s="1393"/>
      <c r="T4" s="1394"/>
      <c r="U4" s="1273" t="s">
        <v>12</v>
      </c>
      <c r="V4" s="1273">
        <v>1</v>
      </c>
      <c r="X4" s="1392" t="s">
        <v>779</v>
      </c>
      <c r="Y4" s="1393"/>
      <c r="Z4" s="1393"/>
      <c r="AA4" s="1393"/>
      <c r="AB4" s="1393"/>
      <c r="AC4" s="1393"/>
      <c r="AD4" s="1393"/>
      <c r="AE4" s="1393"/>
      <c r="AF4" s="1393"/>
      <c r="AG4" s="1393"/>
      <c r="AH4" s="1393"/>
      <c r="AI4" s="1393"/>
      <c r="AJ4" s="1393"/>
      <c r="AK4" s="1393"/>
      <c r="AL4" s="1393"/>
      <c r="AM4" s="1393"/>
      <c r="AN4" s="1393"/>
      <c r="AO4" s="1393"/>
      <c r="AP4" s="1393"/>
      <c r="AQ4" s="1393"/>
      <c r="AR4" s="1393"/>
      <c r="AS4" s="1393"/>
      <c r="AT4" s="1393"/>
      <c r="AU4" s="1393"/>
      <c r="AV4" s="1393"/>
      <c r="AW4" s="1394"/>
    </row>
    <row r="5" spans="2:50" s="148" customFormat="1" ht="20" customHeight="1">
      <c r="B5" s="1395"/>
      <c r="C5" s="1396"/>
      <c r="D5" s="1396"/>
      <c r="E5" s="1396"/>
      <c r="F5" s="1396"/>
      <c r="G5" s="1396"/>
      <c r="H5" s="1396"/>
      <c r="I5" s="1396"/>
      <c r="J5" s="1397"/>
      <c r="K5" s="1395"/>
      <c r="L5" s="1397"/>
      <c r="M5" s="176"/>
      <c r="N5" s="629"/>
      <c r="O5" s="1395"/>
      <c r="P5" s="1396"/>
      <c r="Q5" s="1396"/>
      <c r="R5" s="1396"/>
      <c r="S5" s="1396"/>
      <c r="T5" s="1397"/>
      <c r="U5" s="1273"/>
      <c r="V5" s="1273"/>
      <c r="X5" s="1395"/>
      <c r="Y5" s="1396"/>
      <c r="Z5" s="1396"/>
      <c r="AA5" s="1396"/>
      <c r="AB5" s="1396"/>
      <c r="AC5" s="1396"/>
      <c r="AD5" s="1396"/>
      <c r="AE5" s="1396"/>
      <c r="AF5" s="1396"/>
      <c r="AG5" s="1396"/>
      <c r="AH5" s="1396"/>
      <c r="AI5" s="1396"/>
      <c r="AJ5" s="1396"/>
      <c r="AK5" s="1396"/>
      <c r="AL5" s="1396"/>
      <c r="AM5" s="1396"/>
      <c r="AN5" s="1396"/>
      <c r="AO5" s="1396"/>
      <c r="AP5" s="1396"/>
      <c r="AQ5" s="1396"/>
      <c r="AR5" s="1396"/>
      <c r="AS5" s="1396"/>
      <c r="AT5" s="1396"/>
      <c r="AU5" s="1396"/>
      <c r="AV5" s="1396"/>
      <c r="AW5" s="1397"/>
    </row>
    <row r="6" spans="2:50" ht="6" customHeight="1">
      <c r="Y6" s="148"/>
      <c r="Z6" s="148"/>
      <c r="AA6" s="148"/>
      <c r="AI6" s="148"/>
      <c r="AJ6" s="148"/>
      <c r="AK6" s="148"/>
    </row>
    <row r="7" spans="2:50" ht="15" customHeight="1">
      <c r="B7" s="1280" t="s">
        <v>1130</v>
      </c>
      <c r="C7" s="1280"/>
      <c r="D7" s="1280"/>
      <c r="E7" s="1280"/>
      <c r="F7" s="1280"/>
      <c r="G7" s="1280"/>
      <c r="H7" s="1280"/>
      <c r="I7" s="1280"/>
      <c r="J7" s="1280"/>
      <c r="K7" s="1280"/>
      <c r="L7" s="1280"/>
      <c r="O7" s="1323" t="s">
        <v>1083</v>
      </c>
      <c r="P7" s="1323"/>
      <c r="Q7" s="1323"/>
      <c r="R7" s="1323"/>
      <c r="S7" s="1323"/>
      <c r="T7" s="1323"/>
      <c r="U7" s="1323"/>
      <c r="V7" s="1323"/>
      <c r="W7" s="1323"/>
      <c r="X7" s="1323"/>
      <c r="Y7" s="1323"/>
      <c r="Z7" s="1323"/>
      <c r="AA7" s="1323"/>
      <c r="AB7" s="1323"/>
      <c r="AC7" s="1323"/>
      <c r="AD7" s="1323"/>
      <c r="AE7" s="1323"/>
      <c r="AF7" s="1323"/>
      <c r="AG7" s="1323"/>
      <c r="AH7" s="1323"/>
      <c r="AI7" s="1323"/>
      <c r="AJ7" s="1323"/>
      <c r="AK7" s="1323"/>
      <c r="AL7" s="1323"/>
      <c r="AM7" s="1323"/>
      <c r="AN7" s="1323"/>
      <c r="AO7" s="1323"/>
      <c r="AP7" s="1323"/>
      <c r="AQ7" s="1323"/>
      <c r="AR7" s="1323"/>
      <c r="AS7" s="1323"/>
      <c r="AT7" s="1323"/>
      <c r="AU7" s="1323"/>
      <c r="AV7" s="1323"/>
      <c r="AW7" s="1323"/>
    </row>
    <row r="8" spans="2:50" ht="6" customHeight="1">
      <c r="X8" s="173"/>
    </row>
    <row r="9" spans="2:50" s="153" customFormat="1" ht="45" customHeight="1">
      <c r="B9" s="630" t="str">
        <f>ENERGÍA!B9</f>
        <v>Lineamiento 1: Reflectividad en el Techo</v>
      </c>
      <c r="C9" s="1424" t="str">
        <f>HLOOKUP($M$2,lineamientos,3,FALSE)</f>
        <v>Utilizar colores claros en techos.</v>
      </c>
      <c r="D9" s="1424"/>
      <c r="E9" s="1424"/>
      <c r="F9" s="1424"/>
      <c r="G9" s="1424"/>
      <c r="H9" s="1424"/>
      <c r="I9" s="1424"/>
      <c r="J9" s="1424"/>
      <c r="K9" s="1424"/>
      <c r="L9" s="631">
        <v>5</v>
      </c>
      <c r="O9" s="584"/>
      <c r="P9" s="584"/>
      <c r="Q9" s="584"/>
      <c r="R9" s="584"/>
      <c r="S9" s="584"/>
      <c r="T9" s="584"/>
      <c r="U9" s="584"/>
      <c r="V9" s="584"/>
      <c r="W9" s="584"/>
    </row>
    <row r="10" spans="2:50" s="153" customFormat="1" ht="45" customHeight="1">
      <c r="B10" s="630" t="s">
        <v>1115</v>
      </c>
      <c r="C10" s="1424" t="str">
        <f>HLOOKUP($M$2,lineamientos,4,FALSE)</f>
        <v>Utilizar colores claros en paredes externas.</v>
      </c>
      <c r="D10" s="1424"/>
      <c r="E10" s="1424"/>
      <c r="F10" s="1424"/>
      <c r="G10" s="1424"/>
      <c r="H10" s="1424"/>
      <c r="I10" s="1424"/>
      <c r="J10" s="1424"/>
      <c r="K10" s="1424"/>
      <c r="L10" s="631">
        <v>5</v>
      </c>
    </row>
    <row r="11" spans="2:50" s="153" customFormat="1" ht="45" customHeight="1">
      <c r="B11" s="630" t="s">
        <v>1132</v>
      </c>
      <c r="C11" s="1424" t="str">
        <f>HLOOKUP($M$2,lineamientos,5,FALSE)</f>
        <v>Controlar el uso de ventanas en orientaciones Este y Oeste respetando un máximo de 15% de apertura en esas fachadas.</v>
      </c>
      <c r="D11" s="1424"/>
      <c r="E11" s="1424"/>
      <c r="F11" s="1424"/>
      <c r="G11" s="1424"/>
      <c r="H11" s="1424"/>
      <c r="I11" s="1424"/>
      <c r="J11" s="1424"/>
      <c r="K11" s="1424"/>
      <c r="L11" s="631">
        <v>5</v>
      </c>
    </row>
    <row r="12" spans="2:50" s="153" customFormat="1" ht="45" customHeight="1">
      <c r="B12" s="630" t="s">
        <v>1116</v>
      </c>
      <c r="C12" s="1424" t="str">
        <f>HLOOKUP($M$2,lineamientos,6,FALSE)</f>
        <v>Incorporar aberturas: EFICIENCIA NIVEL G SEGÚN IRAM 11.507-6</v>
      </c>
      <c r="D12" s="1424"/>
      <c r="E12" s="1424"/>
      <c r="F12" s="1424"/>
      <c r="G12" s="1424"/>
      <c r="H12" s="1424"/>
      <c r="I12" s="1424"/>
      <c r="J12" s="1424"/>
      <c r="K12" s="1424"/>
      <c r="L12" s="631">
        <v>2</v>
      </c>
    </row>
    <row r="13" spans="2:50" s="153" customFormat="1" ht="45" customHeight="1">
      <c r="B13" s="630" t="s">
        <v>1117</v>
      </c>
      <c r="C13" s="1424" t="str">
        <f>HLOOKUP($M$2,lineamientos,7,FALSE)</f>
        <v>Incorporar aberturas: EFICIENCIA NIVEL D SEGÚN IRAM 11.507-6</v>
      </c>
      <c r="D13" s="1424"/>
      <c r="E13" s="1424"/>
      <c r="F13" s="1424"/>
      <c r="G13" s="1424"/>
      <c r="H13" s="1424"/>
      <c r="I13" s="1424"/>
      <c r="J13" s="1424"/>
      <c r="K13" s="1424"/>
      <c r="L13" s="631"/>
    </row>
    <row r="14" spans="2:50" s="153" customFormat="1" ht="25" customHeight="1">
      <c r="B14" s="1424" t="s">
        <v>1118</v>
      </c>
      <c r="C14" s="1424" t="str">
        <f>HLOOKUP($M$2,lineamientos,8,FALSE)</f>
        <v>Ventilación natural para todas las habitaciones, lavaderos y baños.</v>
      </c>
      <c r="D14" s="1424"/>
      <c r="E14" s="1424"/>
      <c r="F14" s="1424"/>
      <c r="G14" s="1424"/>
      <c r="H14" s="1424"/>
      <c r="I14" s="1424"/>
      <c r="J14" s="1424"/>
      <c r="K14" s="1424"/>
      <c r="L14" s="1428">
        <v>5</v>
      </c>
    </row>
    <row r="15" spans="2:50" s="153" customFormat="1" ht="25" customHeight="1">
      <c r="B15" s="1424"/>
      <c r="C15" s="1424"/>
      <c r="D15" s="1424"/>
      <c r="E15" s="1424"/>
      <c r="F15" s="1424"/>
      <c r="G15" s="1424"/>
      <c r="H15" s="1424"/>
      <c r="I15" s="1424"/>
      <c r="J15" s="1424"/>
      <c r="K15" s="1424"/>
      <c r="L15" s="1429"/>
    </row>
    <row r="16" spans="2:50" s="153" customFormat="1" ht="25" customHeight="1">
      <c r="B16" s="1424" t="s">
        <v>1135</v>
      </c>
      <c r="C16" s="1424" t="str">
        <f>HLOOKUP($M$2,lineamientos,9,FALSE)</f>
        <v>Ventilación Cruzada: proyectar amplios espacios exteriores abiertos entre volúmenes construidos, reduciendo o evitando obstáculos para el flujo natural del aire a través de la vivienda y optimizando la ventilación cruzada para sala de estar, comedor y cocina.</v>
      </c>
      <c r="D16" s="1424"/>
      <c r="E16" s="1424"/>
      <c r="F16" s="1424"/>
      <c r="G16" s="1424"/>
      <c r="H16" s="1424"/>
      <c r="I16" s="1424"/>
      <c r="J16" s="1424"/>
      <c r="K16" s="1424"/>
      <c r="L16" s="1428">
        <v>5</v>
      </c>
    </row>
    <row r="17" spans="2:24" s="153" customFormat="1" ht="25" customHeight="1">
      <c r="B17" s="1424"/>
      <c r="C17" s="1424"/>
      <c r="D17" s="1424"/>
      <c r="E17" s="1424"/>
      <c r="F17" s="1424"/>
      <c r="G17" s="1424"/>
      <c r="H17" s="1424"/>
      <c r="I17" s="1424"/>
      <c r="J17" s="1424"/>
      <c r="K17" s="1424"/>
      <c r="L17" s="1429"/>
    </row>
    <row r="18" spans="2:24" ht="15" customHeight="1">
      <c r="B18" s="1424" t="s">
        <v>1794</v>
      </c>
      <c r="C18" s="1424" t="str">
        <f>HLOOKUP($M$2,lineamientos,10,FALSE)</f>
        <v>Proyectar sistemas de protección solar para las orientaciones Suroeste, Oeste, Noroeste, Norte, Noreste, Este y Sureste.</v>
      </c>
      <c r="D18" s="1424"/>
      <c r="E18" s="1424"/>
      <c r="F18" s="1424"/>
      <c r="G18" s="1424"/>
      <c r="H18" s="1424"/>
      <c r="I18" s="1424"/>
      <c r="J18" s="1424"/>
      <c r="K18" s="1424"/>
      <c r="L18" s="1425">
        <v>5</v>
      </c>
      <c r="Q18" s="126"/>
      <c r="R18" s="126"/>
      <c r="V18" s="126"/>
      <c r="X18" s="126"/>
    </row>
    <row r="19" spans="2:24" ht="15" customHeight="1">
      <c r="B19" s="1424"/>
      <c r="C19" s="1424"/>
      <c r="D19" s="1424"/>
      <c r="E19" s="1424"/>
      <c r="F19" s="1424"/>
      <c r="G19" s="1424"/>
      <c r="H19" s="1424"/>
      <c r="I19" s="1424"/>
      <c r="J19" s="1424"/>
      <c r="K19" s="1424"/>
      <c r="L19" s="1426"/>
      <c r="Q19" s="126"/>
      <c r="R19" s="126"/>
      <c r="V19" s="126"/>
      <c r="X19" s="126"/>
    </row>
    <row r="20" spans="2:24" ht="15" customHeight="1">
      <c r="B20" s="1424"/>
      <c r="C20" s="1424"/>
      <c r="D20" s="1424"/>
      <c r="E20" s="1424"/>
      <c r="F20" s="1424"/>
      <c r="G20" s="1424"/>
      <c r="H20" s="1424"/>
      <c r="I20" s="1424"/>
      <c r="J20" s="1424"/>
      <c r="K20" s="1424"/>
      <c r="L20" s="1427"/>
      <c r="Q20" s="126"/>
      <c r="R20" s="126"/>
      <c r="V20" s="126"/>
      <c r="X20" s="126"/>
    </row>
    <row r="21" spans="2:24" ht="15" customHeight="1">
      <c r="B21" s="1424" t="s">
        <v>1803</v>
      </c>
      <c r="C21" s="1424" t="str">
        <f>HLOOKUP($M$2,lineamientos,12,FALSE)</f>
        <v>La Zona Bioambiental no especifica lineamiento.</v>
      </c>
      <c r="D21" s="1424"/>
      <c r="E21" s="1424"/>
      <c r="F21" s="1424"/>
      <c r="G21" s="1424"/>
      <c r="H21" s="1424"/>
      <c r="I21" s="1424"/>
      <c r="J21" s="1424"/>
      <c r="K21" s="1424"/>
      <c r="L21" s="1425"/>
      <c r="Q21" s="126"/>
      <c r="R21" s="126"/>
      <c r="V21" s="126"/>
      <c r="X21" s="126"/>
    </row>
    <row r="22" spans="2:24" ht="15" customHeight="1">
      <c r="B22" s="1424"/>
      <c r="C22" s="1424"/>
      <c r="D22" s="1424"/>
      <c r="E22" s="1424"/>
      <c r="F22" s="1424"/>
      <c r="G22" s="1424"/>
      <c r="H22" s="1424"/>
      <c r="I22" s="1424"/>
      <c r="J22" s="1424"/>
      <c r="K22" s="1424"/>
      <c r="L22" s="1426"/>
      <c r="Q22" s="126"/>
      <c r="R22" s="126"/>
      <c r="V22" s="126"/>
      <c r="X22" s="126"/>
    </row>
    <row r="23" spans="2:24" ht="15" customHeight="1">
      <c r="B23" s="1424"/>
      <c r="C23" s="1424"/>
      <c r="D23" s="1424"/>
      <c r="E23" s="1424"/>
      <c r="F23" s="1424"/>
      <c r="G23" s="1424"/>
      <c r="H23" s="1424"/>
      <c r="I23" s="1424"/>
      <c r="J23" s="1424"/>
      <c r="K23" s="1424"/>
      <c r="L23" s="1427"/>
      <c r="Q23" s="126"/>
      <c r="R23" s="126"/>
      <c r="V23" s="126"/>
      <c r="X23" s="126"/>
    </row>
    <row r="24" spans="2:24" ht="15" customHeight="1">
      <c r="B24" s="1424" t="s">
        <v>1804</v>
      </c>
      <c r="C24" s="1424" t="str">
        <f>HLOOKUP($M$2,lineamientos,13,FALSE)</f>
        <v>Incorporar semicubierto con orientación Norte, como galerías, pérgolas o toldos, en patios y terrazas u otros espacios exteriores, como protección de la radiación solar.</v>
      </c>
      <c r="D24" s="1424"/>
      <c r="E24" s="1424"/>
      <c r="F24" s="1424"/>
      <c r="G24" s="1424"/>
      <c r="H24" s="1424"/>
      <c r="I24" s="1424"/>
      <c r="J24" s="1424"/>
      <c r="K24" s="1424"/>
      <c r="L24" s="1425"/>
      <c r="Q24" s="126"/>
      <c r="R24" s="126"/>
      <c r="V24" s="126"/>
      <c r="X24" s="126"/>
    </row>
    <row r="25" spans="2:24" ht="15" customHeight="1">
      <c r="B25" s="1424"/>
      <c r="C25" s="1424"/>
      <c r="D25" s="1424"/>
      <c r="E25" s="1424"/>
      <c r="F25" s="1424"/>
      <c r="G25" s="1424"/>
      <c r="H25" s="1424"/>
      <c r="I25" s="1424"/>
      <c r="J25" s="1424"/>
      <c r="K25" s="1424"/>
      <c r="L25" s="1426"/>
      <c r="Q25" s="126"/>
      <c r="R25" s="126"/>
      <c r="V25" s="126"/>
      <c r="X25" s="126"/>
    </row>
    <row r="26" spans="2:24" ht="15" customHeight="1">
      <c r="B26" s="1424"/>
      <c r="C26" s="1424"/>
      <c r="D26" s="1424"/>
      <c r="E26" s="1424"/>
      <c r="F26" s="1424"/>
      <c r="G26" s="1424"/>
      <c r="H26" s="1424"/>
      <c r="I26" s="1424"/>
      <c r="J26" s="1424"/>
      <c r="K26" s="1424"/>
      <c r="L26" s="1427"/>
      <c r="Q26" s="126"/>
      <c r="R26" s="126"/>
      <c r="V26" s="126"/>
      <c r="X26" s="126"/>
    </row>
    <row r="27" spans="2:24" ht="20" customHeight="1">
      <c r="B27" s="1424" t="s">
        <v>1805</v>
      </c>
      <c r="C27" s="1424" t="str">
        <f>HLOOKUP($M$2,lineamientos,14,FALSE)</f>
        <v>Incorporar vegetación para generar espacios exteriores en sombra y disminuir la incidencia de la radiación directa sobre muros y ventanas.</v>
      </c>
      <c r="D27" s="1424"/>
      <c r="E27" s="1424"/>
      <c r="F27" s="1424"/>
      <c r="G27" s="1424"/>
      <c r="H27" s="1424"/>
      <c r="I27" s="1424"/>
      <c r="J27" s="1424"/>
      <c r="K27" s="1424"/>
      <c r="L27" s="1428"/>
      <c r="Q27" s="126"/>
      <c r="R27" s="126"/>
      <c r="V27" s="126"/>
      <c r="X27" s="126"/>
    </row>
    <row r="28" spans="2:24" ht="20" customHeight="1">
      <c r="B28" s="1424"/>
      <c r="C28" s="1424"/>
      <c r="D28" s="1424"/>
      <c r="E28" s="1424"/>
      <c r="F28" s="1424"/>
      <c r="G28" s="1424"/>
      <c r="H28" s="1424"/>
      <c r="I28" s="1424"/>
      <c r="J28" s="1424"/>
      <c r="K28" s="1424"/>
      <c r="L28" s="1429"/>
      <c r="Q28" s="126"/>
      <c r="R28" s="126"/>
      <c r="V28" s="126"/>
      <c r="X28" s="126"/>
    </row>
    <row r="29" spans="2:24" ht="40" customHeight="1">
      <c r="B29" s="630" t="s">
        <v>1806</v>
      </c>
      <c r="C29" s="1424" t="str">
        <f>HLOOKUP($M$2,lineamientos,15,FALSE)</f>
        <v>La Zona Bioambiental no especifica lineamiento.</v>
      </c>
      <c r="D29" s="1424"/>
      <c r="E29" s="1424"/>
      <c r="F29" s="1424"/>
      <c r="G29" s="1424"/>
      <c r="H29" s="1424"/>
      <c r="I29" s="1424"/>
      <c r="J29" s="1424"/>
      <c r="K29" s="1424"/>
      <c r="L29" s="631"/>
      <c r="Q29" s="126"/>
      <c r="R29" s="126"/>
      <c r="V29" s="126"/>
      <c r="X29" s="126"/>
    </row>
    <row r="30" spans="2:24" ht="15" customHeight="1">
      <c r="B30" s="1378"/>
      <c r="C30" s="1378"/>
      <c r="D30" s="1378"/>
      <c r="E30" s="1378"/>
      <c r="F30" s="1378"/>
      <c r="G30" s="1378"/>
      <c r="H30" s="1378"/>
      <c r="I30" s="1378"/>
      <c r="J30" s="1378"/>
      <c r="K30" s="1378"/>
      <c r="L30" s="1378"/>
      <c r="Q30" s="126"/>
      <c r="R30" s="126"/>
      <c r="V30" s="126"/>
      <c r="X30" s="126"/>
    </row>
    <row r="31" spans="2:24" ht="6" customHeight="1">
      <c r="K31" s="148"/>
      <c r="L31" s="148"/>
      <c r="M31" s="148"/>
      <c r="N31" s="148"/>
      <c r="Q31" s="126"/>
      <c r="R31" s="126"/>
      <c r="V31" s="126"/>
      <c r="X31" s="126"/>
    </row>
    <row r="32" spans="2:24" s="159" customFormat="1" ht="15" customHeight="1">
      <c r="B32" s="1280" t="s">
        <v>585</v>
      </c>
      <c r="C32" s="1280"/>
      <c r="D32" s="1280"/>
      <c r="E32" s="1280"/>
      <c r="F32" s="1280"/>
      <c r="G32" s="1280"/>
      <c r="H32" s="1280"/>
      <c r="I32" s="1280"/>
      <c r="J32" s="1280"/>
      <c r="K32" s="1280"/>
      <c r="L32" s="1280"/>
      <c r="M32" s="148"/>
      <c r="N32" s="148"/>
      <c r="O32" s="126"/>
      <c r="P32" s="126"/>
      <c r="Q32" s="126"/>
      <c r="R32" s="126"/>
      <c r="S32" s="126"/>
      <c r="T32" s="126"/>
      <c r="U32" s="126"/>
      <c r="V32" s="126"/>
      <c r="W32" s="126"/>
    </row>
    <row r="33" spans="2:50" ht="6" customHeight="1">
      <c r="M33" s="148"/>
      <c r="N33" s="148"/>
      <c r="O33" s="159"/>
      <c r="P33" s="159"/>
      <c r="Q33" s="159"/>
      <c r="R33" s="159"/>
      <c r="S33" s="159"/>
      <c r="T33" s="159"/>
      <c r="U33" s="159"/>
      <c r="V33" s="159"/>
      <c r="W33" s="159"/>
      <c r="X33" s="126"/>
    </row>
    <row r="34" spans="2:50" ht="30" customHeight="1">
      <c r="B34" s="1273" t="s">
        <v>589</v>
      </c>
      <c r="C34" s="1273"/>
      <c r="D34" s="1357" t="s">
        <v>1181</v>
      </c>
      <c r="E34" s="1391"/>
      <c r="F34" s="1358"/>
      <c r="G34" s="1357" t="s">
        <v>596</v>
      </c>
      <c r="H34" s="1391"/>
      <c r="I34" s="1391"/>
      <c r="J34" s="1358"/>
      <c r="K34" s="1357" t="s">
        <v>1793</v>
      </c>
      <c r="L34" s="1358"/>
      <c r="M34" s="148"/>
      <c r="N34" s="148"/>
      <c r="O34" s="1357" t="s">
        <v>591</v>
      </c>
      <c r="P34" s="1358"/>
      <c r="Q34" s="148" t="s">
        <v>1017</v>
      </c>
      <c r="R34" s="126"/>
      <c r="V34" s="126"/>
      <c r="X34" s="126"/>
    </row>
    <row r="35" spans="2:50" ht="15" customHeight="1">
      <c r="B35" s="582" t="s">
        <v>590</v>
      </c>
      <c r="C35" s="586">
        <f>ENERGÍA!C37</f>
        <v>0</v>
      </c>
      <c r="D35" s="1385" t="e">
        <f>O35/G35</f>
        <v>#N/A</v>
      </c>
      <c r="E35" s="1386"/>
      <c r="F35" s="1387"/>
      <c r="G35" s="1388">
        <f>ENERGÍA!H37+ENERGÍA!L37</f>
        <v>0</v>
      </c>
      <c r="H35" s="1389"/>
      <c r="I35" s="1389"/>
      <c r="J35" s="1390"/>
      <c r="K35" s="1388" t="e">
        <f>VLOOKUP(C35,BASE!$ER$5:$FE$20,2,FALSE)</f>
        <v>#N/A</v>
      </c>
      <c r="L35" s="1390"/>
      <c r="M35" s="148"/>
      <c r="N35" s="148"/>
      <c r="O35" s="1383" t="e">
        <f>G35*(K35)</f>
        <v>#N/A</v>
      </c>
      <c r="P35" s="1384"/>
      <c r="Q35" s="580" t="e">
        <f>VLOOKUP(C35,BASE!$ER$5:$FE$20,3,FALSE)</f>
        <v>#N/A</v>
      </c>
      <c r="R35" s="580" t="e">
        <f>IF(O35&lt;=5,2,IF(O35&lt;10,4,IF(O35&lt;15,6,IF(O35&lt;20,8,9))))</f>
        <v>#N/A</v>
      </c>
      <c r="V35" s="126"/>
      <c r="X35" s="126"/>
      <c r="AR35" s="126">
        <f t="shared" ref="AR35:AW38" si="0">IF(A35=0,1,0)</f>
        <v>1</v>
      </c>
      <c r="AS35" s="126">
        <f t="shared" si="0"/>
        <v>0</v>
      </c>
      <c r="AT35" s="126">
        <f t="shared" si="0"/>
        <v>1</v>
      </c>
      <c r="AU35" s="126" t="e">
        <f t="shared" si="0"/>
        <v>#N/A</v>
      </c>
      <c r="AV35" s="126">
        <f t="shared" si="0"/>
        <v>1</v>
      </c>
      <c r="AW35" s="126">
        <f t="shared" si="0"/>
        <v>1</v>
      </c>
      <c r="AX35" s="126">
        <f>IF(G35=0,1,0)</f>
        <v>1</v>
      </c>
    </row>
    <row r="36" spans="2:50" ht="15" customHeight="1">
      <c r="B36" s="582" t="s">
        <v>586</v>
      </c>
      <c r="C36" s="586">
        <f>ENERGÍA!C38</f>
        <v>0</v>
      </c>
      <c r="D36" s="1385" t="e">
        <f t="shared" ref="D36:D38" si="1">O36/G36</f>
        <v>#N/A</v>
      </c>
      <c r="E36" s="1386"/>
      <c r="F36" s="1387"/>
      <c r="G36" s="1388">
        <f>ENERGÍA!H38+ENERGÍA!L38</f>
        <v>0</v>
      </c>
      <c r="H36" s="1389"/>
      <c r="I36" s="1389"/>
      <c r="J36" s="1390"/>
      <c r="K36" s="1388" t="e">
        <f>VLOOKUP(C36,BASE!$ER$5:$FE$20,2,FALSE)</f>
        <v>#N/A</v>
      </c>
      <c r="L36" s="1390"/>
      <c r="M36" s="148"/>
      <c r="N36" s="148"/>
      <c r="O36" s="1383" t="e">
        <f t="shared" ref="O36:O38" si="2">G36*(K36)</f>
        <v>#N/A</v>
      </c>
      <c r="P36" s="1384"/>
      <c r="Q36" s="580" t="e">
        <f>VLOOKUP(C36,BASE!$ER$5:$FE$20,3,FALSE)</f>
        <v>#N/A</v>
      </c>
      <c r="R36" s="580" t="e">
        <f t="shared" ref="R36:R38" si="3">IF(O36&lt;=5,2,IF(O36&lt;10,4,IF(O36&lt;15,6,IF(O36&lt;20,8,9))))</f>
        <v>#N/A</v>
      </c>
      <c r="V36" s="126"/>
      <c r="X36" s="126"/>
      <c r="AR36" s="126">
        <f t="shared" si="0"/>
        <v>1</v>
      </c>
      <c r="AS36" s="126">
        <f t="shared" si="0"/>
        <v>0</v>
      </c>
      <c r="AT36" s="126">
        <f t="shared" si="0"/>
        <v>1</v>
      </c>
      <c r="AU36" s="126" t="e">
        <f t="shared" si="0"/>
        <v>#N/A</v>
      </c>
      <c r="AV36" s="126">
        <f t="shared" si="0"/>
        <v>1</v>
      </c>
      <c r="AW36" s="126">
        <f t="shared" si="0"/>
        <v>1</v>
      </c>
      <c r="AX36" s="126">
        <f>IF(G36=0,1,0)</f>
        <v>1</v>
      </c>
    </row>
    <row r="37" spans="2:50" ht="15" customHeight="1">
      <c r="B37" s="582" t="s">
        <v>587</v>
      </c>
      <c r="C37" s="586">
        <f>ENERGÍA!C39</f>
        <v>0</v>
      </c>
      <c r="D37" s="1385" t="e">
        <f t="shared" si="1"/>
        <v>#N/A</v>
      </c>
      <c r="E37" s="1386"/>
      <c r="F37" s="1387"/>
      <c r="G37" s="1388">
        <f>ENERGÍA!H39+ENERGÍA!L39</f>
        <v>0</v>
      </c>
      <c r="H37" s="1389"/>
      <c r="I37" s="1389"/>
      <c r="J37" s="1390"/>
      <c r="K37" s="1388" t="e">
        <f>VLOOKUP(C37,BASE!$ER$5:$FE$20,2,FALSE)</f>
        <v>#N/A</v>
      </c>
      <c r="L37" s="1390"/>
      <c r="M37" s="148"/>
      <c r="N37" s="148"/>
      <c r="O37" s="1383" t="e">
        <f t="shared" si="2"/>
        <v>#N/A</v>
      </c>
      <c r="P37" s="1384"/>
      <c r="Q37" s="580" t="e">
        <f>VLOOKUP(C37,BASE!$ER$5:$FE$20,3,FALSE)</f>
        <v>#N/A</v>
      </c>
      <c r="R37" s="580" t="e">
        <f t="shared" si="3"/>
        <v>#N/A</v>
      </c>
      <c r="V37" s="126"/>
      <c r="X37" s="126"/>
      <c r="AR37" s="126">
        <f t="shared" si="0"/>
        <v>1</v>
      </c>
      <c r="AS37" s="126">
        <f t="shared" si="0"/>
        <v>0</v>
      </c>
      <c r="AT37" s="126">
        <f t="shared" si="0"/>
        <v>1</v>
      </c>
      <c r="AU37" s="126" t="e">
        <f t="shared" si="0"/>
        <v>#N/A</v>
      </c>
      <c r="AV37" s="126">
        <f t="shared" si="0"/>
        <v>1</v>
      </c>
      <c r="AW37" s="126">
        <f t="shared" si="0"/>
        <v>1</v>
      </c>
      <c r="AX37" s="126">
        <f>IF(G37=0,1,0)</f>
        <v>1</v>
      </c>
    </row>
    <row r="38" spans="2:50" ht="15" customHeight="1">
      <c r="B38" s="582" t="s">
        <v>588</v>
      </c>
      <c r="C38" s="586">
        <f>ENERGÍA!C40</f>
        <v>0</v>
      </c>
      <c r="D38" s="1385" t="e">
        <f t="shared" si="1"/>
        <v>#N/A</v>
      </c>
      <c r="E38" s="1386"/>
      <c r="F38" s="1387"/>
      <c r="G38" s="1388">
        <f>ENERGÍA!H40+ENERGÍA!L40</f>
        <v>0</v>
      </c>
      <c r="H38" s="1389"/>
      <c r="I38" s="1389"/>
      <c r="J38" s="1390"/>
      <c r="K38" s="1388" t="e">
        <f>VLOOKUP(C38,BASE!$ER$5:$FE$20,2,FALSE)</f>
        <v>#N/A</v>
      </c>
      <c r="L38" s="1390"/>
      <c r="M38" s="148"/>
      <c r="N38" s="148"/>
      <c r="O38" s="1383" t="e">
        <f t="shared" si="2"/>
        <v>#N/A</v>
      </c>
      <c r="P38" s="1384"/>
      <c r="Q38" s="580" t="e">
        <f>VLOOKUP(C38,BASE!$ER$5:$FE$20,3,FALSE)</f>
        <v>#N/A</v>
      </c>
      <c r="R38" s="580" t="e">
        <f t="shared" si="3"/>
        <v>#N/A</v>
      </c>
      <c r="V38" s="126"/>
      <c r="X38" s="126"/>
      <c r="AR38" s="126">
        <f t="shared" si="0"/>
        <v>1</v>
      </c>
      <c r="AS38" s="126">
        <f t="shared" si="0"/>
        <v>0</v>
      </c>
      <c r="AT38" s="126">
        <f t="shared" si="0"/>
        <v>1</v>
      </c>
      <c r="AU38" s="126" t="e">
        <f t="shared" si="0"/>
        <v>#N/A</v>
      </c>
      <c r="AV38" s="126">
        <f t="shared" si="0"/>
        <v>1</v>
      </c>
      <c r="AW38" s="126">
        <f t="shared" si="0"/>
        <v>1</v>
      </c>
      <c r="AX38" s="126">
        <f>IF(G38=0,1,0)</f>
        <v>1</v>
      </c>
    </row>
    <row r="39" spans="2:50" ht="6" customHeight="1">
      <c r="B39" s="582"/>
      <c r="C39" s="148"/>
      <c r="D39" s="176"/>
      <c r="E39" s="176"/>
      <c r="F39" s="176"/>
      <c r="G39" s="176"/>
      <c r="H39" s="176"/>
      <c r="I39" s="176"/>
      <c r="J39" s="587"/>
      <c r="K39" s="587"/>
      <c r="L39" s="587"/>
      <c r="M39" s="148"/>
      <c r="N39" s="148"/>
      <c r="X39" s="126"/>
    </row>
    <row r="40" spans="2:50" s="159" customFormat="1" ht="15" customHeight="1">
      <c r="B40" s="1280" t="s">
        <v>592</v>
      </c>
      <c r="C40" s="1280"/>
      <c r="D40" s="1280"/>
      <c r="E40" s="1280"/>
      <c r="F40" s="1280"/>
      <c r="G40" s="1280"/>
      <c r="H40" s="1280"/>
      <c r="I40" s="1280"/>
      <c r="J40" s="1280"/>
      <c r="K40" s="1280"/>
      <c r="L40" s="1280"/>
      <c r="M40" s="148"/>
      <c r="N40" s="148"/>
      <c r="O40" s="1317" t="s">
        <v>592</v>
      </c>
      <c r="P40" s="1318"/>
      <c r="Q40" s="1318"/>
      <c r="R40" s="1318"/>
      <c r="S40" s="1318"/>
      <c r="T40" s="1318"/>
      <c r="U40" s="1318"/>
      <c r="V40" s="1318"/>
      <c r="W40" s="1319"/>
      <c r="Y40" s="1280" t="s">
        <v>894</v>
      </c>
      <c r="Z40" s="1280"/>
      <c r="AA40" s="1280"/>
      <c r="AB40" s="1280"/>
      <c r="AC40" s="1280"/>
      <c r="AD40" s="1280"/>
      <c r="AE40" s="1280"/>
      <c r="AG40" s="1357" t="s">
        <v>762</v>
      </c>
      <c r="AH40" s="1391"/>
      <c r="AI40" s="1391"/>
      <c r="AJ40" s="1358"/>
    </row>
    <row r="41" spans="2:50" ht="6" customHeight="1">
      <c r="O41" s="148"/>
      <c r="P41" s="581"/>
      <c r="Q41" s="126"/>
      <c r="R41" s="126"/>
      <c r="V41" s="148"/>
    </row>
    <row r="42" spans="2:50" ht="15" customHeight="1">
      <c r="B42" s="1323" t="s">
        <v>218</v>
      </c>
      <c r="C42" s="1323"/>
      <c r="D42" s="1323"/>
      <c r="E42" s="1323"/>
      <c r="F42" s="1323"/>
      <c r="G42" s="1323"/>
      <c r="H42" s="1323"/>
      <c r="I42" s="1323"/>
      <c r="J42" s="1323"/>
      <c r="K42" s="1323"/>
      <c r="L42" s="1323"/>
      <c r="O42" s="1320" t="s">
        <v>218</v>
      </c>
      <c r="P42" s="1321"/>
      <c r="Q42" s="1321"/>
      <c r="R42" s="1321"/>
      <c r="S42" s="1321"/>
      <c r="T42" s="1321"/>
      <c r="U42" s="1321"/>
      <c r="V42" s="1321"/>
      <c r="W42" s="1322"/>
      <c r="Y42" s="1350" t="s">
        <v>1139</v>
      </c>
      <c r="Z42" s="1350"/>
      <c r="AA42" s="1350"/>
      <c r="AB42" s="1350"/>
      <c r="AC42" s="1350"/>
      <c r="AD42" s="588" t="s">
        <v>999</v>
      </c>
      <c r="AE42" s="175" t="e">
        <f>AE44</f>
        <v>#N/A</v>
      </c>
      <c r="AG42" s="166"/>
      <c r="AH42" s="166" t="s">
        <v>996</v>
      </c>
      <c r="AI42" s="166" t="s">
        <v>1519</v>
      </c>
      <c r="AJ42" s="166" t="s">
        <v>1520</v>
      </c>
    </row>
    <row r="43" spans="2:50" ht="6" customHeight="1">
      <c r="B43" s="584"/>
      <c r="C43" s="584"/>
      <c r="D43" s="584"/>
      <c r="E43" s="126"/>
      <c r="O43" s="148"/>
      <c r="P43" s="581"/>
      <c r="Q43" s="584"/>
      <c r="R43" s="584"/>
      <c r="AG43" s="148"/>
      <c r="AH43" s="148"/>
      <c r="AI43" s="148"/>
      <c r="AJ43" s="148"/>
    </row>
    <row r="44" spans="2:50" s="166" customFormat="1" ht="15" customHeight="1">
      <c r="B44" s="1360"/>
      <c r="C44" s="1363" t="s">
        <v>222</v>
      </c>
      <c r="D44" s="1364"/>
      <c r="E44" s="1364"/>
      <c r="F44" s="1364"/>
      <c r="G44" s="1365"/>
      <c r="H44" s="1357" t="s">
        <v>1788</v>
      </c>
      <c r="I44" s="1358"/>
      <c r="J44" s="1360" t="s">
        <v>594</v>
      </c>
      <c r="K44" s="1360" t="s">
        <v>1356</v>
      </c>
      <c r="L44" s="1275" t="s">
        <v>644</v>
      </c>
      <c r="O44" s="1360" t="s">
        <v>1354</v>
      </c>
      <c r="P44" s="1360" t="s">
        <v>729</v>
      </c>
      <c r="Q44" s="1360" t="s">
        <v>849</v>
      </c>
      <c r="R44" s="1360" t="s">
        <v>850</v>
      </c>
      <c r="S44" s="1360" t="s">
        <v>1357</v>
      </c>
      <c r="T44" s="1360" t="s">
        <v>851</v>
      </c>
      <c r="U44" s="1360" t="s">
        <v>891</v>
      </c>
      <c r="V44" s="1360" t="s">
        <v>1359</v>
      </c>
      <c r="Y44" s="1275" t="s">
        <v>1140</v>
      </c>
      <c r="Z44" s="1344" t="e">
        <f>AW90</f>
        <v>#N/A</v>
      </c>
      <c r="AA44" s="1345"/>
      <c r="AB44" s="1275" t="s">
        <v>895</v>
      </c>
      <c r="AC44" s="1286">
        <f>AW74</f>
        <v>-24</v>
      </c>
      <c r="AD44" s="1379" t="s">
        <v>1023</v>
      </c>
      <c r="AE44" s="1381" t="e">
        <f>Z44*AC44</f>
        <v>#N/A</v>
      </c>
      <c r="AG44" s="148" t="str">
        <f>Y52</f>
        <v>Agua Caliente</v>
      </c>
      <c r="AH44" s="148">
        <v>933</v>
      </c>
      <c r="AI44" s="148">
        <v>450</v>
      </c>
      <c r="AJ44" s="148">
        <f>IF(Z52=1,15,0)</f>
        <v>0</v>
      </c>
    </row>
    <row r="45" spans="2:50" s="166" customFormat="1" ht="15" customHeight="1">
      <c r="B45" s="1361"/>
      <c r="C45" s="1366"/>
      <c r="D45" s="1367"/>
      <c r="E45" s="1367"/>
      <c r="F45" s="1367"/>
      <c r="G45" s="1368"/>
      <c r="H45" s="166" t="s">
        <v>749</v>
      </c>
      <c r="I45" s="166" t="s">
        <v>750</v>
      </c>
      <c r="J45" s="1361"/>
      <c r="K45" s="1361"/>
      <c r="L45" s="1277"/>
      <c r="O45" s="1361"/>
      <c r="P45" s="1361"/>
      <c r="Q45" s="1361"/>
      <c r="R45" s="1361"/>
      <c r="S45" s="1361"/>
      <c r="T45" s="1361"/>
      <c r="U45" s="1361"/>
      <c r="V45" s="1361"/>
      <c r="Y45" s="1277"/>
      <c r="Z45" s="1348"/>
      <c r="AA45" s="1349"/>
      <c r="AB45" s="1277"/>
      <c r="AC45" s="1288"/>
      <c r="AD45" s="1380"/>
      <c r="AE45" s="1382"/>
    </row>
    <row r="46" spans="2:50" ht="15" customHeight="1">
      <c r="B46" s="581" t="s">
        <v>228</v>
      </c>
      <c r="C46" s="1359"/>
      <c r="D46" s="1359"/>
      <c r="E46" s="1359"/>
      <c r="F46" s="1359"/>
      <c r="G46" s="1359"/>
      <c r="H46" s="176" t="str">
        <f>IF(J46=0,"-","Nivel B")</f>
        <v>-</v>
      </c>
      <c r="I46" s="176" t="str">
        <f>IF(J46=0,"-","Nivel B")</f>
        <v>-</v>
      </c>
      <c r="J46" s="589">
        <f>ENERGÍA!L50</f>
        <v>0</v>
      </c>
      <c r="K46" s="589">
        <f>ENERGÍA!M50</f>
        <v>0</v>
      </c>
      <c r="L46" s="589"/>
      <c r="O46" s="176">
        <f>IF(J46=0,0,VLOOKUP(K46,adyacentem,2,FALSE))</f>
        <v>0</v>
      </c>
      <c r="P46" s="590">
        <f>VLOOKUP('BASE DE DATOS'!GY6,COLORESEXT,2,FALSE)</f>
        <v>0.4</v>
      </c>
      <c r="Q46" s="176">
        <f>IF('BASE DE DATOS'!GX6="A",'Materiales Personalizados'!BA37,IF('BASE DE DATOS'!GX6="B",'Materiales Personalizados'!BA38,'Materiales Personalizados'!$BA$39))</f>
        <v>0.83</v>
      </c>
      <c r="R46" s="590">
        <f>Q46*J46</f>
        <v>0</v>
      </c>
      <c r="S46" s="590">
        <f>IF(J46=0,0,(O46*R46))</f>
        <v>0</v>
      </c>
      <c r="T46" s="590" t="e">
        <f>IF('BASE DE DATOS'!GX6="A",'Materiales Personalizados'!BA43,IF('BASE DE DATOS'!GX6="B",'Materiales Personalizados'!BA44,'Materiales Personalizados'!BA45))</f>
        <v>#N/A</v>
      </c>
      <c r="U46" s="590" t="e">
        <f>T46*J46</f>
        <v>#N/A</v>
      </c>
      <c r="V46" s="590">
        <f>IF(J46=0,0,U46*O46)</f>
        <v>0</v>
      </c>
      <c r="W46" s="581"/>
      <c r="X46" s="580">
        <f>IF(J46&gt;0,1,0)</f>
        <v>0</v>
      </c>
      <c r="AG46" s="148" t="str">
        <f>Y54</f>
        <v>Cocina</v>
      </c>
      <c r="AH46" s="148">
        <v>977</v>
      </c>
      <c r="AI46" s="148">
        <v>472</v>
      </c>
      <c r="AJ46" s="148">
        <f>IF(Z54=1,15,0)</f>
        <v>15</v>
      </c>
    </row>
    <row r="47" spans="2:50" ht="15" customHeight="1">
      <c r="B47" s="581" t="s">
        <v>229</v>
      </c>
      <c r="C47" s="1359"/>
      <c r="D47" s="1359"/>
      <c r="E47" s="1359"/>
      <c r="F47" s="1359"/>
      <c r="G47" s="1359"/>
      <c r="H47" s="176" t="str">
        <f t="shared" ref="H47:H48" si="4">IF(J47=0,"-","Nivel B")</f>
        <v>-</v>
      </c>
      <c r="I47" s="176" t="str">
        <f t="shared" ref="I47:I48" si="5">IF(J47=0,"-","Nivel B")</f>
        <v>-</v>
      </c>
      <c r="J47" s="589">
        <f>ENERGÍA!L51</f>
        <v>0</v>
      </c>
      <c r="K47" s="589">
        <f>ENERGÍA!M51</f>
        <v>0</v>
      </c>
      <c r="L47" s="589"/>
      <c r="O47" s="176">
        <f>IF(J47=0,0,VLOOKUP(K47,adyacentem,2,FALSE))</f>
        <v>0</v>
      </c>
      <c r="P47" s="590">
        <f>P46</f>
        <v>0.4</v>
      </c>
      <c r="Q47" s="176">
        <f>Q46</f>
        <v>0.83</v>
      </c>
      <c r="R47" s="590">
        <f>Q47*J47</f>
        <v>0</v>
      </c>
      <c r="S47" s="590">
        <f t="shared" ref="S47:S48" si="6">IF(J47=0,0,(O47*R47))</f>
        <v>0</v>
      </c>
      <c r="T47" s="590" t="e">
        <f>T46</f>
        <v>#N/A</v>
      </c>
      <c r="U47" s="590" t="e">
        <f>T47*J47</f>
        <v>#N/A</v>
      </c>
      <c r="V47" s="590">
        <f t="shared" ref="V47:V48" si="7">IF(J47=0,0,U47*O47)</f>
        <v>0</v>
      </c>
      <c r="W47" s="581"/>
      <c r="X47" s="580">
        <f t="shared" ref="X47:X90" si="8">IF(J47&gt;0,1,0)</f>
        <v>0</v>
      </c>
      <c r="Y47" s="1350" t="s">
        <v>1000</v>
      </c>
      <c r="Z47" s="1350"/>
      <c r="AA47" s="1350"/>
      <c r="AB47" s="1350"/>
      <c r="AC47" s="1350"/>
      <c r="AD47" s="588" t="s">
        <v>999</v>
      </c>
      <c r="AE47" s="175">
        <f>AE66+AD60+AE52+Z60</f>
        <v>366.75</v>
      </c>
      <c r="AG47" s="148" t="str">
        <f>Y56</f>
        <v>Lavarropa</v>
      </c>
      <c r="AH47" s="148">
        <v>300</v>
      </c>
      <c r="AI47" s="148">
        <v>0</v>
      </c>
      <c r="AJ47" s="148">
        <f>IF(Z56=1,9,0)</f>
        <v>9</v>
      </c>
    </row>
    <row r="48" spans="2:50" ht="15" customHeight="1">
      <c r="B48" s="581" t="s">
        <v>631</v>
      </c>
      <c r="C48" s="1342"/>
      <c r="D48" s="1340"/>
      <c r="E48" s="1340"/>
      <c r="F48" s="1340"/>
      <c r="G48" s="1340"/>
      <c r="H48" s="176" t="str">
        <f t="shared" si="4"/>
        <v>-</v>
      </c>
      <c r="I48" s="176" t="str">
        <f t="shared" si="5"/>
        <v>-</v>
      </c>
      <c r="J48" s="589">
        <f>ENERGÍA!L52</f>
        <v>0</v>
      </c>
      <c r="K48" s="589">
        <f>ENERGÍA!M52</f>
        <v>0</v>
      </c>
      <c r="L48" s="589"/>
      <c r="O48" s="176">
        <f>IF(J48=0,0,VLOOKUP(K48,adyacentem,2,FALSE))</f>
        <v>0</v>
      </c>
      <c r="P48" s="590">
        <f>P47</f>
        <v>0.4</v>
      </c>
      <c r="Q48" s="176">
        <f>Q47</f>
        <v>0.83</v>
      </c>
      <c r="R48" s="590">
        <f>Q48*J48</f>
        <v>0</v>
      </c>
      <c r="S48" s="590">
        <f t="shared" si="6"/>
        <v>0</v>
      </c>
      <c r="T48" s="590" t="e">
        <f>T47</f>
        <v>#N/A</v>
      </c>
      <c r="U48" s="590" t="e">
        <f>T48*J48</f>
        <v>#N/A</v>
      </c>
      <c r="V48" s="590">
        <f t="shared" si="7"/>
        <v>0</v>
      </c>
      <c r="W48" s="581"/>
      <c r="X48" s="580">
        <f t="shared" si="8"/>
        <v>0</v>
      </c>
      <c r="Y48" s="1350" t="s">
        <v>994</v>
      </c>
      <c r="Z48" s="1350"/>
      <c r="AA48" s="1350"/>
      <c r="AB48" s="1350"/>
      <c r="AC48" s="1350"/>
      <c r="AD48" s="1350"/>
      <c r="AE48" s="1350"/>
      <c r="AG48" s="148" t="str">
        <f>Y57</f>
        <v>Heladera</v>
      </c>
      <c r="AH48" s="148">
        <v>310</v>
      </c>
      <c r="AI48" s="148">
        <v>0</v>
      </c>
      <c r="AJ48" s="148">
        <f>IF(Z57=1,45,0)</f>
        <v>45</v>
      </c>
    </row>
    <row r="49" spans="2:49" ht="6" customHeight="1">
      <c r="O49" s="148"/>
      <c r="P49" s="581"/>
      <c r="Q49" s="126"/>
      <c r="R49" s="126"/>
      <c r="V49" s="126"/>
      <c r="X49" s="580">
        <f t="shared" si="8"/>
        <v>0</v>
      </c>
      <c r="AG49" s="148"/>
      <c r="AH49" s="148"/>
      <c r="AI49" s="148"/>
      <c r="AJ49" s="148"/>
    </row>
    <row r="50" spans="2:49" ht="15" customHeight="1">
      <c r="B50" s="1320" t="s">
        <v>219</v>
      </c>
      <c r="C50" s="1321"/>
      <c r="D50" s="1321"/>
      <c r="E50" s="1321"/>
      <c r="F50" s="1321"/>
      <c r="G50" s="1321"/>
      <c r="H50" s="1321"/>
      <c r="I50" s="1321"/>
      <c r="J50" s="1321"/>
      <c r="K50" s="1321"/>
      <c r="L50" s="1322"/>
      <c r="O50" s="1320" t="s">
        <v>219</v>
      </c>
      <c r="P50" s="1321"/>
      <c r="Q50" s="1321"/>
      <c r="R50" s="1321"/>
      <c r="S50" s="1321"/>
      <c r="T50" s="1321"/>
      <c r="U50" s="1321"/>
      <c r="V50" s="1321"/>
      <c r="W50" s="1322"/>
      <c r="X50" s="580">
        <f t="shared" si="8"/>
        <v>0</v>
      </c>
      <c r="Y50" s="148"/>
      <c r="Z50" s="148" t="s">
        <v>995</v>
      </c>
      <c r="AA50" s="148" t="s">
        <v>996</v>
      </c>
      <c r="AB50" s="148" t="s">
        <v>997</v>
      </c>
      <c r="AC50" s="148" t="s">
        <v>998</v>
      </c>
      <c r="AD50" s="148" t="s">
        <v>898</v>
      </c>
      <c r="AE50" s="591" t="s">
        <v>1023</v>
      </c>
      <c r="AJ50" s="148">
        <f>SUM(AJ44:AJ49)</f>
        <v>69</v>
      </c>
    </row>
    <row r="51" spans="2:49" ht="6" customHeight="1">
      <c r="D51" s="126"/>
      <c r="E51" s="126"/>
      <c r="K51" s="126"/>
      <c r="L51" s="126"/>
      <c r="O51" s="148"/>
      <c r="Q51" s="126"/>
      <c r="R51" s="126"/>
      <c r="V51" s="126"/>
      <c r="X51" s="580">
        <f t="shared" si="8"/>
        <v>0</v>
      </c>
      <c r="AG51" s="148"/>
      <c r="AH51" s="148"/>
      <c r="AI51" s="148"/>
      <c r="AJ51" s="148"/>
    </row>
    <row r="52" spans="2:49" ht="15" customHeight="1">
      <c r="B52" s="1323">
        <f>C35</f>
        <v>0</v>
      </c>
      <c r="C52" s="1323"/>
      <c r="D52" s="1323"/>
      <c r="E52" s="1323"/>
      <c r="F52" s="1323"/>
      <c r="G52" s="1323"/>
      <c r="H52" s="1323"/>
      <c r="I52" s="1323"/>
      <c r="J52" s="1323"/>
      <c r="K52" s="1323"/>
      <c r="L52" s="1323"/>
      <c r="O52" s="1320">
        <f>B52</f>
        <v>0</v>
      </c>
      <c r="P52" s="1321"/>
      <c r="Q52" s="1321"/>
      <c r="R52" s="1321"/>
      <c r="S52" s="1321"/>
      <c r="T52" s="1321"/>
      <c r="U52" s="1321"/>
      <c r="V52" s="1321"/>
      <c r="W52" s="1322"/>
      <c r="X52" s="580">
        <f t="shared" si="8"/>
        <v>0</v>
      </c>
      <c r="Y52" s="148" t="s">
        <v>618</v>
      </c>
      <c r="Z52" s="148">
        <f>ENERGÍA!AA56</f>
        <v>0</v>
      </c>
      <c r="AA52" s="148">
        <f>ENERGÍA!AB56</f>
        <v>933</v>
      </c>
      <c r="AB52" s="148">
        <f>ENERGÍA!AC56</f>
        <v>25</v>
      </c>
      <c r="AC52" s="148">
        <f>AA52*AB52/100</f>
        <v>233.25</v>
      </c>
      <c r="AD52" s="148">
        <f>AC52*Z52</f>
        <v>0</v>
      </c>
      <c r="AE52" s="1282">
        <f>SUM(AD52:AD57)</f>
        <v>366.75</v>
      </c>
      <c r="AG52" s="580" t="s">
        <v>1522</v>
      </c>
      <c r="AH52" s="590">
        <f>SUM(G35:J38)</f>
        <v>0</v>
      </c>
      <c r="AI52" s="590">
        <f>SUM(W56:W90)</f>
        <v>0</v>
      </c>
      <c r="AJ52" s="580">
        <f>IF(AH52=AI52,0,((AI52*100)/AH52)/1000)</f>
        <v>0</v>
      </c>
    </row>
    <row r="53" spans="2:49" ht="6" customHeight="1">
      <c r="B53" s="584"/>
      <c r="C53" s="584"/>
      <c r="D53" s="584"/>
      <c r="E53" s="126"/>
      <c r="L53" s="126"/>
      <c r="O53" s="148"/>
      <c r="P53" s="581"/>
      <c r="Q53" s="126"/>
      <c r="R53" s="126"/>
      <c r="V53" s="126"/>
      <c r="X53" s="580">
        <f t="shared" si="8"/>
        <v>0</v>
      </c>
      <c r="AE53" s="1282"/>
    </row>
    <row r="54" spans="2:49" ht="15" customHeight="1">
      <c r="B54" s="1360"/>
      <c r="C54" s="1363" t="s">
        <v>222</v>
      </c>
      <c r="D54" s="1364"/>
      <c r="E54" s="1364"/>
      <c r="F54" s="1364"/>
      <c r="G54" s="1365"/>
      <c r="H54" s="1357" t="s">
        <v>1788</v>
      </c>
      <c r="I54" s="1358"/>
      <c r="J54" s="1360" t="s">
        <v>594</v>
      </c>
      <c r="K54" s="1360" t="s">
        <v>1356</v>
      </c>
      <c r="L54" s="1275" t="s">
        <v>644</v>
      </c>
      <c r="O54" s="1360" t="s">
        <v>1354</v>
      </c>
      <c r="P54" s="1360" t="s">
        <v>729</v>
      </c>
      <c r="Q54" s="1360" t="s">
        <v>849</v>
      </c>
      <c r="R54" s="1360" t="s">
        <v>850</v>
      </c>
      <c r="S54" s="1360" t="s">
        <v>1357</v>
      </c>
      <c r="T54" s="1360" t="s">
        <v>851</v>
      </c>
      <c r="U54" s="1360" t="s">
        <v>891</v>
      </c>
      <c r="V54" s="1360" t="s">
        <v>1359</v>
      </c>
      <c r="W54" s="1360" t="s">
        <v>1358</v>
      </c>
      <c r="X54" s="580">
        <f t="shared" si="8"/>
        <v>1</v>
      </c>
      <c r="Y54" s="148" t="s">
        <v>572</v>
      </c>
      <c r="Z54" s="148">
        <f>ENERGÍA!AA58</f>
        <v>1</v>
      </c>
      <c r="AA54" s="148">
        <f>ENERGÍA!AB58</f>
        <v>977</v>
      </c>
      <c r="AB54" s="148">
        <f>ENERGÍA!AC58</f>
        <v>25</v>
      </c>
      <c r="AC54" s="148">
        <f>AA54*AB54/100</f>
        <v>244.25</v>
      </c>
      <c r="AD54" s="148">
        <f>AC54*Z54</f>
        <v>244.25</v>
      </c>
      <c r="AE54" s="1282"/>
      <c r="AG54" s="580" t="s">
        <v>1523</v>
      </c>
      <c r="AH54" s="1320" t="e">
        <f>(AVERAGEIF(X46:X90,1,P46:P90))/5</f>
        <v>#DIV/0!</v>
      </c>
      <c r="AI54" s="1321"/>
      <c r="AJ54" s="1322"/>
    </row>
    <row r="55" spans="2:49" ht="15" customHeight="1">
      <c r="B55" s="1361"/>
      <c r="C55" s="1366"/>
      <c r="D55" s="1367"/>
      <c r="E55" s="1367"/>
      <c r="F55" s="1367"/>
      <c r="G55" s="1368"/>
      <c r="H55" s="1357" t="s">
        <v>731</v>
      </c>
      <c r="I55" s="1358"/>
      <c r="J55" s="1361"/>
      <c r="K55" s="1361"/>
      <c r="L55" s="1277"/>
      <c r="O55" s="1361"/>
      <c r="P55" s="1361"/>
      <c r="Q55" s="1361"/>
      <c r="R55" s="1361"/>
      <c r="S55" s="1361"/>
      <c r="T55" s="1361"/>
      <c r="U55" s="1361"/>
      <c r="V55" s="1361"/>
      <c r="W55" s="1361"/>
      <c r="X55" s="580">
        <f t="shared" si="8"/>
        <v>0</v>
      </c>
      <c r="Y55" s="580"/>
      <c r="Z55" s="580"/>
      <c r="AA55" s="580"/>
      <c r="AB55" s="580"/>
      <c r="AC55" s="580"/>
      <c r="AD55" s="580"/>
      <c r="AE55" s="1282"/>
      <c r="AG55" s="580"/>
      <c r="AH55" s="592"/>
      <c r="AI55" s="593"/>
      <c r="AJ55" s="594"/>
    </row>
    <row r="56" spans="2:49" ht="15" customHeight="1">
      <c r="B56" s="581" t="s">
        <v>223</v>
      </c>
      <c r="C56" s="1359"/>
      <c r="D56" s="1359"/>
      <c r="E56" s="1359"/>
      <c r="F56" s="1359"/>
      <c r="G56" s="1359"/>
      <c r="H56" s="1274" t="str">
        <f>IF(J56=0,"-","Nivel B")</f>
        <v>-</v>
      </c>
      <c r="I56" s="1274"/>
      <c r="J56" s="589">
        <f>ENERGÍA!L60</f>
        <v>0</v>
      </c>
      <c r="K56" s="589">
        <f>ENERGÍA!M60</f>
        <v>0</v>
      </c>
      <c r="L56" s="589"/>
      <c r="O56" s="176">
        <f>IF(J56=0,0,VLOOKUP(K56,adyacentem,2,FALSE))</f>
        <v>0</v>
      </c>
      <c r="P56" s="590">
        <f>VLOOKUP('BASE DE DATOS'!GY7,COLORESEXT,2,FALSE)</f>
        <v>0.4</v>
      </c>
      <c r="Q56" s="176">
        <f>IF('BASE DE DATOS'!GX7="A",'Materiales Personalizados'!AV37,IF('BASE DE DATOS'!GX7="B",'Materiales Personalizados'!AV38,'Materiales Personalizados'!$AV$39))</f>
        <v>1</v>
      </c>
      <c r="R56" s="590">
        <f>Q56*J56</f>
        <v>0</v>
      </c>
      <c r="S56" s="590">
        <f>IF(J56=0,0,(O56*R56))</f>
        <v>0</v>
      </c>
      <c r="T56" s="590">
        <f>Q56</f>
        <v>1</v>
      </c>
      <c r="U56" s="590">
        <f>T56*J56</f>
        <v>0</v>
      </c>
      <c r="V56" s="590">
        <f>IF(J56=0,0,(O56*U56))</f>
        <v>0</v>
      </c>
      <c r="W56" s="590">
        <f>IF(K56=BASE!$DA$7,J56,0)</f>
        <v>0</v>
      </c>
      <c r="X56" s="580">
        <f t="shared" si="8"/>
        <v>0</v>
      </c>
      <c r="Y56" s="148" t="s">
        <v>620</v>
      </c>
      <c r="Z56" s="148">
        <f>ENERGÍA!AA60</f>
        <v>1</v>
      </c>
      <c r="AA56" s="148">
        <f>ENERGÍA!AB60</f>
        <v>300</v>
      </c>
      <c r="AB56" s="148">
        <f>ENERGÍA!AC60</f>
        <v>15</v>
      </c>
      <c r="AC56" s="148">
        <f>AA56*AB56/100</f>
        <v>45</v>
      </c>
      <c r="AD56" s="148">
        <f>AC56*Z56</f>
        <v>45</v>
      </c>
      <c r="AE56" s="1282"/>
    </row>
    <row r="57" spans="2:49" ht="15" customHeight="1">
      <c r="B57" s="581" t="s">
        <v>224</v>
      </c>
      <c r="C57" s="1359"/>
      <c r="D57" s="1359"/>
      <c r="E57" s="1359"/>
      <c r="F57" s="1359"/>
      <c r="G57" s="1359"/>
      <c r="H57" s="1274" t="str">
        <f t="shared" ref="H57:H60" si="9">IF(J57=0,"-","Nivel B")</f>
        <v>-</v>
      </c>
      <c r="I57" s="1274"/>
      <c r="J57" s="589">
        <f>ENERGÍA!L61</f>
        <v>0</v>
      </c>
      <c r="K57" s="589">
        <f>ENERGÍA!M61</f>
        <v>0</v>
      </c>
      <c r="L57" s="589"/>
      <c r="O57" s="176">
        <f>IF(J57=0,0,VLOOKUP(K57,adyacentem,2,FALSE))</f>
        <v>0</v>
      </c>
      <c r="P57" s="590">
        <f>P56</f>
        <v>0.4</v>
      </c>
      <c r="Q57" s="176">
        <f>Q56</f>
        <v>1</v>
      </c>
      <c r="R57" s="590">
        <f>Q57*J57</f>
        <v>0</v>
      </c>
      <c r="S57" s="590">
        <f t="shared" ref="S57:S60" si="10">IF(J57=0,0,(O57*R57))</f>
        <v>0</v>
      </c>
      <c r="T57" s="590">
        <f>Q57</f>
        <v>1</v>
      </c>
      <c r="U57" s="590">
        <f>T57*J57</f>
        <v>0</v>
      </c>
      <c r="V57" s="590">
        <f t="shared" ref="V57:V60" si="11">IF(J57=0,0,(O57*U57))</f>
        <v>0</v>
      </c>
      <c r="W57" s="590">
        <f>IF(K57=BASE!$DA$7,J57,0)</f>
        <v>0</v>
      </c>
      <c r="X57" s="580">
        <f t="shared" si="8"/>
        <v>0</v>
      </c>
      <c r="Y57" s="148" t="s">
        <v>619</v>
      </c>
      <c r="Z57" s="148">
        <f>ENERGÍA!AA61</f>
        <v>1</v>
      </c>
      <c r="AA57" s="148">
        <f>ENERGÍA!AB61</f>
        <v>310</v>
      </c>
      <c r="AB57" s="148">
        <f>ENERGÍA!AC61</f>
        <v>25</v>
      </c>
      <c r="AC57" s="148">
        <f>AA57*AB57/100</f>
        <v>77.5</v>
      </c>
      <c r="AD57" s="148">
        <f>AC57*Z57</f>
        <v>77.5</v>
      </c>
      <c r="AE57" s="1282"/>
    </row>
    <row r="58" spans="2:49" ht="15" customHeight="1">
      <c r="B58" s="581" t="s">
        <v>1516</v>
      </c>
      <c r="C58" s="1342"/>
      <c r="D58" s="1340"/>
      <c r="E58" s="1340"/>
      <c r="F58" s="1340"/>
      <c r="G58" s="1340"/>
      <c r="H58" s="1274" t="str">
        <f t="shared" si="9"/>
        <v>-</v>
      </c>
      <c r="I58" s="1274"/>
      <c r="J58" s="589">
        <f>ENERGÍA!L62</f>
        <v>0</v>
      </c>
      <c r="K58" s="589">
        <f>ENERGÍA!M62</f>
        <v>0</v>
      </c>
      <c r="L58" s="589"/>
      <c r="O58" s="176">
        <f>IF(J58=0,0,VLOOKUP(K58,adyacentem,2,FALSE))</f>
        <v>0</v>
      </c>
      <c r="P58" s="590">
        <f t="shared" ref="P58:P60" si="12">P57</f>
        <v>0.4</v>
      </c>
      <c r="Q58" s="176">
        <f t="shared" ref="Q58:Q60" si="13">Q57</f>
        <v>1</v>
      </c>
      <c r="R58" s="590">
        <f>Q58*J58</f>
        <v>0</v>
      </c>
      <c r="S58" s="590">
        <f t="shared" si="10"/>
        <v>0</v>
      </c>
      <c r="T58" s="590">
        <f>Q58</f>
        <v>1</v>
      </c>
      <c r="U58" s="590">
        <f>T58*J58</f>
        <v>0</v>
      </c>
      <c r="V58" s="590">
        <f t="shared" si="11"/>
        <v>0</v>
      </c>
      <c r="W58" s="590">
        <f>IF(K58=BASE!$DA$7,J58,0)</f>
        <v>0</v>
      </c>
      <c r="X58" s="580">
        <f t="shared" si="8"/>
        <v>0</v>
      </c>
      <c r="Y58" s="581"/>
    </row>
    <row r="59" spans="2:49" ht="15" customHeight="1">
      <c r="B59" s="581" t="s">
        <v>632</v>
      </c>
      <c r="C59" s="1342"/>
      <c r="D59" s="1340"/>
      <c r="E59" s="1340"/>
      <c r="F59" s="1340"/>
      <c r="G59" s="1340"/>
      <c r="H59" s="1274" t="str">
        <f t="shared" si="9"/>
        <v>-</v>
      </c>
      <c r="I59" s="1274"/>
      <c r="J59" s="589">
        <f>ENERGÍA!L63</f>
        <v>0</v>
      </c>
      <c r="K59" s="589">
        <f>ENERGÍA!M63</f>
        <v>0</v>
      </c>
      <c r="L59" s="589"/>
      <c r="O59" s="176">
        <f>IF(J59=0,0,VLOOKUP(K59,adyacentem,2,FALSE))</f>
        <v>0</v>
      </c>
      <c r="P59" s="590">
        <f t="shared" si="12"/>
        <v>0.4</v>
      </c>
      <c r="Q59" s="176">
        <f t="shared" si="13"/>
        <v>1</v>
      </c>
      <c r="R59" s="590">
        <f>Q59*J59</f>
        <v>0</v>
      </c>
      <c r="S59" s="590">
        <f t="shared" si="10"/>
        <v>0</v>
      </c>
      <c r="T59" s="590">
        <f>Q59</f>
        <v>1</v>
      </c>
      <c r="U59" s="590">
        <f>T59*J59</f>
        <v>0</v>
      </c>
      <c r="V59" s="590">
        <f t="shared" si="11"/>
        <v>0</v>
      </c>
      <c r="W59" s="590">
        <f>IF(K59=BASE!$DA$7,J59,0)</f>
        <v>0</v>
      </c>
      <c r="X59" s="580">
        <f t="shared" si="8"/>
        <v>0</v>
      </c>
      <c r="Y59" s="1377" t="s">
        <v>601</v>
      </c>
      <c r="Z59" s="1377"/>
      <c r="AA59" s="581"/>
      <c r="AB59" s="581"/>
      <c r="AC59" s="1377" t="s">
        <v>602</v>
      </c>
      <c r="AD59" s="1377"/>
      <c r="AE59" s="581"/>
      <c r="AG59" s="1378" t="s">
        <v>1054</v>
      </c>
      <c r="AH59" s="1378"/>
      <c r="AI59" s="1378"/>
      <c r="AJ59" s="1378"/>
      <c r="AK59" s="1378"/>
      <c r="AL59" s="1378"/>
      <c r="AM59" s="1378"/>
      <c r="AN59" s="1378"/>
      <c r="AO59" s="1378"/>
      <c r="AP59" s="1378"/>
      <c r="AQ59" s="1378"/>
      <c r="AR59" s="1378"/>
      <c r="AS59" s="1378"/>
      <c r="AV59" s="595" t="s">
        <v>888</v>
      </c>
      <c r="AW59" s="166">
        <v>18</v>
      </c>
    </row>
    <row r="60" spans="2:49" ht="15" customHeight="1">
      <c r="B60" s="581" t="s">
        <v>631</v>
      </c>
      <c r="C60" s="1342"/>
      <c r="D60" s="1340"/>
      <c r="E60" s="1340"/>
      <c r="F60" s="1340"/>
      <c r="G60" s="1340"/>
      <c r="H60" s="1274" t="str">
        <f t="shared" si="9"/>
        <v>-</v>
      </c>
      <c r="I60" s="1274"/>
      <c r="J60" s="589">
        <f>ENERGÍA!L64</f>
        <v>0</v>
      </c>
      <c r="K60" s="589">
        <f>ENERGÍA!M64</f>
        <v>0</v>
      </c>
      <c r="L60" s="589"/>
      <c r="O60" s="176">
        <f>IF(J60=0,0,VLOOKUP(K60,adyacentem,2,FALSE))</f>
        <v>0</v>
      </c>
      <c r="P60" s="590">
        <f t="shared" si="12"/>
        <v>0.4</v>
      </c>
      <c r="Q60" s="176">
        <f t="shared" si="13"/>
        <v>1</v>
      </c>
      <c r="R60" s="590">
        <f>Q60*J60</f>
        <v>0</v>
      </c>
      <c r="S60" s="590">
        <f t="shared" si="10"/>
        <v>0</v>
      </c>
      <c r="T60" s="590">
        <f>Q60</f>
        <v>1</v>
      </c>
      <c r="U60" s="590">
        <f>T60*J60</f>
        <v>0</v>
      </c>
      <c r="V60" s="590">
        <f t="shared" si="11"/>
        <v>0</v>
      </c>
      <c r="W60" s="590">
        <f>IF(K60=BASE!$DA$7,J60,0)</f>
        <v>0</v>
      </c>
      <c r="X60" s="580">
        <f t="shared" si="8"/>
        <v>0</v>
      </c>
      <c r="Y60" s="588" t="s">
        <v>1023</v>
      </c>
      <c r="Z60" s="175">
        <f>(AB175*365)*0.55</f>
        <v>0</v>
      </c>
      <c r="AA60" s="581"/>
      <c r="AB60" s="581"/>
      <c r="AC60" s="588" t="s">
        <v>1023</v>
      </c>
      <c r="AD60" s="175">
        <f>ENERGÍA!AE64</f>
        <v>0</v>
      </c>
      <c r="AE60" s="581"/>
      <c r="AG60" s="580" t="s">
        <v>848</v>
      </c>
      <c r="AH60" s="596" t="s">
        <v>823</v>
      </c>
      <c r="AI60" s="596" t="s">
        <v>824</v>
      </c>
      <c r="AJ60" s="596" t="s">
        <v>825</v>
      </c>
      <c r="AK60" s="226" t="s">
        <v>826</v>
      </c>
      <c r="AL60" s="226" t="s">
        <v>827</v>
      </c>
      <c r="AM60" s="226" t="s">
        <v>828</v>
      </c>
      <c r="AN60" s="226" t="s">
        <v>829</v>
      </c>
      <c r="AO60" s="226" t="s">
        <v>830</v>
      </c>
      <c r="AP60" s="226" t="s">
        <v>831</v>
      </c>
      <c r="AQ60" s="226" t="s">
        <v>832</v>
      </c>
      <c r="AR60" s="226" t="s">
        <v>833</v>
      </c>
      <c r="AS60" s="226" t="s">
        <v>834</v>
      </c>
      <c r="AV60" s="595" t="s">
        <v>889</v>
      </c>
      <c r="AW60" s="166">
        <v>24</v>
      </c>
    </row>
    <row r="61" spans="2:49" ht="6" customHeight="1">
      <c r="L61" s="126"/>
      <c r="O61" s="148"/>
      <c r="P61" s="581"/>
      <c r="Q61" s="597"/>
      <c r="R61" s="597"/>
      <c r="S61" s="597"/>
      <c r="X61" s="580">
        <f t="shared" si="8"/>
        <v>0</v>
      </c>
      <c r="Y61" s="581"/>
      <c r="Z61" s="581"/>
      <c r="AA61" s="581"/>
      <c r="AB61" s="581"/>
      <c r="AC61" s="581"/>
      <c r="AD61" s="581"/>
      <c r="AE61" s="581"/>
    </row>
    <row r="62" spans="2:49" ht="15" customHeight="1">
      <c r="B62" s="1323">
        <f>C36</f>
        <v>0</v>
      </c>
      <c r="C62" s="1323"/>
      <c r="D62" s="1323"/>
      <c r="E62" s="1323"/>
      <c r="F62" s="1323"/>
      <c r="G62" s="1323"/>
      <c r="H62" s="1323"/>
      <c r="I62" s="1323"/>
      <c r="J62" s="1323"/>
      <c r="K62" s="1323"/>
      <c r="L62" s="1323"/>
      <c r="O62" s="1320">
        <f>B62</f>
        <v>0</v>
      </c>
      <c r="P62" s="1321"/>
      <c r="Q62" s="1321"/>
      <c r="R62" s="1321"/>
      <c r="S62" s="1321"/>
      <c r="T62" s="1321"/>
      <c r="U62" s="1321"/>
      <c r="V62" s="1321"/>
      <c r="W62" s="1322"/>
      <c r="X62" s="580">
        <f t="shared" si="8"/>
        <v>0</v>
      </c>
      <c r="Y62" s="581"/>
      <c r="Z62" s="581"/>
      <c r="AA62" s="581"/>
      <c r="AB62" s="581"/>
      <c r="AC62" s="581"/>
      <c r="AD62" s="581"/>
      <c r="AE62" s="581"/>
      <c r="AG62" s="598" t="s">
        <v>1035</v>
      </c>
      <c r="AH62" s="176">
        <f>ENERGÍA!AJ66</f>
        <v>0</v>
      </c>
      <c r="AI62" s="176">
        <f>ENERGÍA!AK66</f>
        <v>0</v>
      </c>
      <c r="AJ62" s="176">
        <f>ENERGÍA!AL66</f>
        <v>0</v>
      </c>
      <c r="AK62" s="176">
        <f>ENERGÍA!AM66</f>
        <v>0</v>
      </c>
      <c r="AL62" s="176">
        <f>ENERGÍA!AN66</f>
        <v>0</v>
      </c>
      <c r="AM62" s="176">
        <f>ENERGÍA!AO66</f>
        <v>0</v>
      </c>
      <c r="AN62" s="176">
        <f>ENERGÍA!AP66</f>
        <v>0</v>
      </c>
      <c r="AO62" s="176">
        <f>ENERGÍA!AQ66</f>
        <v>0</v>
      </c>
      <c r="AP62" s="176">
        <f>ENERGÍA!AR66</f>
        <v>0</v>
      </c>
      <c r="AQ62" s="176">
        <f>ENERGÍA!AS66</f>
        <v>0</v>
      </c>
      <c r="AR62" s="176">
        <f>ENERGÍA!AT66</f>
        <v>0</v>
      </c>
      <c r="AS62" s="176">
        <f>ENERGÍA!AU66</f>
        <v>0</v>
      </c>
      <c r="AV62" s="582" t="s">
        <v>1018</v>
      </c>
      <c r="AW62" s="176">
        <v>50</v>
      </c>
    </row>
    <row r="63" spans="2:49" ht="6" customHeight="1">
      <c r="B63" s="584"/>
      <c r="C63" s="584"/>
      <c r="D63" s="584"/>
      <c r="E63" s="126"/>
      <c r="K63" s="126"/>
      <c r="L63" s="126"/>
      <c r="O63" s="580"/>
      <c r="P63" s="581"/>
      <c r="Q63" s="126"/>
      <c r="R63" s="126"/>
      <c r="V63" s="126"/>
      <c r="X63" s="580">
        <f t="shared" si="8"/>
        <v>0</v>
      </c>
      <c r="AG63" s="597"/>
      <c r="AH63" s="597"/>
      <c r="AI63" s="597"/>
      <c r="AJ63" s="597"/>
      <c r="AK63" s="597"/>
      <c r="AL63" s="597"/>
      <c r="AM63" s="597"/>
      <c r="AN63" s="597"/>
      <c r="AO63" s="597"/>
      <c r="AP63" s="597"/>
      <c r="AQ63" s="597"/>
      <c r="AR63" s="597"/>
      <c r="AS63" s="597"/>
    </row>
    <row r="64" spans="2:49" ht="15" customHeight="1">
      <c r="B64" s="1360"/>
      <c r="C64" s="1363" t="s">
        <v>222</v>
      </c>
      <c r="D64" s="1364"/>
      <c r="E64" s="1364"/>
      <c r="F64" s="1364"/>
      <c r="G64" s="1365"/>
      <c r="H64" s="1357" t="s">
        <v>1788</v>
      </c>
      <c r="I64" s="1358"/>
      <c r="J64" s="1360" t="s">
        <v>594</v>
      </c>
      <c r="K64" s="1360" t="s">
        <v>1356</v>
      </c>
      <c r="L64" s="1275" t="s">
        <v>644</v>
      </c>
      <c r="O64" s="1360" t="s">
        <v>1354</v>
      </c>
      <c r="P64" s="1360" t="s">
        <v>729</v>
      </c>
      <c r="Q64" s="1360" t="s">
        <v>849</v>
      </c>
      <c r="R64" s="1360" t="s">
        <v>850</v>
      </c>
      <c r="S64" s="1360" t="s">
        <v>1357</v>
      </c>
      <c r="T64" s="1360" t="s">
        <v>851</v>
      </c>
      <c r="U64" s="1360" t="s">
        <v>891</v>
      </c>
      <c r="V64" s="1360" t="s">
        <v>1359</v>
      </c>
      <c r="W64" s="1360" t="s">
        <v>1358</v>
      </c>
      <c r="X64" s="580">
        <f t="shared" si="8"/>
        <v>1</v>
      </c>
      <c r="Y64" s="1369" t="s">
        <v>992</v>
      </c>
      <c r="Z64" s="1370"/>
      <c r="AA64" s="1370"/>
      <c r="AB64" s="1370"/>
      <c r="AC64" s="1370"/>
      <c r="AD64" s="1371"/>
      <c r="AE64" s="1375" t="s">
        <v>1023</v>
      </c>
      <c r="AG64" s="597"/>
      <c r="AH64" s="176">
        <f>IF(AH62&lt;=$AW$60,0,AH62-$AW$60)</f>
        <v>0</v>
      </c>
      <c r="AI64" s="176">
        <f t="shared" ref="AI64:AS64" si="14">IF(AI62&lt;=$AW$60,0,AI62-$AW$60)</f>
        <v>0</v>
      </c>
      <c r="AJ64" s="176">
        <f t="shared" si="14"/>
        <v>0</v>
      </c>
      <c r="AK64" s="176">
        <f t="shared" si="14"/>
        <v>0</v>
      </c>
      <c r="AL64" s="176">
        <f t="shared" si="14"/>
        <v>0</v>
      </c>
      <c r="AM64" s="176">
        <f t="shared" si="14"/>
        <v>0</v>
      </c>
      <c r="AN64" s="176">
        <f t="shared" si="14"/>
        <v>0</v>
      </c>
      <c r="AO64" s="176">
        <f t="shared" si="14"/>
        <v>0</v>
      </c>
      <c r="AP64" s="176">
        <f t="shared" si="14"/>
        <v>0</v>
      </c>
      <c r="AQ64" s="176">
        <f t="shared" si="14"/>
        <v>0</v>
      </c>
      <c r="AR64" s="176">
        <f t="shared" si="14"/>
        <v>0</v>
      </c>
      <c r="AS64" s="176">
        <f t="shared" si="14"/>
        <v>0</v>
      </c>
      <c r="AV64" s="595" t="s">
        <v>890</v>
      </c>
      <c r="AW64" s="176">
        <f>DATOS!C26*DATOS!G29</f>
        <v>0</v>
      </c>
    </row>
    <row r="65" spans="2:49" ht="15" customHeight="1">
      <c r="B65" s="1361"/>
      <c r="C65" s="1366"/>
      <c r="D65" s="1367"/>
      <c r="E65" s="1367"/>
      <c r="F65" s="1367"/>
      <c r="G65" s="1368"/>
      <c r="H65" s="1357" t="s">
        <v>731</v>
      </c>
      <c r="I65" s="1358"/>
      <c r="J65" s="1361"/>
      <c r="K65" s="1361"/>
      <c r="L65" s="1277"/>
      <c r="O65" s="1361"/>
      <c r="P65" s="1361"/>
      <c r="Q65" s="1361"/>
      <c r="R65" s="1361"/>
      <c r="S65" s="1361"/>
      <c r="T65" s="1361"/>
      <c r="U65" s="1361"/>
      <c r="V65" s="1361"/>
      <c r="W65" s="1361"/>
      <c r="X65" s="580">
        <f t="shared" si="8"/>
        <v>0</v>
      </c>
      <c r="Y65" s="1372"/>
      <c r="Z65" s="1373"/>
      <c r="AA65" s="1373"/>
      <c r="AB65" s="1373"/>
      <c r="AC65" s="1373"/>
      <c r="AD65" s="1374"/>
      <c r="AE65" s="1376"/>
      <c r="AG65" s="597"/>
      <c r="AH65" s="597"/>
      <c r="AI65" s="597"/>
      <c r="AJ65" s="597"/>
      <c r="AK65" s="597"/>
      <c r="AL65" s="597"/>
      <c r="AM65" s="597"/>
      <c r="AN65" s="597"/>
      <c r="AO65" s="597"/>
      <c r="AP65" s="597"/>
      <c r="AQ65" s="597"/>
      <c r="AR65" s="597"/>
      <c r="AS65" s="597"/>
    </row>
    <row r="66" spans="2:49" ht="15" customHeight="1">
      <c r="B66" s="581" t="s">
        <v>223</v>
      </c>
      <c r="C66" s="1359"/>
      <c r="D66" s="1359"/>
      <c r="E66" s="1359"/>
      <c r="F66" s="1359"/>
      <c r="G66" s="1359"/>
      <c r="H66" s="1274" t="str">
        <f>IF(J66=0,"-","Nivel B")</f>
        <v>-</v>
      </c>
      <c r="I66" s="1274"/>
      <c r="J66" s="589">
        <f>ENERGÍA!L70</f>
        <v>0</v>
      </c>
      <c r="K66" s="589">
        <f>ENERGÍA!M70</f>
        <v>0</v>
      </c>
      <c r="L66" s="589"/>
      <c r="O66" s="176">
        <f>IF(J66=0,0,VLOOKUP(K66,adyacentem,2,FALSE))</f>
        <v>0</v>
      </c>
      <c r="P66" s="590">
        <f>P60</f>
        <v>0.4</v>
      </c>
      <c r="Q66" s="176">
        <f>Q60</f>
        <v>1</v>
      </c>
      <c r="R66" s="590">
        <f>Q66*J66</f>
        <v>0</v>
      </c>
      <c r="S66" s="590">
        <f>IF(J66=0,0,(O66*R66))</f>
        <v>0</v>
      </c>
      <c r="T66" s="590">
        <f>Q66</f>
        <v>1</v>
      </c>
      <c r="U66" s="590">
        <f>T66*J66</f>
        <v>0</v>
      </c>
      <c r="V66" s="590">
        <f>IF(J66=0,0,(O66*U66))</f>
        <v>0</v>
      </c>
      <c r="W66" s="590">
        <f>IF(K66=BASE!$DA$7,J66,0)</f>
        <v>0</v>
      </c>
      <c r="X66" s="580">
        <f t="shared" si="8"/>
        <v>0</v>
      </c>
      <c r="Y66" s="599" t="s">
        <v>1183</v>
      </c>
      <c r="Z66" s="148">
        <f>DATOS!C29</f>
        <v>0</v>
      </c>
      <c r="AA66" s="599" t="s">
        <v>1120</v>
      </c>
      <c r="AB66" s="1284">
        <f>ENERGÍA!AC70</f>
        <v>47</v>
      </c>
      <c r="AC66" s="1338"/>
      <c r="AD66" s="1285"/>
      <c r="AE66" s="175">
        <f>AB66*Z66</f>
        <v>0</v>
      </c>
      <c r="AG66" s="597"/>
      <c r="AH66" s="176">
        <f t="shared" ref="AH66:AS66" si="15">IF(AH62&lt;=$AW$59,(AH62-$AW$59)*-1,0)</f>
        <v>18</v>
      </c>
      <c r="AI66" s="176">
        <f t="shared" si="15"/>
        <v>18</v>
      </c>
      <c r="AJ66" s="176">
        <f t="shared" si="15"/>
        <v>18</v>
      </c>
      <c r="AK66" s="176">
        <f t="shared" si="15"/>
        <v>18</v>
      </c>
      <c r="AL66" s="176">
        <f t="shared" si="15"/>
        <v>18</v>
      </c>
      <c r="AM66" s="176">
        <f t="shared" si="15"/>
        <v>18</v>
      </c>
      <c r="AN66" s="176">
        <f t="shared" si="15"/>
        <v>18</v>
      </c>
      <c r="AO66" s="176">
        <f t="shared" si="15"/>
        <v>18</v>
      </c>
      <c r="AP66" s="176">
        <f t="shared" si="15"/>
        <v>18</v>
      </c>
      <c r="AQ66" s="176">
        <f t="shared" si="15"/>
        <v>18</v>
      </c>
      <c r="AR66" s="176">
        <f t="shared" si="15"/>
        <v>18</v>
      </c>
      <c r="AS66" s="176">
        <f t="shared" si="15"/>
        <v>18</v>
      </c>
    </row>
    <row r="67" spans="2:49" ht="15" customHeight="1">
      <c r="B67" s="581" t="s">
        <v>224</v>
      </c>
      <c r="C67" s="1359"/>
      <c r="D67" s="1359"/>
      <c r="E67" s="1359"/>
      <c r="F67" s="1359"/>
      <c r="G67" s="1359"/>
      <c r="H67" s="1274" t="str">
        <f t="shared" ref="H67:H70" si="16">IF(J67=0,"-","Nivel B")</f>
        <v>-</v>
      </c>
      <c r="I67" s="1274"/>
      <c r="J67" s="589">
        <f>ENERGÍA!L71</f>
        <v>0</v>
      </c>
      <c r="K67" s="589">
        <f>ENERGÍA!M71</f>
        <v>0</v>
      </c>
      <c r="L67" s="589"/>
      <c r="O67" s="176">
        <f>IF(J67=0,0,VLOOKUP(K67,adyacentem,2,FALSE))</f>
        <v>0</v>
      </c>
      <c r="P67" s="590">
        <f>P66</f>
        <v>0.4</v>
      </c>
      <c r="Q67" s="176">
        <f>Q66</f>
        <v>1</v>
      </c>
      <c r="R67" s="590">
        <f>Q67*J67</f>
        <v>0</v>
      </c>
      <c r="S67" s="590">
        <f t="shared" ref="S67:S70" si="17">IF(J67=0,0,(O67*R67))</f>
        <v>0</v>
      </c>
      <c r="T67" s="590">
        <f>Q67</f>
        <v>1</v>
      </c>
      <c r="U67" s="590">
        <f>T67*J67</f>
        <v>0</v>
      </c>
      <c r="V67" s="590">
        <f t="shared" ref="V67:V70" si="18">IF(J67=0,0,(O67*U67))</f>
        <v>0</v>
      </c>
      <c r="W67" s="590">
        <f>IF(K67=BASE!$DA$7,J67,0)</f>
        <v>0</v>
      </c>
      <c r="X67" s="580">
        <f t="shared" si="8"/>
        <v>0</v>
      </c>
      <c r="AG67" s="598" t="s">
        <v>1028</v>
      </c>
      <c r="AH67" s="176">
        <f>-(AM67-AI67)/4+AI67</f>
        <v>0</v>
      </c>
      <c r="AI67" s="176">
        <f>ENERGÍA!AK71</f>
        <v>0</v>
      </c>
      <c r="AJ67" s="176">
        <f>(AM67-AI67)/4+AI67</f>
        <v>0</v>
      </c>
      <c r="AK67" s="176">
        <f>(AN67-AI67)*2/4+AI67</f>
        <v>0</v>
      </c>
      <c r="AL67" s="176">
        <f>(AO67-AI67)*3/4+AI67</f>
        <v>0</v>
      </c>
      <c r="AM67" s="176">
        <f>ENERGÍA!AO71</f>
        <v>0</v>
      </c>
      <c r="AN67" s="176">
        <f>(AM67-AI67)/4+AM67</f>
        <v>0</v>
      </c>
      <c r="AO67" s="176">
        <f>AM67</f>
        <v>0</v>
      </c>
      <c r="AP67" s="176">
        <f>AL67</f>
        <v>0</v>
      </c>
      <c r="AQ67" s="176">
        <f>AK67</f>
        <v>0</v>
      </c>
      <c r="AR67" s="176">
        <f>AJ67</f>
        <v>0</v>
      </c>
      <c r="AS67" s="176">
        <f>ENERGÍA!AU71</f>
        <v>0</v>
      </c>
      <c r="AV67" s="582" t="s">
        <v>986</v>
      </c>
      <c r="AW67" s="148">
        <f>ENERGÍA!AY71</f>
        <v>1</v>
      </c>
    </row>
    <row r="68" spans="2:49" ht="15" customHeight="1">
      <c r="B68" s="581" t="s">
        <v>1516</v>
      </c>
      <c r="C68" s="1342"/>
      <c r="D68" s="1340"/>
      <c r="E68" s="1340"/>
      <c r="F68" s="1340"/>
      <c r="G68" s="1340"/>
      <c r="H68" s="1274" t="str">
        <f t="shared" si="16"/>
        <v>-</v>
      </c>
      <c r="I68" s="1274"/>
      <c r="J68" s="589">
        <f>ENERGÍA!L72</f>
        <v>0</v>
      </c>
      <c r="K68" s="589">
        <f>ENERGÍA!M72</f>
        <v>0</v>
      </c>
      <c r="L68" s="589"/>
      <c r="O68" s="176">
        <f>IF(J68=0,0,VLOOKUP(K68,adyacentem,2,FALSE))</f>
        <v>0</v>
      </c>
      <c r="P68" s="590">
        <f t="shared" ref="P68:P70" si="19">P67</f>
        <v>0.4</v>
      </c>
      <c r="Q68" s="176">
        <f t="shared" ref="Q68:Q70" si="20">Q67</f>
        <v>1</v>
      </c>
      <c r="R68" s="590">
        <f>Q68*J68</f>
        <v>0</v>
      </c>
      <c r="S68" s="590">
        <f t="shared" si="17"/>
        <v>0</v>
      </c>
      <c r="T68" s="590">
        <f>Q68</f>
        <v>1</v>
      </c>
      <c r="U68" s="590">
        <f>T68*J68</f>
        <v>0</v>
      </c>
      <c r="V68" s="590">
        <f t="shared" si="18"/>
        <v>0</v>
      </c>
      <c r="W68" s="590">
        <f>IF(K68=BASE!$DA$7,J68,0)</f>
        <v>0</v>
      </c>
      <c r="X68" s="580">
        <f t="shared" si="8"/>
        <v>0</v>
      </c>
      <c r="Y68" s="1350" t="s">
        <v>1101</v>
      </c>
      <c r="Z68" s="1350"/>
      <c r="AA68" s="1350"/>
      <c r="AB68" s="1350"/>
      <c r="AC68" s="1350"/>
      <c r="AD68" s="588" t="s">
        <v>999</v>
      </c>
      <c r="AE68" s="175" t="e">
        <f>AE70</f>
        <v>#N/A</v>
      </c>
      <c r="AG68" s="598" t="s">
        <v>1029</v>
      </c>
      <c r="AH68" s="176">
        <f t="shared" ref="AH68:AS68" si="21">(6.108*EXP((17.27*AH62)/(AH62+237.3)))*AH67/100</f>
        <v>0</v>
      </c>
      <c r="AI68" s="176">
        <f t="shared" si="21"/>
        <v>0</v>
      </c>
      <c r="AJ68" s="176">
        <f t="shared" si="21"/>
        <v>0</v>
      </c>
      <c r="AK68" s="176">
        <f t="shared" si="21"/>
        <v>0</v>
      </c>
      <c r="AL68" s="176">
        <f t="shared" si="21"/>
        <v>0</v>
      </c>
      <c r="AM68" s="176">
        <f t="shared" si="21"/>
        <v>0</v>
      </c>
      <c r="AN68" s="176">
        <f t="shared" si="21"/>
        <v>0</v>
      </c>
      <c r="AO68" s="176">
        <f t="shared" si="21"/>
        <v>0</v>
      </c>
      <c r="AP68" s="176">
        <f t="shared" si="21"/>
        <v>0</v>
      </c>
      <c r="AQ68" s="176">
        <f t="shared" si="21"/>
        <v>0</v>
      </c>
      <c r="AR68" s="176">
        <f t="shared" si="21"/>
        <v>0</v>
      </c>
      <c r="AS68" s="176">
        <f t="shared" si="21"/>
        <v>0</v>
      </c>
    </row>
    <row r="69" spans="2:49" ht="15" customHeight="1">
      <c r="B69" s="581" t="s">
        <v>632</v>
      </c>
      <c r="C69" s="1342"/>
      <c r="D69" s="1340"/>
      <c r="E69" s="1340"/>
      <c r="F69" s="1340"/>
      <c r="G69" s="1340"/>
      <c r="H69" s="1274" t="str">
        <f t="shared" si="16"/>
        <v>-</v>
      </c>
      <c r="I69" s="1274"/>
      <c r="J69" s="589">
        <f>ENERGÍA!L73</f>
        <v>0</v>
      </c>
      <c r="K69" s="589">
        <f>ENERGÍA!M73</f>
        <v>0</v>
      </c>
      <c r="L69" s="589"/>
      <c r="O69" s="176">
        <f>IF(J69=0,0,VLOOKUP(K69,adyacentem,2,FALSE))</f>
        <v>0</v>
      </c>
      <c r="P69" s="590">
        <f t="shared" si="19"/>
        <v>0.4</v>
      </c>
      <c r="Q69" s="176">
        <f t="shared" si="20"/>
        <v>1</v>
      </c>
      <c r="R69" s="590">
        <f>Q69*J69</f>
        <v>0</v>
      </c>
      <c r="S69" s="590">
        <f t="shared" si="17"/>
        <v>0</v>
      </c>
      <c r="T69" s="590">
        <f>Q69</f>
        <v>1</v>
      </c>
      <c r="U69" s="590">
        <f>T69*J69</f>
        <v>0</v>
      </c>
      <c r="V69" s="590">
        <f t="shared" si="18"/>
        <v>0</v>
      </c>
      <c r="W69" s="590">
        <f>IF(K69=BASE!$DA$7,J69,0)</f>
        <v>0</v>
      </c>
      <c r="X69" s="580">
        <f t="shared" si="8"/>
        <v>0</v>
      </c>
      <c r="Y69" s="148" t="s">
        <v>589</v>
      </c>
      <c r="Z69" s="148" t="s">
        <v>1011</v>
      </c>
      <c r="AA69" s="148" t="s">
        <v>897</v>
      </c>
      <c r="AB69" s="1273" t="s">
        <v>1017</v>
      </c>
      <c r="AC69" s="1273"/>
      <c r="AD69" s="148" t="s">
        <v>898</v>
      </c>
      <c r="AE69" s="226" t="s">
        <v>1023</v>
      </c>
      <c r="AG69" s="598" t="s">
        <v>1030</v>
      </c>
      <c r="AH69" s="176">
        <f>622*AH68/('Modelo de Radiación Solar'!$BM$11-0.37804*AH68)</f>
        <v>0</v>
      </c>
      <c r="AI69" s="176">
        <f>622*AI68/('Modelo de Radiación Solar'!$BM$11-0.37804*AI68)</f>
        <v>0</v>
      </c>
      <c r="AJ69" s="176">
        <f>622*AJ68/('Modelo de Radiación Solar'!$BM$11-0.37804*AJ68)</f>
        <v>0</v>
      </c>
      <c r="AK69" s="176">
        <f>622*AK68/('Modelo de Radiación Solar'!$BM$11-0.37804*AK68)</f>
        <v>0</v>
      </c>
      <c r="AL69" s="176">
        <f>622*AL68/('Modelo de Radiación Solar'!$BM$11-0.37804*AL68)</f>
        <v>0</v>
      </c>
      <c r="AM69" s="176">
        <f>622*AM68/('Modelo de Radiación Solar'!$BM$11-0.37804*AM68)</f>
        <v>0</v>
      </c>
      <c r="AN69" s="176">
        <f>622*AN68/('Modelo de Radiación Solar'!$BM$11-0.37804*AN68)</f>
        <v>0</v>
      </c>
      <c r="AO69" s="176">
        <f>622*AO68/('Modelo de Radiación Solar'!$BM$11-0.37804*AO68)</f>
        <v>0</v>
      </c>
      <c r="AP69" s="176">
        <f>622*AP68/('Modelo de Radiación Solar'!$BM$11-0.37804*AP68)</f>
        <v>0</v>
      </c>
      <c r="AQ69" s="176">
        <f>622*AQ68/('Modelo de Radiación Solar'!$BM$11-0.37804*AQ68)</f>
        <v>0</v>
      </c>
      <c r="AR69" s="176">
        <f>622*AR68/('Modelo de Radiación Solar'!$BM$11-0.37804*AR68)</f>
        <v>0</v>
      </c>
      <c r="AS69" s="176">
        <f>622*AS68/('Modelo de Radiación Solar'!$BM$11-0.37804*AS68)</f>
        <v>0</v>
      </c>
      <c r="AV69" s="582" t="s">
        <v>1013</v>
      </c>
      <c r="AW69" s="148">
        <f>ENERGÍA!AY73</f>
        <v>0</v>
      </c>
    </row>
    <row r="70" spans="2:49" ht="15" customHeight="1">
      <c r="B70" s="581" t="s">
        <v>631</v>
      </c>
      <c r="C70" s="1342"/>
      <c r="D70" s="1340"/>
      <c r="E70" s="1340"/>
      <c r="F70" s="1340"/>
      <c r="G70" s="1340"/>
      <c r="H70" s="1274" t="str">
        <f t="shared" si="16"/>
        <v>-</v>
      </c>
      <c r="I70" s="1274"/>
      <c r="J70" s="589">
        <f>ENERGÍA!L74</f>
        <v>0</v>
      </c>
      <c r="K70" s="589">
        <f>ENERGÍA!M74</f>
        <v>0</v>
      </c>
      <c r="L70" s="589"/>
      <c r="M70" s="126" t="s">
        <v>1786</v>
      </c>
      <c r="O70" s="176">
        <f>IF(J70=0,0,VLOOKUP(K70,adyacentem,2,FALSE))</f>
        <v>0</v>
      </c>
      <c r="P70" s="590">
        <f t="shared" si="19"/>
        <v>0.4</v>
      </c>
      <c r="Q70" s="176">
        <f t="shared" si="20"/>
        <v>1</v>
      </c>
      <c r="R70" s="590">
        <f>Q70*J70</f>
        <v>0</v>
      </c>
      <c r="S70" s="590">
        <f t="shared" si="17"/>
        <v>0</v>
      </c>
      <c r="T70" s="590">
        <f>Q70</f>
        <v>1</v>
      </c>
      <c r="U70" s="590">
        <f>T70*J70</f>
        <v>0</v>
      </c>
      <c r="V70" s="590">
        <f t="shared" si="18"/>
        <v>0</v>
      </c>
      <c r="W70" s="590">
        <f>IF(K70=BASE!$DA$7,J70,0)</f>
        <v>0</v>
      </c>
      <c r="X70" s="580">
        <f t="shared" si="8"/>
        <v>0</v>
      </c>
      <c r="Y70" s="148">
        <f>C35</f>
        <v>0</v>
      </c>
      <c r="Z70" s="176" t="e">
        <f>O35</f>
        <v>#N/A</v>
      </c>
      <c r="AA70" s="176" t="e">
        <f>'Modelo de Radiación Solar'!O148*'LINEAS BASE 1 y 2'!$AW$67</f>
        <v>#N/A</v>
      </c>
      <c r="AB70" s="1274" t="e">
        <f>1-AE103-AB27</f>
        <v>#N/A</v>
      </c>
      <c r="AC70" s="1274"/>
      <c r="AD70" s="176" t="e">
        <f>Z70*AA70</f>
        <v>#N/A</v>
      </c>
      <c r="AE70" s="1282" t="e">
        <f>AD70+AD72+AD74+AD76</f>
        <v>#N/A</v>
      </c>
      <c r="AG70" s="598" t="s">
        <v>1031</v>
      </c>
      <c r="AH70" s="176">
        <f>AH69-'LINEAS BASE 1 y 2'!$AW$79</f>
        <v>-9.2098978806022647</v>
      </c>
      <c r="AI70" s="176">
        <f>AI69-'LINEAS BASE 1 y 2'!$AW$79</f>
        <v>-9.2098978806022647</v>
      </c>
      <c r="AJ70" s="176">
        <f>AJ69-'LINEAS BASE 1 y 2'!$AW$79</f>
        <v>-9.2098978806022647</v>
      </c>
      <c r="AK70" s="176">
        <f>AK69-'LINEAS BASE 1 y 2'!$AW$79</f>
        <v>-9.2098978806022647</v>
      </c>
      <c r="AL70" s="176">
        <f>AL69-'LINEAS BASE 1 y 2'!$AW$79</f>
        <v>-9.2098978806022647</v>
      </c>
      <c r="AM70" s="176">
        <f>AM69-'LINEAS BASE 1 y 2'!$AW$79</f>
        <v>-9.2098978806022647</v>
      </c>
      <c r="AN70" s="176">
        <f>AN69-'LINEAS BASE 1 y 2'!$AW$79</f>
        <v>-9.2098978806022647</v>
      </c>
      <c r="AO70" s="176">
        <f>AO69-'LINEAS BASE 1 y 2'!$AW$79</f>
        <v>-9.2098978806022647</v>
      </c>
      <c r="AP70" s="176">
        <f>AP69-'LINEAS BASE 1 y 2'!$AW$79</f>
        <v>-9.2098978806022647</v>
      </c>
      <c r="AQ70" s="176">
        <f>AQ69-'LINEAS BASE 1 y 2'!$AW$79</f>
        <v>-9.2098978806022647</v>
      </c>
      <c r="AR70" s="176">
        <f>AR69-'LINEAS BASE 1 y 2'!$AW$79</f>
        <v>-9.2098978806022647</v>
      </c>
      <c r="AS70" s="176">
        <f>AS69-'LINEAS BASE 1 y 2'!$AW$79</f>
        <v>-9.2098978806022647</v>
      </c>
      <c r="AV70" s="582" t="s">
        <v>1014</v>
      </c>
      <c r="AW70" s="148">
        <f>ENERGÍA!AY74</f>
        <v>0</v>
      </c>
    </row>
    <row r="71" spans="2:49" ht="6" customHeight="1">
      <c r="L71" s="126"/>
      <c r="O71" s="580"/>
      <c r="P71" s="581"/>
      <c r="Q71" s="597"/>
      <c r="R71" s="597"/>
      <c r="S71" s="597"/>
      <c r="V71" s="126"/>
      <c r="X71" s="580">
        <f t="shared" si="8"/>
        <v>0</v>
      </c>
      <c r="AB71" s="597"/>
      <c r="AC71" s="597"/>
      <c r="AE71" s="1282"/>
      <c r="AG71" s="597"/>
      <c r="AH71" s="597"/>
      <c r="AI71" s="597"/>
      <c r="AJ71" s="597"/>
      <c r="AK71" s="597"/>
      <c r="AL71" s="597"/>
      <c r="AM71" s="597"/>
      <c r="AN71" s="597"/>
      <c r="AO71" s="597"/>
      <c r="AP71" s="597"/>
      <c r="AQ71" s="597"/>
      <c r="AR71" s="597"/>
      <c r="AS71" s="597"/>
    </row>
    <row r="72" spans="2:49" ht="15" customHeight="1">
      <c r="B72" s="1323">
        <f>C37</f>
        <v>0</v>
      </c>
      <c r="C72" s="1323"/>
      <c r="D72" s="1323"/>
      <c r="E72" s="1323"/>
      <c r="F72" s="1323"/>
      <c r="G72" s="1323"/>
      <c r="H72" s="1323"/>
      <c r="I72" s="1323"/>
      <c r="J72" s="1323"/>
      <c r="K72" s="1323"/>
      <c r="L72" s="1323"/>
      <c r="O72" s="1320">
        <f>B72</f>
        <v>0</v>
      </c>
      <c r="P72" s="1321"/>
      <c r="Q72" s="1321"/>
      <c r="R72" s="1321"/>
      <c r="S72" s="1321"/>
      <c r="T72" s="1321"/>
      <c r="U72" s="1321"/>
      <c r="V72" s="1321"/>
      <c r="W72" s="1322"/>
      <c r="X72" s="580">
        <f t="shared" si="8"/>
        <v>0</v>
      </c>
      <c r="Y72" s="148">
        <f>C36</f>
        <v>0</v>
      </c>
      <c r="Z72" s="176" t="e">
        <f>O36</f>
        <v>#N/A</v>
      </c>
      <c r="AA72" s="176" t="e">
        <f>'Modelo de Radiación Solar'!AD148*'LINEAS BASE 1 y 2'!$AW$67</f>
        <v>#N/A</v>
      </c>
      <c r="AB72" s="1274" t="e">
        <f>1-AE121-AB27</f>
        <v>#N/A</v>
      </c>
      <c r="AC72" s="1274"/>
      <c r="AD72" s="176" t="e">
        <f>Z72*AA72*AB72</f>
        <v>#N/A</v>
      </c>
      <c r="AE72" s="1282"/>
      <c r="AG72" s="598" t="s">
        <v>1121</v>
      </c>
      <c r="AH72" s="176">
        <v>31</v>
      </c>
      <c r="AI72" s="176">
        <v>28</v>
      </c>
      <c r="AJ72" s="176">
        <v>31</v>
      </c>
      <c r="AK72" s="176">
        <v>30</v>
      </c>
      <c r="AL72" s="176">
        <v>31</v>
      </c>
      <c r="AM72" s="176">
        <v>30</v>
      </c>
      <c r="AN72" s="176">
        <v>31</v>
      </c>
      <c r="AO72" s="176">
        <v>31</v>
      </c>
      <c r="AP72" s="176">
        <v>30</v>
      </c>
      <c r="AQ72" s="176">
        <v>31</v>
      </c>
      <c r="AR72" s="176">
        <v>30</v>
      </c>
      <c r="AS72" s="176">
        <v>31</v>
      </c>
      <c r="AV72" s="582" t="s">
        <v>1015</v>
      </c>
      <c r="AW72" s="176">
        <f>AW60</f>
        <v>24</v>
      </c>
    </row>
    <row r="73" spans="2:49" ht="6" customHeight="1">
      <c r="B73" s="584"/>
      <c r="C73" s="584"/>
      <c r="D73" s="584"/>
      <c r="E73" s="126"/>
      <c r="K73" s="126"/>
      <c r="L73" s="126"/>
      <c r="O73" s="580"/>
      <c r="P73" s="581"/>
      <c r="Q73" s="126"/>
      <c r="R73" s="126"/>
      <c r="V73" s="126"/>
      <c r="X73" s="580">
        <f t="shared" si="8"/>
        <v>0</v>
      </c>
      <c r="Y73" s="584"/>
      <c r="Z73" s="584"/>
      <c r="AB73" s="597"/>
      <c r="AC73" s="597"/>
      <c r="AE73" s="1282"/>
      <c r="AG73" s="597"/>
      <c r="AH73" s="597"/>
      <c r="AI73" s="597"/>
      <c r="AJ73" s="597"/>
      <c r="AK73" s="597"/>
      <c r="AL73" s="597"/>
      <c r="AM73" s="597"/>
      <c r="AN73" s="597"/>
      <c r="AO73" s="597"/>
      <c r="AP73" s="597"/>
      <c r="AQ73" s="597"/>
      <c r="AR73" s="597"/>
      <c r="AS73" s="597"/>
      <c r="AT73" s="173"/>
      <c r="AU73" s="173"/>
    </row>
    <row r="74" spans="2:49" ht="15" customHeight="1">
      <c r="B74" s="1360"/>
      <c r="C74" s="1363" t="s">
        <v>222</v>
      </c>
      <c r="D74" s="1364"/>
      <c r="E74" s="1364"/>
      <c r="F74" s="1364"/>
      <c r="G74" s="1365"/>
      <c r="H74" s="1357" t="s">
        <v>1788</v>
      </c>
      <c r="I74" s="1358"/>
      <c r="J74" s="1360" t="s">
        <v>594</v>
      </c>
      <c r="K74" s="1360" t="s">
        <v>1356</v>
      </c>
      <c r="L74" s="1275" t="s">
        <v>644</v>
      </c>
      <c r="O74" s="1360" t="s">
        <v>1354</v>
      </c>
      <c r="P74" s="1360" t="s">
        <v>729</v>
      </c>
      <c r="Q74" s="1360" t="s">
        <v>849</v>
      </c>
      <c r="R74" s="1360" t="s">
        <v>850</v>
      </c>
      <c r="S74" s="1360" t="s">
        <v>1357</v>
      </c>
      <c r="T74" s="1360" t="s">
        <v>851</v>
      </c>
      <c r="U74" s="1360" t="s">
        <v>891</v>
      </c>
      <c r="V74" s="1360" t="s">
        <v>1359</v>
      </c>
      <c r="W74" s="1360" t="s">
        <v>1358</v>
      </c>
      <c r="X74" s="580">
        <f t="shared" si="8"/>
        <v>1</v>
      </c>
      <c r="Y74" s="148">
        <f>C37</f>
        <v>0</v>
      </c>
      <c r="Z74" s="176" t="e">
        <f>O37</f>
        <v>#N/A</v>
      </c>
      <c r="AA74" s="176" t="e">
        <f>'Modelo de Radiación Solar'!AS148*'LINEAS BASE 1 y 2'!$AW$67</f>
        <v>#N/A</v>
      </c>
      <c r="AB74" s="1274" t="e">
        <f>1-AE139-AB27</f>
        <v>#N/A</v>
      </c>
      <c r="AC74" s="1274"/>
      <c r="AD74" s="176" t="e">
        <f>Z74*AA74*AB74</f>
        <v>#N/A</v>
      </c>
      <c r="AE74" s="1282"/>
      <c r="AG74" s="1274" t="s">
        <v>1485</v>
      </c>
      <c r="AH74" s="1274"/>
      <c r="AI74" s="1274"/>
      <c r="AJ74" s="1274"/>
      <c r="AK74" s="1274"/>
      <c r="AL74" s="1274"/>
      <c r="AM74" s="1274"/>
      <c r="AN74" s="1274"/>
      <c r="AO74" s="1274"/>
      <c r="AP74" s="1274"/>
      <c r="AQ74" s="1274"/>
      <c r="AR74" s="1274"/>
      <c r="AS74" s="1274"/>
      <c r="AV74" s="582" t="s">
        <v>1016</v>
      </c>
      <c r="AW74" s="176">
        <f>AW70-AW72</f>
        <v>-24</v>
      </c>
    </row>
    <row r="75" spans="2:49" ht="15" customHeight="1">
      <c r="B75" s="1361"/>
      <c r="C75" s="1366"/>
      <c r="D75" s="1367"/>
      <c r="E75" s="1367"/>
      <c r="F75" s="1367"/>
      <c r="G75" s="1368"/>
      <c r="H75" s="1357" t="s">
        <v>731</v>
      </c>
      <c r="I75" s="1358"/>
      <c r="J75" s="1361"/>
      <c r="K75" s="1361"/>
      <c r="L75" s="1277"/>
      <c r="O75" s="1361"/>
      <c r="P75" s="1361"/>
      <c r="Q75" s="1361"/>
      <c r="R75" s="1361"/>
      <c r="S75" s="1361"/>
      <c r="T75" s="1361"/>
      <c r="U75" s="1361"/>
      <c r="V75" s="1361"/>
      <c r="W75" s="1361"/>
      <c r="X75" s="580">
        <f t="shared" si="8"/>
        <v>0</v>
      </c>
      <c r="Y75" s="148"/>
      <c r="Z75" s="176"/>
      <c r="AA75" s="176"/>
      <c r="AB75" s="176"/>
      <c r="AC75" s="176"/>
      <c r="AD75" s="176"/>
      <c r="AE75" s="1282"/>
      <c r="AG75" s="176"/>
      <c r="AH75" s="176"/>
      <c r="AI75" s="176"/>
      <c r="AJ75" s="176"/>
      <c r="AK75" s="176"/>
      <c r="AL75" s="176"/>
      <c r="AM75" s="176"/>
      <c r="AN75" s="176"/>
      <c r="AO75" s="176"/>
      <c r="AP75" s="176"/>
      <c r="AQ75" s="176"/>
      <c r="AR75" s="176"/>
      <c r="AS75" s="176"/>
    </row>
    <row r="76" spans="2:49" ht="15" customHeight="1">
      <c r="B76" s="581" t="s">
        <v>223</v>
      </c>
      <c r="C76" s="1359"/>
      <c r="D76" s="1359"/>
      <c r="E76" s="1359"/>
      <c r="F76" s="1359"/>
      <c r="G76" s="1359"/>
      <c r="H76" s="1274" t="str">
        <f>IF(J76=0,"-","Nivel B")</f>
        <v>-</v>
      </c>
      <c r="I76" s="1274"/>
      <c r="J76" s="589">
        <f>ENERGÍA!L80</f>
        <v>0</v>
      </c>
      <c r="K76" s="589">
        <f>ENERGÍA!M80</f>
        <v>0</v>
      </c>
      <c r="L76" s="589"/>
      <c r="O76" s="176">
        <f>IF(J76=0,0,VLOOKUP(K76,adyacentem,2,FALSE))</f>
        <v>0</v>
      </c>
      <c r="P76" s="590">
        <f>P70</f>
        <v>0.4</v>
      </c>
      <c r="Q76" s="176">
        <f>Q70</f>
        <v>1</v>
      </c>
      <c r="R76" s="590">
        <f>Q76*J76</f>
        <v>0</v>
      </c>
      <c r="S76" s="590">
        <f>IF(J76=0,0,(O76*R76))</f>
        <v>0</v>
      </c>
      <c r="T76" s="590">
        <f>Q76</f>
        <v>1</v>
      </c>
      <c r="U76" s="590">
        <f>T76*J76</f>
        <v>0</v>
      </c>
      <c r="V76" s="590">
        <f>IF(J76=0,0,(O76*U76))</f>
        <v>0</v>
      </c>
      <c r="W76" s="590">
        <f>IF(K76=BASE!$DA$7,J76,0)</f>
        <v>0</v>
      </c>
      <c r="X76" s="580">
        <f t="shared" si="8"/>
        <v>0</v>
      </c>
      <c r="Y76" s="148">
        <f>C38</f>
        <v>0</v>
      </c>
      <c r="Z76" s="176" t="e">
        <f>O38</f>
        <v>#N/A</v>
      </c>
      <c r="AA76" s="176" t="e">
        <f>'Modelo de Radiación Solar'!BH148*'LINEAS BASE 1 y 2'!$AW$67</f>
        <v>#N/A</v>
      </c>
      <c r="AB76" s="1274" t="e">
        <f>1-AE157-AB27</f>
        <v>#N/A</v>
      </c>
      <c r="AC76" s="1274"/>
      <c r="AD76" s="176" t="e">
        <f>Z76*AA76*AB76</f>
        <v>#N/A</v>
      </c>
      <c r="AE76" s="1282"/>
      <c r="AG76" s="598">
        <f>'LINEAS BASE 1 y 2'!C35</f>
        <v>0</v>
      </c>
      <c r="AH76" s="176" t="e">
        <f>'Modelo de Radiación Solar'!D160*'LINEAS BASE 1 y 2'!$Z$70*'LINEAS BASE 1 y 2'!$AB$70</f>
        <v>#N/A</v>
      </c>
      <c r="AI76" s="176" t="e">
        <f>'Modelo de Radiación Solar'!E160*'LINEAS BASE 1 y 2'!$Z$70*'LINEAS BASE 1 y 2'!$AB$70</f>
        <v>#N/A</v>
      </c>
      <c r="AJ76" s="176" t="e">
        <f>'Modelo de Radiación Solar'!F160*'LINEAS BASE 1 y 2'!$Z$70*'LINEAS BASE 1 y 2'!$AB$70</f>
        <v>#N/A</v>
      </c>
      <c r="AK76" s="176" t="e">
        <f>'Modelo de Radiación Solar'!G160*'LINEAS BASE 1 y 2'!$Z$70*'LINEAS BASE 1 y 2'!$AB$70</f>
        <v>#N/A</v>
      </c>
      <c r="AL76" s="176" t="e">
        <f>'Modelo de Radiación Solar'!H160*'LINEAS BASE 1 y 2'!$Z$70*'LINEAS BASE 1 y 2'!$AB$70</f>
        <v>#N/A</v>
      </c>
      <c r="AM76" s="176" t="e">
        <f>'Modelo de Radiación Solar'!I160*'LINEAS BASE 1 y 2'!$Z$70*'LINEAS BASE 1 y 2'!$AB$70</f>
        <v>#N/A</v>
      </c>
      <c r="AN76" s="176" t="e">
        <f>'Modelo de Radiación Solar'!J160*'LINEAS BASE 1 y 2'!$Z$70*'LINEAS BASE 1 y 2'!$AB$70</f>
        <v>#N/A</v>
      </c>
      <c r="AO76" s="176" t="e">
        <f>'Modelo de Radiación Solar'!K160*'LINEAS BASE 1 y 2'!$Z$70*'LINEAS BASE 1 y 2'!$AB$70</f>
        <v>#N/A</v>
      </c>
      <c r="AP76" s="176" t="e">
        <f>'Modelo de Radiación Solar'!L160*'LINEAS BASE 1 y 2'!$Z$70*'LINEAS BASE 1 y 2'!$AB$70</f>
        <v>#N/A</v>
      </c>
      <c r="AQ76" s="176" t="e">
        <f>'Modelo de Radiación Solar'!M160*'LINEAS BASE 1 y 2'!$Z$70*'LINEAS BASE 1 y 2'!$AB$70</f>
        <v>#N/A</v>
      </c>
      <c r="AR76" s="176" t="e">
        <f>'Modelo de Radiación Solar'!N160*'LINEAS BASE 1 y 2'!$Z$70*'LINEAS BASE 1 y 2'!$AB$70</f>
        <v>#N/A</v>
      </c>
      <c r="AS76" s="176" t="e">
        <f>'Modelo de Radiación Solar'!O160*'LINEAS BASE 1 y 2'!$Z$70*'LINEAS BASE 1 y 2'!$AB$70</f>
        <v>#N/A</v>
      </c>
    </row>
    <row r="77" spans="2:49" ht="15" customHeight="1">
      <c r="B77" s="581" t="s">
        <v>224</v>
      </c>
      <c r="C77" s="1359"/>
      <c r="D77" s="1359"/>
      <c r="E77" s="1359"/>
      <c r="F77" s="1359"/>
      <c r="G77" s="1359"/>
      <c r="H77" s="1274" t="str">
        <f t="shared" ref="H77:H80" si="22">IF(J77=0,"-","Nivel B")</f>
        <v>-</v>
      </c>
      <c r="I77" s="1274"/>
      <c r="J77" s="589">
        <f>ENERGÍA!L81</f>
        <v>0</v>
      </c>
      <c r="K77" s="589">
        <f>ENERGÍA!M81</f>
        <v>0</v>
      </c>
      <c r="L77" s="589"/>
      <c r="O77" s="176">
        <f>IF(J77=0,0,VLOOKUP(K77,adyacentem,2,FALSE))</f>
        <v>0</v>
      </c>
      <c r="P77" s="590">
        <f>P76</f>
        <v>0.4</v>
      </c>
      <c r="Q77" s="176">
        <f>Q76</f>
        <v>1</v>
      </c>
      <c r="R77" s="590">
        <f>Q77*J77</f>
        <v>0</v>
      </c>
      <c r="S77" s="590">
        <f t="shared" ref="S77:S80" si="23">IF(J77=0,0,(O77*R77))</f>
        <v>0</v>
      </c>
      <c r="T77" s="590">
        <f>Q77</f>
        <v>1</v>
      </c>
      <c r="U77" s="590">
        <f>T77*J77</f>
        <v>0</v>
      </c>
      <c r="V77" s="590">
        <f t="shared" ref="V77:V80" si="24">IF(J77=0,0,(O77*U77))</f>
        <v>0</v>
      </c>
      <c r="W77" s="590">
        <f>IF(K77=BASE!$DA$7,J77,0)</f>
        <v>0</v>
      </c>
      <c r="X77" s="580">
        <f t="shared" si="8"/>
        <v>0</v>
      </c>
      <c r="AG77" s="598">
        <f>'LINEAS BASE 1 y 2'!C36</f>
        <v>0</v>
      </c>
      <c r="AH77" s="176" t="e">
        <f>'Modelo de Radiación Solar'!S160*'LINEAS BASE 1 y 2'!$Z$72*'LINEAS BASE 1 y 2'!$AB$72</f>
        <v>#N/A</v>
      </c>
      <c r="AI77" s="176" t="e">
        <f>'Modelo de Radiación Solar'!T160*'LINEAS BASE 1 y 2'!$Z$72*'LINEAS BASE 1 y 2'!$AB$72</f>
        <v>#N/A</v>
      </c>
      <c r="AJ77" s="176" t="e">
        <f>'Modelo de Radiación Solar'!U160*'LINEAS BASE 1 y 2'!$Z$72*'LINEAS BASE 1 y 2'!$AB$72</f>
        <v>#N/A</v>
      </c>
      <c r="AK77" s="176" t="e">
        <f>'Modelo de Radiación Solar'!V160*'LINEAS BASE 1 y 2'!$Z$72*'LINEAS BASE 1 y 2'!$AB$72</f>
        <v>#N/A</v>
      </c>
      <c r="AL77" s="176" t="e">
        <f>'Modelo de Radiación Solar'!W160*'LINEAS BASE 1 y 2'!$Z$72*'LINEAS BASE 1 y 2'!$AB$72</f>
        <v>#N/A</v>
      </c>
      <c r="AM77" s="176" t="e">
        <f>'Modelo de Radiación Solar'!X160*'LINEAS BASE 1 y 2'!$Z$72*'LINEAS BASE 1 y 2'!$AB$72</f>
        <v>#N/A</v>
      </c>
      <c r="AN77" s="176" t="e">
        <f>'Modelo de Radiación Solar'!Y160*'LINEAS BASE 1 y 2'!$Z$72*'LINEAS BASE 1 y 2'!$AB$72</f>
        <v>#N/A</v>
      </c>
      <c r="AO77" s="176" t="e">
        <f>'Modelo de Radiación Solar'!Z160*'LINEAS BASE 1 y 2'!$Z$72*'LINEAS BASE 1 y 2'!$AB$72</f>
        <v>#N/A</v>
      </c>
      <c r="AP77" s="176" t="e">
        <f>'Modelo de Radiación Solar'!AA160*'LINEAS BASE 1 y 2'!$Z$72*'LINEAS BASE 1 y 2'!$AB$72</f>
        <v>#N/A</v>
      </c>
      <c r="AQ77" s="176" t="e">
        <f>'Modelo de Radiación Solar'!AB160*'LINEAS BASE 1 y 2'!$Z$72*'LINEAS BASE 1 y 2'!$AB$72</f>
        <v>#N/A</v>
      </c>
      <c r="AR77" s="176" t="e">
        <f>'Modelo de Radiación Solar'!AC160*'LINEAS BASE 1 y 2'!$Z$72*'LINEAS BASE 1 y 2'!$AB$72</f>
        <v>#N/A</v>
      </c>
      <c r="AS77" s="176" t="e">
        <f>'Modelo de Radiación Solar'!AD160*'LINEAS BASE 1 y 2'!$Z$72*'LINEAS BASE 1 y 2'!$AB$72</f>
        <v>#N/A</v>
      </c>
      <c r="AV77" s="582" t="s">
        <v>1019</v>
      </c>
      <c r="AW77" s="148">
        <f>ENERGÍA!AY81</f>
        <v>0</v>
      </c>
    </row>
    <row r="78" spans="2:49" ht="15" customHeight="1">
      <c r="B78" s="581" t="s">
        <v>1516</v>
      </c>
      <c r="C78" s="1342"/>
      <c r="D78" s="1340"/>
      <c r="E78" s="1340"/>
      <c r="F78" s="1340"/>
      <c r="G78" s="1340"/>
      <c r="H78" s="1274" t="str">
        <f t="shared" si="22"/>
        <v>-</v>
      </c>
      <c r="I78" s="1274"/>
      <c r="J78" s="589">
        <f>ENERGÍA!L82</f>
        <v>0</v>
      </c>
      <c r="K78" s="589">
        <f>ENERGÍA!M82</f>
        <v>0</v>
      </c>
      <c r="L78" s="589"/>
      <c r="O78" s="176">
        <f>IF(J78=0,0,VLOOKUP(K78,adyacentem,2,FALSE))</f>
        <v>0</v>
      </c>
      <c r="P78" s="590">
        <f t="shared" ref="P78:P80" si="25">P77</f>
        <v>0.4</v>
      </c>
      <c r="Q78" s="176">
        <f t="shared" ref="Q78:Q80" si="26">Q77</f>
        <v>1</v>
      </c>
      <c r="R78" s="590">
        <f>Q78*J78</f>
        <v>0</v>
      </c>
      <c r="S78" s="590">
        <f t="shared" si="23"/>
        <v>0</v>
      </c>
      <c r="T78" s="590">
        <f>Q78</f>
        <v>1</v>
      </c>
      <c r="U78" s="590">
        <f>T78*J78</f>
        <v>0</v>
      </c>
      <c r="V78" s="590">
        <f t="shared" si="24"/>
        <v>0</v>
      </c>
      <c r="W78" s="590">
        <f>IF(K78=BASE!$DA$7,J78,0)</f>
        <v>0</v>
      </c>
      <c r="X78" s="580">
        <f t="shared" si="8"/>
        <v>0</v>
      </c>
      <c r="Y78" s="1350" t="s">
        <v>1001</v>
      </c>
      <c r="Z78" s="1350"/>
      <c r="AA78" s="1350"/>
      <c r="AB78" s="1350"/>
      <c r="AC78" s="1350"/>
      <c r="AD78" s="588" t="s">
        <v>999</v>
      </c>
      <c r="AE78" s="175">
        <f>AE92+AE82+Z60</f>
        <v>118</v>
      </c>
      <c r="AG78" s="598">
        <f>'LINEAS BASE 1 y 2'!C37</f>
        <v>0</v>
      </c>
      <c r="AH78" s="176" t="e">
        <f>'Modelo de Radiación Solar'!AH160*'LINEAS BASE 1 y 2'!$Z$74*'LINEAS BASE 1 y 2'!$AB$74</f>
        <v>#N/A</v>
      </c>
      <c r="AI78" s="176" t="e">
        <f>'Modelo de Radiación Solar'!AI160*'LINEAS BASE 1 y 2'!$Z$74*'LINEAS BASE 1 y 2'!$AB$74</f>
        <v>#N/A</v>
      </c>
      <c r="AJ78" s="176" t="e">
        <f>'Modelo de Radiación Solar'!AJ160*'LINEAS BASE 1 y 2'!$Z$74*'LINEAS BASE 1 y 2'!$AB$74</f>
        <v>#N/A</v>
      </c>
      <c r="AK78" s="176" t="e">
        <f>'Modelo de Radiación Solar'!AK160*'LINEAS BASE 1 y 2'!$Z$74*'LINEAS BASE 1 y 2'!$AB$74</f>
        <v>#N/A</v>
      </c>
      <c r="AL78" s="176" t="e">
        <f>'Modelo de Radiación Solar'!AL160*'LINEAS BASE 1 y 2'!$Z$74*'LINEAS BASE 1 y 2'!$AB$74</f>
        <v>#N/A</v>
      </c>
      <c r="AM78" s="176" t="e">
        <f>'Modelo de Radiación Solar'!AM160*'LINEAS BASE 1 y 2'!$Z$74*'LINEAS BASE 1 y 2'!$AB$74</f>
        <v>#N/A</v>
      </c>
      <c r="AN78" s="176" t="e">
        <f>'Modelo de Radiación Solar'!AN160*'LINEAS BASE 1 y 2'!$Z$74*'LINEAS BASE 1 y 2'!$AB$74</f>
        <v>#N/A</v>
      </c>
      <c r="AO78" s="176" t="e">
        <f>'Modelo de Radiación Solar'!AO160*'LINEAS BASE 1 y 2'!$Z$74*'LINEAS BASE 1 y 2'!$AB$74</f>
        <v>#N/A</v>
      </c>
      <c r="AP78" s="176" t="e">
        <f>'Modelo de Radiación Solar'!AP160*'LINEAS BASE 1 y 2'!$Z$74*'LINEAS BASE 1 y 2'!$AB$74</f>
        <v>#N/A</v>
      </c>
      <c r="AQ78" s="176" t="e">
        <f>'Modelo de Radiación Solar'!AQ160*'LINEAS BASE 1 y 2'!$Z$74*'LINEAS BASE 1 y 2'!$AB$74</f>
        <v>#N/A</v>
      </c>
      <c r="AR78" s="176" t="e">
        <f>'Modelo de Radiación Solar'!AR160*'LINEAS BASE 1 y 2'!$Z$74*'LINEAS BASE 1 y 2'!$AB$74</f>
        <v>#N/A</v>
      </c>
      <c r="AS78" s="176" t="e">
        <f>'Modelo de Radiación Solar'!AS160*'LINEAS BASE 1 y 2'!$Z$74*'LINEAS BASE 1 y 2'!$AB$74</f>
        <v>#N/A</v>
      </c>
      <c r="AV78" s="582" t="s">
        <v>1021</v>
      </c>
      <c r="AW78" s="176">
        <f>'Modelo de Radiación Solar'!BU16</f>
        <v>0</v>
      </c>
    </row>
    <row r="79" spans="2:49" ht="15" customHeight="1">
      <c r="B79" s="581" t="s">
        <v>632</v>
      </c>
      <c r="C79" s="1342"/>
      <c r="D79" s="1340"/>
      <c r="E79" s="1340"/>
      <c r="F79" s="1340"/>
      <c r="G79" s="1340"/>
      <c r="H79" s="1274" t="str">
        <f t="shared" si="22"/>
        <v>-</v>
      </c>
      <c r="I79" s="1274"/>
      <c r="J79" s="589">
        <f>ENERGÍA!L83</f>
        <v>0</v>
      </c>
      <c r="K79" s="589">
        <f>ENERGÍA!M83</f>
        <v>0</v>
      </c>
      <c r="L79" s="589"/>
      <c r="O79" s="176">
        <f>IF(J79=0,0,VLOOKUP(K79,adyacentem,2,FALSE))</f>
        <v>0</v>
      </c>
      <c r="P79" s="590">
        <f t="shared" si="25"/>
        <v>0.4</v>
      </c>
      <c r="Q79" s="176">
        <f t="shared" si="26"/>
        <v>1</v>
      </c>
      <c r="R79" s="590">
        <f>Q79*J79</f>
        <v>0</v>
      </c>
      <c r="S79" s="590">
        <f t="shared" si="23"/>
        <v>0</v>
      </c>
      <c r="T79" s="590">
        <f>Q79</f>
        <v>1</v>
      </c>
      <c r="U79" s="590">
        <f>T79*J79</f>
        <v>0</v>
      </c>
      <c r="V79" s="590">
        <f t="shared" si="24"/>
        <v>0</v>
      </c>
      <c r="W79" s="590">
        <f>IF(K79=BASE!$DA$7,J79,0)</f>
        <v>0</v>
      </c>
      <c r="X79" s="580">
        <f t="shared" si="8"/>
        <v>0</v>
      </c>
      <c r="Y79" s="1350" t="s">
        <v>994</v>
      </c>
      <c r="Z79" s="1350"/>
      <c r="AA79" s="1350"/>
      <c r="AB79" s="1350"/>
      <c r="AC79" s="1350"/>
      <c r="AD79" s="1350"/>
      <c r="AE79" s="1350"/>
      <c r="AG79" s="598">
        <f>'LINEAS BASE 1 y 2'!C38</f>
        <v>0</v>
      </c>
      <c r="AH79" s="176" t="e">
        <f>'Modelo de Radiación Solar'!AW160*'LINEAS BASE 1 y 2'!$Z$76*'LINEAS BASE 1 y 2'!$AB$76</f>
        <v>#N/A</v>
      </c>
      <c r="AI79" s="176" t="e">
        <f>'Modelo de Radiación Solar'!AX160*'LINEAS BASE 1 y 2'!$Z$76*'LINEAS BASE 1 y 2'!$AB$76</f>
        <v>#N/A</v>
      </c>
      <c r="AJ79" s="176" t="e">
        <f>'Modelo de Radiación Solar'!AY160*'LINEAS BASE 1 y 2'!$Z$76*'LINEAS BASE 1 y 2'!$AB$76</f>
        <v>#N/A</v>
      </c>
      <c r="AK79" s="176" t="e">
        <f>'Modelo de Radiación Solar'!AZ160*'LINEAS BASE 1 y 2'!$Z$76*'LINEAS BASE 1 y 2'!$AB$76</f>
        <v>#N/A</v>
      </c>
      <c r="AL79" s="176" t="e">
        <f>'Modelo de Radiación Solar'!BA160*'LINEAS BASE 1 y 2'!$Z$76*'LINEAS BASE 1 y 2'!$AB$76</f>
        <v>#N/A</v>
      </c>
      <c r="AM79" s="176" t="e">
        <f>'Modelo de Radiación Solar'!BB160*'LINEAS BASE 1 y 2'!$Z$76*'LINEAS BASE 1 y 2'!$AB$76</f>
        <v>#N/A</v>
      </c>
      <c r="AN79" s="176" t="e">
        <f>'Modelo de Radiación Solar'!BC160*'LINEAS BASE 1 y 2'!$Z$76*'LINEAS BASE 1 y 2'!$AB$76</f>
        <v>#N/A</v>
      </c>
      <c r="AO79" s="176" t="e">
        <f>'Modelo de Radiación Solar'!BD160*'LINEAS BASE 1 y 2'!$Z$76*'LINEAS BASE 1 y 2'!$AB$76</f>
        <v>#N/A</v>
      </c>
      <c r="AP79" s="176" t="e">
        <f>'Modelo de Radiación Solar'!BE160*'LINEAS BASE 1 y 2'!$Z$76*'LINEAS BASE 1 y 2'!$AB$76</f>
        <v>#N/A</v>
      </c>
      <c r="AQ79" s="176" t="e">
        <f>'Modelo de Radiación Solar'!BF160*'LINEAS BASE 1 y 2'!$Z$76*'LINEAS BASE 1 y 2'!$AB$76</f>
        <v>#N/A</v>
      </c>
      <c r="AR79" s="176" t="e">
        <f>'Modelo de Radiación Solar'!BG160*'LINEAS BASE 1 y 2'!$Z$76*'LINEAS BASE 1 y 2'!$AB$76</f>
        <v>#N/A</v>
      </c>
      <c r="AS79" s="176" t="e">
        <f>'Modelo de Radiación Solar'!BH160*'LINEAS BASE 1 y 2'!$Z$76*'LINEAS BASE 1 y 2'!$AB$76</f>
        <v>#N/A</v>
      </c>
      <c r="AV79" s="582" t="s">
        <v>1022</v>
      </c>
      <c r="AW79" s="176">
        <f>'Modelo de Radiación Solar'!BU13</f>
        <v>9.2098978806022647</v>
      </c>
    </row>
    <row r="80" spans="2:49" ht="15" customHeight="1">
      <c r="B80" s="581" t="s">
        <v>631</v>
      </c>
      <c r="C80" s="1342"/>
      <c r="D80" s="1340"/>
      <c r="E80" s="1340"/>
      <c r="F80" s="1340"/>
      <c r="G80" s="1340"/>
      <c r="H80" s="1274" t="str">
        <f t="shared" si="22"/>
        <v>-</v>
      </c>
      <c r="I80" s="1274"/>
      <c r="J80" s="589">
        <f>ENERGÍA!L84</f>
        <v>0</v>
      </c>
      <c r="K80" s="589">
        <f>ENERGÍA!M84</f>
        <v>0</v>
      </c>
      <c r="L80" s="589"/>
      <c r="O80" s="176">
        <f>IF(J80=0,0,VLOOKUP(K80,adyacentem,2,FALSE))</f>
        <v>0</v>
      </c>
      <c r="P80" s="590">
        <f t="shared" si="25"/>
        <v>0.4</v>
      </c>
      <c r="Q80" s="176">
        <f t="shared" si="26"/>
        <v>1</v>
      </c>
      <c r="R80" s="590">
        <f>Q80*J80</f>
        <v>0</v>
      </c>
      <c r="S80" s="590">
        <f t="shared" si="23"/>
        <v>0</v>
      </c>
      <c r="T80" s="590">
        <f>Q80</f>
        <v>1</v>
      </c>
      <c r="U80" s="590">
        <f>T80*J80</f>
        <v>0</v>
      </c>
      <c r="V80" s="590">
        <f t="shared" si="24"/>
        <v>0</v>
      </c>
      <c r="W80" s="590">
        <f>IF(K80=BASE!$DA$7,J80,0)</f>
        <v>0</v>
      </c>
      <c r="X80" s="580">
        <f t="shared" si="8"/>
        <v>0</v>
      </c>
      <c r="Y80" s="148"/>
      <c r="Z80" s="148" t="s">
        <v>995</v>
      </c>
      <c r="AA80" s="148" t="s">
        <v>996</v>
      </c>
      <c r="AB80" s="148" t="s">
        <v>997</v>
      </c>
      <c r="AC80" s="148" t="s">
        <v>998</v>
      </c>
      <c r="AD80" s="148" t="s">
        <v>898</v>
      </c>
      <c r="AE80" s="591" t="s">
        <v>1023</v>
      </c>
      <c r="AG80" s="600" t="s">
        <v>1032</v>
      </c>
      <c r="AH80" s="176" t="e">
        <f t="shared" ref="AH80:AS80" si="27">SUM(AH76:AH79)*$AW$67</f>
        <v>#N/A</v>
      </c>
      <c r="AI80" s="176" t="e">
        <f t="shared" si="27"/>
        <v>#N/A</v>
      </c>
      <c r="AJ80" s="176" t="e">
        <f t="shared" si="27"/>
        <v>#N/A</v>
      </c>
      <c r="AK80" s="176" t="e">
        <f t="shared" si="27"/>
        <v>#N/A</v>
      </c>
      <c r="AL80" s="176" t="e">
        <f t="shared" si="27"/>
        <v>#N/A</v>
      </c>
      <c r="AM80" s="176" t="e">
        <f t="shared" si="27"/>
        <v>#N/A</v>
      </c>
      <c r="AN80" s="176" t="e">
        <f t="shared" si="27"/>
        <v>#N/A</v>
      </c>
      <c r="AO80" s="176" t="e">
        <f t="shared" si="27"/>
        <v>#N/A</v>
      </c>
      <c r="AP80" s="176" t="e">
        <f t="shared" si="27"/>
        <v>#N/A</v>
      </c>
      <c r="AQ80" s="176" t="e">
        <f t="shared" si="27"/>
        <v>#N/A</v>
      </c>
      <c r="AR80" s="176" t="e">
        <f t="shared" si="27"/>
        <v>#N/A</v>
      </c>
      <c r="AS80" s="176" t="e">
        <f t="shared" si="27"/>
        <v>#N/A</v>
      </c>
      <c r="AV80" s="582" t="s">
        <v>1020</v>
      </c>
      <c r="AW80" s="176">
        <f>AW78-AW79</f>
        <v>-9.2098978806022647</v>
      </c>
    </row>
    <row r="81" spans="2:49" ht="6" customHeight="1">
      <c r="L81" s="126"/>
      <c r="O81" s="580"/>
      <c r="P81" s="581"/>
      <c r="Q81" s="597"/>
      <c r="R81" s="597"/>
      <c r="S81" s="597"/>
      <c r="V81" s="126"/>
      <c r="X81" s="580">
        <f t="shared" si="8"/>
        <v>0</v>
      </c>
      <c r="AG81" s="597"/>
      <c r="AH81" s="597"/>
      <c r="AI81" s="597"/>
      <c r="AJ81" s="597"/>
      <c r="AK81" s="597"/>
      <c r="AL81" s="597"/>
      <c r="AM81" s="597"/>
      <c r="AN81" s="597"/>
      <c r="AO81" s="597"/>
      <c r="AP81" s="597"/>
      <c r="AQ81" s="597"/>
      <c r="AR81" s="597"/>
      <c r="AS81" s="597"/>
    </row>
    <row r="82" spans="2:49" ht="15" customHeight="1">
      <c r="B82" s="1323">
        <f>C38</f>
        <v>0</v>
      </c>
      <c r="C82" s="1323"/>
      <c r="D82" s="1323"/>
      <c r="E82" s="1323"/>
      <c r="F82" s="1323"/>
      <c r="G82" s="1323"/>
      <c r="H82" s="1323"/>
      <c r="I82" s="1323"/>
      <c r="J82" s="1323"/>
      <c r="K82" s="1323"/>
      <c r="L82" s="1323"/>
      <c r="O82" s="1320">
        <f>B82</f>
        <v>0</v>
      </c>
      <c r="P82" s="1321"/>
      <c r="Q82" s="1321"/>
      <c r="R82" s="1321"/>
      <c r="S82" s="1321"/>
      <c r="T82" s="1321"/>
      <c r="U82" s="1321"/>
      <c r="V82" s="1321"/>
      <c r="W82" s="1322"/>
      <c r="X82" s="580">
        <f t="shared" si="8"/>
        <v>0</v>
      </c>
      <c r="Y82" s="148" t="s">
        <v>618</v>
      </c>
      <c r="Z82" s="148">
        <f>Z52</f>
        <v>0</v>
      </c>
      <c r="AA82" s="148">
        <f>ENERGÍA!AB86</f>
        <v>450</v>
      </c>
      <c r="AB82" s="148">
        <f>AB52</f>
        <v>25</v>
      </c>
      <c r="AC82" s="148">
        <f>AA82*AB82/100</f>
        <v>112.5</v>
      </c>
      <c r="AD82" s="148">
        <f>AC82*Z82</f>
        <v>0</v>
      </c>
      <c r="AE82" s="1282">
        <f>SUM(AD82:AD87)</f>
        <v>118</v>
      </c>
      <c r="AG82" s="1362" t="s">
        <v>1650</v>
      </c>
      <c r="AH82" s="1362"/>
      <c r="AI82" s="1362"/>
      <c r="AJ82" s="1362"/>
      <c r="AK82" s="1362"/>
      <c r="AL82" s="1362"/>
      <c r="AM82" s="1362"/>
      <c r="AN82" s="1362"/>
      <c r="AO82" s="1362"/>
      <c r="AP82" s="1362"/>
      <c r="AQ82" s="1362"/>
      <c r="AR82" s="1362"/>
      <c r="AS82" s="1362"/>
    </row>
    <row r="83" spans="2:49" ht="6" customHeight="1">
      <c r="B83" s="584"/>
      <c r="C83" s="584"/>
      <c r="D83" s="584"/>
      <c r="E83" s="126"/>
      <c r="K83" s="126"/>
      <c r="L83" s="126"/>
      <c r="O83" s="580"/>
      <c r="P83" s="581"/>
      <c r="Q83" s="126"/>
      <c r="R83" s="126"/>
      <c r="V83" s="126"/>
      <c r="X83" s="580">
        <f t="shared" si="8"/>
        <v>0</v>
      </c>
      <c r="AE83" s="1282"/>
    </row>
    <row r="84" spans="2:49" ht="15" customHeight="1">
      <c r="B84" s="1360"/>
      <c r="C84" s="1363" t="s">
        <v>222</v>
      </c>
      <c r="D84" s="1364"/>
      <c r="E84" s="1364"/>
      <c r="F84" s="1364"/>
      <c r="G84" s="1365"/>
      <c r="H84" s="1357" t="s">
        <v>1788</v>
      </c>
      <c r="I84" s="1358"/>
      <c r="J84" s="1360" t="s">
        <v>594</v>
      </c>
      <c r="K84" s="1360" t="s">
        <v>1356</v>
      </c>
      <c r="L84" s="1275" t="s">
        <v>644</v>
      </c>
      <c r="O84" s="1360" t="s">
        <v>1354</v>
      </c>
      <c r="P84" s="1360" t="s">
        <v>729</v>
      </c>
      <c r="Q84" s="1360" t="s">
        <v>849</v>
      </c>
      <c r="R84" s="1360" t="s">
        <v>850</v>
      </c>
      <c r="S84" s="1360" t="s">
        <v>1357</v>
      </c>
      <c r="T84" s="1360" t="s">
        <v>851</v>
      </c>
      <c r="U84" s="1360" t="s">
        <v>891</v>
      </c>
      <c r="V84" s="1360" t="s">
        <v>1359</v>
      </c>
      <c r="W84" s="1360" t="s">
        <v>1358</v>
      </c>
      <c r="X84" s="580">
        <f t="shared" si="8"/>
        <v>1</v>
      </c>
      <c r="Y84" s="148" t="s">
        <v>572</v>
      </c>
      <c r="Z84" s="148">
        <f>Z54</f>
        <v>1</v>
      </c>
      <c r="AA84" s="148">
        <f>ENERGÍA!AB88</f>
        <v>472</v>
      </c>
      <c r="AB84" s="148">
        <f>AB54</f>
        <v>25</v>
      </c>
      <c r="AC84" s="148">
        <f>AA84*AB84/100</f>
        <v>118</v>
      </c>
      <c r="AD84" s="148">
        <f>AC84*Z84</f>
        <v>118</v>
      </c>
      <c r="AE84" s="1282"/>
      <c r="AG84" s="1339" t="s">
        <v>1521</v>
      </c>
      <c r="AH84" s="1339"/>
      <c r="AI84" s="1339"/>
      <c r="AJ84" s="1339"/>
      <c r="AK84" s="1339"/>
      <c r="AL84" s="1339"/>
      <c r="AM84" s="1339"/>
      <c r="AN84" s="1339"/>
      <c r="AO84" s="1339"/>
      <c r="AP84" s="1339"/>
      <c r="AQ84" s="1339"/>
      <c r="AR84" s="1339"/>
      <c r="AS84" s="1339"/>
      <c r="AV84" s="1351" t="s">
        <v>1024</v>
      </c>
      <c r="AW84" s="1352"/>
    </row>
    <row r="85" spans="2:49" ht="15" customHeight="1">
      <c r="B85" s="1361"/>
      <c r="C85" s="1366"/>
      <c r="D85" s="1367"/>
      <c r="E85" s="1367"/>
      <c r="F85" s="1367"/>
      <c r="G85" s="1368"/>
      <c r="H85" s="1357" t="s">
        <v>731</v>
      </c>
      <c r="I85" s="1358"/>
      <c r="J85" s="1361"/>
      <c r="K85" s="1361"/>
      <c r="L85" s="1277"/>
      <c r="O85" s="1361"/>
      <c r="P85" s="1361"/>
      <c r="Q85" s="1361"/>
      <c r="R85" s="1361"/>
      <c r="S85" s="1361"/>
      <c r="T85" s="1361"/>
      <c r="U85" s="1361"/>
      <c r="V85" s="1361"/>
      <c r="W85" s="1361"/>
      <c r="X85" s="580">
        <f t="shared" si="8"/>
        <v>0</v>
      </c>
      <c r="Y85" s="148"/>
      <c r="Z85" s="148"/>
      <c r="AA85" s="148"/>
      <c r="AB85" s="148"/>
      <c r="AC85" s="148"/>
      <c r="AD85" s="148"/>
      <c r="AE85" s="1282"/>
      <c r="AG85" s="601"/>
      <c r="AH85" s="601"/>
      <c r="AI85" s="601"/>
      <c r="AJ85" s="601"/>
      <c r="AK85" s="601"/>
      <c r="AL85" s="601"/>
      <c r="AM85" s="601"/>
      <c r="AN85" s="601"/>
      <c r="AO85" s="601"/>
      <c r="AP85" s="601"/>
      <c r="AQ85" s="601"/>
      <c r="AR85" s="601"/>
      <c r="AS85" s="601"/>
      <c r="AV85" s="1353"/>
      <c r="AW85" s="1354"/>
    </row>
    <row r="86" spans="2:49" ht="15" customHeight="1">
      <c r="B86" s="581" t="s">
        <v>223</v>
      </c>
      <c r="C86" s="1359"/>
      <c r="D86" s="1359"/>
      <c r="E86" s="1359"/>
      <c r="F86" s="1359"/>
      <c r="G86" s="1359"/>
      <c r="H86" s="1274" t="str">
        <f>IF(J86=0,"-","Nivel B")</f>
        <v>-</v>
      </c>
      <c r="I86" s="1274"/>
      <c r="J86" s="589">
        <f>ENERGÍA!L90</f>
        <v>0</v>
      </c>
      <c r="K86" s="589">
        <f>ENERGÍA!M90</f>
        <v>0</v>
      </c>
      <c r="L86" s="589"/>
      <c r="O86" s="176">
        <f>IF(J86=0,0,VLOOKUP(K86,adyacentem,2,FALSE))</f>
        <v>0</v>
      </c>
      <c r="P86" s="590">
        <f>P80</f>
        <v>0.4</v>
      </c>
      <c r="Q86" s="176">
        <f>Q80</f>
        <v>1</v>
      </c>
      <c r="R86" s="590">
        <f>Q86*J86</f>
        <v>0</v>
      </c>
      <c r="S86" s="590">
        <f>IF(J86=0,0,(O86*R86))</f>
        <v>0</v>
      </c>
      <c r="T86" s="590">
        <f>Q86</f>
        <v>1</v>
      </c>
      <c r="U86" s="590">
        <f>T86*J86</f>
        <v>0</v>
      </c>
      <c r="V86" s="590">
        <f>IF(J86=0,0,(O86*U86))</f>
        <v>0</v>
      </c>
      <c r="W86" s="590">
        <f>IF(K86=BASE!$DA$7,J86,0)</f>
        <v>0</v>
      </c>
      <c r="X86" s="580">
        <f t="shared" si="8"/>
        <v>0</v>
      </c>
      <c r="Y86" s="148" t="s">
        <v>620</v>
      </c>
      <c r="Z86" s="148">
        <f>Z56</f>
        <v>1</v>
      </c>
      <c r="AA86" s="148">
        <f>ENERGÍA!AB90</f>
        <v>0</v>
      </c>
      <c r="AB86" s="148">
        <f>AB56</f>
        <v>15</v>
      </c>
      <c r="AC86" s="148">
        <f>AA86*AB86/100</f>
        <v>0</v>
      </c>
      <c r="AD86" s="148">
        <f>AC86*Z86</f>
        <v>0</v>
      </c>
      <c r="AE86" s="1282"/>
      <c r="AG86" s="598" t="s">
        <v>1032</v>
      </c>
      <c r="AH86" s="176" t="e">
        <f>AH80</f>
        <v>#N/A</v>
      </c>
      <c r="AI86" s="176" t="e">
        <f t="shared" ref="AI86:AS86" si="28">AI80</f>
        <v>#N/A</v>
      </c>
      <c r="AJ86" s="176" t="e">
        <f t="shared" si="28"/>
        <v>#N/A</v>
      </c>
      <c r="AK86" s="176" t="e">
        <f t="shared" si="28"/>
        <v>#N/A</v>
      </c>
      <c r="AL86" s="176" t="e">
        <f t="shared" si="28"/>
        <v>#N/A</v>
      </c>
      <c r="AM86" s="176" t="e">
        <f t="shared" si="28"/>
        <v>#N/A</v>
      </c>
      <c r="AN86" s="176" t="e">
        <f t="shared" si="28"/>
        <v>#N/A</v>
      </c>
      <c r="AO86" s="176" t="e">
        <f t="shared" si="28"/>
        <v>#N/A</v>
      </c>
      <c r="AP86" s="176" t="e">
        <f t="shared" si="28"/>
        <v>#N/A</v>
      </c>
      <c r="AQ86" s="176" t="e">
        <f t="shared" si="28"/>
        <v>#N/A</v>
      </c>
      <c r="AR86" s="176" t="e">
        <f t="shared" si="28"/>
        <v>#N/A</v>
      </c>
      <c r="AS86" s="176" t="e">
        <f t="shared" si="28"/>
        <v>#N/A</v>
      </c>
      <c r="AV86" s="1353"/>
      <c r="AW86" s="1354"/>
    </row>
    <row r="87" spans="2:49" ht="15" customHeight="1">
      <c r="B87" s="581" t="s">
        <v>224</v>
      </c>
      <c r="C87" s="1359"/>
      <c r="D87" s="1359"/>
      <c r="E87" s="1359"/>
      <c r="F87" s="1359"/>
      <c r="G87" s="1359"/>
      <c r="H87" s="1274" t="str">
        <f t="shared" ref="H87:H90" si="29">IF(J87=0,"-","Nivel B")</f>
        <v>-</v>
      </c>
      <c r="I87" s="1274"/>
      <c r="J87" s="589">
        <f>ENERGÍA!L91</f>
        <v>0</v>
      </c>
      <c r="K87" s="589">
        <f>ENERGÍA!M91</f>
        <v>0</v>
      </c>
      <c r="L87" s="589"/>
      <c r="O87" s="176">
        <f>IF(J87=0,0,VLOOKUP(K87,adyacentem,2,FALSE))</f>
        <v>0</v>
      </c>
      <c r="P87" s="590">
        <f>P86</f>
        <v>0.4</v>
      </c>
      <c r="Q87" s="176">
        <f>Q86</f>
        <v>1</v>
      </c>
      <c r="R87" s="590">
        <f>Q87*J87</f>
        <v>0</v>
      </c>
      <c r="S87" s="590">
        <f t="shared" ref="S87:S90" si="30">IF(J87=0,0,(O87*R87))</f>
        <v>0</v>
      </c>
      <c r="T87" s="590">
        <f>Q87</f>
        <v>1</v>
      </c>
      <c r="U87" s="590">
        <f>T87*J87</f>
        <v>0</v>
      </c>
      <c r="V87" s="590">
        <f t="shared" ref="V87:V90" si="31">IF(J87=0,0,(O87*U87))</f>
        <v>0</v>
      </c>
      <c r="W87" s="590">
        <f>IF(K87=BASE!$DA$7,J87,0)</f>
        <v>0</v>
      </c>
      <c r="X87" s="580">
        <f t="shared" si="8"/>
        <v>0</v>
      </c>
      <c r="Y87" s="148" t="s">
        <v>619</v>
      </c>
      <c r="Z87" s="148">
        <f>Z57</f>
        <v>1</v>
      </c>
      <c r="AA87" s="148">
        <f>ENERGÍA!AB91</f>
        <v>0</v>
      </c>
      <c r="AB87" s="148">
        <f>AB57</f>
        <v>25</v>
      </c>
      <c r="AC87" s="148">
        <f>AA87*AB87/100</f>
        <v>0</v>
      </c>
      <c r="AD87" s="148">
        <f>AC87*Z87</f>
        <v>0</v>
      </c>
      <c r="AE87" s="1282"/>
      <c r="AG87" s="581" t="s">
        <v>991</v>
      </c>
      <c r="AH87" s="580">
        <f>(AD60+AE92)*12/24</f>
        <v>0</v>
      </c>
      <c r="AI87" s="580">
        <f>AH87</f>
        <v>0</v>
      </c>
      <c r="AJ87" s="580">
        <f t="shared" ref="AJ87:AS87" si="32">AI87</f>
        <v>0</v>
      </c>
      <c r="AK87" s="580">
        <f t="shared" si="32"/>
        <v>0</v>
      </c>
      <c r="AL87" s="580">
        <f t="shared" si="32"/>
        <v>0</v>
      </c>
      <c r="AM87" s="580">
        <f t="shared" si="32"/>
        <v>0</v>
      </c>
      <c r="AN87" s="580">
        <f t="shared" si="32"/>
        <v>0</v>
      </c>
      <c r="AO87" s="580">
        <f t="shared" si="32"/>
        <v>0</v>
      </c>
      <c r="AP87" s="580">
        <f t="shared" si="32"/>
        <v>0</v>
      </c>
      <c r="AQ87" s="580">
        <f t="shared" si="32"/>
        <v>0</v>
      </c>
      <c r="AR87" s="580">
        <f t="shared" si="32"/>
        <v>0</v>
      </c>
      <c r="AS87" s="580">
        <f t="shared" si="32"/>
        <v>0</v>
      </c>
      <c r="AV87" s="1355"/>
      <c r="AW87" s="1356"/>
    </row>
    <row r="88" spans="2:49" ht="15" customHeight="1">
      <c r="B88" s="581" t="s">
        <v>1516</v>
      </c>
      <c r="C88" s="1342"/>
      <c r="D88" s="1340"/>
      <c r="E88" s="1340"/>
      <c r="F88" s="1340"/>
      <c r="G88" s="1340"/>
      <c r="H88" s="1274" t="str">
        <f t="shared" si="29"/>
        <v>-</v>
      </c>
      <c r="I88" s="1274"/>
      <c r="J88" s="589">
        <f>ENERGÍA!L92</f>
        <v>0</v>
      </c>
      <c r="K88" s="589">
        <f>ENERGÍA!M92</f>
        <v>0</v>
      </c>
      <c r="L88" s="589"/>
      <c r="O88" s="176">
        <f>IF(J88=0,0,VLOOKUP(K88,adyacentem,2,FALSE))</f>
        <v>0</v>
      </c>
      <c r="P88" s="590">
        <f t="shared" ref="P88:P90" si="33">P87</f>
        <v>0.4</v>
      </c>
      <c r="Q88" s="176">
        <f t="shared" ref="Q88:Q90" si="34">Q87</f>
        <v>1</v>
      </c>
      <c r="R88" s="590">
        <f>Q88*J88</f>
        <v>0</v>
      </c>
      <c r="S88" s="590">
        <f t="shared" si="30"/>
        <v>0</v>
      </c>
      <c r="T88" s="590">
        <f>Q88</f>
        <v>1</v>
      </c>
      <c r="U88" s="590">
        <f>T88*J88</f>
        <v>0</v>
      </c>
      <c r="V88" s="590">
        <f t="shared" si="31"/>
        <v>0</v>
      </c>
      <c r="W88" s="590">
        <f>IF(K88=BASE!$DA$7,J88,0)</f>
        <v>0</v>
      </c>
      <c r="X88" s="580">
        <f t="shared" si="8"/>
        <v>0</v>
      </c>
      <c r="AG88" s="581" t="s">
        <v>760</v>
      </c>
      <c r="AH88" s="590">
        <f>($AH$120*1000)/24/AH72</f>
        <v>0</v>
      </c>
      <c r="AI88" s="590">
        <f t="shared" ref="AI88:AS88" si="35">($AH$120*1000)/24/AI72</f>
        <v>0</v>
      </c>
      <c r="AJ88" s="590">
        <f t="shared" si="35"/>
        <v>0</v>
      </c>
      <c r="AK88" s="590">
        <f t="shared" si="35"/>
        <v>0</v>
      </c>
      <c r="AL88" s="590">
        <f t="shared" si="35"/>
        <v>0</v>
      </c>
      <c r="AM88" s="590">
        <f t="shared" si="35"/>
        <v>0</v>
      </c>
      <c r="AN88" s="590">
        <f t="shared" si="35"/>
        <v>0</v>
      </c>
      <c r="AO88" s="590">
        <f t="shared" si="35"/>
        <v>0</v>
      </c>
      <c r="AP88" s="590">
        <f t="shared" si="35"/>
        <v>0</v>
      </c>
      <c r="AQ88" s="590">
        <f t="shared" si="35"/>
        <v>0</v>
      </c>
      <c r="AR88" s="590">
        <f t="shared" si="35"/>
        <v>0</v>
      </c>
      <c r="AS88" s="590">
        <f t="shared" si="35"/>
        <v>0</v>
      </c>
      <c r="AV88" s="1280" t="s">
        <v>892</v>
      </c>
      <c r="AW88" s="1282" t="e">
        <f>SUM(S46:S90)+SUM(R95:R96)+SUM(AC104:AC170)</f>
        <v>#N/A</v>
      </c>
    </row>
    <row r="89" spans="2:49" ht="15" customHeight="1">
      <c r="B89" s="581" t="s">
        <v>632</v>
      </c>
      <c r="C89" s="1342"/>
      <c r="D89" s="1340"/>
      <c r="E89" s="1340"/>
      <c r="F89" s="1340"/>
      <c r="G89" s="1340"/>
      <c r="H89" s="1274" t="str">
        <f t="shared" si="29"/>
        <v>-</v>
      </c>
      <c r="I89" s="1274"/>
      <c r="J89" s="589">
        <f>ENERGÍA!L93</f>
        <v>0</v>
      </c>
      <c r="K89" s="589">
        <f>ENERGÍA!M93</f>
        <v>0</v>
      </c>
      <c r="L89" s="589"/>
      <c r="O89" s="176">
        <f>IF(J89=0,0,VLOOKUP(K89,adyacentem,2,FALSE))</f>
        <v>0</v>
      </c>
      <c r="P89" s="590">
        <f t="shared" si="33"/>
        <v>0.4</v>
      </c>
      <c r="Q89" s="176">
        <f t="shared" si="34"/>
        <v>1</v>
      </c>
      <c r="R89" s="590">
        <f>Q89*J89</f>
        <v>0</v>
      </c>
      <c r="S89" s="590">
        <f t="shared" si="30"/>
        <v>0</v>
      </c>
      <c r="T89" s="590">
        <f>Q89</f>
        <v>1</v>
      </c>
      <c r="U89" s="590">
        <f>T89*J89</f>
        <v>0</v>
      </c>
      <c r="V89" s="590">
        <f t="shared" si="31"/>
        <v>0</v>
      </c>
      <c r="W89" s="590">
        <f>IF(K89=BASE!$DA$7,J89,0)</f>
        <v>0</v>
      </c>
      <c r="X89" s="580">
        <f t="shared" si="8"/>
        <v>0</v>
      </c>
      <c r="Y89" s="1350" t="s">
        <v>992</v>
      </c>
      <c r="Z89" s="1350"/>
      <c r="AA89" s="1350"/>
      <c r="AB89" s="1350"/>
      <c r="AC89" s="1350"/>
      <c r="AD89" s="1350"/>
      <c r="AE89" s="1350"/>
      <c r="AG89" s="581" t="s">
        <v>762</v>
      </c>
      <c r="AH89" s="590">
        <f t="shared" ref="AH89:AS89" si="36">($AH$121*1000)/24/AH72</f>
        <v>95.833333333333343</v>
      </c>
      <c r="AI89" s="590">
        <f t="shared" si="36"/>
        <v>106.10119047619048</v>
      </c>
      <c r="AJ89" s="590">
        <f t="shared" si="36"/>
        <v>95.833333333333343</v>
      </c>
      <c r="AK89" s="590">
        <f t="shared" si="36"/>
        <v>99.027777777777786</v>
      </c>
      <c r="AL89" s="590">
        <f t="shared" si="36"/>
        <v>95.833333333333343</v>
      </c>
      <c r="AM89" s="590">
        <f t="shared" si="36"/>
        <v>99.027777777777786</v>
      </c>
      <c r="AN89" s="590">
        <f t="shared" si="36"/>
        <v>95.833333333333343</v>
      </c>
      <c r="AO89" s="590">
        <f t="shared" si="36"/>
        <v>95.833333333333343</v>
      </c>
      <c r="AP89" s="590">
        <f t="shared" si="36"/>
        <v>99.027777777777786</v>
      </c>
      <c r="AQ89" s="590">
        <f t="shared" si="36"/>
        <v>95.833333333333343</v>
      </c>
      <c r="AR89" s="590">
        <f t="shared" si="36"/>
        <v>99.027777777777786</v>
      </c>
      <c r="AS89" s="590">
        <f t="shared" si="36"/>
        <v>95.833333333333343</v>
      </c>
      <c r="AV89" s="1280"/>
      <c r="AW89" s="1282"/>
    </row>
    <row r="90" spans="2:49" ht="15" customHeight="1">
      <c r="B90" s="581" t="s">
        <v>631</v>
      </c>
      <c r="C90" s="1342"/>
      <c r="D90" s="1340"/>
      <c r="E90" s="1340"/>
      <c r="F90" s="1340"/>
      <c r="G90" s="1340"/>
      <c r="H90" s="1274" t="str">
        <f t="shared" si="29"/>
        <v>-</v>
      </c>
      <c r="I90" s="1274"/>
      <c r="J90" s="589">
        <f>ENERGÍA!L94</f>
        <v>0</v>
      </c>
      <c r="K90" s="589">
        <f>ENERGÍA!M94</f>
        <v>0</v>
      </c>
      <c r="L90" s="589"/>
      <c r="O90" s="176">
        <f>IF(J90=0,0,VLOOKUP(K90,adyacentem,2,FALSE))</f>
        <v>0</v>
      </c>
      <c r="P90" s="590">
        <f t="shared" si="33"/>
        <v>0.4</v>
      </c>
      <c r="Q90" s="176">
        <f t="shared" si="34"/>
        <v>1</v>
      </c>
      <c r="R90" s="590">
        <f>Q90*J90</f>
        <v>0</v>
      </c>
      <c r="S90" s="590">
        <f t="shared" si="30"/>
        <v>0</v>
      </c>
      <c r="T90" s="590">
        <f>Q90</f>
        <v>1</v>
      </c>
      <c r="U90" s="590">
        <f>T90*J90</f>
        <v>0</v>
      </c>
      <c r="V90" s="590">
        <f t="shared" si="31"/>
        <v>0</v>
      </c>
      <c r="W90" s="590">
        <f>IF(K90=BASE!$DA$7,J90,0)</f>
        <v>0</v>
      </c>
      <c r="X90" s="580">
        <f t="shared" si="8"/>
        <v>0</v>
      </c>
      <c r="Y90" s="1343" t="s">
        <v>1119</v>
      </c>
      <c r="Z90" s="1343"/>
      <c r="AA90" s="1343"/>
      <c r="AB90" s="1343" t="s">
        <v>1120</v>
      </c>
      <c r="AC90" s="1343"/>
      <c r="AD90" s="1343"/>
      <c r="AE90" s="591" t="s">
        <v>1023</v>
      </c>
      <c r="AG90" s="581" t="s">
        <v>896</v>
      </c>
      <c r="AH90" s="590" t="e">
        <f>SUM(AH86:AH89)</f>
        <v>#N/A</v>
      </c>
      <c r="AI90" s="590" t="e">
        <f t="shared" ref="AI90:AS90" si="37">SUM(AI86:AI89)</f>
        <v>#N/A</v>
      </c>
      <c r="AJ90" s="590" t="e">
        <f t="shared" si="37"/>
        <v>#N/A</v>
      </c>
      <c r="AK90" s="590" t="e">
        <f t="shared" si="37"/>
        <v>#N/A</v>
      </c>
      <c r="AL90" s="590" t="e">
        <f t="shared" si="37"/>
        <v>#N/A</v>
      </c>
      <c r="AM90" s="590" t="e">
        <f t="shared" si="37"/>
        <v>#N/A</v>
      </c>
      <c r="AN90" s="590" t="e">
        <f t="shared" si="37"/>
        <v>#N/A</v>
      </c>
      <c r="AO90" s="590" t="e">
        <f t="shared" si="37"/>
        <v>#N/A</v>
      </c>
      <c r="AP90" s="590" t="e">
        <f t="shared" si="37"/>
        <v>#N/A</v>
      </c>
      <c r="AQ90" s="590" t="e">
        <f t="shared" si="37"/>
        <v>#N/A</v>
      </c>
      <c r="AR90" s="590" t="e">
        <f t="shared" si="37"/>
        <v>#N/A</v>
      </c>
      <c r="AS90" s="590" t="e">
        <f t="shared" si="37"/>
        <v>#N/A</v>
      </c>
      <c r="AV90" s="1280" t="s">
        <v>893</v>
      </c>
      <c r="AW90" s="1282" t="e">
        <f>SUM(V46:V90)+SUM(U95:U96)+SUM(AD104:AD170)</f>
        <v>#N/A</v>
      </c>
    </row>
    <row r="91" spans="2:49" ht="6" customHeight="1">
      <c r="L91" s="126"/>
      <c r="O91" s="148"/>
      <c r="P91" s="581"/>
      <c r="Q91" s="597"/>
      <c r="R91" s="597"/>
      <c r="S91" s="597"/>
      <c r="AV91" s="1280"/>
      <c r="AW91" s="1282"/>
    </row>
    <row r="92" spans="2:49" ht="15" customHeight="1">
      <c r="B92" s="1323" t="s">
        <v>593</v>
      </c>
      <c r="C92" s="1323"/>
      <c r="D92" s="1323"/>
      <c r="E92" s="1323"/>
      <c r="F92" s="1323"/>
      <c r="G92" s="1323"/>
      <c r="H92" s="1323"/>
      <c r="I92" s="1323"/>
      <c r="J92" s="1323"/>
      <c r="K92" s="1323"/>
      <c r="L92" s="1323"/>
      <c r="O92" s="1320" t="s">
        <v>593</v>
      </c>
      <c r="P92" s="1321"/>
      <c r="Q92" s="1321"/>
      <c r="R92" s="1321"/>
      <c r="S92" s="1321"/>
      <c r="T92" s="1321"/>
      <c r="U92" s="1321"/>
      <c r="V92" s="1321"/>
      <c r="W92" s="1322"/>
      <c r="Y92" s="1273">
        <f>Z66</f>
        <v>0</v>
      </c>
      <c r="Z92" s="1273"/>
      <c r="AA92" s="1273"/>
      <c r="AB92" s="1273">
        <f>ENERGÍA!AC96</f>
        <v>39</v>
      </c>
      <c r="AC92" s="1273"/>
      <c r="AD92" s="1273"/>
      <c r="AE92" s="226">
        <f>AB92*Y92</f>
        <v>0</v>
      </c>
      <c r="AG92" s="1339" t="s">
        <v>1487</v>
      </c>
      <c r="AH92" s="1339"/>
      <c r="AI92" s="1339"/>
      <c r="AJ92" s="1339"/>
      <c r="AK92" s="1339"/>
      <c r="AL92" s="1339"/>
      <c r="AM92" s="1339"/>
      <c r="AN92" s="1339"/>
      <c r="AO92" s="1339"/>
      <c r="AP92" s="1339"/>
      <c r="AQ92" s="1339"/>
      <c r="AR92" s="1339"/>
      <c r="AS92" s="1339"/>
    </row>
    <row r="93" spans="2:49" ht="6" customHeight="1">
      <c r="B93" s="584"/>
      <c r="C93" s="584"/>
      <c r="D93" s="584"/>
      <c r="E93" s="126"/>
      <c r="L93" s="126"/>
      <c r="O93" s="148"/>
      <c r="P93" s="581"/>
      <c r="Q93" s="126"/>
      <c r="R93" s="126"/>
    </row>
    <row r="94" spans="2:49" ht="15" customHeight="1">
      <c r="B94" s="584"/>
      <c r="C94" s="1273" t="s">
        <v>222</v>
      </c>
      <c r="D94" s="1273"/>
      <c r="E94" s="1273"/>
      <c r="F94" s="1273"/>
      <c r="G94" s="1273"/>
      <c r="H94" s="1273"/>
      <c r="I94" s="1273"/>
      <c r="J94" s="1273"/>
      <c r="K94" s="148" t="s">
        <v>594</v>
      </c>
      <c r="L94" s="166" t="s">
        <v>1356</v>
      </c>
      <c r="O94" s="166" t="s">
        <v>1354</v>
      </c>
      <c r="P94" s="166" t="s">
        <v>849</v>
      </c>
      <c r="Q94" s="166" t="s">
        <v>850</v>
      </c>
      <c r="R94" s="166" t="s">
        <v>1357</v>
      </c>
      <c r="S94" s="166" t="s">
        <v>851</v>
      </c>
      <c r="T94" s="166" t="s">
        <v>891</v>
      </c>
      <c r="U94" s="166" t="s">
        <v>1359</v>
      </c>
      <c r="V94" s="148"/>
      <c r="Y94" s="1341" t="s">
        <v>1053</v>
      </c>
      <c r="Z94" s="1341"/>
      <c r="AA94" s="1341"/>
      <c r="AB94" s="1341"/>
      <c r="AC94" s="1341"/>
      <c r="AD94" s="1341"/>
      <c r="AE94" s="175" t="e">
        <f>AE78+AE47+AE68+AE42</f>
        <v>#N/A</v>
      </c>
      <c r="AG94" s="581" t="s">
        <v>219</v>
      </c>
      <c r="AH94" s="590" t="e">
        <f>IF(AH62&gt;=18,$AW$90,$AW$88)</f>
        <v>#N/A</v>
      </c>
      <c r="AI94" s="590" t="e">
        <f t="shared" ref="AI94:AS94" si="38">IF(AI62&gt;=18,$AW$90,$AW$88)</f>
        <v>#N/A</v>
      </c>
      <c r="AJ94" s="590" t="e">
        <f t="shared" si="38"/>
        <v>#N/A</v>
      </c>
      <c r="AK94" s="590" t="e">
        <f t="shared" si="38"/>
        <v>#N/A</v>
      </c>
      <c r="AL94" s="590" t="e">
        <f t="shared" si="38"/>
        <v>#N/A</v>
      </c>
      <c r="AM94" s="590" t="e">
        <f t="shared" si="38"/>
        <v>#N/A</v>
      </c>
      <c r="AN94" s="590" t="e">
        <f t="shared" si="38"/>
        <v>#N/A</v>
      </c>
      <c r="AO94" s="590" t="e">
        <f t="shared" si="38"/>
        <v>#N/A</v>
      </c>
      <c r="AP94" s="590" t="e">
        <f t="shared" si="38"/>
        <v>#N/A</v>
      </c>
      <c r="AQ94" s="590" t="e">
        <f t="shared" si="38"/>
        <v>#N/A</v>
      </c>
      <c r="AR94" s="590" t="e">
        <f t="shared" si="38"/>
        <v>#N/A</v>
      </c>
      <c r="AS94" s="590" t="e">
        <f t="shared" si="38"/>
        <v>#N/A</v>
      </c>
      <c r="AV94" s="1273" t="s">
        <v>1025</v>
      </c>
      <c r="AW94" s="1273"/>
    </row>
    <row r="95" spans="2:49" ht="15" customHeight="1">
      <c r="B95" s="581" t="s">
        <v>595</v>
      </c>
      <c r="C95" s="1340"/>
      <c r="D95" s="1340"/>
      <c r="E95" s="1340"/>
      <c r="F95" s="1340"/>
      <c r="G95" s="1340"/>
      <c r="H95" s="1340"/>
      <c r="I95" s="1340"/>
      <c r="J95" s="1340"/>
      <c r="K95" s="589">
        <f>ENERGÍA!M99</f>
        <v>0</v>
      </c>
      <c r="L95" s="589">
        <f>ENERGÍA!N99</f>
        <v>0</v>
      </c>
      <c r="O95" s="176">
        <f>IF(K95=0,0,VLOOKUP(L95,adyacentem,2,FALSE))</f>
        <v>0</v>
      </c>
      <c r="P95" s="176">
        <f>'Materiales Personalizados'!AA6</f>
        <v>1</v>
      </c>
      <c r="Q95" s="590">
        <f>P95*K95</f>
        <v>0</v>
      </c>
      <c r="R95" s="580">
        <f>Q95*O95</f>
        <v>0</v>
      </c>
      <c r="S95" s="590">
        <f>P95</f>
        <v>1</v>
      </c>
      <c r="T95" s="590">
        <f>S95*K95</f>
        <v>0</v>
      </c>
      <c r="U95" s="148">
        <f>T95*O95</f>
        <v>0</v>
      </c>
      <c r="V95" s="148"/>
      <c r="AG95" s="581" t="s">
        <v>1528</v>
      </c>
      <c r="AH95" s="580">
        <f>AJ52</f>
        <v>0</v>
      </c>
      <c r="AI95" s="580">
        <f>AH95</f>
        <v>0</v>
      </c>
      <c r="AJ95" s="580">
        <f t="shared" ref="AJ95:AS96" si="39">AI95</f>
        <v>0</v>
      </c>
      <c r="AK95" s="580">
        <f t="shared" si="39"/>
        <v>0</v>
      </c>
      <c r="AL95" s="580">
        <f t="shared" si="39"/>
        <v>0</v>
      </c>
      <c r="AM95" s="580">
        <f t="shared" si="39"/>
        <v>0</v>
      </c>
      <c r="AN95" s="580">
        <f t="shared" si="39"/>
        <v>0</v>
      </c>
      <c r="AO95" s="580">
        <f t="shared" si="39"/>
        <v>0</v>
      </c>
      <c r="AP95" s="580">
        <f t="shared" si="39"/>
        <v>0</v>
      </c>
      <c r="AQ95" s="580">
        <f t="shared" si="39"/>
        <v>0</v>
      </c>
      <c r="AR95" s="580">
        <f t="shared" si="39"/>
        <v>0</v>
      </c>
      <c r="AS95" s="580">
        <f t="shared" si="39"/>
        <v>0</v>
      </c>
      <c r="AV95" s="1273"/>
      <c r="AW95" s="1273"/>
    </row>
    <row r="96" spans="2:49" ht="15" customHeight="1">
      <c r="B96" s="581" t="s">
        <v>1517</v>
      </c>
      <c r="C96" s="1340"/>
      <c r="D96" s="1340"/>
      <c r="E96" s="1340"/>
      <c r="F96" s="1340"/>
      <c r="G96" s="1340"/>
      <c r="H96" s="1340"/>
      <c r="I96" s="1340"/>
      <c r="J96" s="1340"/>
      <c r="K96" s="589">
        <f>ENERGÍA!M102</f>
        <v>0</v>
      </c>
      <c r="L96" s="589">
        <f>ENERGÍA!N102</f>
        <v>0</v>
      </c>
      <c r="O96" s="176">
        <f>IF(K96=0,0,VLOOKUP(L96,adyacentem,2,FALSE))</f>
        <v>0</v>
      </c>
      <c r="P96" s="176">
        <f>P95</f>
        <v>1</v>
      </c>
      <c r="Q96" s="590">
        <f>P96*K96</f>
        <v>0</v>
      </c>
      <c r="R96" s="580">
        <f>Q96*O96</f>
        <v>0</v>
      </c>
      <c r="S96" s="590">
        <f>P96</f>
        <v>1</v>
      </c>
      <c r="T96" s="590">
        <f>S96*K96</f>
        <v>0</v>
      </c>
      <c r="U96" s="148">
        <f>T96*O96</f>
        <v>0</v>
      </c>
      <c r="V96" s="148"/>
      <c r="AG96" s="581" t="s">
        <v>1486</v>
      </c>
      <c r="AH96" s="580" t="e">
        <f>AH54</f>
        <v>#DIV/0!</v>
      </c>
      <c r="AI96" s="580" t="e">
        <f>AH96</f>
        <v>#DIV/0!</v>
      </c>
      <c r="AJ96" s="580" t="e">
        <f t="shared" si="39"/>
        <v>#DIV/0!</v>
      </c>
      <c r="AK96" s="580" t="e">
        <f t="shared" si="39"/>
        <v>#DIV/0!</v>
      </c>
      <c r="AL96" s="580" t="e">
        <f t="shared" si="39"/>
        <v>#DIV/0!</v>
      </c>
      <c r="AM96" s="580" t="e">
        <f t="shared" si="39"/>
        <v>#DIV/0!</v>
      </c>
      <c r="AN96" s="580" t="e">
        <f t="shared" si="39"/>
        <v>#DIV/0!</v>
      </c>
      <c r="AO96" s="580" t="e">
        <f t="shared" si="39"/>
        <v>#DIV/0!</v>
      </c>
      <c r="AP96" s="580" t="e">
        <f t="shared" si="39"/>
        <v>#DIV/0!</v>
      </c>
      <c r="AQ96" s="580" t="e">
        <f t="shared" si="39"/>
        <v>#DIV/0!</v>
      </c>
      <c r="AR96" s="580" t="e">
        <f t="shared" si="39"/>
        <v>#DIV/0!</v>
      </c>
      <c r="AS96" s="580" t="e">
        <f t="shared" si="39"/>
        <v>#DIV/0!</v>
      </c>
      <c r="AU96" s="580" t="s">
        <v>1791</v>
      </c>
      <c r="AV96" s="148" t="s">
        <v>233</v>
      </c>
      <c r="AW96" s="176" t="e">
        <f>AW88/AW64</f>
        <v>#N/A</v>
      </c>
    </row>
    <row r="97" spans="2:50" ht="6" customHeight="1">
      <c r="D97" s="126"/>
      <c r="E97" s="126"/>
      <c r="L97" s="126"/>
      <c r="O97" s="148"/>
      <c r="P97" s="581"/>
      <c r="Q97" s="126"/>
      <c r="R97" s="126"/>
      <c r="V97" s="148"/>
      <c r="X97" s="126"/>
    </row>
    <row r="98" spans="2:50" ht="15" customHeight="1">
      <c r="B98" s="1283" t="s">
        <v>645</v>
      </c>
      <c r="C98" s="1283"/>
      <c r="D98" s="1283"/>
      <c r="E98" s="1283"/>
      <c r="F98" s="1283"/>
      <c r="G98" s="1283"/>
      <c r="H98" s="1283"/>
      <c r="I98" s="1283"/>
      <c r="J98" s="1283"/>
      <c r="K98" s="1283"/>
      <c r="L98" s="1283"/>
      <c r="O98" s="1317" t="s">
        <v>645</v>
      </c>
      <c r="P98" s="1318"/>
      <c r="Q98" s="1318"/>
      <c r="R98" s="1318"/>
      <c r="S98" s="1318"/>
      <c r="T98" s="1318"/>
      <c r="U98" s="1318"/>
      <c r="V98" s="1318"/>
      <c r="W98" s="1318"/>
      <c r="X98" s="1318"/>
      <c r="Y98" s="1318"/>
      <c r="Z98" s="1318"/>
      <c r="AA98" s="1318"/>
      <c r="AB98" s="1318"/>
      <c r="AC98" s="1318"/>
      <c r="AD98" s="1318"/>
      <c r="AE98" s="1319"/>
      <c r="AG98" s="581" t="s">
        <v>1524</v>
      </c>
      <c r="AH98" s="590" t="e">
        <f>AH94-(AH94*AH95)+(AH94*AH96)</f>
        <v>#N/A</v>
      </c>
      <c r="AI98" s="590" t="e">
        <f t="shared" ref="AI98:AS98" si="40">AI94-(AI94*AI95)+(AI94*AI96)</f>
        <v>#N/A</v>
      </c>
      <c r="AJ98" s="590" t="e">
        <f t="shared" si="40"/>
        <v>#N/A</v>
      </c>
      <c r="AK98" s="590" t="e">
        <f t="shared" si="40"/>
        <v>#N/A</v>
      </c>
      <c r="AL98" s="590" t="e">
        <f t="shared" si="40"/>
        <v>#N/A</v>
      </c>
      <c r="AM98" s="590" t="e">
        <f t="shared" si="40"/>
        <v>#N/A</v>
      </c>
      <c r="AN98" s="590" t="e">
        <f t="shared" si="40"/>
        <v>#N/A</v>
      </c>
      <c r="AO98" s="590" t="e">
        <f t="shared" si="40"/>
        <v>#N/A</v>
      </c>
      <c r="AP98" s="590" t="e">
        <f t="shared" si="40"/>
        <v>#N/A</v>
      </c>
      <c r="AQ98" s="590" t="e">
        <f t="shared" si="40"/>
        <v>#N/A</v>
      </c>
      <c r="AR98" s="590" t="e">
        <f t="shared" si="40"/>
        <v>#N/A</v>
      </c>
      <c r="AS98" s="590" t="e">
        <f t="shared" si="40"/>
        <v>#N/A</v>
      </c>
      <c r="AT98" s="173"/>
      <c r="AU98" s="173"/>
      <c r="AV98" s="148" t="s">
        <v>235</v>
      </c>
      <c r="AW98" s="176" t="e">
        <f>AE94/AW64</f>
        <v>#N/A</v>
      </c>
    </row>
    <row r="99" spans="2:50" ht="6" customHeight="1">
      <c r="L99" s="126"/>
      <c r="O99" s="148"/>
      <c r="P99" s="581"/>
      <c r="Q99" s="126"/>
      <c r="R99" s="126"/>
      <c r="V99" s="148"/>
      <c r="X99" s="126"/>
      <c r="AG99" s="581"/>
      <c r="AH99" s="580"/>
      <c r="AI99" s="580"/>
      <c r="AJ99" s="580"/>
      <c r="AK99" s="580"/>
      <c r="AL99" s="580"/>
      <c r="AM99" s="580"/>
      <c r="AN99" s="580"/>
      <c r="AO99" s="580"/>
      <c r="AP99" s="580"/>
      <c r="AQ99" s="580"/>
      <c r="AR99" s="580"/>
      <c r="AS99" s="580"/>
    </row>
    <row r="100" spans="2:50" s="159" customFormat="1" ht="15" customHeight="1">
      <c r="B100" s="1273">
        <f>C35</f>
        <v>0</v>
      </c>
      <c r="C100" s="1273"/>
      <c r="D100" s="1273"/>
      <c r="E100" s="1273"/>
      <c r="F100" s="1273"/>
      <c r="G100" s="1273"/>
      <c r="H100" s="1273"/>
      <c r="I100" s="1273"/>
      <c r="J100" s="1273"/>
      <c r="K100" s="1273"/>
      <c r="L100" s="1273"/>
      <c r="M100" s="126"/>
      <c r="N100" s="126"/>
      <c r="O100" s="1284">
        <f>B100</f>
        <v>0</v>
      </c>
      <c r="P100" s="1338"/>
      <c r="Q100" s="1338"/>
      <c r="R100" s="1338"/>
      <c r="S100" s="1338"/>
      <c r="T100" s="1338"/>
      <c r="U100" s="1338"/>
      <c r="V100" s="1338"/>
      <c r="W100" s="1338"/>
      <c r="X100" s="1338"/>
      <c r="Y100" s="1338"/>
      <c r="Z100" s="1338"/>
      <c r="AA100" s="1338"/>
      <c r="AB100" s="1338"/>
      <c r="AC100" s="1338"/>
      <c r="AD100" s="1338"/>
      <c r="AE100" s="1285"/>
      <c r="AG100" s="581" t="s">
        <v>1034</v>
      </c>
      <c r="AH100" s="175">
        <f>Z60</f>
        <v>0</v>
      </c>
      <c r="AI100" s="175">
        <f>AH100</f>
        <v>0</v>
      </c>
      <c r="AJ100" s="175">
        <f t="shared" ref="AJ100:AS100" si="41">AI100</f>
        <v>0</v>
      </c>
      <c r="AK100" s="175">
        <f t="shared" si="41"/>
        <v>0</v>
      </c>
      <c r="AL100" s="175">
        <f t="shared" si="41"/>
        <v>0</v>
      </c>
      <c r="AM100" s="175">
        <f t="shared" si="41"/>
        <v>0</v>
      </c>
      <c r="AN100" s="175">
        <f t="shared" si="41"/>
        <v>0</v>
      </c>
      <c r="AO100" s="175">
        <f t="shared" si="41"/>
        <v>0</v>
      </c>
      <c r="AP100" s="175">
        <f t="shared" si="41"/>
        <v>0</v>
      </c>
      <c r="AQ100" s="175">
        <f t="shared" si="41"/>
        <v>0</v>
      </c>
      <c r="AR100" s="175">
        <f t="shared" si="41"/>
        <v>0</v>
      </c>
      <c r="AS100" s="175">
        <f t="shared" si="41"/>
        <v>0</v>
      </c>
      <c r="AX100" s="126"/>
    </row>
    <row r="101" spans="2:50" ht="6" customHeight="1">
      <c r="L101" s="126"/>
      <c r="V101" s="148"/>
      <c r="AA101" s="580"/>
    </row>
    <row r="102" spans="2:50" ht="15" customHeight="1">
      <c r="B102" s="1273"/>
      <c r="C102" s="1323" t="s">
        <v>1184</v>
      </c>
      <c r="D102" s="1323"/>
      <c r="E102" s="1323"/>
      <c r="F102" s="1323" t="s">
        <v>1188</v>
      </c>
      <c r="G102" s="1323"/>
      <c r="H102" s="1323" t="s">
        <v>1203</v>
      </c>
      <c r="I102" s="1323"/>
      <c r="J102" s="1281" t="s">
        <v>790</v>
      </c>
      <c r="K102" s="1281" t="s">
        <v>1136</v>
      </c>
      <c r="L102" s="1281"/>
      <c r="O102" s="580" t="s">
        <v>1651</v>
      </c>
      <c r="P102" s="1281" t="s">
        <v>1064</v>
      </c>
      <c r="Q102" s="580" t="s">
        <v>1652</v>
      </c>
      <c r="R102" s="1273" t="s">
        <v>1191</v>
      </c>
      <c r="S102" s="580" t="s">
        <v>1190</v>
      </c>
      <c r="T102" s="1273" t="s">
        <v>1192</v>
      </c>
      <c r="U102" s="1323" t="s">
        <v>1653</v>
      </c>
      <c r="V102" s="1323"/>
      <c r="W102" s="580" t="s">
        <v>1654</v>
      </c>
      <c r="X102" s="1273" t="s">
        <v>1403</v>
      </c>
      <c r="Y102" s="1273" t="s">
        <v>1404</v>
      </c>
      <c r="Z102" s="1273" t="s">
        <v>1210</v>
      </c>
      <c r="AA102" s="1273" t="s">
        <v>1201</v>
      </c>
      <c r="AB102" s="1273" t="s">
        <v>1202</v>
      </c>
      <c r="AC102" s="1281" t="s">
        <v>850</v>
      </c>
      <c r="AD102" s="1281" t="str">
        <f>AC102</f>
        <v>W/K Inv</v>
      </c>
      <c r="AE102" s="226" t="s">
        <v>1017</v>
      </c>
      <c r="AG102" s="581" t="s">
        <v>1525</v>
      </c>
      <c r="AH102" s="590" t="e">
        <f>AH98+AH100</f>
        <v>#N/A</v>
      </c>
      <c r="AI102" s="590" t="e">
        <f t="shared" ref="AI102:AS102" si="42">AI98+AI100</f>
        <v>#N/A</v>
      </c>
      <c r="AJ102" s="590" t="e">
        <f t="shared" si="42"/>
        <v>#N/A</v>
      </c>
      <c r="AK102" s="590" t="e">
        <f t="shared" si="42"/>
        <v>#N/A</v>
      </c>
      <c r="AL102" s="590" t="e">
        <f t="shared" si="42"/>
        <v>#N/A</v>
      </c>
      <c r="AM102" s="590" t="e">
        <f t="shared" si="42"/>
        <v>#N/A</v>
      </c>
      <c r="AN102" s="590" t="e">
        <f t="shared" si="42"/>
        <v>#N/A</v>
      </c>
      <c r="AO102" s="590" t="e">
        <f t="shared" si="42"/>
        <v>#N/A</v>
      </c>
      <c r="AP102" s="590" t="e">
        <f t="shared" si="42"/>
        <v>#N/A</v>
      </c>
      <c r="AQ102" s="590" t="e">
        <f t="shared" si="42"/>
        <v>#N/A</v>
      </c>
      <c r="AR102" s="590" t="e">
        <f t="shared" si="42"/>
        <v>#N/A</v>
      </c>
      <c r="AS102" s="590" t="e">
        <f t="shared" si="42"/>
        <v>#N/A</v>
      </c>
    </row>
    <row r="103" spans="2:50" ht="15" customHeight="1">
      <c r="B103" s="1273"/>
      <c r="C103" s="148" t="s">
        <v>623</v>
      </c>
      <c r="D103" s="580" t="s">
        <v>1185</v>
      </c>
      <c r="E103" s="580" t="s">
        <v>1186</v>
      </c>
      <c r="F103" s="580" t="s">
        <v>623</v>
      </c>
      <c r="G103" s="580" t="s">
        <v>1189</v>
      </c>
      <c r="H103" s="580" t="s">
        <v>757</v>
      </c>
      <c r="I103" s="580" t="s">
        <v>650</v>
      </c>
      <c r="J103" s="1281"/>
      <c r="K103" s="166" t="s">
        <v>623</v>
      </c>
      <c r="L103" s="602" t="s">
        <v>1122</v>
      </c>
      <c r="O103" s="580" t="s">
        <v>1187</v>
      </c>
      <c r="P103" s="1281"/>
      <c r="Q103" s="580" t="s">
        <v>1187</v>
      </c>
      <c r="R103" s="1273"/>
      <c r="S103" s="580" t="s">
        <v>18</v>
      </c>
      <c r="T103" s="1273"/>
      <c r="U103" s="580" t="s">
        <v>1199</v>
      </c>
      <c r="V103" s="148" t="s">
        <v>1200</v>
      </c>
      <c r="W103" s="176" t="s">
        <v>1187</v>
      </c>
      <c r="X103" s="1273"/>
      <c r="Y103" s="1273"/>
      <c r="Z103" s="1273"/>
      <c r="AA103" s="1273"/>
      <c r="AB103" s="1273"/>
      <c r="AC103" s="1281"/>
      <c r="AD103" s="1281"/>
      <c r="AE103" s="603" t="e">
        <f>Q35</f>
        <v>#N/A</v>
      </c>
    </row>
    <row r="104" spans="2:50" ht="15" customHeight="1">
      <c r="B104" s="581" t="s">
        <v>225</v>
      </c>
      <c r="C104" s="604"/>
      <c r="D104" s="604"/>
      <c r="E104" s="604"/>
      <c r="F104" s="604"/>
      <c r="G104" s="604"/>
      <c r="H104" s="176" t="e">
        <f t="shared" ref="H104:H112" si="43">IF(W104=0,"-",IF($O$4=6,"No Aplica",HLOOKUP(AA104,ZONA2,2,TRUE)))</f>
        <v>#N/A</v>
      </c>
      <c r="I104" s="176" t="e">
        <f t="shared" ref="I104:I112" si="44">IF(W104=0,"-",IF($O$4=6,HLOOKUP(AB104,ZONA3,2,TRUE),HLOOKUP(AB104,ZONA1,2,TRUE)))</f>
        <v>#N/A</v>
      </c>
      <c r="J104" s="604"/>
      <c r="K104" s="604"/>
      <c r="L104" s="604"/>
      <c r="O104" s="590" t="e">
        <f t="shared" ref="O104:O112" si="45">$W$104-Q104</f>
        <v>#N/A</v>
      </c>
      <c r="P104" s="176">
        <f>IF('BASE DE DATOS'!HC5="B",2.9,IF('BASE DE DATOS'!HC5="D",3.23,6))</f>
        <v>6</v>
      </c>
      <c r="Q104" s="580" t="e">
        <f t="shared" ref="Q104:Q112" si="46">W104*0.02</f>
        <v>#N/A</v>
      </c>
      <c r="R104" s="580">
        <f>IF('BASE DE DATOS'!HC5="B",2.2,IF('BASE DE DATOS'!HC5="D",3.3,5.8))</f>
        <v>5.8</v>
      </c>
      <c r="S104" s="590" t="e">
        <f t="shared" ref="S104:S112" si="47">(W104/2)+2</f>
        <v>#N/A</v>
      </c>
      <c r="T104" s="176" t="e">
        <f t="shared" ref="T104:T112" si="48">((O104*P104)+(Q104*R104)+(S104*0.02))/W104</f>
        <v>#N/A</v>
      </c>
      <c r="U104" s="580">
        <f>IF('BASE DE DATOS'!HC5="B",100,IF('BASE DE DATOS'!HC5="D",200,300))</f>
        <v>300</v>
      </c>
      <c r="V104" s="176" t="e">
        <f t="shared" ref="V104:V112" si="49">IF(W104=0,0,U104*W104)</f>
        <v>#N/A</v>
      </c>
      <c r="W104" s="605" t="e">
        <f>IF($R$35=2,$O$35/2,IF($R$35=4,$O$35/4,IF($R$35=6,$O$35/6,IF($R$35=8,$O$35/8,IF($R$35=9,$O$35/9)))))</f>
        <v>#N/A</v>
      </c>
      <c r="X104" s="606" t="e">
        <f t="shared" ref="X104:X112" si="50">(V104*$AW$112)</f>
        <v>#N/A</v>
      </c>
      <c r="Y104" s="606" t="e">
        <f t="shared" ref="Y104:Y112" si="51">V104*$AW$114</f>
        <v>#N/A</v>
      </c>
      <c r="Z104" s="148">
        <f>IF('BASE DE DATOS'!HC5="B",0.5,IF('BASE DE DATOS'!HC5="D",2,3))</f>
        <v>3</v>
      </c>
      <c r="AA104" s="176" t="e">
        <f t="shared" ref="AA104:AA112" si="52">IF(W104=0,0,(($AW$104*Z104)+X104+(T104*$AW$108))/W104)</f>
        <v>#N/A</v>
      </c>
      <c r="AB104" s="176" t="e">
        <f>IF(W104=0,0,(($AW$106*Z104)-(X104+T104)*$AW$110)/W104)</f>
        <v>#N/A</v>
      </c>
      <c r="AC104" s="590" t="e">
        <f>IF(W104=0,0,(T104*O104))</f>
        <v>#N/A</v>
      </c>
      <c r="AD104" s="590" t="e">
        <f t="shared" ref="AD104" si="53">AC104</f>
        <v>#N/A</v>
      </c>
      <c r="AG104" s="581" t="s">
        <v>1527</v>
      </c>
      <c r="AH104" s="590" t="e">
        <f>AH90/AH102</f>
        <v>#N/A</v>
      </c>
      <c r="AI104" s="590" t="e">
        <f t="shared" ref="AI104:AS104" si="54">AI90/AI102</f>
        <v>#N/A</v>
      </c>
      <c r="AJ104" s="590" t="e">
        <f t="shared" si="54"/>
        <v>#N/A</v>
      </c>
      <c r="AK104" s="590" t="e">
        <f t="shared" si="54"/>
        <v>#N/A</v>
      </c>
      <c r="AL104" s="590" t="e">
        <f t="shared" si="54"/>
        <v>#N/A</v>
      </c>
      <c r="AM104" s="590" t="e">
        <f t="shared" si="54"/>
        <v>#N/A</v>
      </c>
      <c r="AN104" s="590" t="e">
        <f t="shared" si="54"/>
        <v>#N/A</v>
      </c>
      <c r="AO104" s="590" t="e">
        <f t="shared" si="54"/>
        <v>#N/A</v>
      </c>
      <c r="AP104" s="590" t="e">
        <f t="shared" si="54"/>
        <v>#N/A</v>
      </c>
      <c r="AQ104" s="590" t="e">
        <f t="shared" si="54"/>
        <v>#N/A</v>
      </c>
      <c r="AR104" s="590" t="e">
        <f t="shared" si="54"/>
        <v>#N/A</v>
      </c>
      <c r="AS104" s="590" t="e">
        <f t="shared" si="54"/>
        <v>#N/A</v>
      </c>
      <c r="AV104" s="148" t="s">
        <v>1205</v>
      </c>
      <c r="AW104" s="148">
        <f>ENERGÍA!AY110</f>
        <v>0</v>
      </c>
    </row>
    <row r="105" spans="2:50" ht="15" customHeight="1">
      <c r="B105" s="581" t="s">
        <v>225</v>
      </c>
      <c r="C105" s="604"/>
      <c r="D105" s="604"/>
      <c r="E105" s="604"/>
      <c r="F105" s="604"/>
      <c r="G105" s="604"/>
      <c r="H105" s="176" t="e">
        <f t="shared" si="43"/>
        <v>#N/A</v>
      </c>
      <c r="I105" s="176" t="e">
        <f t="shared" si="44"/>
        <v>#N/A</v>
      </c>
      <c r="J105" s="604"/>
      <c r="K105" s="604"/>
      <c r="L105" s="604"/>
      <c r="O105" s="590" t="e">
        <f t="shared" si="45"/>
        <v>#N/A</v>
      </c>
      <c r="P105" s="176">
        <f>P104</f>
        <v>6</v>
      </c>
      <c r="Q105" s="580" t="e">
        <f t="shared" si="46"/>
        <v>#N/A</v>
      </c>
      <c r="R105" s="580">
        <f>R104</f>
        <v>5.8</v>
      </c>
      <c r="S105" s="590" t="e">
        <f t="shared" si="47"/>
        <v>#N/A</v>
      </c>
      <c r="T105" s="176" t="e">
        <f t="shared" si="48"/>
        <v>#N/A</v>
      </c>
      <c r="U105" s="580">
        <f>U104</f>
        <v>300</v>
      </c>
      <c r="V105" s="176" t="e">
        <f t="shared" si="49"/>
        <v>#N/A</v>
      </c>
      <c r="W105" s="605" t="e">
        <f t="shared" ref="W105" si="55">IF($R$35=2,$O$35/2,IF($R$35=4,$O$35/4,IF($R$35=6,$O$35/6,IF($R$35=8,$O$35/8,IF($R$35=9,$O$35/9)))))</f>
        <v>#N/A</v>
      </c>
      <c r="X105" s="606" t="e">
        <f t="shared" si="50"/>
        <v>#N/A</v>
      </c>
      <c r="Y105" s="606" t="e">
        <f t="shared" si="51"/>
        <v>#N/A</v>
      </c>
      <c r="Z105" s="580">
        <f>Z104</f>
        <v>3</v>
      </c>
      <c r="AA105" s="176" t="e">
        <f t="shared" si="52"/>
        <v>#N/A</v>
      </c>
      <c r="AB105" s="176" t="e">
        <f t="shared" ref="AB105:AB107" si="56">IF(W105=0,0,(($AW$106*Z105)-(X105+T105)*$AW$110)/W105)</f>
        <v>#N/A</v>
      </c>
      <c r="AC105" s="590" t="e">
        <f t="shared" ref="AC105:AC112" si="57">IF(W105=0,0,(T105*O105))</f>
        <v>#N/A</v>
      </c>
      <c r="AD105" s="590" t="e">
        <f t="shared" ref="AD105:AD107" si="58">AC105</f>
        <v>#N/A</v>
      </c>
      <c r="AG105" s="607" t="s">
        <v>1526</v>
      </c>
      <c r="AH105" s="603" t="e">
        <f>AH62+AH104</f>
        <v>#N/A</v>
      </c>
      <c r="AI105" s="603" t="e">
        <f t="shared" ref="AI105:AS105" si="59">AI62+AI104</f>
        <v>#N/A</v>
      </c>
      <c r="AJ105" s="603" t="e">
        <f t="shared" si="59"/>
        <v>#N/A</v>
      </c>
      <c r="AK105" s="603" t="e">
        <f t="shared" si="59"/>
        <v>#N/A</v>
      </c>
      <c r="AL105" s="603" t="e">
        <f t="shared" si="59"/>
        <v>#N/A</v>
      </c>
      <c r="AM105" s="603" t="e">
        <f t="shared" si="59"/>
        <v>#N/A</v>
      </c>
      <c r="AN105" s="603" t="e">
        <f t="shared" si="59"/>
        <v>#N/A</v>
      </c>
      <c r="AO105" s="603" t="e">
        <f t="shared" si="59"/>
        <v>#N/A</v>
      </c>
      <c r="AP105" s="603" t="e">
        <f t="shared" si="59"/>
        <v>#N/A</v>
      </c>
      <c r="AQ105" s="603" t="e">
        <f t="shared" si="59"/>
        <v>#N/A</v>
      </c>
      <c r="AR105" s="603" t="e">
        <f t="shared" si="59"/>
        <v>#N/A</v>
      </c>
      <c r="AS105" s="603" t="e">
        <f t="shared" si="59"/>
        <v>#N/A</v>
      </c>
      <c r="AW105" s="580"/>
    </row>
    <row r="106" spans="2:50" ht="15" customHeight="1">
      <c r="B106" s="581" t="s">
        <v>225</v>
      </c>
      <c r="C106" s="604"/>
      <c r="D106" s="604"/>
      <c r="E106" s="604"/>
      <c r="F106" s="604"/>
      <c r="G106" s="604"/>
      <c r="H106" s="176" t="e">
        <f t="shared" si="43"/>
        <v>#N/A</v>
      </c>
      <c r="I106" s="176" t="e">
        <f t="shared" si="44"/>
        <v>#N/A</v>
      </c>
      <c r="J106" s="604"/>
      <c r="K106" s="604"/>
      <c r="L106" s="604"/>
      <c r="O106" s="590" t="e">
        <f t="shared" si="45"/>
        <v>#N/A</v>
      </c>
      <c r="P106" s="176">
        <f t="shared" ref="P106:P112" si="60">P105</f>
        <v>6</v>
      </c>
      <c r="Q106" s="580" t="e">
        <f t="shared" si="46"/>
        <v>#N/A</v>
      </c>
      <c r="R106" s="580">
        <f t="shared" ref="R106:R112" si="61">R105</f>
        <v>5.8</v>
      </c>
      <c r="S106" s="590" t="e">
        <f t="shared" si="47"/>
        <v>#N/A</v>
      </c>
      <c r="T106" s="176" t="e">
        <f t="shared" si="48"/>
        <v>#N/A</v>
      </c>
      <c r="U106" s="580">
        <f t="shared" ref="U106:U112" si="62">U105</f>
        <v>300</v>
      </c>
      <c r="V106" s="176" t="e">
        <f t="shared" si="49"/>
        <v>#N/A</v>
      </c>
      <c r="W106" s="605" t="e">
        <f>IF($R$35=2,0,IF($R$35=4,$O$35/4,IF($R$35=6,$O$35/6,IF($R$35=8,$O$35/8,IF($R$35=9,$O$35/9)))))</f>
        <v>#N/A</v>
      </c>
      <c r="X106" s="606" t="e">
        <f t="shared" si="50"/>
        <v>#N/A</v>
      </c>
      <c r="Y106" s="606" t="e">
        <f t="shared" si="51"/>
        <v>#N/A</v>
      </c>
      <c r="Z106" s="580">
        <f t="shared" ref="Z106:Z112" si="63">Z105</f>
        <v>3</v>
      </c>
      <c r="AA106" s="176" t="e">
        <f t="shared" si="52"/>
        <v>#N/A</v>
      </c>
      <c r="AB106" s="176" t="e">
        <f t="shared" si="56"/>
        <v>#N/A</v>
      </c>
      <c r="AC106" s="590" t="e">
        <f t="shared" si="57"/>
        <v>#N/A</v>
      </c>
      <c r="AD106" s="590" t="e">
        <f t="shared" si="58"/>
        <v>#N/A</v>
      </c>
      <c r="AG106" s="581" t="s">
        <v>1529</v>
      </c>
      <c r="AH106" s="590" t="e">
        <f>IF((AH105-$AW$60)&lt;0,0,AH105-$AW$60)</f>
        <v>#N/A</v>
      </c>
      <c r="AI106" s="590" t="e">
        <f t="shared" ref="AI106:AS106" si="64">IF((AI105-$AW$60)&lt;0,0,AI105-$AW$60)</f>
        <v>#N/A</v>
      </c>
      <c r="AJ106" s="590" t="e">
        <f t="shared" si="64"/>
        <v>#N/A</v>
      </c>
      <c r="AK106" s="590" t="e">
        <f t="shared" si="64"/>
        <v>#N/A</v>
      </c>
      <c r="AL106" s="590" t="e">
        <f t="shared" si="64"/>
        <v>#N/A</v>
      </c>
      <c r="AM106" s="590" t="e">
        <f t="shared" si="64"/>
        <v>#N/A</v>
      </c>
      <c r="AN106" s="590" t="e">
        <f t="shared" si="64"/>
        <v>#N/A</v>
      </c>
      <c r="AO106" s="590" t="e">
        <f t="shared" si="64"/>
        <v>#N/A</v>
      </c>
      <c r="AP106" s="590" t="e">
        <f t="shared" si="64"/>
        <v>#N/A</v>
      </c>
      <c r="AQ106" s="590" t="e">
        <f t="shared" si="64"/>
        <v>#N/A</v>
      </c>
      <c r="AR106" s="590" t="e">
        <f t="shared" si="64"/>
        <v>#N/A</v>
      </c>
      <c r="AS106" s="590" t="e">
        <f t="shared" si="64"/>
        <v>#N/A</v>
      </c>
      <c r="AV106" s="148" t="s">
        <v>1209</v>
      </c>
      <c r="AW106" s="148">
        <f>ENERGÍA!AY112</f>
        <v>0</v>
      </c>
    </row>
    <row r="107" spans="2:50" ht="15" customHeight="1">
      <c r="B107" s="581" t="s">
        <v>225</v>
      </c>
      <c r="C107" s="604"/>
      <c r="D107" s="604"/>
      <c r="E107" s="604"/>
      <c r="F107" s="604"/>
      <c r="G107" s="604"/>
      <c r="H107" s="176" t="e">
        <f t="shared" si="43"/>
        <v>#N/A</v>
      </c>
      <c r="I107" s="176" t="e">
        <f t="shared" si="44"/>
        <v>#N/A</v>
      </c>
      <c r="J107" s="604"/>
      <c r="K107" s="604"/>
      <c r="L107" s="604"/>
      <c r="O107" s="590" t="e">
        <f t="shared" si="45"/>
        <v>#N/A</v>
      </c>
      <c r="P107" s="176">
        <f t="shared" si="60"/>
        <v>6</v>
      </c>
      <c r="Q107" s="580" t="e">
        <f t="shared" si="46"/>
        <v>#N/A</v>
      </c>
      <c r="R107" s="580">
        <f t="shared" si="61"/>
        <v>5.8</v>
      </c>
      <c r="S107" s="590" t="e">
        <f t="shared" si="47"/>
        <v>#N/A</v>
      </c>
      <c r="T107" s="176" t="e">
        <f t="shared" si="48"/>
        <v>#N/A</v>
      </c>
      <c r="U107" s="580">
        <f t="shared" si="62"/>
        <v>300</v>
      </c>
      <c r="V107" s="176" t="e">
        <f t="shared" si="49"/>
        <v>#N/A</v>
      </c>
      <c r="W107" s="605" t="e">
        <f>IF($R$35=2,0,IF($R$35=4,$O$35/4,IF($R$35=6,$O$35/6,IF($R$35=8,$O$35/8,IF($R$35=9,$O$35/9)))))</f>
        <v>#N/A</v>
      </c>
      <c r="X107" s="606" t="e">
        <f t="shared" si="50"/>
        <v>#N/A</v>
      </c>
      <c r="Y107" s="606" t="e">
        <f t="shared" si="51"/>
        <v>#N/A</v>
      </c>
      <c r="Z107" s="580">
        <f t="shared" si="63"/>
        <v>3</v>
      </c>
      <c r="AA107" s="176" t="e">
        <f t="shared" si="52"/>
        <v>#N/A</v>
      </c>
      <c r="AB107" s="176" t="e">
        <f t="shared" si="56"/>
        <v>#N/A</v>
      </c>
      <c r="AC107" s="590" t="e">
        <f t="shared" si="57"/>
        <v>#N/A</v>
      </c>
      <c r="AD107" s="590" t="e">
        <f t="shared" si="58"/>
        <v>#N/A</v>
      </c>
      <c r="AG107" s="581" t="s">
        <v>1530</v>
      </c>
      <c r="AH107" s="590" t="e">
        <f>IF(AH105&gt;$AW$60,0,IF(AH105&lt;$AW$59,$AW$59-AH105,0))</f>
        <v>#N/A</v>
      </c>
      <c r="AI107" s="590" t="e">
        <f t="shared" ref="AI107:AS107" si="65">IF(AI105&gt;$AW$60,0,IF(AI105&lt;$AW$59,$AW$59-AI105,0))</f>
        <v>#N/A</v>
      </c>
      <c r="AJ107" s="590" t="e">
        <f t="shared" si="65"/>
        <v>#N/A</v>
      </c>
      <c r="AK107" s="590" t="e">
        <f t="shared" si="65"/>
        <v>#N/A</v>
      </c>
      <c r="AL107" s="590" t="e">
        <f t="shared" si="65"/>
        <v>#N/A</v>
      </c>
      <c r="AM107" s="590" t="e">
        <f t="shared" si="65"/>
        <v>#N/A</v>
      </c>
      <c r="AN107" s="590" t="e">
        <f t="shared" si="65"/>
        <v>#N/A</v>
      </c>
      <c r="AO107" s="590" t="e">
        <f t="shared" si="65"/>
        <v>#N/A</v>
      </c>
      <c r="AP107" s="590" t="e">
        <f t="shared" si="65"/>
        <v>#N/A</v>
      </c>
      <c r="AQ107" s="590" t="e">
        <f t="shared" si="65"/>
        <v>#N/A</v>
      </c>
      <c r="AR107" s="590" t="e">
        <f t="shared" si="65"/>
        <v>#N/A</v>
      </c>
      <c r="AS107" s="590" t="e">
        <f t="shared" si="65"/>
        <v>#N/A</v>
      </c>
      <c r="AW107" s="580"/>
    </row>
    <row r="108" spans="2:50" ht="15" customHeight="1">
      <c r="B108" s="581" t="s">
        <v>225</v>
      </c>
      <c r="C108" s="604"/>
      <c r="D108" s="604"/>
      <c r="E108" s="604"/>
      <c r="F108" s="604"/>
      <c r="G108" s="604"/>
      <c r="H108" s="176" t="e">
        <f t="shared" si="43"/>
        <v>#N/A</v>
      </c>
      <c r="I108" s="176" t="e">
        <f t="shared" si="44"/>
        <v>#N/A</v>
      </c>
      <c r="J108" s="604"/>
      <c r="K108" s="604"/>
      <c r="L108" s="604"/>
      <c r="O108" s="590" t="e">
        <f t="shared" si="45"/>
        <v>#N/A</v>
      </c>
      <c r="P108" s="176">
        <f t="shared" si="60"/>
        <v>6</v>
      </c>
      <c r="Q108" s="580" t="e">
        <f t="shared" si="46"/>
        <v>#N/A</v>
      </c>
      <c r="R108" s="580">
        <f t="shared" si="61"/>
        <v>5.8</v>
      </c>
      <c r="S108" s="590" t="e">
        <f t="shared" si="47"/>
        <v>#N/A</v>
      </c>
      <c r="T108" s="176" t="e">
        <f t="shared" si="48"/>
        <v>#N/A</v>
      </c>
      <c r="U108" s="580">
        <f t="shared" si="62"/>
        <v>300</v>
      </c>
      <c r="V108" s="176" t="e">
        <f t="shared" si="49"/>
        <v>#N/A</v>
      </c>
      <c r="W108" s="605" t="e">
        <f>IF($R$35=2,0,IF($R$35=4,0,IF($R$35=6,$O$35/6,IF($R$35=8,$O$35/8,IF($R$35=9,$O$35/9)))))</f>
        <v>#N/A</v>
      </c>
      <c r="X108" s="606" t="e">
        <f t="shared" si="50"/>
        <v>#N/A</v>
      </c>
      <c r="Y108" s="606" t="e">
        <f t="shared" si="51"/>
        <v>#N/A</v>
      </c>
      <c r="Z108" s="580">
        <f t="shared" si="63"/>
        <v>3</v>
      </c>
      <c r="AA108" s="176" t="e">
        <f t="shared" si="52"/>
        <v>#N/A</v>
      </c>
      <c r="AB108" s="176" t="e">
        <f t="shared" ref="AB108:AB111" si="66">IF(W108=0,0,(($AW$106*Z108)-(X108+T108)*$AW$110)/W108)</f>
        <v>#N/A</v>
      </c>
      <c r="AC108" s="590" t="e">
        <f t="shared" si="57"/>
        <v>#N/A</v>
      </c>
      <c r="AD108" s="590" t="e">
        <f t="shared" ref="AD108:AD111" si="67">AC108</f>
        <v>#N/A</v>
      </c>
      <c r="AG108" s="581" t="s">
        <v>1540</v>
      </c>
      <c r="AH108" s="590" t="e">
        <f>(AH106+AH107)*24</f>
        <v>#N/A</v>
      </c>
      <c r="AI108" s="590" t="e">
        <f t="shared" ref="AI108:AS108" si="68">(AI106+AI107)*24</f>
        <v>#N/A</v>
      </c>
      <c r="AJ108" s="590" t="e">
        <f t="shared" si="68"/>
        <v>#N/A</v>
      </c>
      <c r="AK108" s="590" t="e">
        <f t="shared" si="68"/>
        <v>#N/A</v>
      </c>
      <c r="AL108" s="590" t="e">
        <f t="shared" si="68"/>
        <v>#N/A</v>
      </c>
      <c r="AM108" s="590" t="e">
        <f t="shared" si="68"/>
        <v>#N/A</v>
      </c>
      <c r="AN108" s="590" t="e">
        <f t="shared" si="68"/>
        <v>#N/A</v>
      </c>
      <c r="AO108" s="590" t="e">
        <f t="shared" si="68"/>
        <v>#N/A</v>
      </c>
      <c r="AP108" s="590" t="e">
        <f t="shared" si="68"/>
        <v>#N/A</v>
      </c>
      <c r="AQ108" s="590" t="e">
        <f t="shared" si="68"/>
        <v>#N/A</v>
      </c>
      <c r="AR108" s="590" t="e">
        <f t="shared" si="68"/>
        <v>#N/A</v>
      </c>
      <c r="AS108" s="590" t="e">
        <f t="shared" si="68"/>
        <v>#N/A</v>
      </c>
      <c r="AV108" s="148" t="s">
        <v>1207</v>
      </c>
      <c r="AW108" s="148">
        <f>ENERGÍA!AY114</f>
        <v>0</v>
      </c>
    </row>
    <row r="109" spans="2:50" ht="15" customHeight="1">
      <c r="B109" s="581" t="s">
        <v>225</v>
      </c>
      <c r="C109" s="604"/>
      <c r="D109" s="604"/>
      <c r="E109" s="604"/>
      <c r="F109" s="604"/>
      <c r="G109" s="604"/>
      <c r="H109" s="176" t="e">
        <f t="shared" si="43"/>
        <v>#N/A</v>
      </c>
      <c r="I109" s="176" t="e">
        <f t="shared" si="44"/>
        <v>#N/A</v>
      </c>
      <c r="J109" s="604"/>
      <c r="K109" s="604"/>
      <c r="L109" s="604"/>
      <c r="O109" s="590" t="e">
        <f t="shared" si="45"/>
        <v>#N/A</v>
      </c>
      <c r="P109" s="176">
        <f t="shared" si="60"/>
        <v>6</v>
      </c>
      <c r="Q109" s="580" t="e">
        <f t="shared" si="46"/>
        <v>#N/A</v>
      </c>
      <c r="R109" s="580">
        <f t="shared" si="61"/>
        <v>5.8</v>
      </c>
      <c r="S109" s="590" t="e">
        <f t="shared" si="47"/>
        <v>#N/A</v>
      </c>
      <c r="T109" s="176" t="e">
        <f t="shared" si="48"/>
        <v>#N/A</v>
      </c>
      <c r="U109" s="580">
        <f t="shared" si="62"/>
        <v>300</v>
      </c>
      <c r="V109" s="176" t="e">
        <f t="shared" si="49"/>
        <v>#N/A</v>
      </c>
      <c r="W109" s="605" t="e">
        <f>IF($R$35=2,0,IF($R$35=4,0,IF($R$35=6,$O$35/6,IF($R$35=8,$O$35/8,IF($R$35=9,$O$35/9)))))</f>
        <v>#N/A</v>
      </c>
      <c r="X109" s="606" t="e">
        <f t="shared" si="50"/>
        <v>#N/A</v>
      </c>
      <c r="Y109" s="606" t="e">
        <f t="shared" si="51"/>
        <v>#N/A</v>
      </c>
      <c r="Z109" s="580">
        <f t="shared" si="63"/>
        <v>3</v>
      </c>
      <c r="AA109" s="176" t="e">
        <f t="shared" si="52"/>
        <v>#N/A</v>
      </c>
      <c r="AB109" s="176" t="e">
        <f t="shared" si="66"/>
        <v>#N/A</v>
      </c>
      <c r="AC109" s="590" t="e">
        <f t="shared" si="57"/>
        <v>#N/A</v>
      </c>
      <c r="AD109" s="590" t="e">
        <f t="shared" si="67"/>
        <v>#N/A</v>
      </c>
      <c r="AW109" s="580"/>
    </row>
    <row r="110" spans="2:50" ht="15" customHeight="1">
      <c r="B110" s="581" t="s">
        <v>225</v>
      </c>
      <c r="C110" s="604"/>
      <c r="D110" s="604"/>
      <c r="E110" s="604"/>
      <c r="F110" s="604"/>
      <c r="G110" s="604"/>
      <c r="H110" s="176" t="e">
        <f t="shared" si="43"/>
        <v>#N/A</v>
      </c>
      <c r="I110" s="176" t="e">
        <f t="shared" si="44"/>
        <v>#N/A</v>
      </c>
      <c r="J110" s="604"/>
      <c r="K110" s="604"/>
      <c r="L110" s="604"/>
      <c r="O110" s="590" t="e">
        <f t="shared" si="45"/>
        <v>#N/A</v>
      </c>
      <c r="P110" s="176">
        <f t="shared" si="60"/>
        <v>6</v>
      </c>
      <c r="Q110" s="580" t="e">
        <f t="shared" si="46"/>
        <v>#N/A</v>
      </c>
      <c r="R110" s="580">
        <f t="shared" si="61"/>
        <v>5.8</v>
      </c>
      <c r="S110" s="590" t="e">
        <f t="shared" si="47"/>
        <v>#N/A</v>
      </c>
      <c r="T110" s="176" t="e">
        <f t="shared" si="48"/>
        <v>#N/A</v>
      </c>
      <c r="U110" s="580">
        <f t="shared" si="62"/>
        <v>300</v>
      </c>
      <c r="V110" s="176" t="e">
        <f t="shared" si="49"/>
        <v>#N/A</v>
      </c>
      <c r="W110" s="605" t="e">
        <f>IF($R$35=2,0,IF($R$35=4,0,IF($R$35=6,0,IF($R$35=8,$O$35/8,IF($R$35=9,$O$35/9)))))</f>
        <v>#N/A</v>
      </c>
      <c r="X110" s="606" t="e">
        <f t="shared" si="50"/>
        <v>#N/A</v>
      </c>
      <c r="Y110" s="606" t="e">
        <f t="shared" si="51"/>
        <v>#N/A</v>
      </c>
      <c r="Z110" s="580">
        <f t="shared" si="63"/>
        <v>3</v>
      </c>
      <c r="AA110" s="176" t="e">
        <f t="shared" si="52"/>
        <v>#N/A</v>
      </c>
      <c r="AB110" s="176" t="e">
        <f t="shared" si="66"/>
        <v>#N/A</v>
      </c>
      <c r="AC110" s="590" t="e">
        <f t="shared" si="57"/>
        <v>#N/A</v>
      </c>
      <c r="AD110" s="590" t="e">
        <f t="shared" si="67"/>
        <v>#N/A</v>
      </c>
      <c r="AV110" s="148" t="s">
        <v>1206</v>
      </c>
      <c r="AW110" s="148">
        <f>ENERGÍA!AY116</f>
        <v>0</v>
      </c>
    </row>
    <row r="111" spans="2:50" ht="15" customHeight="1">
      <c r="B111" s="581" t="s">
        <v>225</v>
      </c>
      <c r="C111" s="604"/>
      <c r="D111" s="604"/>
      <c r="E111" s="604"/>
      <c r="F111" s="604"/>
      <c r="G111" s="604"/>
      <c r="H111" s="176" t="e">
        <f t="shared" si="43"/>
        <v>#N/A</v>
      </c>
      <c r="I111" s="176" t="e">
        <f t="shared" si="44"/>
        <v>#N/A</v>
      </c>
      <c r="J111" s="604"/>
      <c r="K111" s="604"/>
      <c r="L111" s="604"/>
      <c r="O111" s="590" t="e">
        <f t="shared" si="45"/>
        <v>#N/A</v>
      </c>
      <c r="P111" s="176">
        <f t="shared" si="60"/>
        <v>6</v>
      </c>
      <c r="Q111" s="580" t="e">
        <f t="shared" si="46"/>
        <v>#N/A</v>
      </c>
      <c r="R111" s="580">
        <f t="shared" si="61"/>
        <v>5.8</v>
      </c>
      <c r="S111" s="590" t="e">
        <f t="shared" si="47"/>
        <v>#N/A</v>
      </c>
      <c r="T111" s="176" t="e">
        <f t="shared" si="48"/>
        <v>#N/A</v>
      </c>
      <c r="U111" s="580">
        <f t="shared" si="62"/>
        <v>300</v>
      </c>
      <c r="V111" s="176" t="e">
        <f t="shared" si="49"/>
        <v>#N/A</v>
      </c>
      <c r="W111" s="605" t="e">
        <f>IF($R$35=2,0,IF($R$35=4,0,IF($R$35=6,0,IF($R$35=8,$O$35/8,IF($R$35=9,$O$35/9)))))</f>
        <v>#N/A</v>
      </c>
      <c r="X111" s="606" t="e">
        <f t="shared" si="50"/>
        <v>#N/A</v>
      </c>
      <c r="Y111" s="606" t="e">
        <f t="shared" si="51"/>
        <v>#N/A</v>
      </c>
      <c r="Z111" s="580">
        <f t="shared" si="63"/>
        <v>3</v>
      </c>
      <c r="AA111" s="176" t="e">
        <f t="shared" si="52"/>
        <v>#N/A</v>
      </c>
      <c r="AB111" s="176" t="e">
        <f t="shared" si="66"/>
        <v>#N/A</v>
      </c>
      <c r="AC111" s="590" t="e">
        <f t="shared" si="57"/>
        <v>#N/A</v>
      </c>
      <c r="AD111" s="590" t="e">
        <f t="shared" si="67"/>
        <v>#N/A</v>
      </c>
      <c r="AG111" s="581" t="s">
        <v>1541</v>
      </c>
      <c r="AH111" s="580">
        <f t="shared" ref="AH111:AS111" si="69">AH64*24</f>
        <v>0</v>
      </c>
      <c r="AI111" s="580">
        <f t="shared" si="69"/>
        <v>0</v>
      </c>
      <c r="AJ111" s="580">
        <f t="shared" si="69"/>
        <v>0</v>
      </c>
      <c r="AK111" s="580">
        <f t="shared" si="69"/>
        <v>0</v>
      </c>
      <c r="AL111" s="580">
        <f t="shared" si="69"/>
        <v>0</v>
      </c>
      <c r="AM111" s="580">
        <f t="shared" si="69"/>
        <v>0</v>
      </c>
      <c r="AN111" s="580">
        <f t="shared" si="69"/>
        <v>0</v>
      </c>
      <c r="AO111" s="580">
        <f t="shared" si="69"/>
        <v>0</v>
      </c>
      <c r="AP111" s="580">
        <f t="shared" si="69"/>
        <v>0</v>
      </c>
      <c r="AQ111" s="580">
        <f t="shared" si="69"/>
        <v>0</v>
      </c>
      <c r="AR111" s="580">
        <f t="shared" si="69"/>
        <v>0</v>
      </c>
      <c r="AS111" s="580">
        <f t="shared" si="69"/>
        <v>0</v>
      </c>
      <c r="AW111" s="580"/>
    </row>
    <row r="112" spans="2:50" ht="15" customHeight="1">
      <c r="B112" s="581" t="s">
        <v>225</v>
      </c>
      <c r="C112" s="604"/>
      <c r="D112" s="604"/>
      <c r="E112" s="604"/>
      <c r="F112" s="604"/>
      <c r="G112" s="604"/>
      <c r="H112" s="176" t="e">
        <f t="shared" si="43"/>
        <v>#N/A</v>
      </c>
      <c r="I112" s="176" t="e">
        <f t="shared" si="44"/>
        <v>#N/A</v>
      </c>
      <c r="J112" s="604"/>
      <c r="K112" s="604"/>
      <c r="L112" s="604"/>
      <c r="O112" s="590" t="e">
        <f t="shared" si="45"/>
        <v>#N/A</v>
      </c>
      <c r="P112" s="176">
        <f t="shared" si="60"/>
        <v>6</v>
      </c>
      <c r="Q112" s="580" t="e">
        <f t="shared" si="46"/>
        <v>#N/A</v>
      </c>
      <c r="R112" s="580">
        <f t="shared" si="61"/>
        <v>5.8</v>
      </c>
      <c r="S112" s="590" t="e">
        <f t="shared" si="47"/>
        <v>#N/A</v>
      </c>
      <c r="T112" s="176" t="e">
        <f t="shared" si="48"/>
        <v>#N/A</v>
      </c>
      <c r="U112" s="580">
        <f t="shared" si="62"/>
        <v>300</v>
      </c>
      <c r="V112" s="176" t="e">
        <f t="shared" si="49"/>
        <v>#N/A</v>
      </c>
      <c r="W112" s="605" t="e">
        <f>IF($R$35=2,0,IF($R$35=4,0,IF($R$35=6,0,IF($R$35=8,0,IF($R$35=9,$O$35/9)))))</f>
        <v>#N/A</v>
      </c>
      <c r="X112" s="606" t="e">
        <f t="shared" si="50"/>
        <v>#N/A</v>
      </c>
      <c r="Y112" s="606" t="e">
        <f t="shared" si="51"/>
        <v>#N/A</v>
      </c>
      <c r="Z112" s="580">
        <f t="shared" si="63"/>
        <v>3</v>
      </c>
      <c r="AA112" s="176" t="e">
        <f t="shared" si="52"/>
        <v>#N/A</v>
      </c>
      <c r="AB112" s="176" t="e">
        <f t="shared" ref="AB112" si="70">IF(W112=0,0,(($AW$106*Z112)-(X112+T112)*$AW$110)/W112)</f>
        <v>#N/A</v>
      </c>
      <c r="AC112" s="590" t="e">
        <f t="shared" si="57"/>
        <v>#N/A</v>
      </c>
      <c r="AD112" s="590" t="e">
        <f t="shared" ref="AD112" si="71">AC112</f>
        <v>#N/A</v>
      </c>
      <c r="AG112" s="581" t="s">
        <v>1545</v>
      </c>
      <c r="AH112" s="580">
        <f>(AH66*24/100)</f>
        <v>4.32</v>
      </c>
      <c r="AI112" s="580">
        <f t="shared" ref="AI112:AS112" si="72">(AI66*24/100)</f>
        <v>4.32</v>
      </c>
      <c r="AJ112" s="580">
        <f t="shared" si="72"/>
        <v>4.32</v>
      </c>
      <c r="AK112" s="580">
        <f t="shared" si="72"/>
        <v>4.32</v>
      </c>
      <c r="AL112" s="580">
        <f t="shared" si="72"/>
        <v>4.32</v>
      </c>
      <c r="AM112" s="580">
        <f t="shared" si="72"/>
        <v>4.32</v>
      </c>
      <c r="AN112" s="580">
        <f t="shared" si="72"/>
        <v>4.32</v>
      </c>
      <c r="AO112" s="580">
        <f t="shared" si="72"/>
        <v>4.32</v>
      </c>
      <c r="AP112" s="580">
        <f t="shared" si="72"/>
        <v>4.32</v>
      </c>
      <c r="AQ112" s="580">
        <f t="shared" si="72"/>
        <v>4.32</v>
      </c>
      <c r="AR112" s="580">
        <f t="shared" si="72"/>
        <v>4.32</v>
      </c>
      <c r="AS112" s="580">
        <f t="shared" si="72"/>
        <v>4.32</v>
      </c>
      <c r="AV112" s="580" t="s">
        <v>1405</v>
      </c>
      <c r="AW112" s="148">
        <f>ENERGÍA!AY118</f>
        <v>0</v>
      </c>
    </row>
    <row r="113" spans="1:50" ht="15" customHeight="1">
      <c r="D113" s="126"/>
      <c r="E113" s="126"/>
      <c r="K113" s="126"/>
      <c r="L113" s="126"/>
      <c r="Q113" s="126"/>
      <c r="R113" s="126"/>
      <c r="V113" s="126"/>
      <c r="X113" s="126"/>
      <c r="AV113" s="580"/>
      <c r="AW113" s="580"/>
    </row>
    <row r="114" spans="1:50" ht="15" customHeight="1">
      <c r="D114" s="126"/>
      <c r="E114" s="126"/>
      <c r="K114" s="126"/>
      <c r="L114" s="126"/>
      <c r="Q114" s="126"/>
      <c r="R114" s="126"/>
      <c r="V114" s="126"/>
      <c r="X114" s="126"/>
      <c r="AG114" s="581" t="s">
        <v>1544</v>
      </c>
      <c r="AH114" s="590" t="e">
        <f>IF(($AW$59-AH62)&lt;0,0,(($AW$59-AH62)*24)*AH112-AH108)</f>
        <v>#N/A</v>
      </c>
      <c r="AI114" s="590" t="e">
        <f t="shared" ref="AI114:AS114" si="73">IF(($AW$59-AI62)&lt;0,0,(($AW$59-AI62)*24)*AI112-AI108)</f>
        <v>#N/A</v>
      </c>
      <c r="AJ114" s="590" t="e">
        <f t="shared" si="73"/>
        <v>#N/A</v>
      </c>
      <c r="AK114" s="590" t="e">
        <f t="shared" si="73"/>
        <v>#N/A</v>
      </c>
      <c r="AL114" s="590" t="e">
        <f t="shared" si="73"/>
        <v>#N/A</v>
      </c>
      <c r="AM114" s="590" t="e">
        <f t="shared" si="73"/>
        <v>#N/A</v>
      </c>
      <c r="AN114" s="590" t="e">
        <f t="shared" si="73"/>
        <v>#N/A</v>
      </c>
      <c r="AO114" s="590" t="e">
        <f t="shared" si="73"/>
        <v>#N/A</v>
      </c>
      <c r="AP114" s="590" t="e">
        <f t="shared" si="73"/>
        <v>#N/A</v>
      </c>
      <c r="AQ114" s="590" t="e">
        <f t="shared" si="73"/>
        <v>#N/A</v>
      </c>
      <c r="AR114" s="590" t="e">
        <f t="shared" si="73"/>
        <v>#N/A</v>
      </c>
      <c r="AS114" s="590" t="e">
        <f t="shared" si="73"/>
        <v>#N/A</v>
      </c>
      <c r="AV114" s="580" t="s">
        <v>1406</v>
      </c>
      <c r="AW114" s="148">
        <f>ENERGÍA!AY120</f>
        <v>0</v>
      </c>
    </row>
    <row r="115" spans="1:50" ht="15" customHeight="1">
      <c r="C115" s="1323" t="s">
        <v>1204</v>
      </c>
      <c r="D115" s="1323"/>
      <c r="E115" s="580" t="s">
        <v>1185</v>
      </c>
      <c r="F115" s="580" t="s">
        <v>1186</v>
      </c>
      <c r="G115" s="580" t="s">
        <v>227</v>
      </c>
      <c r="K115" s="126"/>
      <c r="L115" s="126"/>
      <c r="Q115" s="126"/>
      <c r="R115" s="126"/>
      <c r="V115" s="126"/>
      <c r="X115" s="126"/>
      <c r="AH115" s="590" t="e">
        <f>IF(AH114&lt;0,0,AH114)</f>
        <v>#N/A</v>
      </c>
      <c r="AI115" s="590" t="e">
        <f t="shared" ref="AI115:AS115" si="74">IF(AI114&lt;0,0,AI114)</f>
        <v>#N/A</v>
      </c>
      <c r="AJ115" s="590" t="e">
        <f t="shared" si="74"/>
        <v>#N/A</v>
      </c>
      <c r="AK115" s="590" t="e">
        <f t="shared" si="74"/>
        <v>#N/A</v>
      </c>
      <c r="AL115" s="590" t="e">
        <f t="shared" si="74"/>
        <v>#N/A</v>
      </c>
      <c r="AM115" s="590" t="e">
        <f t="shared" si="74"/>
        <v>#N/A</v>
      </c>
      <c r="AN115" s="590" t="e">
        <f t="shared" si="74"/>
        <v>#N/A</v>
      </c>
      <c r="AO115" s="590" t="e">
        <f t="shared" si="74"/>
        <v>#N/A</v>
      </c>
      <c r="AP115" s="590" t="e">
        <f t="shared" si="74"/>
        <v>#N/A</v>
      </c>
      <c r="AQ115" s="590" t="e">
        <f t="shared" si="74"/>
        <v>#N/A</v>
      </c>
      <c r="AR115" s="590" t="e">
        <f t="shared" si="74"/>
        <v>#N/A</v>
      </c>
      <c r="AS115" s="590" t="e">
        <f t="shared" si="74"/>
        <v>#N/A</v>
      </c>
      <c r="AW115" s="580"/>
    </row>
    <row r="116" spans="1:50" ht="15" customHeight="1">
      <c r="B116" s="581" t="s">
        <v>768</v>
      </c>
      <c r="C116" s="1324"/>
      <c r="D116" s="1324"/>
      <c r="E116" s="589">
        <f>ENERGÍA!F122</f>
        <v>0</v>
      </c>
      <c r="F116" s="589">
        <f>ENERGÍA!G122</f>
        <v>0</v>
      </c>
      <c r="G116" s="589">
        <f>ENERGÍA!H122</f>
        <v>0</v>
      </c>
      <c r="K116" s="126"/>
      <c r="L116" s="126"/>
      <c r="T116" s="590">
        <f>ENERGÍA!U122</f>
        <v>0</v>
      </c>
      <c r="V116" s="126"/>
      <c r="X116" s="126"/>
      <c r="AC116" s="590">
        <f>T116*E116*F116</f>
        <v>0</v>
      </c>
      <c r="AD116" s="590">
        <f>AC116</f>
        <v>0</v>
      </c>
      <c r="AG116" s="1339" t="s">
        <v>1542</v>
      </c>
      <c r="AH116" s="1339"/>
      <c r="AI116" s="1339"/>
      <c r="AJ116" s="1339"/>
      <c r="AK116" s="1339"/>
      <c r="AL116" s="1339"/>
      <c r="AM116" s="1339"/>
      <c r="AN116" s="1339"/>
      <c r="AO116" s="1339"/>
      <c r="AP116" s="1339"/>
      <c r="AQ116" s="1339"/>
      <c r="AR116" s="1339"/>
      <c r="AS116" s="1339"/>
      <c r="AW116" s="580"/>
    </row>
    <row r="117" spans="1:50" ht="6" customHeight="1">
      <c r="J117" s="580"/>
      <c r="L117" s="126"/>
      <c r="V117" s="148"/>
      <c r="Z117" s="580"/>
      <c r="AA117" s="580"/>
      <c r="AW117" s="580"/>
    </row>
    <row r="118" spans="1:50" ht="15" customHeight="1">
      <c r="B118" s="1323">
        <f>C36</f>
        <v>0</v>
      </c>
      <c r="C118" s="1323"/>
      <c r="D118" s="1323"/>
      <c r="E118" s="1323"/>
      <c r="F118" s="1323"/>
      <c r="G118" s="1323"/>
      <c r="H118" s="1323"/>
      <c r="I118" s="1323"/>
      <c r="J118" s="1323"/>
      <c r="K118" s="1323"/>
      <c r="L118" s="1323"/>
      <c r="O118" s="1284">
        <f>B118</f>
        <v>0</v>
      </c>
      <c r="P118" s="1338"/>
      <c r="Q118" s="1338"/>
      <c r="R118" s="1338"/>
      <c r="S118" s="1338"/>
      <c r="T118" s="1338"/>
      <c r="U118" s="1338"/>
      <c r="V118" s="1338"/>
      <c r="W118" s="1338"/>
      <c r="X118" s="1338"/>
      <c r="Y118" s="1338"/>
      <c r="Z118" s="1338"/>
      <c r="AA118" s="1338"/>
      <c r="AB118" s="1338"/>
      <c r="AC118" s="1338"/>
      <c r="AD118" s="1338"/>
      <c r="AE118" s="1285"/>
      <c r="AG118" s="581" t="s">
        <v>1656</v>
      </c>
      <c r="AH118" s="590" t="e">
        <f>AH98*AH108*24/500</f>
        <v>#N/A</v>
      </c>
      <c r="AI118" s="590" t="e">
        <f t="shared" ref="AI118:AS118" si="75">AI98*AI108*24/500</f>
        <v>#N/A</v>
      </c>
      <c r="AJ118" s="590" t="e">
        <f t="shared" si="75"/>
        <v>#N/A</v>
      </c>
      <c r="AK118" s="590" t="e">
        <f t="shared" si="75"/>
        <v>#N/A</v>
      </c>
      <c r="AL118" s="590" t="e">
        <f t="shared" si="75"/>
        <v>#N/A</v>
      </c>
      <c r="AM118" s="590" t="e">
        <f t="shared" si="75"/>
        <v>#N/A</v>
      </c>
      <c r="AN118" s="590" t="e">
        <f t="shared" si="75"/>
        <v>#N/A</v>
      </c>
      <c r="AO118" s="590" t="e">
        <f t="shared" si="75"/>
        <v>#N/A</v>
      </c>
      <c r="AP118" s="590" t="e">
        <f t="shared" si="75"/>
        <v>#N/A</v>
      </c>
      <c r="AQ118" s="590" t="e">
        <f t="shared" si="75"/>
        <v>#N/A</v>
      </c>
      <c r="AR118" s="590" t="e">
        <f t="shared" si="75"/>
        <v>#N/A</v>
      </c>
      <c r="AS118" s="590" t="e">
        <f t="shared" si="75"/>
        <v>#N/A</v>
      </c>
      <c r="AW118" s="580"/>
    </row>
    <row r="119" spans="1:50" ht="6" customHeight="1">
      <c r="L119" s="126"/>
      <c r="V119" s="148"/>
      <c r="Z119" s="580"/>
      <c r="AA119" s="580"/>
      <c r="AF119" s="597"/>
      <c r="AW119" s="580"/>
    </row>
    <row r="120" spans="1:50" ht="15" customHeight="1">
      <c r="B120" s="1273"/>
      <c r="C120" s="1323" t="s">
        <v>1184</v>
      </c>
      <c r="D120" s="1323"/>
      <c r="E120" s="1323"/>
      <c r="F120" s="1323" t="s">
        <v>1188</v>
      </c>
      <c r="G120" s="1323"/>
      <c r="H120" s="1323" t="s">
        <v>1203</v>
      </c>
      <c r="I120" s="1323"/>
      <c r="J120" s="1281" t="s">
        <v>790</v>
      </c>
      <c r="K120" s="1281" t="s">
        <v>1136</v>
      </c>
      <c r="L120" s="1281"/>
      <c r="O120" s="580" t="s">
        <v>1651</v>
      </c>
      <c r="P120" s="1281" t="s">
        <v>1064</v>
      </c>
      <c r="Q120" s="580" t="s">
        <v>1652</v>
      </c>
      <c r="R120" s="1273" t="s">
        <v>1191</v>
      </c>
      <c r="S120" s="580" t="s">
        <v>1190</v>
      </c>
      <c r="T120" s="1273" t="s">
        <v>1192</v>
      </c>
      <c r="U120" s="1323" t="s">
        <v>1653</v>
      </c>
      <c r="V120" s="1323"/>
      <c r="W120" s="580" t="s">
        <v>1654</v>
      </c>
      <c r="X120" s="1273" t="s">
        <v>1403</v>
      </c>
      <c r="Y120" s="1273" t="s">
        <v>1404</v>
      </c>
      <c r="Z120" s="1273" t="s">
        <v>1210</v>
      </c>
      <c r="AA120" s="1273" t="s">
        <v>1201</v>
      </c>
      <c r="AB120" s="1273" t="s">
        <v>1202</v>
      </c>
      <c r="AC120" s="1281" t="s">
        <v>850</v>
      </c>
      <c r="AD120" s="1281" t="str">
        <f>AC120</f>
        <v>W/K Inv</v>
      </c>
      <c r="AE120" s="226" t="s">
        <v>1017</v>
      </c>
      <c r="AF120" s="597"/>
      <c r="AG120" s="581" t="s">
        <v>760</v>
      </c>
      <c r="AH120" s="590">
        <f>(AD60/0.2)*31/1000*(6.1/6)</f>
        <v>0</v>
      </c>
      <c r="AI120" s="590">
        <f>AH120</f>
        <v>0</v>
      </c>
      <c r="AJ120" s="590">
        <f t="shared" ref="AJ120:AS120" si="76">AI120</f>
        <v>0</v>
      </c>
      <c r="AK120" s="590">
        <f t="shared" si="76"/>
        <v>0</v>
      </c>
      <c r="AL120" s="590">
        <f t="shared" si="76"/>
        <v>0</v>
      </c>
      <c r="AM120" s="590">
        <f t="shared" si="76"/>
        <v>0</v>
      </c>
      <c r="AN120" s="590">
        <f t="shared" si="76"/>
        <v>0</v>
      </c>
      <c r="AO120" s="590">
        <f t="shared" si="76"/>
        <v>0</v>
      </c>
      <c r="AP120" s="590">
        <f t="shared" si="76"/>
        <v>0</v>
      </c>
      <c r="AQ120" s="590">
        <f t="shared" si="76"/>
        <v>0</v>
      </c>
      <c r="AR120" s="590">
        <f t="shared" si="76"/>
        <v>0</v>
      </c>
      <c r="AS120" s="590">
        <f t="shared" si="76"/>
        <v>0</v>
      </c>
    </row>
    <row r="121" spans="1:50" ht="15" customHeight="1">
      <c r="B121" s="1273"/>
      <c r="C121" s="148" t="s">
        <v>623</v>
      </c>
      <c r="D121" s="580" t="s">
        <v>1185</v>
      </c>
      <c r="E121" s="580" t="s">
        <v>1186</v>
      </c>
      <c r="F121" s="580" t="s">
        <v>623</v>
      </c>
      <c r="G121" s="580" t="s">
        <v>1189</v>
      </c>
      <c r="H121" s="580" t="s">
        <v>757</v>
      </c>
      <c r="I121" s="580" t="s">
        <v>650</v>
      </c>
      <c r="J121" s="1281"/>
      <c r="K121" s="166" t="s">
        <v>623</v>
      </c>
      <c r="L121" s="602" t="s">
        <v>1122</v>
      </c>
      <c r="O121" s="580" t="s">
        <v>1187</v>
      </c>
      <c r="P121" s="1281"/>
      <c r="Q121" s="580" t="s">
        <v>1187</v>
      </c>
      <c r="R121" s="1273"/>
      <c r="S121" s="580" t="s">
        <v>18</v>
      </c>
      <c r="T121" s="1273"/>
      <c r="U121" s="580" t="s">
        <v>1199</v>
      </c>
      <c r="V121" s="148" t="s">
        <v>1200</v>
      </c>
      <c r="W121" s="176" t="s">
        <v>1187</v>
      </c>
      <c r="X121" s="1273"/>
      <c r="Y121" s="1273"/>
      <c r="Z121" s="1273"/>
      <c r="AA121" s="1273"/>
      <c r="AB121" s="1273"/>
      <c r="AC121" s="1281"/>
      <c r="AD121" s="1281"/>
      <c r="AE121" s="603" t="e">
        <f>Q36</f>
        <v>#N/A</v>
      </c>
      <c r="AF121" s="597"/>
      <c r="AG121" s="608" t="s">
        <v>762</v>
      </c>
      <c r="AH121" s="590">
        <f>AK121*AH72/30</f>
        <v>71.3</v>
      </c>
      <c r="AI121" s="590">
        <f>AK121*AI72/30</f>
        <v>64.400000000000006</v>
      </c>
      <c r="AJ121" s="590">
        <f>AH121</f>
        <v>71.3</v>
      </c>
      <c r="AK121" s="590">
        <f>AJ50</f>
        <v>69</v>
      </c>
      <c r="AL121" s="590">
        <f>AJ121</f>
        <v>71.3</v>
      </c>
      <c r="AM121" s="590">
        <f>AK121</f>
        <v>69</v>
      </c>
      <c r="AN121" s="590">
        <f>AJ121</f>
        <v>71.3</v>
      </c>
      <c r="AO121" s="590">
        <f>AJ121</f>
        <v>71.3</v>
      </c>
      <c r="AP121" s="590">
        <f>AK121</f>
        <v>69</v>
      </c>
      <c r="AQ121" s="590">
        <f>AJ121</f>
        <v>71.3</v>
      </c>
      <c r="AR121" s="590">
        <f>AK121</f>
        <v>69</v>
      </c>
      <c r="AS121" s="590">
        <f>AJ121</f>
        <v>71.3</v>
      </c>
    </row>
    <row r="122" spans="1:50" s="173" customFormat="1" ht="15" customHeight="1">
      <c r="A122" s="126"/>
      <c r="B122" s="581" t="s">
        <v>225</v>
      </c>
      <c r="C122" s="604"/>
      <c r="D122" s="604"/>
      <c r="E122" s="604"/>
      <c r="F122" s="604"/>
      <c r="G122" s="604"/>
      <c r="H122" s="176" t="e">
        <f t="shared" ref="H122:H130" si="77">IF(W122=0,"-",IF($O$4=6,"No Aplica",HLOOKUP(AA122,ZONA2,2,TRUE)))</f>
        <v>#N/A</v>
      </c>
      <c r="I122" s="176" t="e">
        <f t="shared" ref="I122:I130" si="78">IF(W122=0,"-",IF($O$4=6,HLOOKUP(AB122,ZONA3,2,TRUE),HLOOKUP(AB122,ZONA1,2,TRUE)))</f>
        <v>#N/A</v>
      </c>
      <c r="J122" s="604"/>
      <c r="K122" s="604"/>
      <c r="L122" s="604"/>
      <c r="M122" s="126"/>
      <c r="N122" s="126"/>
      <c r="O122" s="590" t="e">
        <f t="shared" ref="O122:O130" si="79">$W$104-Q122</f>
        <v>#N/A</v>
      </c>
      <c r="P122" s="176">
        <f>P112</f>
        <v>6</v>
      </c>
      <c r="Q122" s="580" t="e">
        <f t="shared" ref="Q122:Q130" si="80">W122*0.02</f>
        <v>#N/A</v>
      </c>
      <c r="R122" s="580">
        <f>R112</f>
        <v>5.8</v>
      </c>
      <c r="S122" s="590" t="e">
        <f t="shared" ref="S122:S130" si="81">(W122/2)+2</f>
        <v>#N/A</v>
      </c>
      <c r="T122" s="176" t="e">
        <f t="shared" ref="T122:T130" si="82">((O122*P122)+(Q122*R122)+(S122*0.02))/W122</f>
        <v>#N/A</v>
      </c>
      <c r="U122" s="580">
        <f>U112</f>
        <v>300</v>
      </c>
      <c r="V122" s="176" t="e">
        <f t="shared" ref="V122:V130" si="83">IF(W122=0,0,U122*W122)</f>
        <v>#N/A</v>
      </c>
      <c r="W122" s="605" t="e">
        <f t="shared" ref="W122:W123" si="84">IF($R$36=2,$O$36/2,IF($R$36=4,$O$36/4,IF($R$36=6,$O$36/6,IF($R$36=8,$O$36/8,IF($R$36=9,$O$36/9)))))</f>
        <v>#N/A</v>
      </c>
      <c r="X122" s="606" t="e">
        <f t="shared" ref="X122:X130" si="85">(V122*$AW$112)</f>
        <v>#N/A</v>
      </c>
      <c r="Y122" s="606" t="e">
        <f t="shared" ref="Y122:Y130" si="86">V122*$AW$114</f>
        <v>#N/A</v>
      </c>
      <c r="Z122" s="580">
        <f>Z112</f>
        <v>3</v>
      </c>
      <c r="AA122" s="176" t="e">
        <f t="shared" ref="AA122:AA130" si="87">IF(W122=0,0,(($AW$104*Z122)+X122+(T122*$AW$108))/W122)</f>
        <v>#N/A</v>
      </c>
      <c r="AB122" s="176" t="e">
        <f t="shared" ref="AB122:AB130" si="88">IF(W122=0,0,(($AW$106*Z122)-(X122+T122)*$AW$110)/W122)</f>
        <v>#N/A</v>
      </c>
      <c r="AC122" s="590" t="e">
        <f t="shared" ref="AC122:AC130" si="89">IF(W122=0,0,(T122*O122))</f>
        <v>#N/A</v>
      </c>
      <c r="AD122" s="590" t="e">
        <f t="shared" ref="AD122:AD130" si="90">AC122</f>
        <v>#N/A</v>
      </c>
      <c r="AE122" s="126"/>
      <c r="AF122" s="126"/>
      <c r="AG122" s="581" t="s">
        <v>1033</v>
      </c>
      <c r="AH122" s="590" t="e">
        <f t="shared" ref="AH122:AS122" si="91">AH80*23*AH72/1000</f>
        <v>#N/A</v>
      </c>
      <c r="AI122" s="590" t="e">
        <f t="shared" si="91"/>
        <v>#N/A</v>
      </c>
      <c r="AJ122" s="590" t="e">
        <f t="shared" si="91"/>
        <v>#N/A</v>
      </c>
      <c r="AK122" s="590" t="e">
        <f t="shared" si="91"/>
        <v>#N/A</v>
      </c>
      <c r="AL122" s="590" t="e">
        <f t="shared" si="91"/>
        <v>#N/A</v>
      </c>
      <c r="AM122" s="590" t="e">
        <f t="shared" si="91"/>
        <v>#N/A</v>
      </c>
      <c r="AN122" s="590" t="e">
        <f t="shared" si="91"/>
        <v>#N/A</v>
      </c>
      <c r="AO122" s="590" t="e">
        <f t="shared" si="91"/>
        <v>#N/A</v>
      </c>
      <c r="AP122" s="590" t="e">
        <f t="shared" si="91"/>
        <v>#N/A</v>
      </c>
      <c r="AQ122" s="590" t="e">
        <f t="shared" si="91"/>
        <v>#N/A</v>
      </c>
      <c r="AR122" s="590" t="e">
        <f t="shared" si="91"/>
        <v>#N/A</v>
      </c>
      <c r="AS122" s="590" t="e">
        <f t="shared" si="91"/>
        <v>#N/A</v>
      </c>
      <c r="AX122" s="126"/>
    </row>
    <row r="123" spans="1:50" ht="15" customHeight="1">
      <c r="B123" s="581" t="s">
        <v>225</v>
      </c>
      <c r="C123" s="604"/>
      <c r="D123" s="604"/>
      <c r="E123" s="604"/>
      <c r="F123" s="604"/>
      <c r="G123" s="604"/>
      <c r="H123" s="176" t="e">
        <f t="shared" si="77"/>
        <v>#N/A</v>
      </c>
      <c r="I123" s="176" t="e">
        <f t="shared" si="78"/>
        <v>#N/A</v>
      </c>
      <c r="J123" s="604"/>
      <c r="K123" s="604"/>
      <c r="L123" s="604"/>
      <c r="O123" s="590" t="e">
        <f t="shared" si="79"/>
        <v>#N/A</v>
      </c>
      <c r="P123" s="176">
        <f>P122</f>
        <v>6</v>
      </c>
      <c r="Q123" s="580" t="e">
        <f t="shared" si="80"/>
        <v>#N/A</v>
      </c>
      <c r="R123" s="580">
        <f>R122</f>
        <v>5.8</v>
      </c>
      <c r="S123" s="590" t="e">
        <f t="shared" si="81"/>
        <v>#N/A</v>
      </c>
      <c r="T123" s="176" t="e">
        <f t="shared" si="82"/>
        <v>#N/A</v>
      </c>
      <c r="U123" s="580">
        <f>U122</f>
        <v>300</v>
      </c>
      <c r="V123" s="176" t="e">
        <f t="shared" si="83"/>
        <v>#N/A</v>
      </c>
      <c r="W123" s="605" t="e">
        <f t="shared" si="84"/>
        <v>#N/A</v>
      </c>
      <c r="X123" s="606" t="e">
        <f t="shared" si="85"/>
        <v>#N/A</v>
      </c>
      <c r="Y123" s="606" t="e">
        <f t="shared" si="86"/>
        <v>#N/A</v>
      </c>
      <c r="Z123" s="580">
        <f>Z122</f>
        <v>3</v>
      </c>
      <c r="AA123" s="176" t="e">
        <f t="shared" si="87"/>
        <v>#N/A</v>
      </c>
      <c r="AB123" s="176" t="e">
        <f t="shared" si="88"/>
        <v>#N/A</v>
      </c>
      <c r="AC123" s="590" t="e">
        <f t="shared" si="89"/>
        <v>#N/A</v>
      </c>
      <c r="AD123" s="590" t="e">
        <f t="shared" si="90"/>
        <v>#N/A</v>
      </c>
      <c r="AF123" s="597"/>
      <c r="AG123" s="581" t="s">
        <v>991</v>
      </c>
      <c r="AH123" s="590">
        <f t="shared" ref="AH123:AS123" si="92">AH87*31*24/1000</f>
        <v>0</v>
      </c>
      <c r="AI123" s="590">
        <f t="shared" si="92"/>
        <v>0</v>
      </c>
      <c r="AJ123" s="590">
        <f t="shared" si="92"/>
        <v>0</v>
      </c>
      <c r="AK123" s="590">
        <f t="shared" si="92"/>
        <v>0</v>
      </c>
      <c r="AL123" s="590">
        <f t="shared" si="92"/>
        <v>0</v>
      </c>
      <c r="AM123" s="590">
        <f t="shared" si="92"/>
        <v>0</v>
      </c>
      <c r="AN123" s="590">
        <f t="shared" si="92"/>
        <v>0</v>
      </c>
      <c r="AO123" s="590">
        <f t="shared" si="92"/>
        <v>0</v>
      </c>
      <c r="AP123" s="590">
        <f t="shared" si="92"/>
        <v>0</v>
      </c>
      <c r="AQ123" s="590">
        <f t="shared" si="92"/>
        <v>0</v>
      </c>
      <c r="AR123" s="590">
        <f t="shared" si="92"/>
        <v>0</v>
      </c>
      <c r="AS123" s="590">
        <f t="shared" si="92"/>
        <v>0</v>
      </c>
    </row>
    <row r="124" spans="1:50" ht="15" customHeight="1">
      <c r="B124" s="581" t="s">
        <v>225</v>
      </c>
      <c r="C124" s="604"/>
      <c r="D124" s="604"/>
      <c r="E124" s="604"/>
      <c r="F124" s="604"/>
      <c r="G124" s="604"/>
      <c r="H124" s="176" t="e">
        <f t="shared" si="77"/>
        <v>#N/A</v>
      </c>
      <c r="I124" s="176" t="e">
        <f t="shared" si="78"/>
        <v>#N/A</v>
      </c>
      <c r="J124" s="604"/>
      <c r="K124" s="604"/>
      <c r="L124" s="604"/>
      <c r="O124" s="590" t="e">
        <f t="shared" si="79"/>
        <v>#N/A</v>
      </c>
      <c r="P124" s="176">
        <f t="shared" ref="P124:P130" si="93">P123</f>
        <v>6</v>
      </c>
      <c r="Q124" s="580" t="e">
        <f t="shared" si="80"/>
        <v>#N/A</v>
      </c>
      <c r="R124" s="580">
        <f t="shared" ref="R124:R130" si="94">R123</f>
        <v>5.8</v>
      </c>
      <c r="S124" s="590" t="e">
        <f t="shared" si="81"/>
        <v>#N/A</v>
      </c>
      <c r="T124" s="176" t="e">
        <f t="shared" si="82"/>
        <v>#N/A</v>
      </c>
      <c r="U124" s="580">
        <f t="shared" ref="U124:U130" si="95">U123</f>
        <v>300</v>
      </c>
      <c r="V124" s="176" t="e">
        <f t="shared" si="83"/>
        <v>#N/A</v>
      </c>
      <c r="W124" s="605" t="e">
        <f>IF($R$36=2,0,IF($R$36=4,$O$36/4,IF($R$36=6,$O$36/6,IF($R$36=8,$O$36/8,IF($R$36=9,$O$36/9)))))</f>
        <v>#N/A</v>
      </c>
      <c r="X124" s="606" t="e">
        <f t="shared" si="85"/>
        <v>#N/A</v>
      </c>
      <c r="Y124" s="606" t="e">
        <f t="shared" si="86"/>
        <v>#N/A</v>
      </c>
      <c r="Z124" s="580">
        <f t="shared" ref="Z124:Z130" si="96">Z123</f>
        <v>3</v>
      </c>
      <c r="AA124" s="176" t="e">
        <f t="shared" si="87"/>
        <v>#N/A</v>
      </c>
      <c r="AB124" s="176" t="e">
        <f t="shared" si="88"/>
        <v>#N/A</v>
      </c>
      <c r="AC124" s="590" t="e">
        <f t="shared" si="89"/>
        <v>#N/A</v>
      </c>
      <c r="AD124" s="590" t="e">
        <f t="shared" si="90"/>
        <v>#N/A</v>
      </c>
    </row>
    <row r="125" spans="1:50" ht="15" customHeight="1">
      <c r="B125" s="581" t="s">
        <v>225</v>
      </c>
      <c r="C125" s="604"/>
      <c r="D125" s="604"/>
      <c r="E125" s="604"/>
      <c r="F125" s="604"/>
      <c r="G125" s="604"/>
      <c r="H125" s="176" t="e">
        <f t="shared" si="77"/>
        <v>#N/A</v>
      </c>
      <c r="I125" s="176" t="e">
        <f t="shared" si="78"/>
        <v>#N/A</v>
      </c>
      <c r="J125" s="604"/>
      <c r="K125" s="604"/>
      <c r="L125" s="604"/>
      <c r="O125" s="590" t="e">
        <f t="shared" si="79"/>
        <v>#N/A</v>
      </c>
      <c r="P125" s="176">
        <f t="shared" si="93"/>
        <v>6</v>
      </c>
      <c r="Q125" s="580" t="e">
        <f t="shared" si="80"/>
        <v>#N/A</v>
      </c>
      <c r="R125" s="580">
        <f t="shared" si="94"/>
        <v>5.8</v>
      </c>
      <c r="S125" s="590" t="e">
        <f t="shared" si="81"/>
        <v>#N/A</v>
      </c>
      <c r="T125" s="176" t="e">
        <f t="shared" si="82"/>
        <v>#N/A</v>
      </c>
      <c r="U125" s="580">
        <f t="shared" si="95"/>
        <v>300</v>
      </c>
      <c r="V125" s="176" t="e">
        <f t="shared" si="83"/>
        <v>#N/A</v>
      </c>
      <c r="W125" s="605" t="e">
        <f t="shared" ref="W125" si="97">IF($R$36=2,0,IF($R$36=4,$O$36/4,IF($R$36=6,$O$36/6,IF($R$36=8,$O$36/8,IF($R$36=9,$O$36/9)))))</f>
        <v>#N/A</v>
      </c>
      <c r="X125" s="606" t="e">
        <f t="shared" si="85"/>
        <v>#N/A</v>
      </c>
      <c r="Y125" s="606" t="e">
        <f t="shared" si="86"/>
        <v>#N/A</v>
      </c>
      <c r="Z125" s="580">
        <f t="shared" si="96"/>
        <v>3</v>
      </c>
      <c r="AA125" s="176" t="e">
        <f t="shared" si="87"/>
        <v>#N/A</v>
      </c>
      <c r="AB125" s="176" t="e">
        <f t="shared" si="88"/>
        <v>#N/A</v>
      </c>
      <c r="AC125" s="590" t="e">
        <f t="shared" si="89"/>
        <v>#N/A</v>
      </c>
      <c r="AD125" s="590" t="e">
        <f t="shared" si="90"/>
        <v>#N/A</v>
      </c>
      <c r="AF125" s="597"/>
      <c r="AG125" s="581" t="s">
        <v>1620</v>
      </c>
      <c r="AH125" s="590">
        <v>0</v>
      </c>
      <c r="AI125" s="590">
        <v>0</v>
      </c>
      <c r="AJ125" s="590">
        <v>0</v>
      </c>
      <c r="AK125" s="590">
        <v>0</v>
      </c>
      <c r="AL125" s="590">
        <v>0</v>
      </c>
      <c r="AM125" s="590">
        <v>0</v>
      </c>
      <c r="AN125" s="590">
        <v>0</v>
      </c>
      <c r="AO125" s="590">
        <v>0</v>
      </c>
      <c r="AP125" s="590">
        <v>0</v>
      </c>
      <c r="AQ125" s="590">
        <v>0</v>
      </c>
      <c r="AR125" s="590">
        <v>0</v>
      </c>
      <c r="AS125" s="590">
        <v>0</v>
      </c>
    </row>
    <row r="126" spans="1:50" ht="15" customHeight="1">
      <c r="B126" s="581" t="s">
        <v>225</v>
      </c>
      <c r="C126" s="604"/>
      <c r="D126" s="604"/>
      <c r="E126" s="604"/>
      <c r="F126" s="604"/>
      <c r="G126" s="604"/>
      <c r="H126" s="176" t="e">
        <f t="shared" si="77"/>
        <v>#N/A</v>
      </c>
      <c r="I126" s="176" t="e">
        <f t="shared" si="78"/>
        <v>#N/A</v>
      </c>
      <c r="J126" s="604"/>
      <c r="K126" s="604"/>
      <c r="L126" s="604"/>
      <c r="O126" s="590" t="e">
        <f t="shared" si="79"/>
        <v>#N/A</v>
      </c>
      <c r="P126" s="176">
        <f t="shared" si="93"/>
        <v>6</v>
      </c>
      <c r="Q126" s="580" t="e">
        <f t="shared" si="80"/>
        <v>#N/A</v>
      </c>
      <c r="R126" s="580">
        <f t="shared" si="94"/>
        <v>5.8</v>
      </c>
      <c r="S126" s="590" t="e">
        <f t="shared" si="81"/>
        <v>#N/A</v>
      </c>
      <c r="T126" s="176" t="e">
        <f t="shared" si="82"/>
        <v>#N/A</v>
      </c>
      <c r="U126" s="580">
        <f t="shared" si="95"/>
        <v>300</v>
      </c>
      <c r="V126" s="176" t="e">
        <f t="shared" si="83"/>
        <v>#N/A</v>
      </c>
      <c r="W126" s="605" t="e">
        <f>IF($R$36=2,0,IF($R$36=4,0,IF($R$36=6,$O$36/6,IF($R$36=8,$O$36/8,IF($R$36=9,$O$36/9)))))</f>
        <v>#N/A</v>
      </c>
      <c r="X126" s="606" t="e">
        <f t="shared" si="85"/>
        <v>#N/A</v>
      </c>
      <c r="Y126" s="606" t="e">
        <f t="shared" si="86"/>
        <v>#N/A</v>
      </c>
      <c r="Z126" s="580">
        <f t="shared" si="96"/>
        <v>3</v>
      </c>
      <c r="AA126" s="176" t="e">
        <f t="shared" si="87"/>
        <v>#N/A</v>
      </c>
      <c r="AB126" s="176" t="e">
        <f t="shared" si="88"/>
        <v>#N/A</v>
      </c>
      <c r="AC126" s="590" t="e">
        <f t="shared" si="89"/>
        <v>#N/A</v>
      </c>
      <c r="AD126" s="590" t="e">
        <f t="shared" si="90"/>
        <v>#N/A</v>
      </c>
    </row>
    <row r="127" spans="1:50" ht="15" customHeight="1">
      <c r="B127" s="581" t="s">
        <v>225</v>
      </c>
      <c r="C127" s="604"/>
      <c r="D127" s="604"/>
      <c r="E127" s="604"/>
      <c r="F127" s="604"/>
      <c r="G127" s="604"/>
      <c r="H127" s="176" t="e">
        <f t="shared" si="77"/>
        <v>#N/A</v>
      </c>
      <c r="I127" s="176" t="e">
        <f t="shared" si="78"/>
        <v>#N/A</v>
      </c>
      <c r="J127" s="604"/>
      <c r="K127" s="604"/>
      <c r="L127" s="604"/>
      <c r="O127" s="590" t="e">
        <f t="shared" si="79"/>
        <v>#N/A</v>
      </c>
      <c r="P127" s="176">
        <f t="shared" si="93"/>
        <v>6</v>
      </c>
      <c r="Q127" s="580" t="e">
        <f t="shared" si="80"/>
        <v>#N/A</v>
      </c>
      <c r="R127" s="580">
        <f t="shared" si="94"/>
        <v>5.8</v>
      </c>
      <c r="S127" s="590" t="e">
        <f t="shared" si="81"/>
        <v>#N/A</v>
      </c>
      <c r="T127" s="176" t="e">
        <f t="shared" si="82"/>
        <v>#N/A</v>
      </c>
      <c r="U127" s="580">
        <f t="shared" si="95"/>
        <v>300</v>
      </c>
      <c r="V127" s="176" t="e">
        <f t="shared" si="83"/>
        <v>#N/A</v>
      </c>
      <c r="W127" s="605" t="e">
        <f>IF($R$36=2,0,IF($R$36=4,0,IF($R$36=6,$O$36/6,IF($R$36=8,$O$36/8,IF($R$36=9,$O$36/9)))))</f>
        <v>#N/A</v>
      </c>
      <c r="X127" s="606" t="e">
        <f t="shared" si="85"/>
        <v>#N/A</v>
      </c>
      <c r="Y127" s="606" t="e">
        <f t="shared" si="86"/>
        <v>#N/A</v>
      </c>
      <c r="Z127" s="580">
        <f t="shared" si="96"/>
        <v>3</v>
      </c>
      <c r="AA127" s="176" t="e">
        <f t="shared" si="87"/>
        <v>#N/A</v>
      </c>
      <c r="AB127" s="176" t="e">
        <f t="shared" si="88"/>
        <v>#N/A</v>
      </c>
      <c r="AC127" s="590" t="e">
        <f t="shared" si="89"/>
        <v>#N/A</v>
      </c>
      <c r="AD127" s="590" t="e">
        <f t="shared" si="90"/>
        <v>#N/A</v>
      </c>
      <c r="AF127" s="597"/>
    </row>
    <row r="128" spans="1:50" ht="15" customHeight="1">
      <c r="B128" s="581" t="s">
        <v>225</v>
      </c>
      <c r="C128" s="604"/>
      <c r="D128" s="604"/>
      <c r="E128" s="604"/>
      <c r="F128" s="604"/>
      <c r="G128" s="604"/>
      <c r="H128" s="176" t="e">
        <f t="shared" si="77"/>
        <v>#N/A</v>
      </c>
      <c r="I128" s="176" t="e">
        <f t="shared" si="78"/>
        <v>#N/A</v>
      </c>
      <c r="J128" s="604"/>
      <c r="K128" s="604"/>
      <c r="L128" s="604"/>
      <c r="O128" s="590" t="e">
        <f t="shared" si="79"/>
        <v>#N/A</v>
      </c>
      <c r="P128" s="176">
        <f t="shared" si="93"/>
        <v>6</v>
      </c>
      <c r="Q128" s="580" t="e">
        <f t="shared" si="80"/>
        <v>#N/A</v>
      </c>
      <c r="R128" s="580">
        <f t="shared" si="94"/>
        <v>5.8</v>
      </c>
      <c r="S128" s="590" t="e">
        <f t="shared" si="81"/>
        <v>#N/A</v>
      </c>
      <c r="T128" s="176" t="e">
        <f t="shared" si="82"/>
        <v>#N/A</v>
      </c>
      <c r="U128" s="580">
        <f t="shared" si="95"/>
        <v>300</v>
      </c>
      <c r="V128" s="176" t="e">
        <f t="shared" si="83"/>
        <v>#N/A</v>
      </c>
      <c r="W128" s="605" t="e">
        <f>IF($R$36=2,0,IF($R$36=4,0,IF($R$36=6,0,IF($R$36=8,$O$36/8,IF($R$36=9,$O$36/9)))))</f>
        <v>#N/A</v>
      </c>
      <c r="X128" s="606" t="e">
        <f t="shared" si="85"/>
        <v>#N/A</v>
      </c>
      <c r="Y128" s="606" t="e">
        <f t="shared" si="86"/>
        <v>#N/A</v>
      </c>
      <c r="Z128" s="580">
        <f t="shared" si="96"/>
        <v>3</v>
      </c>
      <c r="AA128" s="176" t="e">
        <f t="shared" si="87"/>
        <v>#N/A</v>
      </c>
      <c r="AB128" s="176" t="e">
        <f t="shared" si="88"/>
        <v>#N/A</v>
      </c>
      <c r="AC128" s="590" t="e">
        <f t="shared" si="89"/>
        <v>#N/A</v>
      </c>
      <c r="AD128" s="590" t="e">
        <f t="shared" si="90"/>
        <v>#N/A</v>
      </c>
      <c r="AG128" s="581" t="s">
        <v>1784</v>
      </c>
      <c r="AH128" s="590">
        <f>IF(AH62&lt;=$AW$59,(($AF$175*AH70*24*($Q$175*0.5)*AH72/(2.5*1000))*-1),0)</f>
        <v>0</v>
      </c>
      <c r="AI128" s="590">
        <f t="shared" ref="AI128:AS128" si="98">IF(AI62&lt;=$AW$59,(($AF$175*AI70*24*($Q$175*0.5)*AI72/(2.5*1000))*-1),0)</f>
        <v>0</v>
      </c>
      <c r="AJ128" s="590">
        <f t="shared" si="98"/>
        <v>0</v>
      </c>
      <c r="AK128" s="590">
        <f t="shared" si="98"/>
        <v>0</v>
      </c>
      <c r="AL128" s="590">
        <f t="shared" si="98"/>
        <v>0</v>
      </c>
      <c r="AM128" s="590">
        <f t="shared" si="98"/>
        <v>0</v>
      </c>
      <c r="AN128" s="590">
        <f t="shared" si="98"/>
        <v>0</v>
      </c>
      <c r="AO128" s="590">
        <f t="shared" si="98"/>
        <v>0</v>
      </c>
      <c r="AP128" s="590">
        <f t="shared" si="98"/>
        <v>0</v>
      </c>
      <c r="AQ128" s="590">
        <f t="shared" si="98"/>
        <v>0</v>
      </c>
      <c r="AR128" s="590">
        <f t="shared" si="98"/>
        <v>0</v>
      </c>
      <c r="AS128" s="590">
        <f t="shared" si="98"/>
        <v>0</v>
      </c>
    </row>
    <row r="129" spans="1:46" ht="15" customHeight="1">
      <c r="B129" s="581" t="s">
        <v>225</v>
      </c>
      <c r="C129" s="604"/>
      <c r="D129" s="604"/>
      <c r="E129" s="604"/>
      <c r="F129" s="604"/>
      <c r="G129" s="604"/>
      <c r="H129" s="176" t="e">
        <f t="shared" si="77"/>
        <v>#N/A</v>
      </c>
      <c r="I129" s="176" t="e">
        <f t="shared" si="78"/>
        <v>#N/A</v>
      </c>
      <c r="J129" s="604"/>
      <c r="K129" s="604"/>
      <c r="L129" s="604"/>
      <c r="O129" s="590" t="e">
        <f t="shared" si="79"/>
        <v>#N/A</v>
      </c>
      <c r="P129" s="176">
        <f t="shared" si="93"/>
        <v>6</v>
      </c>
      <c r="Q129" s="580" t="e">
        <f t="shared" si="80"/>
        <v>#N/A</v>
      </c>
      <c r="R129" s="580">
        <f t="shared" si="94"/>
        <v>5.8</v>
      </c>
      <c r="S129" s="590" t="e">
        <f t="shared" si="81"/>
        <v>#N/A</v>
      </c>
      <c r="T129" s="176" t="e">
        <f t="shared" si="82"/>
        <v>#N/A</v>
      </c>
      <c r="U129" s="580">
        <f t="shared" si="95"/>
        <v>300</v>
      </c>
      <c r="V129" s="176" t="e">
        <f t="shared" si="83"/>
        <v>#N/A</v>
      </c>
      <c r="W129" s="605" t="e">
        <f t="shared" ref="W129" si="99">IF($R$36=2,0,IF($R$36=4,0,IF($R$36=6,0,IF($R$36=8,$O$36/8,IF($R$36=9,$O$36/9)))))</f>
        <v>#N/A</v>
      </c>
      <c r="X129" s="606" t="e">
        <f t="shared" si="85"/>
        <v>#N/A</v>
      </c>
      <c r="Y129" s="606" t="e">
        <f t="shared" si="86"/>
        <v>#N/A</v>
      </c>
      <c r="Z129" s="580">
        <f t="shared" si="96"/>
        <v>3</v>
      </c>
      <c r="AA129" s="176" t="e">
        <f t="shared" si="87"/>
        <v>#N/A</v>
      </c>
      <c r="AB129" s="176" t="e">
        <f t="shared" si="88"/>
        <v>#N/A</v>
      </c>
      <c r="AC129" s="590" t="e">
        <f t="shared" si="89"/>
        <v>#N/A</v>
      </c>
      <c r="AD129" s="590" t="e">
        <f t="shared" si="90"/>
        <v>#N/A</v>
      </c>
      <c r="AF129" s="597"/>
      <c r="AG129" s="176"/>
      <c r="AH129" s="176"/>
      <c r="AI129" s="176"/>
      <c r="AJ129" s="176"/>
      <c r="AK129" s="176"/>
      <c r="AL129" s="176"/>
      <c r="AM129" s="176"/>
      <c r="AN129" s="176"/>
      <c r="AO129" s="176"/>
      <c r="AP129" s="176"/>
      <c r="AQ129" s="176"/>
      <c r="AR129" s="176"/>
      <c r="AS129" s="176"/>
    </row>
    <row r="130" spans="1:46" ht="15" customHeight="1">
      <c r="B130" s="581" t="s">
        <v>225</v>
      </c>
      <c r="C130" s="604"/>
      <c r="D130" s="604"/>
      <c r="E130" s="604"/>
      <c r="F130" s="604"/>
      <c r="G130" s="604"/>
      <c r="H130" s="176" t="e">
        <f t="shared" si="77"/>
        <v>#N/A</v>
      </c>
      <c r="I130" s="176" t="e">
        <f t="shared" si="78"/>
        <v>#N/A</v>
      </c>
      <c r="J130" s="604"/>
      <c r="K130" s="604"/>
      <c r="L130" s="604"/>
      <c r="O130" s="590" t="e">
        <f t="shared" si="79"/>
        <v>#N/A</v>
      </c>
      <c r="P130" s="176">
        <f t="shared" si="93"/>
        <v>6</v>
      </c>
      <c r="Q130" s="580" t="e">
        <f t="shared" si="80"/>
        <v>#N/A</v>
      </c>
      <c r="R130" s="580">
        <f t="shared" si="94"/>
        <v>5.8</v>
      </c>
      <c r="S130" s="590" t="e">
        <f t="shared" si="81"/>
        <v>#N/A</v>
      </c>
      <c r="T130" s="176" t="e">
        <f t="shared" si="82"/>
        <v>#N/A</v>
      </c>
      <c r="U130" s="580">
        <f t="shared" si="95"/>
        <v>300</v>
      </c>
      <c r="V130" s="176" t="e">
        <f t="shared" si="83"/>
        <v>#N/A</v>
      </c>
      <c r="W130" s="605" t="e">
        <f>IF($R$36=2,0,IF($R$36=4,0,IF($R$36=6,0,IF($R$36=8,0,IF($R$36=9,$O$36/9)))))</f>
        <v>#N/A</v>
      </c>
      <c r="X130" s="606" t="e">
        <f t="shared" si="85"/>
        <v>#N/A</v>
      </c>
      <c r="Y130" s="606" t="e">
        <f t="shared" si="86"/>
        <v>#N/A</v>
      </c>
      <c r="Z130" s="580">
        <f t="shared" si="96"/>
        <v>3</v>
      </c>
      <c r="AA130" s="176" t="e">
        <f t="shared" si="87"/>
        <v>#N/A</v>
      </c>
      <c r="AB130" s="176" t="e">
        <f t="shared" si="88"/>
        <v>#N/A</v>
      </c>
      <c r="AC130" s="590" t="e">
        <f t="shared" si="89"/>
        <v>#N/A</v>
      </c>
      <c r="AD130" s="590" t="e">
        <f t="shared" si="90"/>
        <v>#N/A</v>
      </c>
      <c r="AG130" s="581" t="s">
        <v>1785</v>
      </c>
      <c r="AH130" s="590">
        <f>IF(($Z$60*AH70*24*AH72/(2.5*1000))&lt;0,0,$Z$60*AH70*24*AH72/(2.5*1000))</f>
        <v>0</v>
      </c>
      <c r="AI130" s="590">
        <f t="shared" ref="AI130:AS130" si="100">IF(($Z$60*AI70*24*AI72/(2.5*1000))&lt;0,0,$Z$60*AI70*24*AI72/(2.5*1000))</f>
        <v>0</v>
      </c>
      <c r="AJ130" s="590">
        <f t="shared" si="100"/>
        <v>0</v>
      </c>
      <c r="AK130" s="590">
        <f t="shared" si="100"/>
        <v>0</v>
      </c>
      <c r="AL130" s="590">
        <f t="shared" si="100"/>
        <v>0</v>
      </c>
      <c r="AM130" s="590">
        <f t="shared" si="100"/>
        <v>0</v>
      </c>
      <c r="AN130" s="590">
        <f t="shared" si="100"/>
        <v>0</v>
      </c>
      <c r="AO130" s="590">
        <f t="shared" si="100"/>
        <v>0</v>
      </c>
      <c r="AP130" s="590">
        <f t="shared" si="100"/>
        <v>0</v>
      </c>
      <c r="AQ130" s="590">
        <f t="shared" si="100"/>
        <v>0</v>
      </c>
      <c r="AR130" s="590">
        <f t="shared" si="100"/>
        <v>0</v>
      </c>
      <c r="AS130" s="590">
        <f t="shared" si="100"/>
        <v>0</v>
      </c>
    </row>
    <row r="131" spans="1:46" ht="15" customHeight="1">
      <c r="D131" s="126"/>
      <c r="E131" s="126"/>
      <c r="K131" s="126"/>
      <c r="L131" s="126"/>
      <c r="Q131" s="126"/>
      <c r="R131" s="126"/>
      <c r="V131" s="126"/>
      <c r="X131" s="126"/>
      <c r="AF131" s="597"/>
    </row>
    <row r="132" spans="1:46" ht="15" customHeight="1">
      <c r="D132" s="126"/>
      <c r="E132" s="126"/>
      <c r="K132" s="126"/>
      <c r="L132" s="126"/>
      <c r="Q132" s="126"/>
      <c r="R132" s="126"/>
      <c r="V132" s="126"/>
      <c r="X132" s="126"/>
      <c r="AF132" s="597"/>
      <c r="AG132" s="581" t="s">
        <v>1543</v>
      </c>
      <c r="AH132" s="590" t="e">
        <f>$AW$90*AH111*24/1000</f>
        <v>#N/A</v>
      </c>
      <c r="AI132" s="590" t="e">
        <f t="shared" ref="AI132:AS132" si="101">$AW$90*AI111*24/1000</f>
        <v>#N/A</v>
      </c>
      <c r="AJ132" s="590" t="e">
        <f t="shared" si="101"/>
        <v>#N/A</v>
      </c>
      <c r="AK132" s="590" t="e">
        <f t="shared" si="101"/>
        <v>#N/A</v>
      </c>
      <c r="AL132" s="590" t="e">
        <f t="shared" si="101"/>
        <v>#N/A</v>
      </c>
      <c r="AM132" s="590" t="e">
        <f t="shared" si="101"/>
        <v>#N/A</v>
      </c>
      <c r="AN132" s="590" t="e">
        <f t="shared" si="101"/>
        <v>#N/A</v>
      </c>
      <c r="AO132" s="590" t="e">
        <f t="shared" si="101"/>
        <v>#N/A</v>
      </c>
      <c r="AP132" s="590" t="e">
        <f t="shared" si="101"/>
        <v>#N/A</v>
      </c>
      <c r="AQ132" s="590" t="e">
        <f t="shared" si="101"/>
        <v>#N/A</v>
      </c>
      <c r="AR132" s="590" t="e">
        <f t="shared" si="101"/>
        <v>#N/A</v>
      </c>
      <c r="AS132" s="590" t="e">
        <f t="shared" si="101"/>
        <v>#N/A</v>
      </c>
    </row>
    <row r="133" spans="1:46" ht="15" customHeight="1">
      <c r="C133" s="1323" t="s">
        <v>1204</v>
      </c>
      <c r="D133" s="1323"/>
      <c r="E133" s="580" t="s">
        <v>1185</v>
      </c>
      <c r="F133" s="580" t="s">
        <v>1186</v>
      </c>
      <c r="G133" s="580" t="s">
        <v>227</v>
      </c>
      <c r="K133" s="126"/>
      <c r="L133" s="126"/>
      <c r="Q133" s="126"/>
      <c r="R133" s="126"/>
      <c r="V133" s="126"/>
      <c r="X133" s="126"/>
      <c r="AF133" s="597"/>
      <c r="AG133" s="580" t="s">
        <v>1791</v>
      </c>
      <c r="AH133" s="590">
        <f t="shared" ref="AH133:AS133" si="102">$Z$60*AH111*24/(7.2*1000)</f>
        <v>0</v>
      </c>
      <c r="AI133" s="590">
        <f t="shared" si="102"/>
        <v>0</v>
      </c>
      <c r="AJ133" s="590">
        <f t="shared" si="102"/>
        <v>0</v>
      </c>
      <c r="AK133" s="590">
        <f t="shared" si="102"/>
        <v>0</v>
      </c>
      <c r="AL133" s="590">
        <f t="shared" si="102"/>
        <v>0</v>
      </c>
      <c r="AM133" s="590">
        <f t="shared" si="102"/>
        <v>0</v>
      </c>
      <c r="AN133" s="590">
        <f t="shared" si="102"/>
        <v>0</v>
      </c>
      <c r="AO133" s="590">
        <f t="shared" si="102"/>
        <v>0</v>
      </c>
      <c r="AP133" s="590">
        <f t="shared" si="102"/>
        <v>0</v>
      </c>
      <c r="AQ133" s="590">
        <f t="shared" si="102"/>
        <v>0</v>
      </c>
      <c r="AR133" s="590">
        <f t="shared" si="102"/>
        <v>0</v>
      </c>
      <c r="AS133" s="590">
        <f t="shared" si="102"/>
        <v>0</v>
      </c>
    </row>
    <row r="134" spans="1:46" ht="15" customHeight="1">
      <c r="B134" s="581" t="s">
        <v>768</v>
      </c>
      <c r="C134" s="1324"/>
      <c r="D134" s="1324"/>
      <c r="E134" s="589">
        <f>ENERGÍA!F140</f>
        <v>0</v>
      </c>
      <c r="F134" s="589">
        <f>ENERGÍA!G140</f>
        <v>0</v>
      </c>
      <c r="G134" s="589">
        <f>ENERGÍA!H140</f>
        <v>0</v>
      </c>
      <c r="K134" s="126"/>
      <c r="L134" s="126"/>
      <c r="T134" s="590">
        <f>ENERGÍA!U140</f>
        <v>0</v>
      </c>
      <c r="V134" s="126"/>
      <c r="X134" s="126"/>
      <c r="AC134" s="590">
        <f>T134*E134*F134</f>
        <v>0</v>
      </c>
      <c r="AD134" s="590">
        <f>AC134</f>
        <v>0</v>
      </c>
    </row>
    <row r="135" spans="1:46" ht="6" customHeight="1">
      <c r="L135" s="126"/>
      <c r="V135" s="148"/>
      <c r="Z135" s="580"/>
      <c r="AA135" s="580"/>
    </row>
    <row r="136" spans="1:46" ht="15" customHeight="1">
      <c r="B136" s="1323">
        <f>C37</f>
        <v>0</v>
      </c>
      <c r="C136" s="1323"/>
      <c r="D136" s="1323"/>
      <c r="E136" s="1323"/>
      <c r="F136" s="1323"/>
      <c r="G136" s="1323"/>
      <c r="H136" s="1323"/>
      <c r="I136" s="1323"/>
      <c r="J136" s="1323"/>
      <c r="K136" s="1323"/>
      <c r="L136" s="1323"/>
      <c r="O136" s="1320">
        <f>B136</f>
        <v>0</v>
      </c>
      <c r="P136" s="1321"/>
      <c r="Q136" s="1321"/>
      <c r="R136" s="1321"/>
      <c r="S136" s="1321"/>
      <c r="T136" s="1321"/>
      <c r="U136" s="1321"/>
      <c r="V136" s="1321"/>
      <c r="W136" s="1321"/>
      <c r="X136" s="1321"/>
      <c r="Y136" s="1321"/>
      <c r="Z136" s="1321"/>
      <c r="AA136" s="1321"/>
      <c r="AB136" s="1321"/>
      <c r="AC136" s="1321"/>
      <c r="AD136" s="1321"/>
      <c r="AE136" s="1322"/>
      <c r="AG136" s="581" t="s">
        <v>1621</v>
      </c>
      <c r="AH136" s="590" t="e">
        <f>IF(AH62&gt;$AW$59,0,($AW$96*$AW$64*(24/1000)*AH112*AH115)-AH125-(AH128*0.15))</f>
        <v>#N/A</v>
      </c>
      <c r="AI136" s="590" t="e">
        <f t="shared" ref="AI136:AS136" si="103">IF(AI62&gt;$AW$59,0,($AW$96*$AW$64*(24/1000)*AI112*AI115)-AI125-(AI128*0.15))</f>
        <v>#N/A</v>
      </c>
      <c r="AJ136" s="590" t="e">
        <f t="shared" si="103"/>
        <v>#N/A</v>
      </c>
      <c r="AK136" s="590" t="e">
        <f t="shared" si="103"/>
        <v>#N/A</v>
      </c>
      <c r="AL136" s="590" t="e">
        <f t="shared" si="103"/>
        <v>#N/A</v>
      </c>
      <c r="AM136" s="590" t="e">
        <f>IF(AM62&gt;$AW$59,0,($AW$96*$AW$64*(24/1000)*AM112*AM115)-AM125-(AM128*0.15))</f>
        <v>#N/A</v>
      </c>
      <c r="AN136" s="590" t="e">
        <f t="shared" si="103"/>
        <v>#N/A</v>
      </c>
      <c r="AO136" s="590" t="e">
        <f t="shared" si="103"/>
        <v>#N/A</v>
      </c>
      <c r="AP136" s="590" t="e">
        <f t="shared" si="103"/>
        <v>#N/A</v>
      </c>
      <c r="AQ136" s="590" t="e">
        <f t="shared" si="103"/>
        <v>#N/A</v>
      </c>
      <c r="AR136" s="590" t="e">
        <f t="shared" si="103"/>
        <v>#N/A</v>
      </c>
      <c r="AS136" s="590" t="e">
        <f t="shared" si="103"/>
        <v>#N/A</v>
      </c>
    </row>
    <row r="137" spans="1:46" ht="6" customHeight="1">
      <c r="L137" s="126"/>
      <c r="V137" s="148"/>
      <c r="Z137" s="580"/>
      <c r="AA137" s="580"/>
    </row>
    <row r="138" spans="1:46" ht="15" customHeight="1">
      <c r="B138" s="1273"/>
      <c r="C138" s="1323" t="s">
        <v>1184</v>
      </c>
      <c r="D138" s="1323"/>
      <c r="E138" s="1323"/>
      <c r="F138" s="1323" t="s">
        <v>1188</v>
      </c>
      <c r="G138" s="1323"/>
      <c r="H138" s="1323" t="s">
        <v>1203</v>
      </c>
      <c r="I138" s="1323"/>
      <c r="J138" s="1281" t="s">
        <v>790</v>
      </c>
      <c r="K138" s="1281" t="s">
        <v>1136</v>
      </c>
      <c r="L138" s="1281"/>
      <c r="O138" s="580" t="s">
        <v>1651</v>
      </c>
      <c r="P138" s="1281" t="s">
        <v>1064</v>
      </c>
      <c r="Q138" s="580" t="s">
        <v>1652</v>
      </c>
      <c r="R138" s="1273" t="s">
        <v>1191</v>
      </c>
      <c r="S138" s="580" t="s">
        <v>1190</v>
      </c>
      <c r="T138" s="1273" t="s">
        <v>1192</v>
      </c>
      <c r="U138" s="1323" t="s">
        <v>1653</v>
      </c>
      <c r="V138" s="1323"/>
      <c r="W138" s="580" t="s">
        <v>1654</v>
      </c>
      <c r="X138" s="1273" t="s">
        <v>1403</v>
      </c>
      <c r="Y138" s="1273" t="s">
        <v>1404</v>
      </c>
      <c r="Z138" s="1273" t="s">
        <v>1210</v>
      </c>
      <c r="AA138" s="1273" t="s">
        <v>1201</v>
      </c>
      <c r="AB138" s="1273" t="s">
        <v>1202</v>
      </c>
      <c r="AC138" s="1281" t="s">
        <v>850</v>
      </c>
      <c r="AD138" s="1281" t="str">
        <f>AC138</f>
        <v>W/K Inv</v>
      </c>
      <c r="AE138" s="226" t="s">
        <v>1017</v>
      </c>
    </row>
    <row r="139" spans="1:46" ht="15" customHeight="1">
      <c r="B139" s="1273"/>
      <c r="C139" s="148" t="s">
        <v>623</v>
      </c>
      <c r="D139" s="580" t="s">
        <v>1185</v>
      </c>
      <c r="E139" s="580" t="s">
        <v>1186</v>
      </c>
      <c r="F139" s="580" t="s">
        <v>623</v>
      </c>
      <c r="G139" s="580" t="s">
        <v>1189</v>
      </c>
      <c r="H139" s="580" t="s">
        <v>757</v>
      </c>
      <c r="I139" s="580" t="s">
        <v>650</v>
      </c>
      <c r="J139" s="1281"/>
      <c r="K139" s="166" t="s">
        <v>623</v>
      </c>
      <c r="L139" s="602" t="s">
        <v>1122</v>
      </c>
      <c r="O139" s="580" t="s">
        <v>1187</v>
      </c>
      <c r="P139" s="1281"/>
      <c r="Q139" s="580" t="s">
        <v>1187</v>
      </c>
      <c r="R139" s="1273"/>
      <c r="S139" s="580" t="s">
        <v>18</v>
      </c>
      <c r="T139" s="1273"/>
      <c r="U139" s="580" t="s">
        <v>1199</v>
      </c>
      <c r="V139" s="148" t="s">
        <v>1200</v>
      </c>
      <c r="W139" s="176" t="s">
        <v>1187</v>
      </c>
      <c r="X139" s="1273"/>
      <c r="Y139" s="1273"/>
      <c r="Z139" s="1273"/>
      <c r="AA139" s="1273"/>
      <c r="AB139" s="1273"/>
      <c r="AC139" s="1281"/>
      <c r="AD139" s="1281"/>
      <c r="AE139" s="603" t="e">
        <f>Q37</f>
        <v>#N/A</v>
      </c>
      <c r="AG139" s="1329" t="s">
        <v>1065</v>
      </c>
      <c r="AH139" s="1330"/>
      <c r="AI139" s="1330"/>
      <c r="AJ139" s="1330"/>
      <c r="AK139" s="1330"/>
      <c r="AL139" s="1330"/>
      <c r="AM139" s="1330"/>
      <c r="AN139" s="1330"/>
      <c r="AO139" s="1330"/>
      <c r="AP139" s="1330"/>
      <c r="AQ139" s="1330"/>
      <c r="AR139" s="1330"/>
      <c r="AS139" s="1331"/>
    </row>
    <row r="140" spans="1:46" s="173" customFormat="1" ht="15" customHeight="1">
      <c r="A140" s="126"/>
      <c r="B140" s="581" t="s">
        <v>225</v>
      </c>
      <c r="C140" s="604"/>
      <c r="D140" s="604"/>
      <c r="E140" s="604"/>
      <c r="F140" s="604"/>
      <c r="G140" s="604"/>
      <c r="H140" s="176" t="e">
        <f t="shared" ref="H140:H148" si="104">IF(W140=0,"-",IF($O$4=6,"No Aplica",HLOOKUP(AA140,ZONA2,2,TRUE)))</f>
        <v>#N/A</v>
      </c>
      <c r="I140" s="176" t="e">
        <f t="shared" ref="I140:I148" si="105">IF(W140=0,"-",IF($O$4=6,HLOOKUP(AB140,ZONA3,2,TRUE),HLOOKUP(AB140,ZONA1,2,TRUE)))</f>
        <v>#N/A</v>
      </c>
      <c r="J140" s="604"/>
      <c r="K140" s="604"/>
      <c r="L140" s="604"/>
      <c r="M140" s="126"/>
      <c r="N140" s="126"/>
      <c r="O140" s="590" t="e">
        <f t="shared" ref="O140:O148" si="106">$W$104-Q140</f>
        <v>#N/A</v>
      </c>
      <c r="P140" s="176">
        <f>P130</f>
        <v>6</v>
      </c>
      <c r="Q140" s="580" t="e">
        <f t="shared" ref="Q140:Q148" si="107">W140*0.02</f>
        <v>#N/A</v>
      </c>
      <c r="R140" s="580">
        <f>R130</f>
        <v>5.8</v>
      </c>
      <c r="S140" s="590" t="e">
        <f t="shared" ref="S140:S148" si="108">(W140/2)+2</f>
        <v>#N/A</v>
      </c>
      <c r="T140" s="176" t="e">
        <f t="shared" ref="T140:T148" si="109">((O140*P140)+(Q140*R140)+(S140*0.02))/W140</f>
        <v>#N/A</v>
      </c>
      <c r="U140" s="580">
        <f>U130</f>
        <v>300</v>
      </c>
      <c r="V140" s="176" t="e">
        <f t="shared" ref="V140:V148" si="110">IF(W140=0,0,U140*W140)</f>
        <v>#N/A</v>
      </c>
      <c r="W140" s="605" t="e">
        <f>IF($R$37=2,$O$37/2,IF($R$37=4,$O$37/4,IF($R$37=6,$O$37/6,IF($R$37=8,$O$37/8,IF($R$37=9,$O$37/9)))))</f>
        <v>#N/A</v>
      </c>
      <c r="X140" s="606" t="e">
        <f t="shared" ref="X140:X148" si="111">(V140*$AW$112)</f>
        <v>#N/A</v>
      </c>
      <c r="Y140" s="606" t="e">
        <f t="shared" ref="Y140:Y148" si="112">V140*$AW$114</f>
        <v>#N/A</v>
      </c>
      <c r="Z140" s="580">
        <f>Z130</f>
        <v>3</v>
      </c>
      <c r="AA140" s="176" t="e">
        <f t="shared" ref="AA140:AA148" si="113">IF(W140=0,0,(($AW$104*Z140)+X140+(T140*$AW$108))/W140)</f>
        <v>#N/A</v>
      </c>
      <c r="AB140" s="176" t="e">
        <f t="shared" ref="AB140:AB148" si="114">IF(W140=0,0,(($AW$106*Z140)-(X140+T140)*$AW$110)/W140)</f>
        <v>#N/A</v>
      </c>
      <c r="AC140" s="590" t="e">
        <f t="shared" ref="AC140:AC148" si="115">IF(W140=0,0,(T140*O140))</f>
        <v>#N/A</v>
      </c>
      <c r="AD140" s="590" t="e">
        <f t="shared" ref="AD140:AD148" si="116">AC140</f>
        <v>#N/A</v>
      </c>
      <c r="AE140" s="126"/>
      <c r="AG140" s="1332"/>
      <c r="AH140" s="1333"/>
      <c r="AI140" s="1333"/>
      <c r="AJ140" s="1333"/>
      <c r="AK140" s="1333"/>
      <c r="AL140" s="1333"/>
      <c r="AM140" s="1333"/>
      <c r="AN140" s="1333"/>
      <c r="AO140" s="1333"/>
      <c r="AP140" s="1333"/>
      <c r="AQ140" s="1333"/>
      <c r="AR140" s="1333"/>
      <c r="AS140" s="1334"/>
    </row>
    <row r="141" spans="1:46" s="173" customFormat="1" ht="15" customHeight="1">
      <c r="A141" s="126"/>
      <c r="B141" s="581" t="s">
        <v>225</v>
      </c>
      <c r="C141" s="604"/>
      <c r="D141" s="604"/>
      <c r="E141" s="604"/>
      <c r="F141" s="604"/>
      <c r="G141" s="604"/>
      <c r="H141" s="176" t="e">
        <f t="shared" si="104"/>
        <v>#N/A</v>
      </c>
      <c r="I141" s="176" t="e">
        <f t="shared" si="105"/>
        <v>#N/A</v>
      </c>
      <c r="J141" s="604"/>
      <c r="K141" s="604"/>
      <c r="L141" s="604"/>
      <c r="M141" s="126"/>
      <c r="N141" s="126"/>
      <c r="O141" s="590" t="e">
        <f t="shared" si="106"/>
        <v>#N/A</v>
      </c>
      <c r="P141" s="176">
        <f>P140</f>
        <v>6</v>
      </c>
      <c r="Q141" s="580" t="e">
        <f t="shared" si="107"/>
        <v>#N/A</v>
      </c>
      <c r="R141" s="580">
        <f>R140</f>
        <v>5.8</v>
      </c>
      <c r="S141" s="590" t="e">
        <f t="shared" si="108"/>
        <v>#N/A</v>
      </c>
      <c r="T141" s="176" t="e">
        <f t="shared" si="109"/>
        <v>#N/A</v>
      </c>
      <c r="U141" s="580">
        <f>U140</f>
        <v>300</v>
      </c>
      <c r="V141" s="176" t="e">
        <f t="shared" si="110"/>
        <v>#N/A</v>
      </c>
      <c r="W141" s="605" t="e">
        <f t="shared" ref="W141" si="117">IF($R$37=2,$O$37/2,IF($R$37=4,$O$37/4,IF($R$37=6,$O$37/6,IF($R$37=8,$O$37/8,IF($R$37=9,$O$37/9)))))</f>
        <v>#N/A</v>
      </c>
      <c r="X141" s="606" t="e">
        <f t="shared" si="111"/>
        <v>#N/A</v>
      </c>
      <c r="Y141" s="606" t="e">
        <f t="shared" si="112"/>
        <v>#N/A</v>
      </c>
      <c r="Z141" s="580">
        <f>Z140</f>
        <v>3</v>
      </c>
      <c r="AA141" s="176" t="e">
        <f t="shared" si="113"/>
        <v>#N/A</v>
      </c>
      <c r="AB141" s="176" t="e">
        <f t="shared" si="114"/>
        <v>#N/A</v>
      </c>
      <c r="AC141" s="590" t="e">
        <f t="shared" si="115"/>
        <v>#N/A</v>
      </c>
      <c r="AD141" s="590" t="e">
        <f t="shared" si="116"/>
        <v>#N/A</v>
      </c>
      <c r="AE141" s="126"/>
      <c r="AG141" s="1335"/>
      <c r="AH141" s="1336"/>
      <c r="AI141" s="1336"/>
      <c r="AJ141" s="1336"/>
      <c r="AK141" s="1336"/>
      <c r="AL141" s="1336"/>
      <c r="AM141" s="1336"/>
      <c r="AN141" s="1336"/>
      <c r="AO141" s="1336"/>
      <c r="AP141" s="1336"/>
      <c r="AQ141" s="1336"/>
      <c r="AR141" s="1336"/>
      <c r="AS141" s="1337"/>
    </row>
    <row r="142" spans="1:46" s="173" customFormat="1" ht="15" customHeight="1">
      <c r="A142" s="126"/>
      <c r="B142" s="581" t="s">
        <v>225</v>
      </c>
      <c r="C142" s="604"/>
      <c r="D142" s="604"/>
      <c r="E142" s="604"/>
      <c r="F142" s="604"/>
      <c r="G142" s="604"/>
      <c r="H142" s="176" t="e">
        <f t="shared" si="104"/>
        <v>#N/A</v>
      </c>
      <c r="I142" s="176" t="e">
        <f t="shared" si="105"/>
        <v>#N/A</v>
      </c>
      <c r="J142" s="604"/>
      <c r="K142" s="604"/>
      <c r="L142" s="604"/>
      <c r="M142" s="126"/>
      <c r="N142" s="126"/>
      <c r="O142" s="590" t="e">
        <f t="shared" si="106"/>
        <v>#N/A</v>
      </c>
      <c r="P142" s="176">
        <f t="shared" ref="P142:P148" si="118">P141</f>
        <v>6</v>
      </c>
      <c r="Q142" s="580" t="e">
        <f t="shared" si="107"/>
        <v>#N/A</v>
      </c>
      <c r="R142" s="580">
        <f t="shared" ref="R142:R148" si="119">R141</f>
        <v>5.8</v>
      </c>
      <c r="S142" s="590" t="e">
        <f t="shared" si="108"/>
        <v>#N/A</v>
      </c>
      <c r="T142" s="176" t="e">
        <f t="shared" si="109"/>
        <v>#N/A</v>
      </c>
      <c r="U142" s="580">
        <f t="shared" ref="U142:U148" si="120">U141</f>
        <v>300</v>
      </c>
      <c r="V142" s="176" t="e">
        <f t="shared" si="110"/>
        <v>#N/A</v>
      </c>
      <c r="W142" s="605" t="e">
        <f>IF($R$37=2,0,IF($R$37=4,$O$37/4,IF($R$37=6,$O$37/6,IF($R$37=8,$O$37/8,IF($R$37=9,$O$37/9)))))</f>
        <v>#N/A</v>
      </c>
      <c r="X142" s="606" t="e">
        <f t="shared" si="111"/>
        <v>#N/A</v>
      </c>
      <c r="Y142" s="606" t="e">
        <f t="shared" si="112"/>
        <v>#N/A</v>
      </c>
      <c r="Z142" s="580">
        <f t="shared" ref="Z142:Z148" si="121">Z141</f>
        <v>3</v>
      </c>
      <c r="AA142" s="176" t="e">
        <f t="shared" si="113"/>
        <v>#N/A</v>
      </c>
      <c r="AB142" s="176" t="e">
        <f t="shared" si="114"/>
        <v>#N/A</v>
      </c>
      <c r="AC142" s="590" t="e">
        <f t="shared" si="115"/>
        <v>#N/A</v>
      </c>
      <c r="AD142" s="590" t="e">
        <f t="shared" si="116"/>
        <v>#N/A</v>
      </c>
      <c r="AE142" s="126"/>
      <c r="AG142" s="126"/>
      <c r="AH142" s="126"/>
      <c r="AI142" s="126"/>
      <c r="AJ142" s="126"/>
      <c r="AK142" s="126"/>
      <c r="AL142" s="126"/>
      <c r="AM142" s="126"/>
      <c r="AN142" s="126"/>
      <c r="AO142" s="126"/>
      <c r="AP142" s="126"/>
      <c r="AQ142" s="126"/>
      <c r="AR142" s="126"/>
      <c r="AS142" s="126"/>
    </row>
    <row r="143" spans="1:46" ht="15" customHeight="1">
      <c r="B143" s="581" t="s">
        <v>225</v>
      </c>
      <c r="C143" s="604"/>
      <c r="D143" s="604"/>
      <c r="E143" s="604"/>
      <c r="F143" s="604"/>
      <c r="G143" s="604"/>
      <c r="H143" s="176" t="e">
        <f t="shared" si="104"/>
        <v>#N/A</v>
      </c>
      <c r="I143" s="176" t="e">
        <f t="shared" si="105"/>
        <v>#N/A</v>
      </c>
      <c r="J143" s="604"/>
      <c r="K143" s="604"/>
      <c r="L143" s="604"/>
      <c r="O143" s="590" t="e">
        <f t="shared" si="106"/>
        <v>#N/A</v>
      </c>
      <c r="P143" s="176">
        <f t="shared" si="118"/>
        <v>6</v>
      </c>
      <c r="Q143" s="580" t="e">
        <f t="shared" si="107"/>
        <v>#N/A</v>
      </c>
      <c r="R143" s="580">
        <f t="shared" si="119"/>
        <v>5.8</v>
      </c>
      <c r="S143" s="590" t="e">
        <f t="shared" si="108"/>
        <v>#N/A</v>
      </c>
      <c r="T143" s="176" t="e">
        <f t="shared" si="109"/>
        <v>#N/A</v>
      </c>
      <c r="U143" s="580">
        <f t="shared" si="120"/>
        <v>300</v>
      </c>
      <c r="V143" s="176" t="e">
        <f t="shared" si="110"/>
        <v>#N/A</v>
      </c>
      <c r="W143" s="605" t="e">
        <f>IF($R$37=2,0,IF($R$37=4,$O$37/4,IF($R$37=6,$O$37/6,IF($R$37=8,$O$37/8,IF($R$37=9,$O$37/9)))))</f>
        <v>#N/A</v>
      </c>
      <c r="X143" s="606" t="e">
        <f t="shared" si="111"/>
        <v>#N/A</v>
      </c>
      <c r="Y143" s="606" t="e">
        <f t="shared" si="112"/>
        <v>#N/A</v>
      </c>
      <c r="Z143" s="580">
        <f t="shared" si="121"/>
        <v>3</v>
      </c>
      <c r="AA143" s="176" t="e">
        <f t="shared" si="113"/>
        <v>#N/A</v>
      </c>
      <c r="AB143" s="176" t="e">
        <f t="shared" si="114"/>
        <v>#N/A</v>
      </c>
      <c r="AC143" s="590" t="e">
        <f t="shared" si="115"/>
        <v>#N/A</v>
      </c>
      <c r="AD143" s="590" t="e">
        <f t="shared" si="116"/>
        <v>#N/A</v>
      </c>
      <c r="AG143" s="174" t="s">
        <v>1026</v>
      </c>
      <c r="AH143" s="175" t="e">
        <f>IF(AH136&lt;0,0,AH136)</f>
        <v>#N/A</v>
      </c>
      <c r="AI143" s="175" t="e">
        <f t="shared" ref="AI143:AS143" si="122">IF(AI136&lt;0,0,AI136)</f>
        <v>#N/A</v>
      </c>
      <c r="AJ143" s="175" t="e">
        <f t="shared" si="122"/>
        <v>#N/A</v>
      </c>
      <c r="AK143" s="175" t="e">
        <f t="shared" si="122"/>
        <v>#N/A</v>
      </c>
      <c r="AL143" s="175" t="e">
        <f t="shared" si="122"/>
        <v>#N/A</v>
      </c>
      <c r="AM143" s="175" t="e">
        <f t="shared" si="122"/>
        <v>#N/A</v>
      </c>
      <c r="AN143" s="175" t="e">
        <f t="shared" si="122"/>
        <v>#N/A</v>
      </c>
      <c r="AO143" s="175" t="e">
        <f t="shared" si="122"/>
        <v>#N/A</v>
      </c>
      <c r="AP143" s="175" t="e">
        <f t="shared" si="122"/>
        <v>#N/A</v>
      </c>
      <c r="AQ143" s="175" t="e">
        <f t="shared" si="122"/>
        <v>#N/A</v>
      </c>
      <c r="AR143" s="175" t="e">
        <f t="shared" si="122"/>
        <v>#N/A</v>
      </c>
      <c r="AS143" s="175" t="e">
        <f t="shared" si="122"/>
        <v>#N/A</v>
      </c>
      <c r="AT143" s="590" t="e">
        <f>SUM(AH143:AS143)</f>
        <v>#N/A</v>
      </c>
    </row>
    <row r="144" spans="1:46" ht="15" customHeight="1">
      <c r="B144" s="581" t="s">
        <v>225</v>
      </c>
      <c r="C144" s="604"/>
      <c r="D144" s="604"/>
      <c r="E144" s="604"/>
      <c r="F144" s="604"/>
      <c r="G144" s="604"/>
      <c r="H144" s="176" t="e">
        <f t="shared" si="104"/>
        <v>#N/A</v>
      </c>
      <c r="I144" s="176" t="e">
        <f t="shared" si="105"/>
        <v>#N/A</v>
      </c>
      <c r="J144" s="604"/>
      <c r="K144" s="604"/>
      <c r="L144" s="604"/>
      <c r="O144" s="590" t="e">
        <f t="shared" si="106"/>
        <v>#N/A</v>
      </c>
      <c r="P144" s="176">
        <f t="shared" si="118"/>
        <v>6</v>
      </c>
      <c r="Q144" s="580" t="e">
        <f t="shared" si="107"/>
        <v>#N/A</v>
      </c>
      <c r="R144" s="580">
        <f t="shared" si="119"/>
        <v>5.8</v>
      </c>
      <c r="S144" s="590" t="e">
        <f t="shared" si="108"/>
        <v>#N/A</v>
      </c>
      <c r="T144" s="176" t="e">
        <f t="shared" si="109"/>
        <v>#N/A</v>
      </c>
      <c r="U144" s="580">
        <f t="shared" si="120"/>
        <v>300</v>
      </c>
      <c r="V144" s="176" t="e">
        <f t="shared" si="110"/>
        <v>#N/A</v>
      </c>
      <c r="W144" s="605" t="e">
        <f>IF($R$37=2,0,IF($R$37=4,0,IF($R$37=6,$O$37/6,IF($R$37=8,$O$37/8,IF($R$37=9,$O$37/9)))))</f>
        <v>#N/A</v>
      </c>
      <c r="X144" s="606" t="e">
        <f t="shared" si="111"/>
        <v>#N/A</v>
      </c>
      <c r="Y144" s="606" t="e">
        <f t="shared" si="112"/>
        <v>#N/A</v>
      </c>
      <c r="Z144" s="580">
        <f t="shared" si="121"/>
        <v>3</v>
      </c>
      <c r="AA144" s="176" t="e">
        <f t="shared" si="113"/>
        <v>#N/A</v>
      </c>
      <c r="AB144" s="176" t="e">
        <f t="shared" si="114"/>
        <v>#N/A</v>
      </c>
      <c r="AC144" s="590" t="e">
        <f t="shared" si="115"/>
        <v>#N/A</v>
      </c>
      <c r="AD144" s="590" t="e">
        <f t="shared" si="116"/>
        <v>#N/A</v>
      </c>
      <c r="AG144" s="176"/>
      <c r="AH144" s="176"/>
      <c r="AI144" s="176"/>
      <c r="AJ144" s="176"/>
      <c r="AK144" s="176"/>
      <c r="AL144" s="176"/>
      <c r="AM144" s="176"/>
      <c r="AN144" s="176"/>
      <c r="AO144" s="176"/>
      <c r="AP144" s="176"/>
      <c r="AQ144" s="176"/>
      <c r="AR144" s="176"/>
      <c r="AS144" s="176"/>
    </row>
    <row r="145" spans="1:46" ht="15" customHeight="1">
      <c r="B145" s="581" t="s">
        <v>225</v>
      </c>
      <c r="C145" s="604"/>
      <c r="D145" s="604"/>
      <c r="E145" s="604"/>
      <c r="F145" s="604"/>
      <c r="G145" s="604"/>
      <c r="H145" s="176" t="e">
        <f t="shared" si="104"/>
        <v>#N/A</v>
      </c>
      <c r="I145" s="176" t="e">
        <f t="shared" si="105"/>
        <v>#N/A</v>
      </c>
      <c r="J145" s="604"/>
      <c r="K145" s="604"/>
      <c r="L145" s="604"/>
      <c r="O145" s="590" t="e">
        <f t="shared" si="106"/>
        <v>#N/A</v>
      </c>
      <c r="P145" s="176">
        <f t="shared" si="118"/>
        <v>6</v>
      </c>
      <c r="Q145" s="580" t="e">
        <f t="shared" si="107"/>
        <v>#N/A</v>
      </c>
      <c r="R145" s="580">
        <f t="shared" si="119"/>
        <v>5.8</v>
      </c>
      <c r="S145" s="590" t="e">
        <f t="shared" si="108"/>
        <v>#N/A</v>
      </c>
      <c r="T145" s="176" t="e">
        <f t="shared" si="109"/>
        <v>#N/A</v>
      </c>
      <c r="U145" s="580">
        <f t="shared" si="120"/>
        <v>300</v>
      </c>
      <c r="V145" s="176" t="e">
        <f t="shared" si="110"/>
        <v>#N/A</v>
      </c>
      <c r="W145" s="605" t="e">
        <f t="shared" ref="W145" si="123">IF($R$37=2,0,IF($R$37=4,0,IF($R$37=6,$O$37/6,IF($R$37=8,$O$37/8,IF($R$37=9,$O$37/9)))))</f>
        <v>#N/A</v>
      </c>
      <c r="X145" s="606" t="e">
        <f t="shared" si="111"/>
        <v>#N/A</v>
      </c>
      <c r="Y145" s="606" t="e">
        <f t="shared" si="112"/>
        <v>#N/A</v>
      </c>
      <c r="Z145" s="580">
        <f t="shared" si="121"/>
        <v>3</v>
      </c>
      <c r="AA145" s="176" t="e">
        <f t="shared" si="113"/>
        <v>#N/A</v>
      </c>
      <c r="AB145" s="176" t="e">
        <f t="shared" si="114"/>
        <v>#N/A</v>
      </c>
      <c r="AC145" s="590" t="e">
        <f t="shared" si="115"/>
        <v>#N/A</v>
      </c>
      <c r="AD145" s="590" t="e">
        <f t="shared" si="116"/>
        <v>#N/A</v>
      </c>
      <c r="AG145" s="174" t="s">
        <v>1027</v>
      </c>
      <c r="AH145" s="175" t="e">
        <f>IF(AH105&gt;$AW$60,SUM(AH118:AH123)+SUM(AH132:AH133)+AH108-(AH130*0.01),0)</f>
        <v>#N/A</v>
      </c>
      <c r="AI145" s="175" t="e">
        <f t="shared" ref="AI145:AS145" si="124">IF(AI105&gt;$AW$60,SUM(AI118:AI123)+SUM(AI132:AI133)+AI108-(AI130*0.01),0)</f>
        <v>#N/A</v>
      </c>
      <c r="AJ145" s="175" t="e">
        <f t="shared" si="124"/>
        <v>#N/A</v>
      </c>
      <c r="AK145" s="175" t="e">
        <f t="shared" si="124"/>
        <v>#N/A</v>
      </c>
      <c r="AL145" s="175" t="e">
        <f t="shared" si="124"/>
        <v>#N/A</v>
      </c>
      <c r="AM145" s="175" t="e">
        <f t="shared" si="124"/>
        <v>#N/A</v>
      </c>
      <c r="AN145" s="175" t="e">
        <f t="shared" si="124"/>
        <v>#N/A</v>
      </c>
      <c r="AO145" s="175" t="e">
        <f t="shared" si="124"/>
        <v>#N/A</v>
      </c>
      <c r="AP145" s="175" t="e">
        <f t="shared" si="124"/>
        <v>#N/A</v>
      </c>
      <c r="AQ145" s="175" t="e">
        <f t="shared" si="124"/>
        <v>#N/A</v>
      </c>
      <c r="AR145" s="175" t="e">
        <f t="shared" si="124"/>
        <v>#N/A</v>
      </c>
      <c r="AS145" s="175" t="e">
        <f t="shared" si="124"/>
        <v>#N/A</v>
      </c>
      <c r="AT145" s="590" t="e">
        <f>SUM(AH145:AS145)</f>
        <v>#N/A</v>
      </c>
    </row>
    <row r="146" spans="1:46" ht="15" customHeight="1">
      <c r="B146" s="581" t="s">
        <v>225</v>
      </c>
      <c r="C146" s="604"/>
      <c r="D146" s="604"/>
      <c r="E146" s="604"/>
      <c r="F146" s="604"/>
      <c r="G146" s="604"/>
      <c r="H146" s="176" t="e">
        <f t="shared" si="104"/>
        <v>#N/A</v>
      </c>
      <c r="I146" s="176" t="e">
        <f t="shared" si="105"/>
        <v>#N/A</v>
      </c>
      <c r="J146" s="604"/>
      <c r="K146" s="604"/>
      <c r="L146" s="604"/>
      <c r="O146" s="590" t="e">
        <f t="shared" si="106"/>
        <v>#N/A</v>
      </c>
      <c r="P146" s="176">
        <f t="shared" si="118"/>
        <v>6</v>
      </c>
      <c r="Q146" s="580" t="e">
        <f t="shared" si="107"/>
        <v>#N/A</v>
      </c>
      <c r="R146" s="580">
        <f t="shared" si="119"/>
        <v>5.8</v>
      </c>
      <c r="S146" s="590" t="e">
        <f t="shared" si="108"/>
        <v>#N/A</v>
      </c>
      <c r="T146" s="176" t="e">
        <f t="shared" si="109"/>
        <v>#N/A</v>
      </c>
      <c r="U146" s="580">
        <f t="shared" si="120"/>
        <v>300</v>
      </c>
      <c r="V146" s="176" t="e">
        <f t="shared" si="110"/>
        <v>#N/A</v>
      </c>
      <c r="W146" s="605" t="e">
        <f>IF($R$37=2,0,IF($R$37=4,0,IF($R$37=6,0,IF($R$37=8,$O$37/8,IF($R$37=9,$O$37/9)))))</f>
        <v>#N/A</v>
      </c>
      <c r="X146" s="606" t="e">
        <f t="shared" si="111"/>
        <v>#N/A</v>
      </c>
      <c r="Y146" s="606" t="e">
        <f t="shared" si="112"/>
        <v>#N/A</v>
      </c>
      <c r="Z146" s="580">
        <f t="shared" si="121"/>
        <v>3</v>
      </c>
      <c r="AA146" s="176" t="e">
        <f t="shared" si="113"/>
        <v>#N/A</v>
      </c>
      <c r="AB146" s="176" t="e">
        <f t="shared" si="114"/>
        <v>#N/A</v>
      </c>
      <c r="AC146" s="590" t="e">
        <f t="shared" si="115"/>
        <v>#N/A</v>
      </c>
      <c r="AD146" s="590" t="e">
        <f t="shared" si="116"/>
        <v>#N/A</v>
      </c>
    </row>
    <row r="147" spans="1:46" ht="15" customHeight="1">
      <c r="B147" s="581" t="s">
        <v>225</v>
      </c>
      <c r="C147" s="604"/>
      <c r="D147" s="604"/>
      <c r="E147" s="604"/>
      <c r="F147" s="604"/>
      <c r="G147" s="604"/>
      <c r="H147" s="176" t="e">
        <f t="shared" si="104"/>
        <v>#N/A</v>
      </c>
      <c r="I147" s="176" t="e">
        <f t="shared" si="105"/>
        <v>#N/A</v>
      </c>
      <c r="J147" s="604"/>
      <c r="K147" s="604"/>
      <c r="L147" s="604"/>
      <c r="O147" s="590" t="e">
        <f t="shared" si="106"/>
        <v>#N/A</v>
      </c>
      <c r="P147" s="176">
        <f t="shared" si="118"/>
        <v>6</v>
      </c>
      <c r="Q147" s="580" t="e">
        <f t="shared" si="107"/>
        <v>#N/A</v>
      </c>
      <c r="R147" s="580">
        <f t="shared" si="119"/>
        <v>5.8</v>
      </c>
      <c r="S147" s="590" t="e">
        <f t="shared" si="108"/>
        <v>#N/A</v>
      </c>
      <c r="T147" s="176" t="e">
        <f t="shared" si="109"/>
        <v>#N/A</v>
      </c>
      <c r="U147" s="580">
        <f t="shared" si="120"/>
        <v>300</v>
      </c>
      <c r="V147" s="176" t="e">
        <f t="shared" si="110"/>
        <v>#N/A</v>
      </c>
      <c r="W147" s="605" t="e">
        <f>IF($R$37=2,0,IF($R$37=4,0,IF($R$37=6,0,IF($R$37=8,$O$37/8,IF($R$37=9,$O$37/9)))))</f>
        <v>#N/A</v>
      </c>
      <c r="X147" s="606" t="e">
        <f t="shared" si="111"/>
        <v>#N/A</v>
      </c>
      <c r="Y147" s="606" t="e">
        <f t="shared" si="112"/>
        <v>#N/A</v>
      </c>
      <c r="Z147" s="580">
        <f t="shared" si="121"/>
        <v>3</v>
      </c>
      <c r="AA147" s="176" t="e">
        <f t="shared" si="113"/>
        <v>#N/A</v>
      </c>
      <c r="AB147" s="176" t="e">
        <f t="shared" si="114"/>
        <v>#N/A</v>
      </c>
      <c r="AC147" s="590" t="e">
        <f t="shared" si="115"/>
        <v>#N/A</v>
      </c>
      <c r="AD147" s="590" t="e">
        <f t="shared" si="116"/>
        <v>#N/A</v>
      </c>
    </row>
    <row r="148" spans="1:46" s="173" customFormat="1" ht="15" customHeight="1">
      <c r="A148" s="126"/>
      <c r="B148" s="581" t="s">
        <v>225</v>
      </c>
      <c r="C148" s="604"/>
      <c r="D148" s="604"/>
      <c r="E148" s="604"/>
      <c r="F148" s="604"/>
      <c r="G148" s="604"/>
      <c r="H148" s="176" t="e">
        <f t="shared" si="104"/>
        <v>#N/A</v>
      </c>
      <c r="I148" s="176" t="e">
        <f t="shared" si="105"/>
        <v>#N/A</v>
      </c>
      <c r="J148" s="604"/>
      <c r="K148" s="604"/>
      <c r="L148" s="604"/>
      <c r="M148" s="126"/>
      <c r="N148" s="126"/>
      <c r="O148" s="590" t="e">
        <f t="shared" si="106"/>
        <v>#N/A</v>
      </c>
      <c r="P148" s="176">
        <f t="shared" si="118"/>
        <v>6</v>
      </c>
      <c r="Q148" s="580" t="e">
        <f t="shared" si="107"/>
        <v>#N/A</v>
      </c>
      <c r="R148" s="580">
        <f t="shared" si="119"/>
        <v>5.8</v>
      </c>
      <c r="S148" s="590" t="e">
        <f t="shared" si="108"/>
        <v>#N/A</v>
      </c>
      <c r="T148" s="176" t="e">
        <f t="shared" si="109"/>
        <v>#N/A</v>
      </c>
      <c r="U148" s="580">
        <f t="shared" si="120"/>
        <v>300</v>
      </c>
      <c r="V148" s="176" t="e">
        <f t="shared" si="110"/>
        <v>#N/A</v>
      </c>
      <c r="W148" s="605" t="e">
        <f>IF($R$37=2,0,IF($R$37=4,0,IF($R$37=6,0,IF($R$37=8,0,IF($R$37=9,$O$37/9)))))</f>
        <v>#N/A</v>
      </c>
      <c r="X148" s="606" t="e">
        <f t="shared" si="111"/>
        <v>#N/A</v>
      </c>
      <c r="Y148" s="606" t="e">
        <f t="shared" si="112"/>
        <v>#N/A</v>
      </c>
      <c r="Z148" s="580">
        <f t="shared" si="121"/>
        <v>3</v>
      </c>
      <c r="AA148" s="176" t="e">
        <f t="shared" si="113"/>
        <v>#N/A</v>
      </c>
      <c r="AB148" s="176" t="e">
        <f t="shared" si="114"/>
        <v>#N/A</v>
      </c>
      <c r="AC148" s="590" t="e">
        <f t="shared" si="115"/>
        <v>#N/A</v>
      </c>
      <c r="AD148" s="590" t="e">
        <f t="shared" si="116"/>
        <v>#N/A</v>
      </c>
      <c r="AE148" s="126"/>
    </row>
    <row r="149" spans="1:46" ht="15" customHeight="1">
      <c r="D149" s="126"/>
      <c r="E149" s="126"/>
      <c r="K149" s="126"/>
      <c r="L149" s="126"/>
      <c r="Q149" s="126"/>
      <c r="R149" s="126"/>
      <c r="V149" s="126"/>
      <c r="X149" s="126"/>
    </row>
    <row r="150" spans="1:46" ht="15" customHeight="1">
      <c r="D150" s="126"/>
      <c r="E150" s="126"/>
      <c r="K150" s="126"/>
      <c r="L150" s="126"/>
      <c r="Q150" s="126"/>
      <c r="R150" s="126"/>
      <c r="V150" s="126"/>
      <c r="X150" s="126"/>
    </row>
    <row r="151" spans="1:46" ht="15" customHeight="1">
      <c r="C151" s="1323" t="s">
        <v>1204</v>
      </c>
      <c r="D151" s="1323"/>
      <c r="E151" s="580" t="s">
        <v>1185</v>
      </c>
      <c r="F151" s="580" t="s">
        <v>1186</v>
      </c>
      <c r="G151" s="580" t="s">
        <v>227</v>
      </c>
      <c r="K151" s="126"/>
      <c r="L151" s="126"/>
      <c r="Q151" s="126"/>
      <c r="R151" s="126"/>
      <c r="V151" s="126"/>
      <c r="X151" s="126"/>
    </row>
    <row r="152" spans="1:46" ht="15" customHeight="1">
      <c r="B152" s="581" t="s">
        <v>768</v>
      </c>
      <c r="C152" s="1324"/>
      <c r="D152" s="1324"/>
      <c r="E152" s="589">
        <f>ENERGÍA!F158</f>
        <v>0</v>
      </c>
      <c r="F152" s="589">
        <f>ENERGÍA!G158</f>
        <v>0</v>
      </c>
      <c r="G152" s="589">
        <f>ENERGÍA!H158</f>
        <v>0</v>
      </c>
      <c r="K152" s="126"/>
      <c r="L152" s="126"/>
      <c r="T152" s="590">
        <f>ENERGÍA!U158</f>
        <v>0</v>
      </c>
      <c r="V152" s="126"/>
      <c r="X152" s="126"/>
      <c r="AC152" s="590">
        <f>T152*E152*F152</f>
        <v>0</v>
      </c>
      <c r="AD152" s="590">
        <f>AC152</f>
        <v>0</v>
      </c>
    </row>
    <row r="153" spans="1:46" ht="6" customHeight="1">
      <c r="L153" s="126"/>
      <c r="V153" s="148"/>
      <c r="Z153" s="580"/>
      <c r="AA153" s="580"/>
    </row>
    <row r="154" spans="1:46" ht="15" customHeight="1">
      <c r="B154" s="1323">
        <f>C38</f>
        <v>0</v>
      </c>
      <c r="C154" s="1323"/>
      <c r="D154" s="1323"/>
      <c r="E154" s="1323"/>
      <c r="F154" s="1323"/>
      <c r="G154" s="1323"/>
      <c r="H154" s="1323"/>
      <c r="I154" s="1323"/>
      <c r="J154" s="1323"/>
      <c r="K154" s="1323"/>
      <c r="L154" s="1323"/>
      <c r="O154" s="1320">
        <f>B154</f>
        <v>0</v>
      </c>
      <c r="P154" s="1321"/>
      <c r="Q154" s="1321"/>
      <c r="R154" s="1321"/>
      <c r="S154" s="1321"/>
      <c r="T154" s="1321"/>
      <c r="U154" s="1321"/>
      <c r="V154" s="1321"/>
      <c r="W154" s="1321"/>
      <c r="X154" s="1321"/>
      <c r="Y154" s="1321"/>
      <c r="Z154" s="1321"/>
      <c r="AA154" s="1321"/>
      <c r="AB154" s="1321"/>
      <c r="AC154" s="1321"/>
      <c r="AD154" s="1321"/>
      <c r="AE154" s="1322"/>
    </row>
    <row r="155" spans="1:46" ht="6" customHeight="1">
      <c r="L155" s="126"/>
      <c r="V155" s="148"/>
      <c r="Z155" s="580"/>
      <c r="AA155" s="580"/>
    </row>
    <row r="156" spans="1:46" ht="15" customHeight="1">
      <c r="B156" s="1273"/>
      <c r="C156" s="1323" t="s">
        <v>1184</v>
      </c>
      <c r="D156" s="1323"/>
      <c r="E156" s="1323"/>
      <c r="F156" s="1323" t="s">
        <v>1188</v>
      </c>
      <c r="G156" s="1323"/>
      <c r="H156" s="1323" t="s">
        <v>1203</v>
      </c>
      <c r="I156" s="1323"/>
      <c r="J156" s="1281" t="s">
        <v>790</v>
      </c>
      <c r="K156" s="1281" t="s">
        <v>1136</v>
      </c>
      <c r="L156" s="1281"/>
      <c r="O156" s="580" t="s">
        <v>1651</v>
      </c>
      <c r="P156" s="1281" t="s">
        <v>1064</v>
      </c>
      <c r="Q156" s="580" t="s">
        <v>1652</v>
      </c>
      <c r="R156" s="1273" t="s">
        <v>1191</v>
      </c>
      <c r="S156" s="580" t="s">
        <v>1190</v>
      </c>
      <c r="T156" s="1273" t="s">
        <v>1192</v>
      </c>
      <c r="U156" s="1323" t="s">
        <v>1653</v>
      </c>
      <c r="V156" s="1323"/>
      <c r="W156" s="580" t="s">
        <v>1654</v>
      </c>
      <c r="X156" s="1273" t="s">
        <v>1403</v>
      </c>
      <c r="Y156" s="1273" t="s">
        <v>1404</v>
      </c>
      <c r="Z156" s="1273" t="s">
        <v>1210</v>
      </c>
      <c r="AA156" s="1273" t="s">
        <v>1201</v>
      </c>
      <c r="AB156" s="1273" t="s">
        <v>1202</v>
      </c>
      <c r="AC156" s="1281" t="s">
        <v>850</v>
      </c>
      <c r="AD156" s="1281" t="str">
        <f>AC156</f>
        <v>W/K Inv</v>
      </c>
      <c r="AE156" s="226" t="s">
        <v>1017</v>
      </c>
    </row>
    <row r="157" spans="1:46" ht="15" customHeight="1">
      <c r="B157" s="1273"/>
      <c r="C157" s="148" t="s">
        <v>623</v>
      </c>
      <c r="D157" s="580" t="s">
        <v>1185</v>
      </c>
      <c r="E157" s="580" t="s">
        <v>1186</v>
      </c>
      <c r="F157" s="580" t="s">
        <v>623</v>
      </c>
      <c r="G157" s="580" t="s">
        <v>1189</v>
      </c>
      <c r="H157" s="580" t="s">
        <v>757</v>
      </c>
      <c r="I157" s="580" t="s">
        <v>650</v>
      </c>
      <c r="J157" s="1281"/>
      <c r="K157" s="166" t="s">
        <v>623</v>
      </c>
      <c r="L157" s="602" t="s">
        <v>1122</v>
      </c>
      <c r="O157" s="580" t="s">
        <v>1187</v>
      </c>
      <c r="P157" s="1281"/>
      <c r="Q157" s="580" t="s">
        <v>1187</v>
      </c>
      <c r="R157" s="1273"/>
      <c r="S157" s="580" t="s">
        <v>18</v>
      </c>
      <c r="T157" s="1273"/>
      <c r="U157" s="580" t="s">
        <v>1199</v>
      </c>
      <c r="V157" s="148" t="s">
        <v>1200</v>
      </c>
      <c r="W157" s="176" t="s">
        <v>1187</v>
      </c>
      <c r="X157" s="1273"/>
      <c r="Y157" s="1273"/>
      <c r="Z157" s="1273"/>
      <c r="AA157" s="1273"/>
      <c r="AB157" s="1273"/>
      <c r="AC157" s="1281"/>
      <c r="AD157" s="1281"/>
      <c r="AE157" s="603" t="e">
        <f>Q38</f>
        <v>#N/A</v>
      </c>
    </row>
    <row r="158" spans="1:46" ht="15" customHeight="1">
      <c r="B158" s="581" t="s">
        <v>225</v>
      </c>
      <c r="C158" s="604"/>
      <c r="D158" s="604"/>
      <c r="E158" s="604"/>
      <c r="F158" s="604"/>
      <c r="G158" s="604"/>
      <c r="H158" s="176" t="e">
        <f t="shared" ref="H158:H166" si="125">IF(W158=0,"-",IF($O$4=6,"No Aplica",HLOOKUP(AA158,ZONA2,2,TRUE)))</f>
        <v>#N/A</v>
      </c>
      <c r="I158" s="176" t="e">
        <f t="shared" ref="I158:I166" si="126">IF(W158=0,"-",IF($O$4=6,HLOOKUP(AB158,ZONA3,2,TRUE),HLOOKUP(AB158,ZONA1,2,TRUE)))</f>
        <v>#N/A</v>
      </c>
      <c r="J158" s="604"/>
      <c r="K158" s="604"/>
      <c r="L158" s="604"/>
      <c r="O158" s="590" t="e">
        <f t="shared" ref="O158:O166" si="127">$W$104-Q158</f>
        <v>#N/A</v>
      </c>
      <c r="P158" s="176">
        <f>P148</f>
        <v>6</v>
      </c>
      <c r="Q158" s="580" t="e">
        <f t="shared" ref="Q158:Q166" si="128">W158*0.02</f>
        <v>#N/A</v>
      </c>
      <c r="R158" s="580">
        <f>R148</f>
        <v>5.8</v>
      </c>
      <c r="S158" s="590" t="e">
        <f t="shared" ref="S158:S166" si="129">(W158/2)+2</f>
        <v>#N/A</v>
      </c>
      <c r="T158" s="176" t="e">
        <f t="shared" ref="T158:T166" si="130">((O158*P158)+(Q158*R158)+(S158*0.02))/W158</f>
        <v>#N/A</v>
      </c>
      <c r="U158" s="580">
        <f>U148</f>
        <v>300</v>
      </c>
      <c r="V158" s="176" t="e">
        <f t="shared" ref="V158:V166" si="131">IF(W158=0,0,U158*W158)</f>
        <v>#N/A</v>
      </c>
      <c r="W158" s="605" t="e">
        <f>IF($R$38=2,$O$38/2,IF($R$38=4,$O$38/4,IF($R$38=6,$O$38/6,IF($R$38=8,$O$38/8,IF($R$38=9,$O$38/9)))))</f>
        <v>#N/A</v>
      </c>
      <c r="X158" s="606" t="e">
        <f t="shared" ref="X158:X166" si="132">(V158*$AW$112)</f>
        <v>#N/A</v>
      </c>
      <c r="Y158" s="606" t="e">
        <f t="shared" ref="Y158:Y166" si="133">V158*$AW$114</f>
        <v>#N/A</v>
      </c>
      <c r="Z158" s="580">
        <f>Z148</f>
        <v>3</v>
      </c>
      <c r="AA158" s="176" t="e">
        <f t="shared" ref="AA158:AA166" si="134">IF(W158=0,0,(($AW$104*Z158)+X158+(T158*$AW$108))/W158)</f>
        <v>#N/A</v>
      </c>
      <c r="AB158" s="176" t="e">
        <f>IF(W158=0,0,(($AW$106*Z158)-(X158+T158)*$AW$110)/W158)</f>
        <v>#N/A</v>
      </c>
      <c r="AC158" s="590" t="e">
        <f>IF(W158=0,0,(T158*O158))</f>
        <v>#N/A</v>
      </c>
      <c r="AD158" s="590" t="e">
        <f t="shared" ref="AD158:AD166" si="135">AC158</f>
        <v>#N/A</v>
      </c>
    </row>
    <row r="159" spans="1:46" ht="15" customHeight="1">
      <c r="B159" s="581" t="s">
        <v>225</v>
      </c>
      <c r="C159" s="604"/>
      <c r="D159" s="604"/>
      <c r="E159" s="604"/>
      <c r="F159" s="604"/>
      <c r="G159" s="604"/>
      <c r="H159" s="176" t="e">
        <f t="shared" si="125"/>
        <v>#N/A</v>
      </c>
      <c r="I159" s="176" t="e">
        <f t="shared" si="126"/>
        <v>#N/A</v>
      </c>
      <c r="J159" s="604"/>
      <c r="K159" s="604"/>
      <c r="L159" s="604"/>
      <c r="O159" s="590" t="e">
        <f t="shared" si="127"/>
        <v>#N/A</v>
      </c>
      <c r="P159" s="176">
        <f>P158</f>
        <v>6</v>
      </c>
      <c r="Q159" s="580" t="e">
        <f t="shared" si="128"/>
        <v>#N/A</v>
      </c>
      <c r="R159" s="580">
        <f>R158</f>
        <v>5.8</v>
      </c>
      <c r="S159" s="590" t="e">
        <f t="shared" si="129"/>
        <v>#N/A</v>
      </c>
      <c r="T159" s="176" t="e">
        <f t="shared" si="130"/>
        <v>#N/A</v>
      </c>
      <c r="U159" s="580">
        <f>U158</f>
        <v>300</v>
      </c>
      <c r="V159" s="176" t="e">
        <f t="shared" si="131"/>
        <v>#N/A</v>
      </c>
      <c r="W159" s="605" t="e">
        <f t="shared" ref="W159" si="136">IF($R$38=2,$O$38/2,IF($R$38=4,$O$38/4,IF($R$38=6,$O$38/6,IF($R$38=8,$O$38/8,IF($R$38=9,$O$38/9)))))</f>
        <v>#N/A</v>
      </c>
      <c r="X159" s="606" t="e">
        <f t="shared" si="132"/>
        <v>#N/A</v>
      </c>
      <c r="Y159" s="606" t="e">
        <f t="shared" si="133"/>
        <v>#N/A</v>
      </c>
      <c r="Z159" s="580">
        <f>Z158</f>
        <v>3</v>
      </c>
      <c r="AA159" s="176" t="e">
        <f t="shared" si="134"/>
        <v>#N/A</v>
      </c>
      <c r="AB159" s="176" t="e">
        <f t="shared" ref="AB159:AB166" si="137">IF(W159=0,0,(($AW$106*Z159)-(X159+T159)*$AW$110)/W159)</f>
        <v>#N/A</v>
      </c>
      <c r="AC159" s="590" t="e">
        <f t="shared" ref="AC159:AC166" si="138">IF(W159=0,0,(T159*O159))</f>
        <v>#N/A</v>
      </c>
      <c r="AD159" s="590" t="e">
        <f t="shared" si="135"/>
        <v>#N/A</v>
      </c>
    </row>
    <row r="160" spans="1:46" ht="15" customHeight="1">
      <c r="B160" s="581" t="s">
        <v>225</v>
      </c>
      <c r="C160" s="604"/>
      <c r="D160" s="604"/>
      <c r="E160" s="604"/>
      <c r="F160" s="604"/>
      <c r="G160" s="604"/>
      <c r="H160" s="176" t="e">
        <f t="shared" si="125"/>
        <v>#N/A</v>
      </c>
      <c r="I160" s="176" t="e">
        <f t="shared" si="126"/>
        <v>#N/A</v>
      </c>
      <c r="J160" s="604"/>
      <c r="K160" s="604"/>
      <c r="L160" s="604"/>
      <c r="O160" s="590" t="e">
        <f t="shared" si="127"/>
        <v>#N/A</v>
      </c>
      <c r="P160" s="176">
        <f t="shared" ref="P160:P166" si="139">P159</f>
        <v>6</v>
      </c>
      <c r="Q160" s="580" t="e">
        <f t="shared" si="128"/>
        <v>#N/A</v>
      </c>
      <c r="R160" s="580">
        <f t="shared" ref="R160:R166" si="140">R159</f>
        <v>5.8</v>
      </c>
      <c r="S160" s="590" t="e">
        <f t="shared" si="129"/>
        <v>#N/A</v>
      </c>
      <c r="T160" s="176" t="e">
        <f t="shared" si="130"/>
        <v>#N/A</v>
      </c>
      <c r="U160" s="580">
        <f t="shared" ref="U160:U166" si="141">U159</f>
        <v>300</v>
      </c>
      <c r="V160" s="176" t="e">
        <f t="shared" si="131"/>
        <v>#N/A</v>
      </c>
      <c r="W160" s="605" t="e">
        <f>IF($R$38=2,0,IF($R$38=4,$O$38/4,IF($R$38=6,$O$38/6,IF($R$38=8,$O$38/8,IF($R$38=9,$O$38/9)))))</f>
        <v>#N/A</v>
      </c>
      <c r="X160" s="606" t="e">
        <f t="shared" si="132"/>
        <v>#N/A</v>
      </c>
      <c r="Y160" s="606" t="e">
        <f t="shared" si="133"/>
        <v>#N/A</v>
      </c>
      <c r="Z160" s="580">
        <f t="shared" ref="Z160:Z166" si="142">Z159</f>
        <v>3</v>
      </c>
      <c r="AA160" s="176" t="e">
        <f t="shared" si="134"/>
        <v>#N/A</v>
      </c>
      <c r="AB160" s="176" t="e">
        <f t="shared" si="137"/>
        <v>#N/A</v>
      </c>
      <c r="AC160" s="590" t="e">
        <f t="shared" si="138"/>
        <v>#N/A</v>
      </c>
      <c r="AD160" s="590" t="e">
        <f t="shared" si="135"/>
        <v>#N/A</v>
      </c>
    </row>
    <row r="161" spans="1:32" ht="15" customHeight="1">
      <c r="B161" s="581" t="s">
        <v>225</v>
      </c>
      <c r="C161" s="604"/>
      <c r="D161" s="604"/>
      <c r="E161" s="604"/>
      <c r="F161" s="604"/>
      <c r="G161" s="604"/>
      <c r="H161" s="176" t="e">
        <f t="shared" si="125"/>
        <v>#N/A</v>
      </c>
      <c r="I161" s="176" t="e">
        <f t="shared" si="126"/>
        <v>#N/A</v>
      </c>
      <c r="J161" s="604"/>
      <c r="K161" s="604"/>
      <c r="L161" s="604"/>
      <c r="O161" s="590" t="e">
        <f t="shared" si="127"/>
        <v>#N/A</v>
      </c>
      <c r="P161" s="176">
        <f t="shared" si="139"/>
        <v>6</v>
      </c>
      <c r="Q161" s="580" t="e">
        <f t="shared" si="128"/>
        <v>#N/A</v>
      </c>
      <c r="R161" s="580">
        <f t="shared" si="140"/>
        <v>5.8</v>
      </c>
      <c r="S161" s="590" t="e">
        <f t="shared" si="129"/>
        <v>#N/A</v>
      </c>
      <c r="T161" s="176" t="e">
        <f t="shared" si="130"/>
        <v>#N/A</v>
      </c>
      <c r="U161" s="580">
        <f t="shared" si="141"/>
        <v>300</v>
      </c>
      <c r="V161" s="176" t="e">
        <f t="shared" si="131"/>
        <v>#N/A</v>
      </c>
      <c r="W161" s="605" t="e">
        <f t="shared" ref="W161" si="143">IF($R$38=2,0,IF($R$38=4,$O$38/4,IF($R$38=6,$O$38/6,IF($R$38=8,$O$38/8,IF($R$38=9,$O$38/9)))))</f>
        <v>#N/A</v>
      </c>
      <c r="X161" s="606" t="e">
        <f t="shared" si="132"/>
        <v>#N/A</v>
      </c>
      <c r="Y161" s="606" t="e">
        <f t="shared" si="133"/>
        <v>#N/A</v>
      </c>
      <c r="Z161" s="580">
        <f t="shared" si="142"/>
        <v>3</v>
      </c>
      <c r="AA161" s="176" t="e">
        <f t="shared" si="134"/>
        <v>#N/A</v>
      </c>
      <c r="AB161" s="176" t="e">
        <f t="shared" si="137"/>
        <v>#N/A</v>
      </c>
      <c r="AC161" s="590" t="e">
        <f t="shared" si="138"/>
        <v>#N/A</v>
      </c>
      <c r="AD161" s="590" t="e">
        <f t="shared" si="135"/>
        <v>#N/A</v>
      </c>
    </row>
    <row r="162" spans="1:32" ht="15" customHeight="1">
      <c r="B162" s="581" t="s">
        <v>225</v>
      </c>
      <c r="C162" s="604"/>
      <c r="D162" s="604"/>
      <c r="E162" s="604"/>
      <c r="F162" s="604"/>
      <c r="G162" s="604"/>
      <c r="H162" s="176" t="e">
        <f t="shared" si="125"/>
        <v>#N/A</v>
      </c>
      <c r="I162" s="176" t="e">
        <f t="shared" si="126"/>
        <v>#N/A</v>
      </c>
      <c r="J162" s="604"/>
      <c r="K162" s="604"/>
      <c r="L162" s="604"/>
      <c r="O162" s="590" t="e">
        <f t="shared" si="127"/>
        <v>#N/A</v>
      </c>
      <c r="P162" s="176">
        <f t="shared" si="139"/>
        <v>6</v>
      </c>
      <c r="Q162" s="580" t="e">
        <f t="shared" si="128"/>
        <v>#N/A</v>
      </c>
      <c r="R162" s="580">
        <f t="shared" si="140"/>
        <v>5.8</v>
      </c>
      <c r="S162" s="590" t="e">
        <f t="shared" si="129"/>
        <v>#N/A</v>
      </c>
      <c r="T162" s="176" t="e">
        <f t="shared" si="130"/>
        <v>#N/A</v>
      </c>
      <c r="U162" s="580">
        <f t="shared" si="141"/>
        <v>300</v>
      </c>
      <c r="V162" s="176" t="e">
        <f t="shared" si="131"/>
        <v>#N/A</v>
      </c>
      <c r="W162" s="605" t="e">
        <f>IF($R$38=2,0,IF($R$38=4,0,IF($R$38=6,$O$38/6,IF($R$38=8,$O$38/8,IF($R$38=9,$O$38/9)))))</f>
        <v>#N/A</v>
      </c>
      <c r="X162" s="606" t="e">
        <f t="shared" si="132"/>
        <v>#N/A</v>
      </c>
      <c r="Y162" s="606" t="e">
        <f t="shared" si="133"/>
        <v>#N/A</v>
      </c>
      <c r="Z162" s="580">
        <f t="shared" si="142"/>
        <v>3</v>
      </c>
      <c r="AA162" s="176" t="e">
        <f t="shared" si="134"/>
        <v>#N/A</v>
      </c>
      <c r="AB162" s="176" t="e">
        <f t="shared" si="137"/>
        <v>#N/A</v>
      </c>
      <c r="AC162" s="590" t="e">
        <f t="shared" si="138"/>
        <v>#N/A</v>
      </c>
      <c r="AD162" s="590" t="e">
        <f t="shared" si="135"/>
        <v>#N/A</v>
      </c>
    </row>
    <row r="163" spans="1:32" ht="15" customHeight="1">
      <c r="B163" s="581" t="s">
        <v>225</v>
      </c>
      <c r="C163" s="604"/>
      <c r="D163" s="604"/>
      <c r="E163" s="604"/>
      <c r="F163" s="604"/>
      <c r="G163" s="604"/>
      <c r="H163" s="176" t="e">
        <f t="shared" si="125"/>
        <v>#N/A</v>
      </c>
      <c r="I163" s="176" t="e">
        <f t="shared" si="126"/>
        <v>#N/A</v>
      </c>
      <c r="J163" s="604"/>
      <c r="K163" s="604"/>
      <c r="L163" s="604"/>
      <c r="O163" s="590" t="e">
        <f t="shared" si="127"/>
        <v>#N/A</v>
      </c>
      <c r="P163" s="176">
        <f t="shared" si="139"/>
        <v>6</v>
      </c>
      <c r="Q163" s="580" t="e">
        <f t="shared" si="128"/>
        <v>#N/A</v>
      </c>
      <c r="R163" s="580">
        <f t="shared" si="140"/>
        <v>5.8</v>
      </c>
      <c r="S163" s="590" t="e">
        <f t="shared" si="129"/>
        <v>#N/A</v>
      </c>
      <c r="T163" s="176" t="e">
        <f t="shared" si="130"/>
        <v>#N/A</v>
      </c>
      <c r="U163" s="580">
        <f t="shared" si="141"/>
        <v>300</v>
      </c>
      <c r="V163" s="176" t="e">
        <f t="shared" si="131"/>
        <v>#N/A</v>
      </c>
      <c r="W163" s="605" t="e">
        <f t="shared" ref="W163" si="144">IF($R$38=2,0,IF($R$38=4,0,IF($R$38=6,$O$38/6,IF($R$38=8,$O$38/8,IF($R$38=9,$O$38/9)))))</f>
        <v>#N/A</v>
      </c>
      <c r="X163" s="606" t="e">
        <f t="shared" si="132"/>
        <v>#N/A</v>
      </c>
      <c r="Y163" s="606" t="e">
        <f t="shared" si="133"/>
        <v>#N/A</v>
      </c>
      <c r="Z163" s="580">
        <f t="shared" si="142"/>
        <v>3</v>
      </c>
      <c r="AA163" s="176" t="e">
        <f t="shared" si="134"/>
        <v>#N/A</v>
      </c>
      <c r="AB163" s="176" t="e">
        <f t="shared" si="137"/>
        <v>#N/A</v>
      </c>
      <c r="AC163" s="590" t="e">
        <f t="shared" si="138"/>
        <v>#N/A</v>
      </c>
      <c r="AD163" s="590" t="e">
        <f t="shared" si="135"/>
        <v>#N/A</v>
      </c>
    </row>
    <row r="164" spans="1:32" ht="15" customHeight="1">
      <c r="B164" s="581" t="s">
        <v>225</v>
      </c>
      <c r="C164" s="604"/>
      <c r="D164" s="604"/>
      <c r="E164" s="604"/>
      <c r="F164" s="604"/>
      <c r="G164" s="604"/>
      <c r="H164" s="176" t="e">
        <f t="shared" si="125"/>
        <v>#N/A</v>
      </c>
      <c r="I164" s="176" t="e">
        <f t="shared" si="126"/>
        <v>#N/A</v>
      </c>
      <c r="J164" s="604"/>
      <c r="K164" s="604"/>
      <c r="L164" s="604"/>
      <c r="O164" s="590" t="e">
        <f t="shared" si="127"/>
        <v>#N/A</v>
      </c>
      <c r="P164" s="176">
        <f t="shared" si="139"/>
        <v>6</v>
      </c>
      <c r="Q164" s="580" t="e">
        <f t="shared" si="128"/>
        <v>#N/A</v>
      </c>
      <c r="R164" s="580">
        <f t="shared" si="140"/>
        <v>5.8</v>
      </c>
      <c r="S164" s="590" t="e">
        <f t="shared" si="129"/>
        <v>#N/A</v>
      </c>
      <c r="T164" s="176" t="e">
        <f t="shared" si="130"/>
        <v>#N/A</v>
      </c>
      <c r="U164" s="580">
        <f t="shared" si="141"/>
        <v>300</v>
      </c>
      <c r="V164" s="176" t="e">
        <f t="shared" si="131"/>
        <v>#N/A</v>
      </c>
      <c r="W164" s="605" t="e">
        <f>IF($R$38=2,0,IF($R$38=4,0,IF($R$38=6,0,IF($R$38=8,$O$38/8,IF($R$38=9,$O$38/9)))))</f>
        <v>#N/A</v>
      </c>
      <c r="X164" s="606" t="e">
        <f t="shared" si="132"/>
        <v>#N/A</v>
      </c>
      <c r="Y164" s="606" t="e">
        <f t="shared" si="133"/>
        <v>#N/A</v>
      </c>
      <c r="Z164" s="580">
        <f t="shared" si="142"/>
        <v>3</v>
      </c>
      <c r="AA164" s="176" t="e">
        <f t="shared" si="134"/>
        <v>#N/A</v>
      </c>
      <c r="AB164" s="176" t="e">
        <f t="shared" si="137"/>
        <v>#N/A</v>
      </c>
      <c r="AC164" s="590" t="e">
        <f t="shared" si="138"/>
        <v>#N/A</v>
      </c>
      <c r="AD164" s="590" t="e">
        <f t="shared" si="135"/>
        <v>#N/A</v>
      </c>
    </row>
    <row r="165" spans="1:32" ht="15" customHeight="1">
      <c r="B165" s="581" t="s">
        <v>225</v>
      </c>
      <c r="C165" s="604"/>
      <c r="D165" s="604"/>
      <c r="E165" s="604"/>
      <c r="F165" s="604"/>
      <c r="G165" s="604"/>
      <c r="H165" s="176" t="e">
        <f t="shared" si="125"/>
        <v>#N/A</v>
      </c>
      <c r="I165" s="176" t="e">
        <f t="shared" si="126"/>
        <v>#N/A</v>
      </c>
      <c r="J165" s="604"/>
      <c r="K165" s="604"/>
      <c r="L165" s="604"/>
      <c r="O165" s="590" t="e">
        <f t="shared" si="127"/>
        <v>#N/A</v>
      </c>
      <c r="P165" s="176">
        <f t="shared" si="139"/>
        <v>6</v>
      </c>
      <c r="Q165" s="580" t="e">
        <f t="shared" si="128"/>
        <v>#N/A</v>
      </c>
      <c r="R165" s="580">
        <f t="shared" si="140"/>
        <v>5.8</v>
      </c>
      <c r="S165" s="590" t="e">
        <f t="shared" si="129"/>
        <v>#N/A</v>
      </c>
      <c r="T165" s="176" t="e">
        <f t="shared" si="130"/>
        <v>#N/A</v>
      </c>
      <c r="U165" s="580">
        <f t="shared" si="141"/>
        <v>300</v>
      </c>
      <c r="V165" s="176" t="e">
        <f t="shared" si="131"/>
        <v>#N/A</v>
      </c>
      <c r="W165" s="605" t="e">
        <f>IF($R$38=2,0,IF($R$38=4,0,IF($R$38=6,0,IF($R$38=8,$O$38/8,IF($R$38=9,$O$38/9)))))</f>
        <v>#N/A</v>
      </c>
      <c r="X165" s="606" t="e">
        <f t="shared" si="132"/>
        <v>#N/A</v>
      </c>
      <c r="Y165" s="606" t="e">
        <f t="shared" si="133"/>
        <v>#N/A</v>
      </c>
      <c r="Z165" s="580">
        <f t="shared" si="142"/>
        <v>3</v>
      </c>
      <c r="AA165" s="176" t="e">
        <f t="shared" si="134"/>
        <v>#N/A</v>
      </c>
      <c r="AB165" s="176" t="e">
        <f t="shared" si="137"/>
        <v>#N/A</v>
      </c>
      <c r="AC165" s="590" t="e">
        <f t="shared" si="138"/>
        <v>#N/A</v>
      </c>
      <c r="AD165" s="590" t="e">
        <f t="shared" si="135"/>
        <v>#N/A</v>
      </c>
    </row>
    <row r="166" spans="1:32" s="173" customFormat="1" ht="15" customHeight="1">
      <c r="A166" s="126"/>
      <c r="B166" s="581" t="s">
        <v>225</v>
      </c>
      <c r="C166" s="604"/>
      <c r="D166" s="604"/>
      <c r="E166" s="604"/>
      <c r="F166" s="604"/>
      <c r="G166" s="604"/>
      <c r="H166" s="176" t="e">
        <f t="shared" si="125"/>
        <v>#N/A</v>
      </c>
      <c r="I166" s="176" t="e">
        <f t="shared" si="126"/>
        <v>#N/A</v>
      </c>
      <c r="J166" s="604"/>
      <c r="K166" s="604"/>
      <c r="L166" s="604"/>
      <c r="M166" s="126"/>
      <c r="N166" s="126"/>
      <c r="O166" s="590" t="e">
        <f t="shared" si="127"/>
        <v>#N/A</v>
      </c>
      <c r="P166" s="176">
        <f t="shared" si="139"/>
        <v>6</v>
      </c>
      <c r="Q166" s="580" t="e">
        <f t="shared" si="128"/>
        <v>#N/A</v>
      </c>
      <c r="R166" s="580">
        <f t="shared" si="140"/>
        <v>5.8</v>
      </c>
      <c r="S166" s="590" t="e">
        <f t="shared" si="129"/>
        <v>#N/A</v>
      </c>
      <c r="T166" s="176" t="e">
        <f t="shared" si="130"/>
        <v>#N/A</v>
      </c>
      <c r="U166" s="580">
        <f t="shared" si="141"/>
        <v>300</v>
      </c>
      <c r="V166" s="176" t="e">
        <f t="shared" si="131"/>
        <v>#N/A</v>
      </c>
      <c r="W166" s="605" t="e">
        <f>IF($R$38=2,0,IF($R$38=4,0,IF($R$38=6,0,IF($R$38=8,0,IF($R$38=9,$O$38/9)))))</f>
        <v>#N/A</v>
      </c>
      <c r="X166" s="606" t="e">
        <f t="shared" si="132"/>
        <v>#N/A</v>
      </c>
      <c r="Y166" s="606" t="e">
        <f t="shared" si="133"/>
        <v>#N/A</v>
      </c>
      <c r="Z166" s="580">
        <f t="shared" si="142"/>
        <v>3</v>
      </c>
      <c r="AA166" s="176" t="e">
        <f t="shared" si="134"/>
        <v>#N/A</v>
      </c>
      <c r="AB166" s="176" t="e">
        <f t="shared" si="137"/>
        <v>#N/A</v>
      </c>
      <c r="AC166" s="590" t="e">
        <f t="shared" si="138"/>
        <v>#N/A</v>
      </c>
      <c r="AD166" s="590" t="e">
        <f t="shared" si="135"/>
        <v>#N/A</v>
      </c>
      <c r="AE166" s="126"/>
    </row>
    <row r="167" spans="1:32" ht="15" customHeight="1">
      <c r="D167" s="126"/>
      <c r="E167" s="126"/>
      <c r="K167" s="126"/>
      <c r="L167" s="126"/>
      <c r="Q167" s="126"/>
      <c r="R167" s="126"/>
      <c r="V167" s="126"/>
      <c r="X167" s="126"/>
    </row>
    <row r="168" spans="1:32" ht="15" customHeight="1">
      <c r="D168" s="126"/>
      <c r="E168" s="126"/>
      <c r="K168" s="126"/>
      <c r="L168" s="126"/>
      <c r="Q168" s="126"/>
      <c r="R168" s="126"/>
      <c r="V168" s="126"/>
      <c r="X168" s="126"/>
    </row>
    <row r="169" spans="1:32" ht="15" customHeight="1">
      <c r="C169" s="1323" t="s">
        <v>1204</v>
      </c>
      <c r="D169" s="1323"/>
      <c r="E169" s="580" t="s">
        <v>1185</v>
      </c>
      <c r="F169" s="580" t="s">
        <v>1186</v>
      </c>
      <c r="G169" s="580" t="s">
        <v>227</v>
      </c>
      <c r="K169" s="126"/>
      <c r="L169" s="126"/>
      <c r="Q169" s="126"/>
      <c r="R169" s="126"/>
      <c r="V169" s="126"/>
      <c r="X169" s="126"/>
    </row>
    <row r="170" spans="1:32" ht="15" customHeight="1">
      <c r="B170" s="581" t="s">
        <v>768</v>
      </c>
      <c r="C170" s="1324"/>
      <c r="D170" s="1324"/>
      <c r="E170" s="589">
        <f>ENERGÍA!F176</f>
        <v>0</v>
      </c>
      <c r="F170" s="589">
        <f>ENERGÍA!G176</f>
        <v>0</v>
      </c>
      <c r="G170" s="589">
        <f>ENERGÍA!H176</f>
        <v>0</v>
      </c>
      <c r="K170" s="126"/>
      <c r="L170" s="126"/>
      <c r="T170" s="590">
        <f>ENERGÍA!U176</f>
        <v>0</v>
      </c>
      <c r="V170" s="126"/>
      <c r="X170" s="126"/>
      <c r="AC170" s="590">
        <f>T170*E170*F170</f>
        <v>0</v>
      </c>
      <c r="AD170" s="590">
        <f>AC170</f>
        <v>0</v>
      </c>
    </row>
    <row r="171" spans="1:32" ht="6" customHeight="1">
      <c r="D171" s="126"/>
      <c r="E171" s="126"/>
      <c r="O171" s="148"/>
      <c r="P171" s="581"/>
      <c r="Q171" s="126"/>
      <c r="R171" s="126"/>
      <c r="V171" s="148"/>
    </row>
    <row r="172" spans="1:32" ht="15" customHeight="1">
      <c r="B172" s="1280" t="s">
        <v>601</v>
      </c>
      <c r="C172" s="1280"/>
      <c r="D172" s="1280"/>
      <c r="E172" s="1280"/>
      <c r="F172" s="1280"/>
      <c r="G172" s="1280"/>
      <c r="H172" s="1280"/>
      <c r="I172" s="1280"/>
      <c r="J172" s="1280"/>
      <c r="K172" s="1280"/>
      <c r="L172" s="1280"/>
      <c r="O172" s="1317" t="s">
        <v>601</v>
      </c>
      <c r="P172" s="1318"/>
      <c r="Q172" s="1318"/>
      <c r="R172" s="1318"/>
      <c r="S172" s="1318"/>
      <c r="T172" s="1318"/>
      <c r="U172" s="1318"/>
      <c r="V172" s="1318"/>
      <c r="W172" s="1318"/>
      <c r="X172" s="1318"/>
      <c r="Y172" s="1318"/>
      <c r="Z172" s="1318"/>
      <c r="AA172" s="1318"/>
      <c r="AB172" s="1318"/>
      <c r="AC172" s="1318"/>
      <c r="AD172" s="1318"/>
      <c r="AE172" s="1318"/>
      <c r="AF172" s="1319"/>
    </row>
    <row r="173" spans="1:32" ht="6" customHeight="1">
      <c r="O173" s="148"/>
      <c r="Q173" s="126"/>
      <c r="R173" s="126"/>
      <c r="V173" s="148"/>
    </row>
    <row r="174" spans="1:32" ht="15" customHeight="1">
      <c r="B174" s="580" t="s">
        <v>598</v>
      </c>
      <c r="C174" s="1320" t="s">
        <v>1034</v>
      </c>
      <c r="D174" s="1321"/>
      <c r="E174" s="1321"/>
      <c r="F174" s="1321"/>
      <c r="G174" s="1321"/>
      <c r="H174" s="1321"/>
      <c r="I174" s="1321"/>
      <c r="J174" s="1321"/>
      <c r="K174" s="1321"/>
      <c r="L174" s="1322"/>
      <c r="P174" s="580" t="s">
        <v>1388</v>
      </c>
      <c r="Q174" s="148" t="s">
        <v>1389</v>
      </c>
      <c r="X174" s="580" t="s">
        <v>1392</v>
      </c>
      <c r="Z174" s="148" t="s">
        <v>1393</v>
      </c>
      <c r="AA174" s="580" t="s">
        <v>1391</v>
      </c>
      <c r="AB174" s="148" t="s">
        <v>1390</v>
      </c>
      <c r="AD174" s="148" t="s">
        <v>1393</v>
      </c>
      <c r="AE174" s="580" t="s">
        <v>1391</v>
      </c>
      <c r="AF174" s="148" t="s">
        <v>1394</v>
      </c>
    </row>
    <row r="175" spans="1:32" ht="15" customHeight="1">
      <c r="B175" s="581" t="s">
        <v>574</v>
      </c>
      <c r="C175" s="1326" t="str">
        <f>'BASE DE DATOS'!GW11</f>
        <v>Ventilación Cruzada</v>
      </c>
      <c r="D175" s="1327"/>
      <c r="E175" s="1327"/>
      <c r="F175" s="1327"/>
      <c r="G175" s="1327"/>
      <c r="H175" s="1327"/>
      <c r="I175" s="1327"/>
      <c r="J175" s="1327"/>
      <c r="K175" s="1327"/>
      <c r="L175" s="1328"/>
      <c r="O175" s="580">
        <f>ENERGÍA!P181</f>
        <v>0</v>
      </c>
      <c r="P175" s="148">
        <f>IF(O175=0,0,IF(C175='Materiales Personalizados'!$AG$30,55,IF(C175='Materiales Personalizados'!$AG$31,25,IF(C175='Materiales Personalizados'!$AG$32,55,0))))</f>
        <v>0</v>
      </c>
      <c r="Q175" s="1286">
        <f>IF(SUM(P175:P184)=0,0,SUM(P175:P184))</f>
        <v>0</v>
      </c>
      <c r="X175" s="1286">
        <f>((Q175*AW64)/3600)*0.33</f>
        <v>0</v>
      </c>
      <c r="Z175" s="1275">
        <v>0.3</v>
      </c>
      <c r="AA175" s="1286">
        <f>(X175+Z175)*1200</f>
        <v>360</v>
      </c>
      <c r="AB175" s="1286">
        <f>(1/1000)*AA175*(AH64)</f>
        <v>0</v>
      </c>
      <c r="AD175" s="1275">
        <v>0.3</v>
      </c>
      <c r="AE175" s="1286">
        <f>(AD175)*1200</f>
        <v>360</v>
      </c>
      <c r="AF175" s="1286">
        <f>(1/1000)*AE175*(AN66)</f>
        <v>6.4799999999999995</v>
      </c>
    </row>
    <row r="176" spans="1:32" ht="15" customHeight="1">
      <c r="B176" s="581" t="s">
        <v>575</v>
      </c>
      <c r="C176" s="1326" t="str">
        <f>C175</f>
        <v>Ventilación Cruzada</v>
      </c>
      <c r="D176" s="1327"/>
      <c r="E176" s="1327"/>
      <c r="F176" s="1327"/>
      <c r="G176" s="1327"/>
      <c r="H176" s="1327"/>
      <c r="I176" s="1327"/>
      <c r="J176" s="1327"/>
      <c r="K176" s="1327"/>
      <c r="L176" s="1328"/>
      <c r="O176" s="580">
        <f>ENERGÍA!P182</f>
        <v>0</v>
      </c>
      <c r="P176" s="148">
        <f>IF(O176=0,0,IF(C176='Materiales Personalizados'!$AG$30,55,IF(C176='Materiales Personalizados'!$AG$31,25,IF(C176='Materiales Personalizados'!$AG$32,55,0))))</f>
        <v>0</v>
      </c>
      <c r="Q176" s="1287"/>
      <c r="X176" s="1287"/>
      <c r="Z176" s="1276"/>
      <c r="AA176" s="1287"/>
      <c r="AB176" s="1287"/>
      <c r="AD176" s="1276"/>
      <c r="AE176" s="1287"/>
      <c r="AF176" s="1287"/>
    </row>
    <row r="177" spans="2:50" ht="15" customHeight="1">
      <c r="B177" s="581" t="s">
        <v>576</v>
      </c>
      <c r="C177" s="1326" t="str">
        <f t="shared" ref="C177:C184" si="145">C176</f>
        <v>Ventilación Cruzada</v>
      </c>
      <c r="D177" s="1327"/>
      <c r="E177" s="1327"/>
      <c r="F177" s="1327"/>
      <c r="G177" s="1327"/>
      <c r="H177" s="1327"/>
      <c r="I177" s="1327"/>
      <c r="J177" s="1327"/>
      <c r="K177" s="1327"/>
      <c r="L177" s="1328"/>
      <c r="O177" s="580">
        <f>ENERGÍA!P183</f>
        <v>0</v>
      </c>
      <c r="P177" s="148">
        <f>IF(O177=0,0,IF(C177='Materiales Personalizados'!$AG$30,55,IF(C177='Materiales Personalizados'!$AG$31,25,IF(C177='Materiales Personalizados'!$AG$32,55,0))))</f>
        <v>0</v>
      </c>
      <c r="Q177" s="1287"/>
      <c r="S177" s="597"/>
      <c r="X177" s="1287"/>
      <c r="Z177" s="1276"/>
      <c r="AA177" s="1287"/>
      <c r="AB177" s="1287"/>
      <c r="AD177" s="1276"/>
      <c r="AE177" s="1287"/>
      <c r="AF177" s="1287"/>
    </row>
    <row r="178" spans="2:50" ht="15" customHeight="1">
      <c r="B178" s="581" t="s">
        <v>577</v>
      </c>
      <c r="C178" s="1326" t="str">
        <f t="shared" si="145"/>
        <v>Ventilación Cruzada</v>
      </c>
      <c r="D178" s="1327"/>
      <c r="E178" s="1327"/>
      <c r="F178" s="1327"/>
      <c r="G178" s="1327"/>
      <c r="H178" s="1327"/>
      <c r="I178" s="1327"/>
      <c r="J178" s="1327"/>
      <c r="K178" s="1327"/>
      <c r="L178" s="1328"/>
      <c r="O178" s="580">
        <f>ENERGÍA!P184</f>
        <v>0</v>
      </c>
      <c r="P178" s="148">
        <f>IF(O178=0,0,IF(C178='Materiales Personalizados'!$AG$30,55,IF(C178='Materiales Personalizados'!$AG$31,25,IF(C178='Materiales Personalizados'!$AG$32,55,0))))</f>
        <v>0</v>
      </c>
      <c r="Q178" s="1287"/>
      <c r="S178" s="597"/>
      <c r="X178" s="1287"/>
      <c r="Z178" s="1276"/>
      <c r="AA178" s="1287"/>
      <c r="AB178" s="1287"/>
      <c r="AD178" s="1276"/>
      <c r="AE178" s="1287"/>
      <c r="AF178" s="1287"/>
    </row>
    <row r="179" spans="2:50" ht="15" customHeight="1">
      <c r="B179" s="581" t="s">
        <v>578</v>
      </c>
      <c r="C179" s="1326" t="str">
        <f t="shared" si="145"/>
        <v>Ventilación Cruzada</v>
      </c>
      <c r="D179" s="1327"/>
      <c r="E179" s="1327"/>
      <c r="F179" s="1327"/>
      <c r="G179" s="1327"/>
      <c r="H179" s="1327"/>
      <c r="I179" s="1327"/>
      <c r="J179" s="1327"/>
      <c r="K179" s="1327"/>
      <c r="L179" s="1328"/>
      <c r="O179" s="580">
        <f>ENERGÍA!P185</f>
        <v>0</v>
      </c>
      <c r="P179" s="148">
        <f>IF(O179=0,0,IF(C179='Materiales Personalizados'!$AG$30,55,IF(C179='Materiales Personalizados'!$AG$31,25,IF(C179='Materiales Personalizados'!$AG$32,55,0))))</f>
        <v>0</v>
      </c>
      <c r="Q179" s="1287"/>
      <c r="X179" s="1287"/>
      <c r="Z179" s="1276"/>
      <c r="AA179" s="1287"/>
      <c r="AB179" s="1287"/>
      <c r="AD179" s="1276"/>
      <c r="AE179" s="1287"/>
      <c r="AF179" s="1287"/>
    </row>
    <row r="180" spans="2:50" ht="15" customHeight="1">
      <c r="B180" s="581" t="s">
        <v>579</v>
      </c>
      <c r="C180" s="1326" t="str">
        <f t="shared" si="145"/>
        <v>Ventilación Cruzada</v>
      </c>
      <c r="D180" s="1327"/>
      <c r="E180" s="1327"/>
      <c r="F180" s="1327"/>
      <c r="G180" s="1327"/>
      <c r="H180" s="1327"/>
      <c r="I180" s="1327"/>
      <c r="J180" s="1327"/>
      <c r="K180" s="1327"/>
      <c r="L180" s="1328"/>
      <c r="O180" s="580">
        <f>ENERGÍA!P186</f>
        <v>0</v>
      </c>
      <c r="P180" s="148">
        <f>IF(O180=0,0,IF(C180='Materiales Personalizados'!$AG$30,55,IF(C180='Materiales Personalizados'!$AG$31,25,IF(C180='Materiales Personalizados'!$AG$32,55,0))))</f>
        <v>0</v>
      </c>
      <c r="Q180" s="1287"/>
      <c r="T180" s="597"/>
      <c r="X180" s="1287"/>
      <c r="Z180" s="1276"/>
      <c r="AA180" s="1287"/>
      <c r="AB180" s="1287"/>
      <c r="AD180" s="1276"/>
      <c r="AE180" s="1287"/>
      <c r="AF180" s="1287"/>
    </row>
    <row r="181" spans="2:50" ht="15" customHeight="1">
      <c r="B181" s="581" t="s">
        <v>636</v>
      </c>
      <c r="C181" s="1326" t="str">
        <f t="shared" si="145"/>
        <v>Ventilación Cruzada</v>
      </c>
      <c r="D181" s="1327"/>
      <c r="E181" s="1327"/>
      <c r="F181" s="1327"/>
      <c r="G181" s="1327"/>
      <c r="H181" s="1327"/>
      <c r="I181" s="1327"/>
      <c r="J181" s="1327"/>
      <c r="K181" s="1327"/>
      <c r="L181" s="1328"/>
      <c r="O181" s="580">
        <f>ENERGÍA!P187</f>
        <v>0</v>
      </c>
      <c r="P181" s="148">
        <f>IF(O181=0,0,IF(C181='Materiales Personalizados'!$AG$30,55,IF(C181='Materiales Personalizados'!$AG$31,25,IF(C181='Materiales Personalizados'!$AG$32,55,0))))</f>
        <v>0</v>
      </c>
      <c r="Q181" s="1287"/>
      <c r="X181" s="1287"/>
      <c r="Z181" s="1276"/>
      <c r="AA181" s="1287"/>
      <c r="AB181" s="1287"/>
      <c r="AD181" s="1276"/>
      <c r="AE181" s="1287"/>
      <c r="AF181" s="1287"/>
    </row>
    <row r="182" spans="2:50" ht="15" customHeight="1">
      <c r="B182" s="581" t="s">
        <v>582</v>
      </c>
      <c r="C182" s="1326" t="str">
        <f t="shared" si="145"/>
        <v>Ventilación Cruzada</v>
      </c>
      <c r="D182" s="1327"/>
      <c r="E182" s="1327"/>
      <c r="F182" s="1327"/>
      <c r="G182" s="1327"/>
      <c r="H182" s="1327"/>
      <c r="I182" s="1327"/>
      <c r="J182" s="1327"/>
      <c r="K182" s="1327"/>
      <c r="L182" s="1328"/>
      <c r="O182" s="580">
        <f>ENERGÍA!P188</f>
        <v>0</v>
      </c>
      <c r="P182" s="148">
        <f>IF(O182=0,0,IF(C182='Materiales Personalizados'!$AG$30,55,IF(C182='Materiales Personalizados'!$AG$31,25,IF(C182='Materiales Personalizados'!$AG$32,55,0))))</f>
        <v>0</v>
      </c>
      <c r="Q182" s="1287"/>
      <c r="X182" s="1287"/>
      <c r="Z182" s="1276"/>
      <c r="AA182" s="1287"/>
      <c r="AB182" s="1287"/>
      <c r="AD182" s="1276"/>
      <c r="AE182" s="1287"/>
      <c r="AF182" s="1287"/>
    </row>
    <row r="183" spans="2:50" ht="15" customHeight="1">
      <c r="B183" s="581" t="s">
        <v>566</v>
      </c>
      <c r="C183" s="1326" t="str">
        <f t="shared" si="145"/>
        <v>Ventilación Cruzada</v>
      </c>
      <c r="D183" s="1327"/>
      <c r="E183" s="1327"/>
      <c r="F183" s="1327"/>
      <c r="G183" s="1327"/>
      <c r="H183" s="1327"/>
      <c r="I183" s="1327"/>
      <c r="J183" s="1327"/>
      <c r="K183" s="1327"/>
      <c r="L183" s="1328"/>
      <c r="O183" s="580">
        <f>ENERGÍA!P189</f>
        <v>0</v>
      </c>
      <c r="P183" s="148">
        <f>IF(O183=0,0,IF(C183='Materiales Personalizados'!$AG$30,55,IF(C183='Materiales Personalizados'!$AG$31,25,IF(C183='Materiales Personalizados'!$AG$32,55,0))))</f>
        <v>0</v>
      </c>
      <c r="Q183" s="1287"/>
      <c r="X183" s="1287"/>
      <c r="Z183" s="1276"/>
      <c r="AA183" s="1287"/>
      <c r="AB183" s="1287"/>
      <c r="AD183" s="1276"/>
      <c r="AE183" s="1287"/>
      <c r="AF183" s="1287"/>
    </row>
    <row r="184" spans="2:50" ht="15" customHeight="1">
      <c r="B184" s="581" t="s">
        <v>572</v>
      </c>
      <c r="C184" s="1326" t="str">
        <f t="shared" si="145"/>
        <v>Ventilación Cruzada</v>
      </c>
      <c r="D184" s="1327"/>
      <c r="E184" s="1327"/>
      <c r="F184" s="1327"/>
      <c r="G184" s="1327"/>
      <c r="H184" s="1327"/>
      <c r="I184" s="1327"/>
      <c r="J184" s="1327"/>
      <c r="K184" s="1327"/>
      <c r="L184" s="1328"/>
      <c r="O184" s="580">
        <f>ENERGÍA!P190</f>
        <v>0</v>
      </c>
      <c r="P184" s="148">
        <f>IF(O184=0,0,IF(C184='Materiales Personalizados'!$AG$30,55,IF(C184='Materiales Personalizados'!$AG$31,25,IF(C184='Materiales Personalizados'!$AG$32,55,0))))</f>
        <v>0</v>
      </c>
      <c r="Q184" s="1288"/>
      <c r="X184" s="1288"/>
      <c r="Z184" s="1277"/>
      <c r="AA184" s="1288"/>
      <c r="AB184" s="1288"/>
      <c r="AD184" s="1277"/>
      <c r="AE184" s="1288"/>
      <c r="AF184" s="1288"/>
    </row>
    <row r="185" spans="2:50" ht="6" customHeight="1">
      <c r="D185" s="126"/>
      <c r="E185" s="126"/>
      <c r="Q185" s="126"/>
      <c r="R185" s="126"/>
      <c r="V185" s="126"/>
      <c r="AV185" s="582"/>
      <c r="AW185" s="148"/>
      <c r="AX185" s="148"/>
    </row>
    <row r="186" spans="2:50" ht="15" customHeight="1">
      <c r="O186" s="148"/>
      <c r="P186" s="148"/>
      <c r="Q186" s="148"/>
      <c r="R186" s="148"/>
      <c r="S186" s="148"/>
      <c r="T186" s="148"/>
      <c r="U186" s="148"/>
      <c r="V186" s="148"/>
    </row>
    <row r="187" spans="2:50" ht="15" customHeight="1">
      <c r="O187" s="148"/>
      <c r="P187" s="148"/>
      <c r="Q187" s="148"/>
      <c r="R187" s="148"/>
      <c r="S187" s="148"/>
      <c r="T187" s="148"/>
      <c r="U187" s="148"/>
      <c r="V187" s="148"/>
    </row>
    <row r="188" spans="2:50" ht="15" customHeight="1">
      <c r="B188" s="98"/>
      <c r="C188" s="98"/>
      <c r="O188" s="148"/>
      <c r="P188" s="148"/>
      <c r="Q188" s="148"/>
      <c r="R188" s="148"/>
      <c r="S188" s="148"/>
      <c r="T188" s="148"/>
      <c r="U188" s="148"/>
      <c r="V188" s="148"/>
    </row>
    <row r="189" spans="2:50" ht="15" customHeight="1">
      <c r="O189" s="148"/>
      <c r="P189" s="148"/>
      <c r="Q189" s="148"/>
      <c r="R189" s="148"/>
      <c r="S189" s="148"/>
      <c r="T189" s="148"/>
      <c r="U189" s="148"/>
      <c r="V189" s="148"/>
    </row>
    <row r="190" spans="2:50" ht="15" customHeight="1">
      <c r="K190" s="126"/>
      <c r="L190" s="126"/>
    </row>
    <row r="191" spans="2:50" ht="15" customHeight="1">
      <c r="J191" s="148"/>
      <c r="K191" s="148"/>
      <c r="L191" s="148"/>
    </row>
  </sheetData>
  <sheetProtection algorithmName="SHA-512" hashValue="yX+OyqRWUAm1fehX2lH4oB8V1a7yI08NJjXCwcqWmMXOG/9o5k4/syzmuZEf7znJ1Tood0pfhQaUA2GIW/AwSQ==" saltValue="FupXjzI2bjs9SL6IhJotAg==" spinCount="100000" sheet="1" objects="1" scenarios="1" selectLockedCells="1"/>
  <mergeCells count="349">
    <mergeCell ref="W74:W75"/>
    <mergeCell ref="C69:G69"/>
    <mergeCell ref="H69:I69"/>
    <mergeCell ref="O34:P34"/>
    <mergeCell ref="O35:P35"/>
    <mergeCell ref="O36:P36"/>
    <mergeCell ref="O37:P37"/>
    <mergeCell ref="O38:P38"/>
    <mergeCell ref="B4:J5"/>
    <mergeCell ref="O4:T5"/>
    <mergeCell ref="H55:I55"/>
    <mergeCell ref="H65:I65"/>
    <mergeCell ref="C58:G58"/>
    <mergeCell ref="H58:I58"/>
    <mergeCell ref="C48:G48"/>
    <mergeCell ref="T44:T45"/>
    <mergeCell ref="U44:U45"/>
    <mergeCell ref="V44:V45"/>
    <mergeCell ref="D35:F35"/>
    <mergeCell ref="G35:J35"/>
    <mergeCell ref="K35:L35"/>
    <mergeCell ref="D36:F36"/>
    <mergeCell ref="G36:J36"/>
    <mergeCell ref="K36:L36"/>
    <mergeCell ref="AD175:AD184"/>
    <mergeCell ref="AE175:AE184"/>
    <mergeCell ref="AF175:AF184"/>
    <mergeCell ref="C176:L176"/>
    <mergeCell ref="C177:L177"/>
    <mergeCell ref="C178:L178"/>
    <mergeCell ref="C179:L179"/>
    <mergeCell ref="C180:L180"/>
    <mergeCell ref="C181:L181"/>
    <mergeCell ref="C182:L182"/>
    <mergeCell ref="C174:L174"/>
    <mergeCell ref="C175:L175"/>
    <mergeCell ref="Q175:Q184"/>
    <mergeCell ref="X175:X184"/>
    <mergeCell ref="Z175:Z184"/>
    <mergeCell ref="AA175:AA184"/>
    <mergeCell ref="AB175:AB184"/>
    <mergeCell ref="C183:L183"/>
    <mergeCell ref="C184:L184"/>
    <mergeCell ref="C169:D169"/>
    <mergeCell ref="P156:P157"/>
    <mergeCell ref="R156:R157"/>
    <mergeCell ref="T156:T157"/>
    <mergeCell ref="U156:V156"/>
    <mergeCell ref="X156:X157"/>
    <mergeCell ref="Y156:Y157"/>
    <mergeCell ref="C170:D170"/>
    <mergeCell ref="B172:L172"/>
    <mergeCell ref="O172:AF172"/>
    <mergeCell ref="B154:L154"/>
    <mergeCell ref="O154:AE154"/>
    <mergeCell ref="B156:B157"/>
    <mergeCell ref="C156:E156"/>
    <mergeCell ref="F156:G156"/>
    <mergeCell ref="H156:I156"/>
    <mergeCell ref="J156:J157"/>
    <mergeCell ref="K156:L156"/>
    <mergeCell ref="Z156:Z157"/>
    <mergeCell ref="AA156:AA157"/>
    <mergeCell ref="AB156:AB157"/>
    <mergeCell ref="AC156:AC157"/>
    <mergeCell ref="AD156:AD157"/>
    <mergeCell ref="AG139:AS141"/>
    <mergeCell ref="P138:P139"/>
    <mergeCell ref="R138:R139"/>
    <mergeCell ref="T138:T139"/>
    <mergeCell ref="U138:V138"/>
    <mergeCell ref="X138:X139"/>
    <mergeCell ref="Y138:Y139"/>
    <mergeCell ref="C151:D151"/>
    <mergeCell ref="C152:D152"/>
    <mergeCell ref="B138:B139"/>
    <mergeCell ref="C138:E138"/>
    <mergeCell ref="F138:G138"/>
    <mergeCell ref="H138:I138"/>
    <mergeCell ref="J138:J139"/>
    <mergeCell ref="K138:L138"/>
    <mergeCell ref="AB120:AB121"/>
    <mergeCell ref="AC120:AC121"/>
    <mergeCell ref="AD120:AD121"/>
    <mergeCell ref="C133:D133"/>
    <mergeCell ref="C134:D134"/>
    <mergeCell ref="B136:L136"/>
    <mergeCell ref="O136:AE136"/>
    <mergeCell ref="T120:T121"/>
    <mergeCell ref="U120:V120"/>
    <mergeCell ref="X120:X121"/>
    <mergeCell ref="Y120:Y121"/>
    <mergeCell ref="Z120:Z121"/>
    <mergeCell ref="AA120:AA121"/>
    <mergeCell ref="Z138:Z139"/>
    <mergeCell ref="AA138:AA139"/>
    <mergeCell ref="AB138:AB139"/>
    <mergeCell ref="AC138:AC139"/>
    <mergeCell ref="AD138:AD139"/>
    <mergeCell ref="B118:L118"/>
    <mergeCell ref="O118:AE118"/>
    <mergeCell ref="B120:B121"/>
    <mergeCell ref="C120:E120"/>
    <mergeCell ref="F120:G120"/>
    <mergeCell ref="H120:I120"/>
    <mergeCell ref="J120:J121"/>
    <mergeCell ref="K120:L120"/>
    <mergeCell ref="P120:P121"/>
    <mergeCell ref="R120:R121"/>
    <mergeCell ref="C115:D115"/>
    <mergeCell ref="C116:D116"/>
    <mergeCell ref="AG116:AS116"/>
    <mergeCell ref="T102:T103"/>
    <mergeCell ref="U102:V102"/>
    <mergeCell ref="X102:X103"/>
    <mergeCell ref="Y102:Y103"/>
    <mergeCell ref="Z102:Z103"/>
    <mergeCell ref="AA102:AA103"/>
    <mergeCell ref="B100:L100"/>
    <mergeCell ref="O100:AE100"/>
    <mergeCell ref="B102:B103"/>
    <mergeCell ref="C102:E102"/>
    <mergeCell ref="F102:G102"/>
    <mergeCell ref="H102:I102"/>
    <mergeCell ref="J102:J103"/>
    <mergeCell ref="K102:L102"/>
    <mergeCell ref="P102:P103"/>
    <mergeCell ref="R102:R103"/>
    <mergeCell ref="AB102:AB103"/>
    <mergeCell ref="AC102:AC103"/>
    <mergeCell ref="AD102:AD103"/>
    <mergeCell ref="C94:J94"/>
    <mergeCell ref="Y94:AD94"/>
    <mergeCell ref="AV94:AW95"/>
    <mergeCell ref="C95:J95"/>
    <mergeCell ref="C96:J96"/>
    <mergeCell ref="B98:L98"/>
    <mergeCell ref="O98:AE98"/>
    <mergeCell ref="AV90:AV91"/>
    <mergeCell ref="AW90:AW91"/>
    <mergeCell ref="B92:L92"/>
    <mergeCell ref="O92:W92"/>
    <mergeCell ref="Y92:AA92"/>
    <mergeCell ref="AB92:AD92"/>
    <mergeCell ref="AG92:AS92"/>
    <mergeCell ref="H89:I89"/>
    <mergeCell ref="Y89:AE89"/>
    <mergeCell ref="C90:G90"/>
    <mergeCell ref="H90:I90"/>
    <mergeCell ref="Y90:AA90"/>
    <mergeCell ref="AB90:AD90"/>
    <mergeCell ref="AV84:AW87"/>
    <mergeCell ref="C86:G86"/>
    <mergeCell ref="H86:I86"/>
    <mergeCell ref="C87:G87"/>
    <mergeCell ref="H87:I87"/>
    <mergeCell ref="C88:G88"/>
    <mergeCell ref="H88:I88"/>
    <mergeCell ref="AV88:AV89"/>
    <mergeCell ref="AW88:AW89"/>
    <mergeCell ref="C89:G89"/>
    <mergeCell ref="S84:S85"/>
    <mergeCell ref="T84:T85"/>
    <mergeCell ref="U84:U85"/>
    <mergeCell ref="V84:V85"/>
    <mergeCell ref="W84:W85"/>
    <mergeCell ref="AG84:AS84"/>
    <mergeCell ref="K84:K85"/>
    <mergeCell ref="L84:L85"/>
    <mergeCell ref="AE82:AE87"/>
    <mergeCell ref="AG82:AS82"/>
    <mergeCell ref="B84:B85"/>
    <mergeCell ref="C84:G85"/>
    <mergeCell ref="H84:I84"/>
    <mergeCell ref="J84:J85"/>
    <mergeCell ref="C77:G77"/>
    <mergeCell ref="H77:I77"/>
    <mergeCell ref="C78:G78"/>
    <mergeCell ref="H78:I78"/>
    <mergeCell ref="Y78:AC78"/>
    <mergeCell ref="C79:G79"/>
    <mergeCell ref="H79:I79"/>
    <mergeCell ref="Y79:AE79"/>
    <mergeCell ref="H85:I85"/>
    <mergeCell ref="O84:O85"/>
    <mergeCell ref="P84:P85"/>
    <mergeCell ref="Q84:Q85"/>
    <mergeCell ref="R84:R85"/>
    <mergeCell ref="C80:G80"/>
    <mergeCell ref="H80:I80"/>
    <mergeCell ref="B82:L82"/>
    <mergeCell ref="O82:W82"/>
    <mergeCell ref="AB74:AC74"/>
    <mergeCell ref="AG74:AS74"/>
    <mergeCell ref="C76:G76"/>
    <mergeCell ref="H76:I76"/>
    <mergeCell ref="AB76:AC76"/>
    <mergeCell ref="O74:O75"/>
    <mergeCell ref="P74:P75"/>
    <mergeCell ref="Q74:Q75"/>
    <mergeCell ref="R74:R75"/>
    <mergeCell ref="S74:S75"/>
    <mergeCell ref="T74:T75"/>
    <mergeCell ref="AE70:AE76"/>
    <mergeCell ref="B72:L72"/>
    <mergeCell ref="O72:W72"/>
    <mergeCell ref="AB72:AC72"/>
    <mergeCell ref="B74:B75"/>
    <mergeCell ref="C74:G75"/>
    <mergeCell ref="H74:I74"/>
    <mergeCell ref="J74:J75"/>
    <mergeCell ref="K74:K75"/>
    <mergeCell ref="L74:L75"/>
    <mergeCell ref="H75:I75"/>
    <mergeCell ref="U74:U75"/>
    <mergeCell ref="V74:V75"/>
    <mergeCell ref="AB69:AC69"/>
    <mergeCell ref="C70:G70"/>
    <mergeCell ref="H70:I70"/>
    <mergeCell ref="AB70:AC70"/>
    <mergeCell ref="C66:G66"/>
    <mergeCell ref="H66:I66"/>
    <mergeCell ref="AB66:AD66"/>
    <mergeCell ref="C67:G67"/>
    <mergeCell ref="H67:I67"/>
    <mergeCell ref="C68:G68"/>
    <mergeCell ref="H68:I68"/>
    <mergeCell ref="Y68:AC68"/>
    <mergeCell ref="Y64:AD65"/>
    <mergeCell ref="AE64:AE65"/>
    <mergeCell ref="L64:L65"/>
    <mergeCell ref="O64:O65"/>
    <mergeCell ref="P64:P65"/>
    <mergeCell ref="Q64:Q65"/>
    <mergeCell ref="R64:R65"/>
    <mergeCell ref="S64:S65"/>
    <mergeCell ref="C59:G59"/>
    <mergeCell ref="H59:I59"/>
    <mergeCell ref="C60:G60"/>
    <mergeCell ref="H60:I60"/>
    <mergeCell ref="B62:L62"/>
    <mergeCell ref="O62:W62"/>
    <mergeCell ref="B64:B65"/>
    <mergeCell ref="C64:G65"/>
    <mergeCell ref="H64:I64"/>
    <mergeCell ref="J64:J65"/>
    <mergeCell ref="K64:K65"/>
    <mergeCell ref="T64:T65"/>
    <mergeCell ref="U64:U65"/>
    <mergeCell ref="V64:V65"/>
    <mergeCell ref="W64:W65"/>
    <mergeCell ref="Y59:Z59"/>
    <mergeCell ref="AC59:AD59"/>
    <mergeCell ref="W54:W55"/>
    <mergeCell ref="AH54:AJ54"/>
    <mergeCell ref="C56:G56"/>
    <mergeCell ref="H56:I56"/>
    <mergeCell ref="C57:G57"/>
    <mergeCell ref="H57:I57"/>
    <mergeCell ref="Q54:Q55"/>
    <mergeCell ref="R54:R55"/>
    <mergeCell ref="S54:S55"/>
    <mergeCell ref="T54:T55"/>
    <mergeCell ref="U54:U55"/>
    <mergeCell ref="V54:V55"/>
    <mergeCell ref="H54:I54"/>
    <mergeCell ref="J54:J55"/>
    <mergeCell ref="K54:K55"/>
    <mergeCell ref="L54:L55"/>
    <mergeCell ref="O54:O55"/>
    <mergeCell ref="P54:P55"/>
    <mergeCell ref="AG59:AS59"/>
    <mergeCell ref="Y48:AE48"/>
    <mergeCell ref="B50:L50"/>
    <mergeCell ref="O50:W50"/>
    <mergeCell ref="B52:L52"/>
    <mergeCell ref="O52:W52"/>
    <mergeCell ref="AE52:AE57"/>
    <mergeCell ref="B54:B55"/>
    <mergeCell ref="C54:G55"/>
    <mergeCell ref="C46:G46"/>
    <mergeCell ref="C47:G47"/>
    <mergeCell ref="Y47:AC47"/>
    <mergeCell ref="AG40:AJ40"/>
    <mergeCell ref="B42:L42"/>
    <mergeCell ref="O42:W42"/>
    <mergeCell ref="Y42:AC42"/>
    <mergeCell ref="B44:B45"/>
    <mergeCell ref="C44:G45"/>
    <mergeCell ref="H44:I44"/>
    <mergeCell ref="J44:J45"/>
    <mergeCell ref="K44:K45"/>
    <mergeCell ref="AC44:AC45"/>
    <mergeCell ref="AD44:AD45"/>
    <mergeCell ref="AE44:AE45"/>
    <mergeCell ref="Y40:AE40"/>
    <mergeCell ref="Y44:Y45"/>
    <mergeCell ref="Z44:AA45"/>
    <mergeCell ref="AB44:AB45"/>
    <mergeCell ref="L44:L45"/>
    <mergeCell ref="O44:O45"/>
    <mergeCell ref="P44:P45"/>
    <mergeCell ref="Q44:Q45"/>
    <mergeCell ref="R44:R45"/>
    <mergeCell ref="S44:S45"/>
    <mergeCell ref="C29:K29"/>
    <mergeCell ref="B30:L30"/>
    <mergeCell ref="B32:L32"/>
    <mergeCell ref="B34:C34"/>
    <mergeCell ref="D34:F34"/>
    <mergeCell ref="G34:J34"/>
    <mergeCell ref="K34:L34"/>
    <mergeCell ref="B40:L40"/>
    <mergeCell ref="O40:W40"/>
    <mergeCell ref="D37:F37"/>
    <mergeCell ref="G37:J37"/>
    <mergeCell ref="K37:L37"/>
    <mergeCell ref="D38:F38"/>
    <mergeCell ref="G38:J38"/>
    <mergeCell ref="K38:L38"/>
    <mergeCell ref="B27:B28"/>
    <mergeCell ref="C27:K28"/>
    <mergeCell ref="L27:L28"/>
    <mergeCell ref="B24:B26"/>
    <mergeCell ref="C24:K26"/>
    <mergeCell ref="L24:L26"/>
    <mergeCell ref="B21:B23"/>
    <mergeCell ref="C21:K23"/>
    <mergeCell ref="L21:L23"/>
    <mergeCell ref="B18:B20"/>
    <mergeCell ref="C18:K20"/>
    <mergeCell ref="L18:L20"/>
    <mergeCell ref="B16:B17"/>
    <mergeCell ref="C16:K17"/>
    <mergeCell ref="L16:L17"/>
    <mergeCell ref="B14:B15"/>
    <mergeCell ref="C14:K15"/>
    <mergeCell ref="L14:L15"/>
    <mergeCell ref="C11:K11"/>
    <mergeCell ref="C12:K12"/>
    <mergeCell ref="C13:K13"/>
    <mergeCell ref="C10:K10"/>
    <mergeCell ref="C9:K9"/>
    <mergeCell ref="B7:L7"/>
    <mergeCell ref="O7:AW7"/>
    <mergeCell ref="K4:L5"/>
    <mergeCell ref="X4:AW5"/>
    <mergeCell ref="U4:U5"/>
    <mergeCell ref="V4:V5"/>
  </mergeCells>
  <conditionalFormatting sqref="H46:I48 H56:I60">
    <cfRule type="containsText" dxfId="1411" priority="83" operator="containsText" text="No Cumple">
      <formula>NOT(ISERROR(SEARCH("No Cumple",H46)))</formula>
    </cfRule>
  </conditionalFormatting>
  <conditionalFormatting sqref="C175:L184">
    <cfRule type="expression" dxfId="1410" priority="12">
      <formula>O175=0</formula>
    </cfRule>
  </conditionalFormatting>
  <conditionalFormatting sqref="H66:I70">
    <cfRule type="containsText" dxfId="1409" priority="9" operator="containsText" text="No Cumple">
      <formula>NOT(ISERROR(SEARCH("No Cumple",H66)))</formula>
    </cfRule>
  </conditionalFormatting>
  <conditionalFormatting sqref="H76:I80">
    <cfRule type="containsText" dxfId="1408" priority="8" operator="containsText" text="No Cumple">
      <formula>NOT(ISERROR(SEARCH("No Cumple",H76)))</formula>
    </cfRule>
  </conditionalFormatting>
  <conditionalFormatting sqref="H86:I90">
    <cfRule type="containsText" dxfId="1407" priority="7" operator="containsText" text="No Cumple">
      <formula>NOT(ISERROR(SEARCH("No Cumple",H86)))</formula>
    </cfRule>
  </conditionalFormatting>
  <dataValidations count="2">
    <dataValidation type="list" allowBlank="1" showInputMessage="1" showErrorMessage="1" sqref="C185:D185" xr:uid="{00000000-0002-0000-0A00-000000000000}">
      <formula1>$AL$3:$AL$6</formula1>
    </dataValidation>
    <dataValidation type="list" allowBlank="1" showInputMessage="1" showErrorMessage="1" sqref="C39" xr:uid="{00000000-0002-0000-0A00-000001000000}">
      <formula1>ORIENTACIONES</formula1>
    </dataValidation>
  </dataValidations>
  <printOptions gridLines="1"/>
  <pageMargins left="0.23622047244094491" right="0.23622047244094491" top="0.74803149606299213" bottom="0.74803149606299213" header="0.31496062992125984" footer="0.31496062992125984"/>
  <pageSetup paperSize="9" scale="10" fitToWidth="0"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iconSet" priority="242" id="{596E7538-3B7E-AD4B-B63B-92142005D919}">
            <x14:iconSet iconSet="3Symbols" showValue="0" custom="1">
              <x14:cfvo type="percent">
                <xm:f>0</xm:f>
              </x14:cfvo>
              <x14:cfvo type="num">
                <xm:f>2</xm:f>
              </x14:cfvo>
              <x14:cfvo type="num">
                <xm:f>4</xm:f>
              </x14:cfvo>
              <x14:cfIcon iconSet="3Symbols2" iconId="0"/>
              <x14:cfIcon iconSet="3Symbols2" iconId="1"/>
              <x14:cfIcon iconSet="3Symbols2" iconId="2"/>
            </x14:iconSet>
          </x14:cfRule>
          <xm:sqref>L9:L29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AX191"/>
  <sheetViews>
    <sheetView topLeftCell="C1" zoomScale="80" zoomScaleNormal="80" zoomScalePageLayoutView="90" workbookViewId="0">
      <pane ySplit="6" topLeftCell="A35" activePane="bottomLeft" state="frozen"/>
      <selection pane="bottomLeft" activeCell="C35" sqref="C35"/>
    </sheetView>
  </sheetViews>
  <sheetFormatPr baseColWidth="10" defaultColWidth="11.5" defaultRowHeight="15" customHeight="1"/>
  <cols>
    <col min="1" max="1" width="2.6640625" style="126" customWidth="1"/>
    <col min="2" max="2" width="26.83203125" style="126" customWidth="1"/>
    <col min="3" max="3" width="16.6640625" style="126" customWidth="1"/>
    <col min="4" max="5" width="10" style="580" customWidth="1"/>
    <col min="6" max="6" width="12.5" style="126" customWidth="1"/>
    <col min="7" max="7" width="11.1640625" style="126" customWidth="1"/>
    <col min="8" max="8" width="13.6640625" style="126" customWidth="1"/>
    <col min="9" max="9" width="12.33203125" style="126" bestFit="1" customWidth="1"/>
    <col min="10" max="10" width="14.1640625" style="126" customWidth="1"/>
    <col min="11" max="11" width="19" style="580" customWidth="1"/>
    <col min="12" max="12" width="11.83203125" style="580" customWidth="1"/>
    <col min="13" max="14" width="2.83203125" style="126" customWidth="1"/>
    <col min="15" max="15" width="28.1640625" style="126" customWidth="1"/>
    <col min="16" max="16" width="24.5" style="126" customWidth="1"/>
    <col min="17" max="17" width="14" style="580" customWidth="1"/>
    <col min="18" max="18" width="10.83203125" style="580" customWidth="1"/>
    <col min="19" max="19" width="19.1640625" style="126" customWidth="1"/>
    <col min="20" max="20" width="41.5" style="126" customWidth="1"/>
    <col min="21" max="21" width="19.5" style="126" customWidth="1"/>
    <col min="22" max="22" width="19.5" style="580" customWidth="1"/>
    <col min="23" max="23" width="20.6640625" style="126" customWidth="1"/>
    <col min="24" max="24" width="20.1640625" style="581" customWidth="1"/>
    <col min="25" max="25" width="24.33203125" style="126" customWidth="1"/>
    <col min="26" max="26" width="16.6640625" style="126" customWidth="1"/>
    <col min="27" max="27" width="20" style="126" customWidth="1"/>
    <col min="28" max="28" width="25.33203125" style="126" customWidth="1"/>
    <col min="29" max="29" width="31.5" style="126" customWidth="1"/>
    <col min="30" max="30" width="32.33203125" style="126" customWidth="1"/>
    <col min="31" max="31" width="31.6640625" style="126" customWidth="1"/>
    <col min="32" max="32" width="13.6640625" style="126" customWidth="1"/>
    <col min="33" max="33" width="29.1640625" style="126" customWidth="1"/>
    <col min="34" max="34" width="24" style="126" customWidth="1"/>
    <col min="35" max="35" width="15" style="126" customWidth="1"/>
    <col min="36" max="36" width="25" style="126" customWidth="1"/>
    <col min="37" max="37" width="20.1640625" style="126" customWidth="1"/>
    <col min="38" max="38" width="20" style="126" customWidth="1"/>
    <col min="39" max="39" width="31.5" style="126" customWidth="1"/>
    <col min="40" max="40" width="14.33203125" style="126" customWidth="1"/>
    <col min="41" max="41" width="24.5" style="126" customWidth="1"/>
    <col min="42" max="42" width="22.33203125" style="126" customWidth="1"/>
    <col min="43" max="43" width="31" style="126" customWidth="1"/>
    <col min="44" max="44" width="31.83203125" style="126" customWidth="1"/>
    <col min="45" max="45" width="27.6640625" style="126" customWidth="1"/>
    <col min="46" max="46" width="26.6640625" style="126" customWidth="1"/>
    <col min="47" max="47" width="25.33203125" style="126" customWidth="1"/>
    <col min="48" max="48" width="32.33203125" style="126" customWidth="1"/>
    <col min="49" max="49" width="31.6640625" style="126" customWidth="1"/>
    <col min="50" max="50" width="11.5" style="126" customWidth="1"/>
    <col min="51" max="16384" width="11.5" style="126"/>
  </cols>
  <sheetData>
    <row r="1" spans="2:50" ht="15" customHeight="1">
      <c r="Y1" s="148"/>
      <c r="Z1" s="148"/>
      <c r="AA1" s="148"/>
    </row>
    <row r="2" spans="2:50" s="102" customFormat="1" ht="25" customHeight="1">
      <c r="B2" s="159" t="s">
        <v>220</v>
      </c>
      <c r="D2" s="148"/>
      <c r="E2" s="148"/>
      <c r="K2" s="148"/>
      <c r="L2" s="148"/>
      <c r="M2" s="102">
        <v>3</v>
      </c>
      <c r="O2" s="159" t="s">
        <v>220</v>
      </c>
      <c r="Q2" s="148"/>
      <c r="R2" s="148"/>
      <c r="V2" s="148"/>
      <c r="X2" s="582"/>
      <c r="Y2" s="148"/>
      <c r="Z2" s="148"/>
      <c r="AA2" s="148"/>
      <c r="AX2" s="136"/>
    </row>
    <row r="3" spans="2:50" ht="6" customHeight="1">
      <c r="Y3" s="148"/>
      <c r="Z3" s="148"/>
      <c r="AA3" s="148"/>
    </row>
    <row r="4" spans="2:50" s="148" customFormat="1" ht="20" customHeight="1">
      <c r="B4" s="1392" t="s">
        <v>1808</v>
      </c>
      <c r="C4" s="1393"/>
      <c r="D4" s="1393"/>
      <c r="E4" s="1393"/>
      <c r="F4" s="1393"/>
      <c r="G4" s="1393"/>
      <c r="H4" s="1393"/>
      <c r="I4" s="1393"/>
      <c r="J4" s="1394"/>
      <c r="K4" s="1392" t="s">
        <v>1809</v>
      </c>
      <c r="L4" s="1394"/>
      <c r="M4" s="629"/>
      <c r="N4" s="629"/>
      <c r="O4" s="1392">
        <v>3</v>
      </c>
      <c r="P4" s="1393"/>
      <c r="Q4" s="1393"/>
      <c r="R4" s="1393"/>
      <c r="S4" s="1393"/>
      <c r="T4" s="1394"/>
      <c r="U4" s="1273" t="s">
        <v>12</v>
      </c>
      <c r="V4" s="1273">
        <v>3</v>
      </c>
      <c r="X4" s="1392" t="s">
        <v>779</v>
      </c>
      <c r="Y4" s="1393"/>
      <c r="Z4" s="1393"/>
      <c r="AA4" s="1393"/>
      <c r="AB4" s="1393"/>
      <c r="AC4" s="1393"/>
      <c r="AD4" s="1393"/>
      <c r="AE4" s="1393"/>
      <c r="AF4" s="1393"/>
      <c r="AG4" s="1393"/>
      <c r="AH4" s="1393"/>
      <c r="AI4" s="1393"/>
      <c r="AJ4" s="1393"/>
      <c r="AK4" s="1393"/>
      <c r="AL4" s="1393"/>
      <c r="AM4" s="1393"/>
      <c r="AN4" s="1393"/>
      <c r="AO4" s="1393"/>
      <c r="AP4" s="1393"/>
      <c r="AQ4" s="1393"/>
      <c r="AR4" s="1393"/>
      <c r="AS4" s="1393"/>
      <c r="AT4" s="1393"/>
      <c r="AU4" s="1393"/>
      <c r="AV4" s="1393"/>
      <c r="AW4" s="1394"/>
    </row>
    <row r="5" spans="2:50" s="148" customFormat="1" ht="20" customHeight="1">
      <c r="B5" s="1395"/>
      <c r="C5" s="1396"/>
      <c r="D5" s="1396"/>
      <c r="E5" s="1396"/>
      <c r="F5" s="1396"/>
      <c r="G5" s="1396"/>
      <c r="H5" s="1396"/>
      <c r="I5" s="1396"/>
      <c r="J5" s="1397"/>
      <c r="K5" s="1395"/>
      <c r="L5" s="1397"/>
      <c r="M5" s="176"/>
      <c r="N5" s="629"/>
      <c r="O5" s="1395"/>
      <c r="P5" s="1396"/>
      <c r="Q5" s="1396"/>
      <c r="R5" s="1396"/>
      <c r="S5" s="1396"/>
      <c r="T5" s="1397"/>
      <c r="U5" s="1273"/>
      <c r="V5" s="1273"/>
      <c r="X5" s="1395"/>
      <c r="Y5" s="1396"/>
      <c r="Z5" s="1396"/>
      <c r="AA5" s="1396"/>
      <c r="AB5" s="1396"/>
      <c r="AC5" s="1396"/>
      <c r="AD5" s="1396"/>
      <c r="AE5" s="1396"/>
      <c r="AF5" s="1396"/>
      <c r="AG5" s="1396"/>
      <c r="AH5" s="1396"/>
      <c r="AI5" s="1396"/>
      <c r="AJ5" s="1396"/>
      <c r="AK5" s="1396"/>
      <c r="AL5" s="1396"/>
      <c r="AM5" s="1396"/>
      <c r="AN5" s="1396"/>
      <c r="AO5" s="1396"/>
      <c r="AP5" s="1396"/>
      <c r="AQ5" s="1396"/>
      <c r="AR5" s="1396"/>
      <c r="AS5" s="1396"/>
      <c r="AT5" s="1396"/>
      <c r="AU5" s="1396"/>
      <c r="AV5" s="1396"/>
      <c r="AW5" s="1397"/>
    </row>
    <row r="6" spans="2:50" ht="6" customHeight="1">
      <c r="Y6" s="148"/>
      <c r="Z6" s="148"/>
      <c r="AA6" s="148"/>
      <c r="AI6" s="148"/>
      <c r="AJ6" s="148"/>
      <c r="AK6" s="148"/>
    </row>
    <row r="7" spans="2:50" ht="15" customHeight="1">
      <c r="B7" s="1280" t="s">
        <v>1130</v>
      </c>
      <c r="C7" s="1280"/>
      <c r="D7" s="1280"/>
      <c r="E7" s="1280"/>
      <c r="F7" s="1280"/>
      <c r="G7" s="1280"/>
      <c r="H7" s="1280"/>
      <c r="I7" s="1280"/>
      <c r="J7" s="1280"/>
      <c r="K7" s="1280"/>
      <c r="L7" s="1280"/>
      <c r="O7" s="1323" t="s">
        <v>1083</v>
      </c>
      <c r="P7" s="1323"/>
      <c r="Q7" s="1323"/>
      <c r="R7" s="1323"/>
      <c r="S7" s="1323"/>
      <c r="T7" s="1323"/>
      <c r="U7" s="1323"/>
      <c r="V7" s="1323"/>
      <c r="W7" s="1323"/>
      <c r="X7" s="1323"/>
      <c r="Y7" s="1323"/>
      <c r="Z7" s="1323"/>
      <c r="AA7" s="1323"/>
      <c r="AB7" s="1323"/>
      <c r="AC7" s="1323"/>
      <c r="AD7" s="1323"/>
      <c r="AE7" s="1323"/>
      <c r="AF7" s="1323"/>
      <c r="AG7" s="1323"/>
      <c r="AH7" s="1323"/>
      <c r="AI7" s="1323"/>
      <c r="AJ7" s="1323"/>
      <c r="AK7" s="1323"/>
      <c r="AL7" s="1323"/>
      <c r="AM7" s="1323"/>
      <c r="AN7" s="1323"/>
      <c r="AO7" s="1323"/>
      <c r="AP7" s="1323"/>
      <c r="AQ7" s="1323"/>
      <c r="AR7" s="1323"/>
      <c r="AS7" s="1323"/>
      <c r="AT7" s="1323"/>
      <c r="AU7" s="1323"/>
      <c r="AV7" s="1323"/>
      <c r="AW7" s="1323"/>
    </row>
    <row r="8" spans="2:50" ht="6" customHeight="1">
      <c r="X8" s="173"/>
    </row>
    <row r="9" spans="2:50" s="153" customFormat="1" ht="45" customHeight="1">
      <c r="B9" s="630" t="str">
        <f>ENERGÍA!B9</f>
        <v>Lineamiento 1: Reflectividad en el Techo</v>
      </c>
      <c r="C9" s="1424" t="str">
        <f>HLOOKUP($M$2,lineamientos,3,FALSE)</f>
        <v>La Zona Bioambiental no especifica lineamiento.</v>
      </c>
      <c r="D9" s="1424"/>
      <c r="E9" s="1424"/>
      <c r="F9" s="1424"/>
      <c r="G9" s="1424"/>
      <c r="H9" s="1424"/>
      <c r="I9" s="1424"/>
      <c r="J9" s="1424"/>
      <c r="K9" s="1424"/>
      <c r="L9" s="631"/>
      <c r="O9" s="584"/>
      <c r="P9" s="584"/>
      <c r="Q9" s="584"/>
      <c r="R9" s="584"/>
      <c r="S9" s="584"/>
      <c r="T9" s="584"/>
      <c r="U9" s="584"/>
      <c r="V9" s="584"/>
      <c r="W9" s="584"/>
    </row>
    <row r="10" spans="2:50" s="153" customFormat="1" ht="45" customHeight="1">
      <c r="B10" s="630" t="s">
        <v>1115</v>
      </c>
      <c r="C10" s="1424" t="str">
        <f>HLOOKUP($M$2,lineamientos,4,FALSE)</f>
        <v>La Zona Bioambiental no especifica lineamiento.</v>
      </c>
      <c r="D10" s="1424"/>
      <c r="E10" s="1424"/>
      <c r="F10" s="1424"/>
      <c r="G10" s="1424"/>
      <c r="H10" s="1424"/>
      <c r="I10" s="1424"/>
      <c r="J10" s="1424"/>
      <c r="K10" s="1424"/>
      <c r="L10" s="631"/>
    </row>
    <row r="11" spans="2:50" s="153" customFormat="1" ht="45" customHeight="1">
      <c r="B11" s="630" t="s">
        <v>1132</v>
      </c>
      <c r="C11" s="1424" t="str">
        <f>HLOOKUP($M$2,lineamientos,5,FALSE)</f>
        <v>Minimizar superficies al Oeste, respetando un máximo de 15% en esa orientación.</v>
      </c>
      <c r="D11" s="1424"/>
      <c r="E11" s="1424"/>
      <c r="F11" s="1424"/>
      <c r="G11" s="1424"/>
      <c r="H11" s="1424"/>
      <c r="I11" s="1424"/>
      <c r="J11" s="1424"/>
      <c r="K11" s="1424"/>
      <c r="L11" s="631">
        <v>5</v>
      </c>
    </row>
    <row r="12" spans="2:50" s="153" customFormat="1" ht="45" customHeight="1">
      <c r="B12" s="630" t="s">
        <v>1116</v>
      </c>
      <c r="C12" s="1424" t="str">
        <f>HLOOKUP($M$2,lineamientos,6,FALSE)</f>
        <v>Incorporar aberturas: EFICIENCIA NIVEL G SEGÚN IRAM 11.507-6</v>
      </c>
      <c r="D12" s="1424"/>
      <c r="E12" s="1424"/>
      <c r="F12" s="1424"/>
      <c r="G12" s="1424"/>
      <c r="H12" s="1424"/>
      <c r="I12" s="1424"/>
      <c r="J12" s="1424"/>
      <c r="K12" s="1424"/>
      <c r="L12" s="631">
        <v>2</v>
      </c>
    </row>
    <row r="13" spans="2:50" s="153" customFormat="1" ht="45" customHeight="1">
      <c r="B13" s="630" t="s">
        <v>1117</v>
      </c>
      <c r="C13" s="1424" t="str">
        <f>HLOOKUP($M$2,lineamientos,7,FALSE)</f>
        <v>Incorporar aberturas: EFICIENCIA NIVEL D SEGÚN IRAM 11.507-6</v>
      </c>
      <c r="D13" s="1424"/>
      <c r="E13" s="1424"/>
      <c r="F13" s="1424"/>
      <c r="G13" s="1424"/>
      <c r="H13" s="1424"/>
      <c r="I13" s="1424"/>
      <c r="J13" s="1424"/>
      <c r="K13" s="1424"/>
      <c r="L13" s="631"/>
    </row>
    <row r="14" spans="2:50" s="153" customFormat="1" ht="25" customHeight="1">
      <c r="B14" s="1424" t="s">
        <v>1118</v>
      </c>
      <c r="C14" s="1424" t="str">
        <f>HLOOKUP($M$2,lineamientos,8,FALSE)</f>
        <v>La Zona Bioambiental no especifica lineamiento.</v>
      </c>
      <c r="D14" s="1424"/>
      <c r="E14" s="1424"/>
      <c r="F14" s="1424"/>
      <c r="G14" s="1424"/>
      <c r="H14" s="1424"/>
      <c r="I14" s="1424"/>
      <c r="J14" s="1424"/>
      <c r="K14" s="1424"/>
      <c r="L14" s="1428"/>
    </row>
    <row r="15" spans="2:50" s="153" customFormat="1" ht="25" customHeight="1">
      <c r="B15" s="1424"/>
      <c r="C15" s="1424"/>
      <c r="D15" s="1424"/>
      <c r="E15" s="1424"/>
      <c r="F15" s="1424"/>
      <c r="G15" s="1424"/>
      <c r="H15" s="1424"/>
      <c r="I15" s="1424"/>
      <c r="J15" s="1424"/>
      <c r="K15" s="1424"/>
      <c r="L15" s="1429"/>
    </row>
    <row r="16" spans="2:50" s="153" customFormat="1" ht="25" customHeight="1">
      <c r="B16" s="1424" t="s">
        <v>1135</v>
      </c>
      <c r="C16" s="1424" t="str">
        <f>HLOOKUP($M$2,lineamientos,9,FALSE)</f>
        <v>La Zona Bioambiental no especifica lineamiento.</v>
      </c>
      <c r="D16" s="1424"/>
      <c r="E16" s="1424"/>
      <c r="F16" s="1424"/>
      <c r="G16" s="1424"/>
      <c r="H16" s="1424"/>
      <c r="I16" s="1424"/>
      <c r="J16" s="1424"/>
      <c r="K16" s="1424"/>
      <c r="L16" s="1428"/>
    </row>
    <row r="17" spans="2:24" s="153" customFormat="1" ht="25" customHeight="1">
      <c r="B17" s="1424"/>
      <c r="C17" s="1424"/>
      <c r="D17" s="1424"/>
      <c r="E17" s="1424"/>
      <c r="F17" s="1424"/>
      <c r="G17" s="1424"/>
      <c r="H17" s="1424"/>
      <c r="I17" s="1424"/>
      <c r="J17" s="1424"/>
      <c r="K17" s="1424"/>
      <c r="L17" s="1429"/>
    </row>
    <row r="18" spans="2:24" ht="15" customHeight="1">
      <c r="B18" s="1424" t="s">
        <v>1794</v>
      </c>
      <c r="C18" s="1424" t="str">
        <f>HLOOKUP($M$2,lineamientos,10,FALSE)</f>
        <v>Proyectar sistemas de protección solar para las orientaciones Suroeste, Oeste, Noroeste, Norte, Noreste, Este y Sureste.</v>
      </c>
      <c r="D18" s="1424"/>
      <c r="E18" s="1424"/>
      <c r="F18" s="1424"/>
      <c r="G18" s="1424"/>
      <c r="H18" s="1424"/>
      <c r="I18" s="1424"/>
      <c r="J18" s="1424"/>
      <c r="K18" s="1424"/>
      <c r="L18" s="1425">
        <v>5</v>
      </c>
      <c r="Q18" s="126"/>
      <c r="R18" s="126"/>
      <c r="V18" s="126"/>
      <c r="X18" s="126"/>
    </row>
    <row r="19" spans="2:24" ht="15" customHeight="1">
      <c r="B19" s="1424"/>
      <c r="C19" s="1424"/>
      <c r="D19" s="1424"/>
      <c r="E19" s="1424"/>
      <c r="F19" s="1424"/>
      <c r="G19" s="1424"/>
      <c r="H19" s="1424"/>
      <c r="I19" s="1424"/>
      <c r="J19" s="1424"/>
      <c r="K19" s="1424"/>
      <c r="L19" s="1426"/>
      <c r="Q19" s="126"/>
      <c r="R19" s="126"/>
      <c r="V19" s="126"/>
      <c r="X19" s="126"/>
    </row>
    <row r="20" spans="2:24" ht="15" customHeight="1">
      <c r="B20" s="1424"/>
      <c r="C20" s="1424"/>
      <c r="D20" s="1424"/>
      <c r="E20" s="1424"/>
      <c r="F20" s="1424"/>
      <c r="G20" s="1424"/>
      <c r="H20" s="1424"/>
      <c r="I20" s="1424"/>
      <c r="J20" s="1424"/>
      <c r="K20" s="1424"/>
      <c r="L20" s="1427"/>
      <c r="Q20" s="126"/>
      <c r="R20" s="126"/>
      <c r="V20" s="126"/>
      <c r="X20" s="126"/>
    </row>
    <row r="21" spans="2:24" ht="15" customHeight="1">
      <c r="B21" s="1424" t="s">
        <v>1803</v>
      </c>
      <c r="C21" s="1424" t="str">
        <f>HLOOKUP($M$2,lineamientos,12,FALSE)</f>
        <v>La Zona Bioambiental no especifica lineamiento.</v>
      </c>
      <c r="D21" s="1424"/>
      <c r="E21" s="1424"/>
      <c r="F21" s="1424"/>
      <c r="G21" s="1424"/>
      <c r="H21" s="1424"/>
      <c r="I21" s="1424"/>
      <c r="J21" s="1424"/>
      <c r="K21" s="1424"/>
      <c r="L21" s="1425">
        <v>5</v>
      </c>
      <c r="Q21" s="126"/>
      <c r="R21" s="126"/>
      <c r="V21" s="126"/>
      <c r="X21" s="126"/>
    </row>
    <row r="22" spans="2:24" ht="15" customHeight="1">
      <c r="B22" s="1424"/>
      <c r="C22" s="1424"/>
      <c r="D22" s="1424"/>
      <c r="E22" s="1424"/>
      <c r="F22" s="1424"/>
      <c r="G22" s="1424"/>
      <c r="H22" s="1424"/>
      <c r="I22" s="1424"/>
      <c r="J22" s="1424"/>
      <c r="K22" s="1424"/>
      <c r="L22" s="1426"/>
      <c r="Q22" s="126"/>
      <c r="R22" s="126"/>
      <c r="V22" s="126"/>
      <c r="X22" s="126"/>
    </row>
    <row r="23" spans="2:24" ht="15" customHeight="1">
      <c r="B23" s="1424"/>
      <c r="C23" s="1424"/>
      <c r="D23" s="1424"/>
      <c r="E23" s="1424"/>
      <c r="F23" s="1424"/>
      <c r="G23" s="1424"/>
      <c r="H23" s="1424"/>
      <c r="I23" s="1424"/>
      <c r="J23" s="1424"/>
      <c r="K23" s="1424"/>
      <c r="L23" s="1427"/>
      <c r="Q23" s="126"/>
      <c r="R23" s="126"/>
      <c r="V23" s="126"/>
      <c r="X23" s="126"/>
    </row>
    <row r="24" spans="2:24" ht="15" customHeight="1">
      <c r="B24" s="1424" t="s">
        <v>1804</v>
      </c>
      <c r="C24" s="1424" t="str">
        <f>HLOOKUP($M$2,lineamientos,13,FALSE)</f>
        <v>La Zona Bioambiental no especifica lineamiento.</v>
      </c>
      <c r="D24" s="1424"/>
      <c r="E24" s="1424"/>
      <c r="F24" s="1424"/>
      <c r="G24" s="1424"/>
      <c r="H24" s="1424"/>
      <c r="I24" s="1424"/>
      <c r="J24" s="1424"/>
      <c r="K24" s="1424"/>
      <c r="L24" s="1425"/>
      <c r="Q24" s="126"/>
      <c r="R24" s="126"/>
      <c r="V24" s="126"/>
      <c r="X24" s="126"/>
    </row>
    <row r="25" spans="2:24" ht="15" customHeight="1">
      <c r="B25" s="1424"/>
      <c r="C25" s="1424"/>
      <c r="D25" s="1424"/>
      <c r="E25" s="1424"/>
      <c r="F25" s="1424"/>
      <c r="G25" s="1424"/>
      <c r="H25" s="1424"/>
      <c r="I25" s="1424"/>
      <c r="J25" s="1424"/>
      <c r="K25" s="1424"/>
      <c r="L25" s="1426"/>
      <c r="Q25" s="126"/>
      <c r="R25" s="126"/>
      <c r="V25" s="126"/>
      <c r="X25" s="126"/>
    </row>
    <row r="26" spans="2:24" ht="15" customHeight="1">
      <c r="B26" s="1424"/>
      <c r="C26" s="1424"/>
      <c r="D26" s="1424"/>
      <c r="E26" s="1424"/>
      <c r="F26" s="1424"/>
      <c r="G26" s="1424"/>
      <c r="H26" s="1424"/>
      <c r="I26" s="1424"/>
      <c r="J26" s="1424"/>
      <c r="K26" s="1424"/>
      <c r="L26" s="1427"/>
      <c r="Q26" s="126"/>
      <c r="R26" s="126"/>
      <c r="V26" s="126"/>
      <c r="X26" s="126"/>
    </row>
    <row r="27" spans="2:24" ht="20" customHeight="1">
      <c r="B27" s="1424" t="s">
        <v>1805</v>
      </c>
      <c r="C27" s="1424" t="str">
        <f>HLOOKUP($M$2,lineamientos,14,FALSE)</f>
        <v>Dimensionar los espacios exteriores de modo de optimizar el asoleamiento en invierno.</v>
      </c>
      <c r="D27" s="1424"/>
      <c r="E27" s="1424"/>
      <c r="F27" s="1424"/>
      <c r="G27" s="1424"/>
      <c r="H27" s="1424"/>
      <c r="I27" s="1424"/>
      <c r="J27" s="1424"/>
      <c r="K27" s="1424"/>
      <c r="L27" s="1428"/>
      <c r="Q27" s="126"/>
      <c r="R27" s="126"/>
      <c r="V27" s="126"/>
      <c r="X27" s="126"/>
    </row>
    <row r="28" spans="2:24" ht="20" customHeight="1">
      <c r="B28" s="1424"/>
      <c r="C28" s="1424"/>
      <c r="D28" s="1424"/>
      <c r="E28" s="1424"/>
      <c r="F28" s="1424"/>
      <c r="G28" s="1424"/>
      <c r="H28" s="1424"/>
      <c r="I28" s="1424"/>
      <c r="J28" s="1424"/>
      <c r="K28" s="1424"/>
      <c r="L28" s="1429"/>
      <c r="Q28" s="126"/>
      <c r="R28" s="126"/>
      <c r="V28" s="126"/>
      <c r="X28" s="126"/>
    </row>
    <row r="29" spans="2:24" ht="40" customHeight="1">
      <c r="B29" s="630" t="s">
        <v>1806</v>
      </c>
      <c r="C29" s="1424" t="str">
        <f>HLOOKUP($M$2,lineamientos,15,FALSE)</f>
        <v>La Zona Bioambiental no especifica lineamiento.</v>
      </c>
      <c r="D29" s="1424"/>
      <c r="E29" s="1424"/>
      <c r="F29" s="1424"/>
      <c r="G29" s="1424"/>
      <c r="H29" s="1424"/>
      <c r="I29" s="1424"/>
      <c r="J29" s="1424"/>
      <c r="K29" s="1424"/>
      <c r="L29" s="631"/>
      <c r="Q29" s="126"/>
      <c r="R29" s="126"/>
      <c r="V29" s="126"/>
      <c r="X29" s="126"/>
    </row>
    <row r="30" spans="2:24" ht="15" customHeight="1">
      <c r="B30" s="1378"/>
      <c r="C30" s="1378"/>
      <c r="D30" s="1378"/>
      <c r="E30" s="1378"/>
      <c r="F30" s="1378"/>
      <c r="G30" s="1378"/>
      <c r="H30" s="1378"/>
      <c r="I30" s="1378"/>
      <c r="J30" s="1378"/>
      <c r="K30" s="1378"/>
      <c r="L30" s="1378"/>
      <c r="Q30" s="126"/>
      <c r="R30" s="126"/>
      <c r="V30" s="126"/>
      <c r="X30" s="126"/>
    </row>
    <row r="31" spans="2:24" ht="6" customHeight="1">
      <c r="K31" s="148"/>
      <c r="L31" s="148"/>
      <c r="M31" s="148"/>
      <c r="N31" s="148"/>
      <c r="Q31" s="126"/>
      <c r="R31" s="126"/>
      <c r="V31" s="126"/>
      <c r="X31" s="126"/>
    </row>
    <row r="32" spans="2:24" s="159" customFormat="1" ht="15" customHeight="1">
      <c r="B32" s="1280" t="s">
        <v>585</v>
      </c>
      <c r="C32" s="1280"/>
      <c r="D32" s="1280"/>
      <c r="E32" s="1280"/>
      <c r="F32" s="1280"/>
      <c r="G32" s="1280"/>
      <c r="H32" s="1280"/>
      <c r="I32" s="1280"/>
      <c r="J32" s="1280"/>
      <c r="K32" s="1280"/>
      <c r="L32" s="1280"/>
      <c r="M32" s="148"/>
      <c r="N32" s="148"/>
      <c r="O32" s="126"/>
      <c r="P32" s="126"/>
      <c r="Q32" s="126"/>
      <c r="R32" s="126"/>
      <c r="S32" s="126"/>
      <c r="T32" s="126"/>
      <c r="U32" s="126"/>
      <c r="V32" s="126"/>
      <c r="W32" s="126"/>
    </row>
    <row r="33" spans="2:50" ht="6" customHeight="1">
      <c r="M33" s="148"/>
      <c r="N33" s="148"/>
      <c r="O33" s="159"/>
      <c r="P33" s="159"/>
      <c r="Q33" s="159"/>
      <c r="R33" s="159"/>
      <c r="S33" s="159"/>
      <c r="T33" s="159"/>
      <c r="U33" s="159"/>
      <c r="V33" s="159"/>
      <c r="W33" s="159"/>
      <c r="X33" s="126"/>
    </row>
    <row r="34" spans="2:50" ht="30" customHeight="1">
      <c r="B34" s="1273" t="s">
        <v>589</v>
      </c>
      <c r="C34" s="1273"/>
      <c r="D34" s="1357" t="s">
        <v>1181</v>
      </c>
      <c r="E34" s="1391"/>
      <c r="F34" s="1358"/>
      <c r="G34" s="1357" t="s">
        <v>596</v>
      </c>
      <c r="H34" s="1391"/>
      <c r="I34" s="1391"/>
      <c r="J34" s="1358"/>
      <c r="K34" s="1357" t="s">
        <v>1793</v>
      </c>
      <c r="L34" s="1358"/>
      <c r="M34" s="148"/>
      <c r="N34" s="148"/>
      <c r="O34" s="1357" t="s">
        <v>591</v>
      </c>
      <c r="P34" s="1358"/>
      <c r="Q34" s="148" t="s">
        <v>1017</v>
      </c>
      <c r="R34" s="126"/>
      <c r="V34" s="126"/>
      <c r="X34" s="126"/>
    </row>
    <row r="35" spans="2:50" ht="15" customHeight="1">
      <c r="B35" s="582" t="s">
        <v>590</v>
      </c>
      <c r="C35" s="586">
        <f>ENERGÍA!C37</f>
        <v>0</v>
      </c>
      <c r="D35" s="1385" t="e">
        <f>O35/G35</f>
        <v>#N/A</v>
      </c>
      <c r="E35" s="1386"/>
      <c r="F35" s="1387"/>
      <c r="G35" s="1388">
        <f>ENERGÍA!H37+ENERGÍA!L37</f>
        <v>0</v>
      </c>
      <c r="H35" s="1389"/>
      <c r="I35" s="1389"/>
      <c r="J35" s="1390"/>
      <c r="K35" s="1388" t="e">
        <f>VLOOKUP(C35,BASE!$ER$5:$FE$20,4,FALSE)</f>
        <v>#N/A</v>
      </c>
      <c r="L35" s="1390"/>
      <c r="M35" s="148"/>
      <c r="N35" s="148"/>
      <c r="O35" s="1383" t="e">
        <f>G35*(K35)</f>
        <v>#N/A</v>
      </c>
      <c r="P35" s="1384"/>
      <c r="Q35" s="580" t="e">
        <f>VLOOKUP(C35,BASE!$ER$5:$FE$20,5,FALSE)</f>
        <v>#N/A</v>
      </c>
      <c r="R35" s="580" t="e">
        <f>IF(O35&lt;=5,2,IF(O35&lt;10,4,IF(O35&lt;15,6,IF(O35&lt;20,8,9))))</f>
        <v>#N/A</v>
      </c>
      <c r="V35" s="126"/>
      <c r="X35" s="126"/>
      <c r="AR35" s="126">
        <f t="shared" ref="AR35:AW38" si="0">IF(A35=0,1,0)</f>
        <v>1</v>
      </c>
      <c r="AS35" s="126">
        <f t="shared" si="0"/>
        <v>0</v>
      </c>
      <c r="AT35" s="126">
        <f t="shared" si="0"/>
        <v>1</v>
      </c>
      <c r="AU35" s="126" t="e">
        <f t="shared" si="0"/>
        <v>#N/A</v>
      </c>
      <c r="AV35" s="126">
        <f t="shared" si="0"/>
        <v>1</v>
      </c>
      <c r="AW35" s="126">
        <f t="shared" si="0"/>
        <v>1</v>
      </c>
      <c r="AX35" s="126">
        <f>IF(G35=0,1,0)</f>
        <v>1</v>
      </c>
    </row>
    <row r="36" spans="2:50" ht="15" customHeight="1">
      <c r="B36" s="582" t="s">
        <v>586</v>
      </c>
      <c r="C36" s="586">
        <f>ENERGÍA!C38</f>
        <v>0</v>
      </c>
      <c r="D36" s="1385" t="e">
        <f t="shared" ref="D36:D38" si="1">O36/G36</f>
        <v>#N/A</v>
      </c>
      <c r="E36" s="1386"/>
      <c r="F36" s="1387"/>
      <c r="G36" s="1388">
        <f>ENERGÍA!H38+ENERGÍA!L38</f>
        <v>0</v>
      </c>
      <c r="H36" s="1389"/>
      <c r="I36" s="1389"/>
      <c r="J36" s="1390"/>
      <c r="K36" s="1388" t="e">
        <f>VLOOKUP(C36,BASE!$ER$5:$FE$20,4,FALSE)</f>
        <v>#N/A</v>
      </c>
      <c r="L36" s="1390"/>
      <c r="M36" s="148"/>
      <c r="N36" s="148"/>
      <c r="O36" s="1383" t="e">
        <f t="shared" ref="O36:O38" si="2">G36*(K36)</f>
        <v>#N/A</v>
      </c>
      <c r="P36" s="1384"/>
      <c r="Q36" s="580" t="e">
        <f>VLOOKUP(C36,BASE!$ER$5:$FE$20,5,FALSE)</f>
        <v>#N/A</v>
      </c>
      <c r="R36" s="580" t="e">
        <f t="shared" ref="R36:R38" si="3">IF(O36&lt;=5,2,IF(O36&lt;10,4,IF(O36&lt;15,6,IF(O36&lt;20,8,9))))</f>
        <v>#N/A</v>
      </c>
      <c r="V36" s="126"/>
      <c r="X36" s="126"/>
      <c r="AR36" s="126">
        <f t="shared" si="0"/>
        <v>1</v>
      </c>
      <c r="AS36" s="126">
        <f t="shared" si="0"/>
        <v>0</v>
      </c>
      <c r="AT36" s="126">
        <f t="shared" si="0"/>
        <v>1</v>
      </c>
      <c r="AU36" s="126" t="e">
        <f t="shared" si="0"/>
        <v>#N/A</v>
      </c>
      <c r="AV36" s="126">
        <f t="shared" si="0"/>
        <v>1</v>
      </c>
      <c r="AW36" s="126">
        <f t="shared" si="0"/>
        <v>1</v>
      </c>
      <c r="AX36" s="126">
        <f>IF(G36=0,1,0)</f>
        <v>1</v>
      </c>
    </row>
    <row r="37" spans="2:50" ht="15" customHeight="1">
      <c r="B37" s="582" t="s">
        <v>587</v>
      </c>
      <c r="C37" s="586">
        <f>ENERGÍA!C39</f>
        <v>0</v>
      </c>
      <c r="D37" s="1385" t="e">
        <f t="shared" si="1"/>
        <v>#N/A</v>
      </c>
      <c r="E37" s="1386"/>
      <c r="F37" s="1387"/>
      <c r="G37" s="1388">
        <f>ENERGÍA!H39+ENERGÍA!L39</f>
        <v>0</v>
      </c>
      <c r="H37" s="1389"/>
      <c r="I37" s="1389"/>
      <c r="J37" s="1390"/>
      <c r="K37" s="1388" t="e">
        <f>VLOOKUP(C37,BASE!$ER$5:$FE$20,4,FALSE)</f>
        <v>#N/A</v>
      </c>
      <c r="L37" s="1390"/>
      <c r="M37" s="148"/>
      <c r="N37" s="148"/>
      <c r="O37" s="1383" t="e">
        <f t="shared" si="2"/>
        <v>#N/A</v>
      </c>
      <c r="P37" s="1384"/>
      <c r="Q37" s="580" t="e">
        <f>VLOOKUP(C37,BASE!$ER$5:$FE$20,5,FALSE)</f>
        <v>#N/A</v>
      </c>
      <c r="R37" s="580" t="e">
        <f t="shared" si="3"/>
        <v>#N/A</v>
      </c>
      <c r="V37" s="126"/>
      <c r="X37" s="126"/>
      <c r="AR37" s="126">
        <f t="shared" si="0"/>
        <v>1</v>
      </c>
      <c r="AS37" s="126">
        <f t="shared" si="0"/>
        <v>0</v>
      </c>
      <c r="AT37" s="126">
        <f t="shared" si="0"/>
        <v>1</v>
      </c>
      <c r="AU37" s="126" t="e">
        <f t="shared" si="0"/>
        <v>#N/A</v>
      </c>
      <c r="AV37" s="126">
        <f t="shared" si="0"/>
        <v>1</v>
      </c>
      <c r="AW37" s="126">
        <f t="shared" si="0"/>
        <v>1</v>
      </c>
      <c r="AX37" s="126">
        <f>IF(G37=0,1,0)</f>
        <v>1</v>
      </c>
    </row>
    <row r="38" spans="2:50" ht="15" customHeight="1">
      <c r="B38" s="582" t="s">
        <v>588</v>
      </c>
      <c r="C38" s="586">
        <f>ENERGÍA!C40</f>
        <v>0</v>
      </c>
      <c r="D38" s="1385" t="e">
        <f t="shared" si="1"/>
        <v>#N/A</v>
      </c>
      <c r="E38" s="1386"/>
      <c r="F38" s="1387"/>
      <c r="G38" s="1388">
        <f>ENERGÍA!H40+ENERGÍA!L40</f>
        <v>0</v>
      </c>
      <c r="H38" s="1389"/>
      <c r="I38" s="1389"/>
      <c r="J38" s="1390"/>
      <c r="K38" s="1388" t="e">
        <f>VLOOKUP(C38,BASE!$ER$5:$FE$20,4,FALSE)</f>
        <v>#N/A</v>
      </c>
      <c r="L38" s="1390"/>
      <c r="M38" s="148"/>
      <c r="N38" s="148"/>
      <c r="O38" s="1383" t="e">
        <f t="shared" si="2"/>
        <v>#N/A</v>
      </c>
      <c r="P38" s="1384"/>
      <c r="Q38" s="580" t="e">
        <f>VLOOKUP(C38,BASE!$ER$5:$FE$20,5,FALSE)</f>
        <v>#N/A</v>
      </c>
      <c r="R38" s="580" t="e">
        <f t="shared" si="3"/>
        <v>#N/A</v>
      </c>
      <c r="V38" s="126"/>
      <c r="X38" s="126"/>
      <c r="AR38" s="126">
        <f t="shared" si="0"/>
        <v>1</v>
      </c>
      <c r="AS38" s="126">
        <f t="shared" si="0"/>
        <v>0</v>
      </c>
      <c r="AT38" s="126">
        <f t="shared" si="0"/>
        <v>1</v>
      </c>
      <c r="AU38" s="126" t="e">
        <f t="shared" si="0"/>
        <v>#N/A</v>
      </c>
      <c r="AV38" s="126">
        <f t="shared" si="0"/>
        <v>1</v>
      </c>
      <c r="AW38" s="126">
        <f t="shared" si="0"/>
        <v>1</v>
      </c>
      <c r="AX38" s="126">
        <f>IF(G38=0,1,0)</f>
        <v>1</v>
      </c>
    </row>
    <row r="39" spans="2:50" ht="6" customHeight="1">
      <c r="B39" s="582"/>
      <c r="C39" s="148"/>
      <c r="D39" s="176"/>
      <c r="E39" s="176"/>
      <c r="F39" s="176"/>
      <c r="G39" s="176"/>
      <c r="H39" s="176"/>
      <c r="I39" s="176"/>
      <c r="J39" s="587"/>
      <c r="K39" s="587"/>
      <c r="L39" s="587"/>
      <c r="M39" s="148"/>
      <c r="N39" s="148"/>
      <c r="X39" s="126"/>
    </row>
    <row r="40" spans="2:50" s="159" customFormat="1" ht="15" customHeight="1">
      <c r="B40" s="1280" t="s">
        <v>592</v>
      </c>
      <c r="C40" s="1280"/>
      <c r="D40" s="1280"/>
      <c r="E40" s="1280"/>
      <c r="F40" s="1280"/>
      <c r="G40" s="1280"/>
      <c r="H40" s="1280"/>
      <c r="I40" s="1280"/>
      <c r="J40" s="1280"/>
      <c r="K40" s="1280"/>
      <c r="L40" s="1280"/>
      <c r="M40" s="148"/>
      <c r="N40" s="148"/>
      <c r="O40" s="1317" t="s">
        <v>592</v>
      </c>
      <c r="P40" s="1318"/>
      <c r="Q40" s="1318"/>
      <c r="R40" s="1318"/>
      <c r="S40" s="1318"/>
      <c r="T40" s="1318"/>
      <c r="U40" s="1318"/>
      <c r="V40" s="1318"/>
      <c r="W40" s="1319"/>
      <c r="Y40" s="1280" t="s">
        <v>894</v>
      </c>
      <c r="Z40" s="1280"/>
      <c r="AA40" s="1280"/>
      <c r="AB40" s="1280"/>
      <c r="AC40" s="1280"/>
      <c r="AD40" s="1280"/>
      <c r="AE40" s="1280"/>
      <c r="AG40" s="1357" t="s">
        <v>762</v>
      </c>
      <c r="AH40" s="1391"/>
      <c r="AI40" s="1391"/>
      <c r="AJ40" s="1358"/>
    </row>
    <row r="41" spans="2:50" ht="6" customHeight="1">
      <c r="O41" s="148"/>
      <c r="P41" s="581"/>
      <c r="Q41" s="126"/>
      <c r="R41" s="126"/>
      <c r="V41" s="148"/>
    </row>
    <row r="42" spans="2:50" ht="15" customHeight="1">
      <c r="B42" s="1323" t="s">
        <v>218</v>
      </c>
      <c r="C42" s="1323"/>
      <c r="D42" s="1323"/>
      <c r="E42" s="1323"/>
      <c r="F42" s="1323"/>
      <c r="G42" s="1323"/>
      <c r="H42" s="1323"/>
      <c r="I42" s="1323"/>
      <c r="J42" s="1323"/>
      <c r="K42" s="1323"/>
      <c r="L42" s="1323"/>
      <c r="O42" s="1320" t="s">
        <v>218</v>
      </c>
      <c r="P42" s="1321"/>
      <c r="Q42" s="1321"/>
      <c r="R42" s="1321"/>
      <c r="S42" s="1321"/>
      <c r="T42" s="1321"/>
      <c r="U42" s="1321"/>
      <c r="V42" s="1321"/>
      <c r="W42" s="1322"/>
      <c r="Y42" s="1350" t="s">
        <v>1139</v>
      </c>
      <c r="Z42" s="1350"/>
      <c r="AA42" s="1350"/>
      <c r="AB42" s="1350"/>
      <c r="AC42" s="1350"/>
      <c r="AD42" s="588" t="s">
        <v>999</v>
      </c>
      <c r="AE42" s="175" t="e">
        <f>AE44</f>
        <v>#N/A</v>
      </c>
      <c r="AG42" s="166"/>
      <c r="AH42" s="166" t="s">
        <v>996</v>
      </c>
      <c r="AI42" s="166" t="s">
        <v>1519</v>
      </c>
      <c r="AJ42" s="166" t="s">
        <v>1520</v>
      </c>
    </row>
    <row r="43" spans="2:50" ht="6" customHeight="1">
      <c r="B43" s="584"/>
      <c r="C43" s="584"/>
      <c r="D43" s="584"/>
      <c r="E43" s="126"/>
      <c r="O43" s="148"/>
      <c r="P43" s="581"/>
      <c r="Q43" s="584"/>
      <c r="R43" s="584"/>
      <c r="AG43" s="148"/>
      <c r="AH43" s="148"/>
      <c r="AI43" s="148"/>
      <c r="AJ43" s="148"/>
    </row>
    <row r="44" spans="2:50" s="166" customFormat="1" ht="15" customHeight="1">
      <c r="B44" s="1360"/>
      <c r="C44" s="1363" t="s">
        <v>222</v>
      </c>
      <c r="D44" s="1364"/>
      <c r="E44" s="1364"/>
      <c r="F44" s="1364"/>
      <c r="G44" s="1365"/>
      <c r="H44" s="1357" t="s">
        <v>1788</v>
      </c>
      <c r="I44" s="1358"/>
      <c r="J44" s="1360" t="s">
        <v>594</v>
      </c>
      <c r="K44" s="1360" t="s">
        <v>1356</v>
      </c>
      <c r="L44" s="1275" t="s">
        <v>644</v>
      </c>
      <c r="O44" s="1360" t="s">
        <v>1354</v>
      </c>
      <c r="P44" s="1360" t="s">
        <v>729</v>
      </c>
      <c r="Q44" s="1360" t="s">
        <v>849</v>
      </c>
      <c r="R44" s="1360" t="s">
        <v>850</v>
      </c>
      <c r="S44" s="1360" t="s">
        <v>1357</v>
      </c>
      <c r="T44" s="1360" t="s">
        <v>851</v>
      </c>
      <c r="U44" s="1360" t="s">
        <v>891</v>
      </c>
      <c r="V44" s="1360" t="s">
        <v>1359</v>
      </c>
      <c r="Y44" s="1275" t="s">
        <v>1140</v>
      </c>
      <c r="Z44" s="1344" t="e">
        <f>AW90</f>
        <v>#N/A</v>
      </c>
      <c r="AA44" s="1345"/>
      <c r="AB44" s="1275" t="s">
        <v>895</v>
      </c>
      <c r="AC44" s="1286">
        <f>AW74</f>
        <v>-24</v>
      </c>
      <c r="AD44" s="1379" t="s">
        <v>1023</v>
      </c>
      <c r="AE44" s="1381" t="e">
        <f>Z44*AC44</f>
        <v>#N/A</v>
      </c>
      <c r="AG44" s="148" t="str">
        <f>Y52</f>
        <v>Agua Caliente</v>
      </c>
      <c r="AH44" s="148">
        <v>933</v>
      </c>
      <c r="AI44" s="148">
        <v>450</v>
      </c>
      <c r="AJ44" s="148">
        <f>IF(Z52=1,15,0)</f>
        <v>0</v>
      </c>
    </row>
    <row r="45" spans="2:50" s="166" customFormat="1" ht="15" customHeight="1">
      <c r="B45" s="1361"/>
      <c r="C45" s="1366"/>
      <c r="D45" s="1367"/>
      <c r="E45" s="1367"/>
      <c r="F45" s="1367"/>
      <c r="G45" s="1368"/>
      <c r="H45" s="166" t="s">
        <v>749</v>
      </c>
      <c r="I45" s="166" t="s">
        <v>750</v>
      </c>
      <c r="J45" s="1361"/>
      <c r="K45" s="1361"/>
      <c r="L45" s="1277"/>
      <c r="O45" s="1361"/>
      <c r="P45" s="1361"/>
      <c r="Q45" s="1361"/>
      <c r="R45" s="1361"/>
      <c r="S45" s="1361"/>
      <c r="T45" s="1361"/>
      <c r="U45" s="1361"/>
      <c r="V45" s="1361"/>
      <c r="Y45" s="1277"/>
      <c r="Z45" s="1348"/>
      <c r="AA45" s="1349"/>
      <c r="AB45" s="1277"/>
      <c r="AC45" s="1288"/>
      <c r="AD45" s="1380"/>
      <c r="AE45" s="1382"/>
    </row>
    <row r="46" spans="2:50" ht="15" customHeight="1">
      <c r="B46" s="581" t="s">
        <v>228</v>
      </c>
      <c r="C46" s="1359"/>
      <c r="D46" s="1359"/>
      <c r="E46" s="1359"/>
      <c r="F46" s="1359"/>
      <c r="G46" s="1359"/>
      <c r="H46" s="176" t="str">
        <f>IF(J46=0,"-","Nivel B")</f>
        <v>-</v>
      </c>
      <c r="I46" s="176" t="str">
        <f>IF(J46=0,"-","Nivel B")</f>
        <v>-</v>
      </c>
      <c r="J46" s="589">
        <f>ENERGÍA!L50</f>
        <v>0</v>
      </c>
      <c r="K46" s="589">
        <f>ENERGÍA!M50</f>
        <v>0</v>
      </c>
      <c r="L46" s="589"/>
      <c r="O46" s="176">
        <f>IF(J46=0,0,VLOOKUP(K46,adyacentem,2,FALSE))</f>
        <v>0</v>
      </c>
      <c r="P46" s="590">
        <f>VLOOKUP('BASE DE DATOS'!GY18,COLORESEXT,2,FALSE)</f>
        <v>0.6</v>
      </c>
      <c r="Q46" s="176">
        <f>IF('BASE DE DATOS'!GX18="A",'Materiales Personalizados'!BA37,IF('BASE DE DATOS'!GX18="B",'Materiales Personalizados'!BA38,'Materiales Personalizados'!$BA$39))</f>
        <v>0.83</v>
      </c>
      <c r="R46" s="590">
        <f>Q46*J46</f>
        <v>0</v>
      </c>
      <c r="S46" s="590">
        <f>IF(J46=0,0,(O46*R46))</f>
        <v>0</v>
      </c>
      <c r="T46" s="590" t="e">
        <f>IF('BASE DE DATOS'!GX18="A",'Materiales Personalizados'!BA43,IF('BASE DE DATOS'!GX18="B",'Materiales Personalizados'!BA44,'Materiales Personalizados'!BA45))</f>
        <v>#N/A</v>
      </c>
      <c r="U46" s="590" t="e">
        <f>T46*J46</f>
        <v>#N/A</v>
      </c>
      <c r="V46" s="590">
        <f>IF(J46=0,0,U46*O46)</f>
        <v>0</v>
      </c>
      <c r="W46" s="581"/>
      <c r="X46" s="580">
        <f>IF(J46&gt;0,1,0)</f>
        <v>0</v>
      </c>
      <c r="AG46" s="148" t="str">
        <f>Y54</f>
        <v>Cocina</v>
      </c>
      <c r="AH46" s="148">
        <v>977</v>
      </c>
      <c r="AI46" s="148">
        <v>472</v>
      </c>
      <c r="AJ46" s="148">
        <f>IF(Z54=1,15,0)</f>
        <v>15</v>
      </c>
    </row>
    <row r="47" spans="2:50" ht="15" customHeight="1">
      <c r="B47" s="581" t="s">
        <v>229</v>
      </c>
      <c r="C47" s="1359"/>
      <c r="D47" s="1359"/>
      <c r="E47" s="1359"/>
      <c r="F47" s="1359"/>
      <c r="G47" s="1359"/>
      <c r="H47" s="176" t="str">
        <f t="shared" ref="H47:H48" si="4">IF(J47=0,"-","Nivel B")</f>
        <v>-</v>
      </c>
      <c r="I47" s="176" t="str">
        <f t="shared" ref="I47:I48" si="5">IF(J47=0,"-","Nivel B")</f>
        <v>-</v>
      </c>
      <c r="J47" s="589">
        <f>ENERGÍA!L51</f>
        <v>0</v>
      </c>
      <c r="K47" s="589">
        <f>ENERGÍA!M51</f>
        <v>0</v>
      </c>
      <c r="L47" s="589"/>
      <c r="O47" s="176">
        <f>IF(J47=0,0,VLOOKUP(K47,adyacentem,2,FALSE))</f>
        <v>0</v>
      </c>
      <c r="P47" s="590">
        <f>P46</f>
        <v>0.6</v>
      </c>
      <c r="Q47" s="176">
        <f>Q46</f>
        <v>0.83</v>
      </c>
      <c r="R47" s="590">
        <f>Q47*J47</f>
        <v>0</v>
      </c>
      <c r="S47" s="590">
        <f t="shared" ref="S47:S48" si="6">IF(J47=0,0,(O47*R47))</f>
        <v>0</v>
      </c>
      <c r="T47" s="590" t="e">
        <f>T46</f>
        <v>#N/A</v>
      </c>
      <c r="U47" s="590" t="e">
        <f>T47*J47</f>
        <v>#N/A</v>
      </c>
      <c r="V47" s="590">
        <f t="shared" ref="V47:V48" si="7">IF(J47=0,0,U47*O47)</f>
        <v>0</v>
      </c>
      <c r="W47" s="581"/>
      <c r="X47" s="580">
        <f t="shared" ref="X47:X90" si="8">IF(J47&gt;0,1,0)</f>
        <v>0</v>
      </c>
      <c r="Y47" s="1350" t="s">
        <v>1000</v>
      </c>
      <c r="Z47" s="1350"/>
      <c r="AA47" s="1350"/>
      <c r="AB47" s="1350"/>
      <c r="AC47" s="1350"/>
      <c r="AD47" s="588" t="s">
        <v>999</v>
      </c>
      <c r="AE47" s="175">
        <f>AE66+AD60+AE52+Z60</f>
        <v>366.75</v>
      </c>
      <c r="AG47" s="148" t="str">
        <f>Y56</f>
        <v>Lavarropa</v>
      </c>
      <c r="AH47" s="148">
        <v>300</v>
      </c>
      <c r="AI47" s="148">
        <v>0</v>
      </c>
      <c r="AJ47" s="148">
        <f>IF(Z56=1,9,0)</f>
        <v>9</v>
      </c>
    </row>
    <row r="48" spans="2:50" ht="15" customHeight="1">
      <c r="B48" s="581" t="s">
        <v>631</v>
      </c>
      <c r="C48" s="1342"/>
      <c r="D48" s="1340"/>
      <c r="E48" s="1340"/>
      <c r="F48" s="1340"/>
      <c r="G48" s="1340"/>
      <c r="H48" s="176" t="str">
        <f t="shared" si="4"/>
        <v>-</v>
      </c>
      <c r="I48" s="176" t="str">
        <f t="shared" si="5"/>
        <v>-</v>
      </c>
      <c r="J48" s="589">
        <f>ENERGÍA!L52</f>
        <v>0</v>
      </c>
      <c r="K48" s="589">
        <f>ENERGÍA!M52</f>
        <v>0</v>
      </c>
      <c r="L48" s="589"/>
      <c r="O48" s="176">
        <f>IF(J48=0,0,VLOOKUP(K48,adyacentem,2,FALSE))</f>
        <v>0</v>
      </c>
      <c r="P48" s="590">
        <f>P47</f>
        <v>0.6</v>
      </c>
      <c r="Q48" s="176">
        <f>Q47</f>
        <v>0.83</v>
      </c>
      <c r="R48" s="590">
        <f>Q48*J48</f>
        <v>0</v>
      </c>
      <c r="S48" s="590">
        <f t="shared" si="6"/>
        <v>0</v>
      </c>
      <c r="T48" s="590" t="e">
        <f>T47</f>
        <v>#N/A</v>
      </c>
      <c r="U48" s="590" t="e">
        <f>T48*J48</f>
        <v>#N/A</v>
      </c>
      <c r="V48" s="590">
        <f t="shared" si="7"/>
        <v>0</v>
      </c>
      <c r="W48" s="581"/>
      <c r="X48" s="580">
        <f t="shared" si="8"/>
        <v>0</v>
      </c>
      <c r="Y48" s="1350" t="s">
        <v>994</v>
      </c>
      <c r="Z48" s="1350"/>
      <c r="AA48" s="1350"/>
      <c r="AB48" s="1350"/>
      <c r="AC48" s="1350"/>
      <c r="AD48" s="1350"/>
      <c r="AE48" s="1350"/>
      <c r="AG48" s="148" t="str">
        <f>Y57</f>
        <v>Heladera</v>
      </c>
      <c r="AH48" s="148">
        <v>310</v>
      </c>
      <c r="AI48" s="148">
        <v>0</v>
      </c>
      <c r="AJ48" s="148">
        <f>IF(Z57=1,45,0)</f>
        <v>45</v>
      </c>
    </row>
    <row r="49" spans="2:49" ht="6" customHeight="1">
      <c r="O49" s="148"/>
      <c r="P49" s="581"/>
      <c r="Q49" s="126"/>
      <c r="R49" s="126"/>
      <c r="V49" s="126"/>
      <c r="X49" s="580">
        <f t="shared" si="8"/>
        <v>0</v>
      </c>
      <c r="AG49" s="148"/>
      <c r="AH49" s="148"/>
      <c r="AI49" s="148"/>
      <c r="AJ49" s="148"/>
    </row>
    <row r="50" spans="2:49" ht="15" customHeight="1">
      <c r="B50" s="1320" t="s">
        <v>219</v>
      </c>
      <c r="C50" s="1321"/>
      <c r="D50" s="1321"/>
      <c r="E50" s="1321"/>
      <c r="F50" s="1321"/>
      <c r="G50" s="1321"/>
      <c r="H50" s="1321"/>
      <c r="I50" s="1321"/>
      <c r="J50" s="1321"/>
      <c r="K50" s="1321"/>
      <c r="L50" s="1322"/>
      <c r="O50" s="1320" t="s">
        <v>219</v>
      </c>
      <c r="P50" s="1321"/>
      <c r="Q50" s="1321"/>
      <c r="R50" s="1321"/>
      <c r="S50" s="1321"/>
      <c r="T50" s="1321"/>
      <c r="U50" s="1321"/>
      <c r="V50" s="1321"/>
      <c r="W50" s="1322"/>
      <c r="X50" s="580">
        <f t="shared" si="8"/>
        <v>0</v>
      </c>
      <c r="Y50" s="148"/>
      <c r="Z50" s="148" t="s">
        <v>995</v>
      </c>
      <c r="AA50" s="148" t="s">
        <v>996</v>
      </c>
      <c r="AB50" s="148" t="s">
        <v>997</v>
      </c>
      <c r="AC50" s="148" t="s">
        <v>998</v>
      </c>
      <c r="AD50" s="148" t="s">
        <v>898</v>
      </c>
      <c r="AE50" s="591" t="s">
        <v>1023</v>
      </c>
      <c r="AJ50" s="148">
        <f>SUM(AJ44:AJ49)</f>
        <v>69</v>
      </c>
    </row>
    <row r="51" spans="2:49" ht="6" customHeight="1">
      <c r="D51" s="126"/>
      <c r="E51" s="126"/>
      <c r="K51" s="126"/>
      <c r="L51" s="126"/>
      <c r="O51" s="148"/>
      <c r="Q51" s="126"/>
      <c r="R51" s="126"/>
      <c r="V51" s="126"/>
      <c r="X51" s="580">
        <f t="shared" si="8"/>
        <v>0</v>
      </c>
      <c r="AG51" s="148"/>
      <c r="AH51" s="148"/>
      <c r="AI51" s="148"/>
      <c r="AJ51" s="148"/>
    </row>
    <row r="52" spans="2:49" ht="15" customHeight="1">
      <c r="B52" s="1323">
        <f>C35</f>
        <v>0</v>
      </c>
      <c r="C52" s="1323"/>
      <c r="D52" s="1323"/>
      <c r="E52" s="1323"/>
      <c r="F52" s="1323"/>
      <c r="G52" s="1323"/>
      <c r="H52" s="1323"/>
      <c r="I52" s="1323"/>
      <c r="J52" s="1323"/>
      <c r="K52" s="1323"/>
      <c r="L52" s="1323"/>
      <c r="O52" s="1320">
        <f>B52</f>
        <v>0</v>
      </c>
      <c r="P52" s="1321"/>
      <c r="Q52" s="1321"/>
      <c r="R52" s="1321"/>
      <c r="S52" s="1321"/>
      <c r="T52" s="1321"/>
      <c r="U52" s="1321"/>
      <c r="V52" s="1321"/>
      <c r="W52" s="1322"/>
      <c r="X52" s="580">
        <f t="shared" si="8"/>
        <v>0</v>
      </c>
      <c r="Y52" s="148" t="s">
        <v>618</v>
      </c>
      <c r="Z52" s="148">
        <f>ENERGÍA!AA56</f>
        <v>0</v>
      </c>
      <c r="AA52" s="148">
        <f>ENERGÍA!AB56</f>
        <v>933</v>
      </c>
      <c r="AB52" s="148">
        <f>ENERGÍA!AC56</f>
        <v>25</v>
      </c>
      <c r="AC52" s="148">
        <f>AA52*AB52/100</f>
        <v>233.25</v>
      </c>
      <c r="AD52" s="148">
        <f>AC52*Z52</f>
        <v>0</v>
      </c>
      <c r="AE52" s="1282">
        <f>SUM(AD52:AD57)</f>
        <v>366.75</v>
      </c>
      <c r="AG52" s="580" t="s">
        <v>1522</v>
      </c>
      <c r="AH52" s="590">
        <f>SUM(G35:J38)</f>
        <v>0</v>
      </c>
      <c r="AI52" s="590">
        <f>SUM(W56:W90)</f>
        <v>0</v>
      </c>
      <c r="AJ52" s="580">
        <f>IF(AH52=AI52,0,((AI52*100)/AH52)/1000)</f>
        <v>0</v>
      </c>
    </row>
    <row r="53" spans="2:49" ht="6" customHeight="1">
      <c r="B53" s="584"/>
      <c r="C53" s="584"/>
      <c r="D53" s="584"/>
      <c r="E53" s="126"/>
      <c r="L53" s="126"/>
      <c r="O53" s="148"/>
      <c r="P53" s="581"/>
      <c r="Q53" s="126"/>
      <c r="R53" s="126"/>
      <c r="V53" s="126"/>
      <c r="X53" s="580">
        <f t="shared" si="8"/>
        <v>0</v>
      </c>
      <c r="AE53" s="1282"/>
    </row>
    <row r="54" spans="2:49" ht="15" customHeight="1">
      <c r="B54" s="1360"/>
      <c r="C54" s="1363" t="s">
        <v>222</v>
      </c>
      <c r="D54" s="1364"/>
      <c r="E54" s="1364"/>
      <c r="F54" s="1364"/>
      <c r="G54" s="1365"/>
      <c r="H54" s="1357" t="s">
        <v>1788</v>
      </c>
      <c r="I54" s="1358"/>
      <c r="J54" s="1360" t="s">
        <v>594</v>
      </c>
      <c r="K54" s="1360" t="s">
        <v>1356</v>
      </c>
      <c r="L54" s="1275" t="s">
        <v>644</v>
      </c>
      <c r="O54" s="1360" t="s">
        <v>1354</v>
      </c>
      <c r="P54" s="1360" t="s">
        <v>729</v>
      </c>
      <c r="Q54" s="1360" t="s">
        <v>849</v>
      </c>
      <c r="R54" s="1360" t="s">
        <v>850</v>
      </c>
      <c r="S54" s="1360" t="s">
        <v>1357</v>
      </c>
      <c r="T54" s="1360" t="s">
        <v>851</v>
      </c>
      <c r="U54" s="1360" t="s">
        <v>891</v>
      </c>
      <c r="V54" s="1360" t="s">
        <v>1359</v>
      </c>
      <c r="W54" s="1360" t="s">
        <v>1358</v>
      </c>
      <c r="X54" s="580">
        <f t="shared" si="8"/>
        <v>1</v>
      </c>
      <c r="Y54" s="148" t="s">
        <v>572</v>
      </c>
      <c r="Z54" s="148">
        <f>ENERGÍA!AA58</f>
        <v>1</v>
      </c>
      <c r="AA54" s="148">
        <f>ENERGÍA!AB58</f>
        <v>977</v>
      </c>
      <c r="AB54" s="148">
        <f>ENERGÍA!AC58</f>
        <v>25</v>
      </c>
      <c r="AC54" s="148">
        <f>AA54*AB54/100</f>
        <v>244.25</v>
      </c>
      <c r="AD54" s="148">
        <f>AC54*Z54</f>
        <v>244.25</v>
      </c>
      <c r="AE54" s="1282"/>
      <c r="AG54" s="580" t="s">
        <v>1523</v>
      </c>
      <c r="AH54" s="1320" t="e">
        <f>(AVERAGEIF(X46:X90,1,P46:P90))/5</f>
        <v>#DIV/0!</v>
      </c>
      <c r="AI54" s="1321"/>
      <c r="AJ54" s="1322"/>
    </row>
    <row r="55" spans="2:49" ht="15" customHeight="1">
      <c r="B55" s="1361"/>
      <c r="C55" s="1366"/>
      <c r="D55" s="1367"/>
      <c r="E55" s="1367"/>
      <c r="F55" s="1367"/>
      <c r="G55" s="1368"/>
      <c r="H55" s="1357" t="s">
        <v>731</v>
      </c>
      <c r="I55" s="1358"/>
      <c r="J55" s="1361"/>
      <c r="K55" s="1361"/>
      <c r="L55" s="1277"/>
      <c r="O55" s="1361"/>
      <c r="P55" s="1361"/>
      <c r="Q55" s="1361"/>
      <c r="R55" s="1361"/>
      <c r="S55" s="1361"/>
      <c r="T55" s="1361"/>
      <c r="U55" s="1361"/>
      <c r="V55" s="1361"/>
      <c r="W55" s="1361"/>
      <c r="X55" s="580">
        <f t="shared" si="8"/>
        <v>0</v>
      </c>
      <c r="Y55" s="580"/>
      <c r="Z55" s="580"/>
      <c r="AA55" s="580"/>
      <c r="AB55" s="580"/>
      <c r="AC55" s="580"/>
      <c r="AD55" s="580"/>
      <c r="AE55" s="1282"/>
      <c r="AG55" s="580"/>
      <c r="AH55" s="592"/>
      <c r="AI55" s="593"/>
      <c r="AJ55" s="594"/>
    </row>
    <row r="56" spans="2:49" ht="15" customHeight="1">
      <c r="B56" s="581" t="s">
        <v>223</v>
      </c>
      <c r="C56" s="1359"/>
      <c r="D56" s="1359"/>
      <c r="E56" s="1359"/>
      <c r="F56" s="1359"/>
      <c r="G56" s="1359"/>
      <c r="H56" s="1274" t="str">
        <f>IF(J56=0,"-","Nivel B")</f>
        <v>-</v>
      </c>
      <c r="I56" s="1274"/>
      <c r="J56" s="589">
        <f>ENERGÍA!L60</f>
        <v>0</v>
      </c>
      <c r="K56" s="589">
        <f>ENERGÍA!M60</f>
        <v>0</v>
      </c>
      <c r="L56" s="589"/>
      <c r="O56" s="176">
        <f>IF(J56=0,0,VLOOKUP(K56,adyacentem,2,FALSE))</f>
        <v>0</v>
      </c>
      <c r="P56" s="590">
        <f>VLOOKUP('BASE DE DATOS'!GY19,COLORESEXT,2,FALSE)</f>
        <v>0.6</v>
      </c>
      <c r="Q56" s="176">
        <f>IF('BASE DE DATOS'!GX19="A",'Materiales Personalizados'!AV37,IF('BASE DE DATOS'!GX19="B",'Materiales Personalizados'!AV38,'Materiales Personalizados'!$AV$39))</f>
        <v>1</v>
      </c>
      <c r="R56" s="590">
        <f>Q56*J56</f>
        <v>0</v>
      </c>
      <c r="S56" s="590">
        <f>IF(J56=0,0,(O56*R56))</f>
        <v>0</v>
      </c>
      <c r="T56" s="590">
        <f>Q56</f>
        <v>1</v>
      </c>
      <c r="U56" s="590">
        <f>T56*J56</f>
        <v>0</v>
      </c>
      <c r="V56" s="590">
        <f>IF(J56=0,0,(O56*U56))</f>
        <v>0</v>
      </c>
      <c r="W56" s="590">
        <f>IF(K56=BASE!$DA$7,J56,0)</f>
        <v>0</v>
      </c>
      <c r="X56" s="580">
        <f t="shared" si="8"/>
        <v>0</v>
      </c>
      <c r="Y56" s="148" t="s">
        <v>620</v>
      </c>
      <c r="Z56" s="148">
        <f>ENERGÍA!AA60</f>
        <v>1</v>
      </c>
      <c r="AA56" s="148">
        <f>ENERGÍA!AB60</f>
        <v>300</v>
      </c>
      <c r="AB56" s="148">
        <f>ENERGÍA!AC60</f>
        <v>15</v>
      </c>
      <c r="AC56" s="148">
        <f>AA56*AB56/100</f>
        <v>45</v>
      </c>
      <c r="AD56" s="148">
        <f>AC56*Z56</f>
        <v>45</v>
      </c>
      <c r="AE56" s="1282"/>
    </row>
    <row r="57" spans="2:49" ht="15" customHeight="1">
      <c r="B57" s="581" t="s">
        <v>224</v>
      </c>
      <c r="C57" s="1359"/>
      <c r="D57" s="1359"/>
      <c r="E57" s="1359"/>
      <c r="F57" s="1359"/>
      <c r="G57" s="1359"/>
      <c r="H57" s="1274" t="str">
        <f t="shared" ref="H57:H60" si="9">IF(J57=0,"-","Nivel B")</f>
        <v>-</v>
      </c>
      <c r="I57" s="1274"/>
      <c r="J57" s="589">
        <f>ENERGÍA!L61</f>
        <v>0</v>
      </c>
      <c r="K57" s="589">
        <f>ENERGÍA!M61</f>
        <v>0</v>
      </c>
      <c r="L57" s="589"/>
      <c r="O57" s="176">
        <f>IF(J57=0,0,VLOOKUP(K57,adyacentem,2,FALSE))</f>
        <v>0</v>
      </c>
      <c r="P57" s="590">
        <f>P56</f>
        <v>0.6</v>
      </c>
      <c r="Q57" s="176">
        <f>Q56</f>
        <v>1</v>
      </c>
      <c r="R57" s="590">
        <f>Q57*J57</f>
        <v>0</v>
      </c>
      <c r="S57" s="590">
        <f t="shared" ref="S57:S60" si="10">IF(J57=0,0,(O57*R57))</f>
        <v>0</v>
      </c>
      <c r="T57" s="590">
        <f>Q57</f>
        <v>1</v>
      </c>
      <c r="U57" s="590">
        <f>T57*J57</f>
        <v>0</v>
      </c>
      <c r="V57" s="590">
        <f t="shared" ref="V57:V60" si="11">IF(J57=0,0,(O57*U57))</f>
        <v>0</v>
      </c>
      <c r="W57" s="590">
        <f>IF(K57=BASE!$DA$7,J57,0)</f>
        <v>0</v>
      </c>
      <c r="X57" s="580">
        <f t="shared" si="8"/>
        <v>0</v>
      </c>
      <c r="Y57" s="148" t="s">
        <v>619</v>
      </c>
      <c r="Z57" s="148">
        <f>ENERGÍA!AA61</f>
        <v>1</v>
      </c>
      <c r="AA57" s="148">
        <f>ENERGÍA!AB61</f>
        <v>310</v>
      </c>
      <c r="AB57" s="148">
        <f>ENERGÍA!AC61</f>
        <v>25</v>
      </c>
      <c r="AC57" s="148">
        <f>AA57*AB57/100</f>
        <v>77.5</v>
      </c>
      <c r="AD57" s="148">
        <f>AC57*Z57</f>
        <v>77.5</v>
      </c>
      <c r="AE57" s="1282"/>
    </row>
    <row r="58" spans="2:49" ht="15" customHeight="1">
      <c r="B58" s="581" t="s">
        <v>1516</v>
      </c>
      <c r="C58" s="1342"/>
      <c r="D58" s="1340"/>
      <c r="E58" s="1340"/>
      <c r="F58" s="1340"/>
      <c r="G58" s="1340"/>
      <c r="H58" s="1274" t="str">
        <f t="shared" si="9"/>
        <v>-</v>
      </c>
      <c r="I58" s="1274"/>
      <c r="J58" s="589">
        <f>ENERGÍA!L62</f>
        <v>0</v>
      </c>
      <c r="K58" s="589">
        <f>ENERGÍA!M62</f>
        <v>0</v>
      </c>
      <c r="L58" s="589"/>
      <c r="O58" s="176">
        <f>IF(J58=0,0,VLOOKUP(K58,adyacentem,2,FALSE))</f>
        <v>0</v>
      </c>
      <c r="P58" s="590">
        <f t="shared" ref="P58:P60" si="12">P57</f>
        <v>0.6</v>
      </c>
      <c r="Q58" s="176">
        <f t="shared" ref="Q58:Q60" si="13">Q57</f>
        <v>1</v>
      </c>
      <c r="R58" s="590">
        <f>Q58*J58</f>
        <v>0</v>
      </c>
      <c r="S58" s="590">
        <f t="shared" si="10"/>
        <v>0</v>
      </c>
      <c r="T58" s="590">
        <f>Q58</f>
        <v>1</v>
      </c>
      <c r="U58" s="590">
        <f>T58*J58</f>
        <v>0</v>
      </c>
      <c r="V58" s="590">
        <f t="shared" si="11"/>
        <v>0</v>
      </c>
      <c r="W58" s="590">
        <f>IF(K58=BASE!$DA$7,J58,0)</f>
        <v>0</v>
      </c>
      <c r="X58" s="580">
        <f t="shared" si="8"/>
        <v>0</v>
      </c>
      <c r="Y58" s="581"/>
    </row>
    <row r="59" spans="2:49" ht="15" customHeight="1">
      <c r="B59" s="581" t="s">
        <v>632</v>
      </c>
      <c r="C59" s="1342"/>
      <c r="D59" s="1340"/>
      <c r="E59" s="1340"/>
      <c r="F59" s="1340"/>
      <c r="G59" s="1340"/>
      <c r="H59" s="1274" t="str">
        <f t="shared" si="9"/>
        <v>-</v>
      </c>
      <c r="I59" s="1274"/>
      <c r="J59" s="589">
        <f>ENERGÍA!L63</f>
        <v>0</v>
      </c>
      <c r="K59" s="589">
        <f>ENERGÍA!M63</f>
        <v>0</v>
      </c>
      <c r="L59" s="589"/>
      <c r="O59" s="176">
        <f>IF(J59=0,0,VLOOKUP(K59,adyacentem,2,FALSE))</f>
        <v>0</v>
      </c>
      <c r="P59" s="590">
        <f t="shared" si="12"/>
        <v>0.6</v>
      </c>
      <c r="Q59" s="176">
        <f t="shared" si="13"/>
        <v>1</v>
      </c>
      <c r="R59" s="590">
        <f>Q59*J59</f>
        <v>0</v>
      </c>
      <c r="S59" s="590">
        <f t="shared" si="10"/>
        <v>0</v>
      </c>
      <c r="T59" s="590">
        <f>Q59</f>
        <v>1</v>
      </c>
      <c r="U59" s="590">
        <f>T59*J59</f>
        <v>0</v>
      </c>
      <c r="V59" s="590">
        <f t="shared" si="11"/>
        <v>0</v>
      </c>
      <c r="W59" s="590">
        <f>IF(K59=BASE!$DA$7,J59,0)</f>
        <v>0</v>
      </c>
      <c r="X59" s="580">
        <f t="shared" si="8"/>
        <v>0</v>
      </c>
      <c r="Y59" s="1377" t="s">
        <v>601</v>
      </c>
      <c r="Z59" s="1377"/>
      <c r="AA59" s="581"/>
      <c r="AB59" s="581"/>
      <c r="AC59" s="1377" t="s">
        <v>602</v>
      </c>
      <c r="AD59" s="1377"/>
      <c r="AE59" s="581"/>
      <c r="AG59" s="1378" t="s">
        <v>1054</v>
      </c>
      <c r="AH59" s="1378"/>
      <c r="AI59" s="1378"/>
      <c r="AJ59" s="1378"/>
      <c r="AK59" s="1378"/>
      <c r="AL59" s="1378"/>
      <c r="AM59" s="1378"/>
      <c r="AN59" s="1378"/>
      <c r="AO59" s="1378"/>
      <c r="AP59" s="1378"/>
      <c r="AQ59" s="1378"/>
      <c r="AR59" s="1378"/>
      <c r="AS59" s="1378"/>
      <c r="AV59" s="595" t="s">
        <v>888</v>
      </c>
      <c r="AW59" s="166">
        <v>18</v>
      </c>
    </row>
    <row r="60" spans="2:49" ht="15" customHeight="1">
      <c r="B60" s="581" t="s">
        <v>631</v>
      </c>
      <c r="C60" s="1342"/>
      <c r="D60" s="1340"/>
      <c r="E60" s="1340"/>
      <c r="F60" s="1340"/>
      <c r="G60" s="1340"/>
      <c r="H60" s="1274" t="str">
        <f t="shared" si="9"/>
        <v>-</v>
      </c>
      <c r="I60" s="1274"/>
      <c r="J60" s="589">
        <f>ENERGÍA!L64</f>
        <v>0</v>
      </c>
      <c r="K60" s="589">
        <f>ENERGÍA!M64</f>
        <v>0</v>
      </c>
      <c r="L60" s="589"/>
      <c r="O60" s="176">
        <f>IF(J60=0,0,VLOOKUP(K60,adyacentem,2,FALSE))</f>
        <v>0</v>
      </c>
      <c r="P60" s="590">
        <f t="shared" si="12"/>
        <v>0.6</v>
      </c>
      <c r="Q60" s="176">
        <f t="shared" si="13"/>
        <v>1</v>
      </c>
      <c r="R60" s="590">
        <f>Q60*J60</f>
        <v>0</v>
      </c>
      <c r="S60" s="590">
        <f t="shared" si="10"/>
        <v>0</v>
      </c>
      <c r="T60" s="590">
        <f>Q60</f>
        <v>1</v>
      </c>
      <c r="U60" s="590">
        <f>T60*J60</f>
        <v>0</v>
      </c>
      <c r="V60" s="590">
        <f t="shared" si="11"/>
        <v>0</v>
      </c>
      <c r="W60" s="590">
        <f>IF(K60=BASE!$DA$7,J60,0)</f>
        <v>0</v>
      </c>
      <c r="X60" s="580">
        <f t="shared" si="8"/>
        <v>0</v>
      </c>
      <c r="Y60" s="588" t="s">
        <v>1023</v>
      </c>
      <c r="Z60" s="175">
        <f>(AB175*365)*0.55</f>
        <v>0</v>
      </c>
      <c r="AA60" s="581"/>
      <c r="AB60" s="581"/>
      <c r="AC60" s="588" t="s">
        <v>1023</v>
      </c>
      <c r="AD60" s="175">
        <f>ENERGÍA!AE64</f>
        <v>0</v>
      </c>
      <c r="AE60" s="581"/>
      <c r="AG60" s="580" t="s">
        <v>848</v>
      </c>
      <c r="AH60" s="596" t="s">
        <v>823</v>
      </c>
      <c r="AI60" s="596" t="s">
        <v>824</v>
      </c>
      <c r="AJ60" s="596" t="s">
        <v>825</v>
      </c>
      <c r="AK60" s="226" t="s">
        <v>826</v>
      </c>
      <c r="AL60" s="226" t="s">
        <v>827</v>
      </c>
      <c r="AM60" s="226" t="s">
        <v>828</v>
      </c>
      <c r="AN60" s="226" t="s">
        <v>829</v>
      </c>
      <c r="AO60" s="226" t="s">
        <v>830</v>
      </c>
      <c r="AP60" s="226" t="s">
        <v>831</v>
      </c>
      <c r="AQ60" s="226" t="s">
        <v>832</v>
      </c>
      <c r="AR60" s="226" t="s">
        <v>833</v>
      </c>
      <c r="AS60" s="226" t="s">
        <v>834</v>
      </c>
      <c r="AV60" s="595" t="s">
        <v>889</v>
      </c>
      <c r="AW60" s="166">
        <v>24</v>
      </c>
    </row>
    <row r="61" spans="2:49" ht="6" customHeight="1">
      <c r="L61" s="126"/>
      <c r="O61" s="148"/>
      <c r="P61" s="581"/>
      <c r="Q61" s="597"/>
      <c r="R61" s="597"/>
      <c r="S61" s="597"/>
      <c r="X61" s="580">
        <f t="shared" si="8"/>
        <v>0</v>
      </c>
      <c r="Y61" s="581"/>
      <c r="Z61" s="581"/>
      <c r="AA61" s="581"/>
      <c r="AB61" s="581"/>
      <c r="AC61" s="581"/>
      <c r="AD61" s="581"/>
      <c r="AE61" s="581"/>
    </row>
    <row r="62" spans="2:49" ht="15" customHeight="1">
      <c r="B62" s="1323">
        <f>C36</f>
        <v>0</v>
      </c>
      <c r="C62" s="1323"/>
      <c r="D62" s="1323"/>
      <c r="E62" s="1323"/>
      <c r="F62" s="1323"/>
      <c r="G62" s="1323"/>
      <c r="H62" s="1323"/>
      <c r="I62" s="1323"/>
      <c r="J62" s="1323"/>
      <c r="K62" s="1323"/>
      <c r="L62" s="1323"/>
      <c r="O62" s="1320">
        <f>B62</f>
        <v>0</v>
      </c>
      <c r="P62" s="1321"/>
      <c r="Q62" s="1321"/>
      <c r="R62" s="1321"/>
      <c r="S62" s="1321"/>
      <c r="T62" s="1321"/>
      <c r="U62" s="1321"/>
      <c r="V62" s="1321"/>
      <c r="W62" s="1322"/>
      <c r="X62" s="580">
        <f t="shared" si="8"/>
        <v>0</v>
      </c>
      <c r="Y62" s="581"/>
      <c r="Z62" s="581"/>
      <c r="AA62" s="581"/>
      <c r="AB62" s="581"/>
      <c r="AC62" s="581"/>
      <c r="AD62" s="581"/>
      <c r="AE62" s="581"/>
      <c r="AG62" s="598" t="s">
        <v>1035</v>
      </c>
      <c r="AH62" s="176">
        <f>ENERGÍA!AJ66</f>
        <v>0</v>
      </c>
      <c r="AI62" s="176">
        <f>ENERGÍA!AK66</f>
        <v>0</v>
      </c>
      <c r="AJ62" s="176">
        <f>ENERGÍA!AL66</f>
        <v>0</v>
      </c>
      <c r="AK62" s="176">
        <f>ENERGÍA!AM66</f>
        <v>0</v>
      </c>
      <c r="AL62" s="176">
        <f>ENERGÍA!AN66</f>
        <v>0</v>
      </c>
      <c r="AM62" s="176">
        <f>ENERGÍA!AO66</f>
        <v>0</v>
      </c>
      <c r="AN62" s="176">
        <f>ENERGÍA!AP66</f>
        <v>0</v>
      </c>
      <c r="AO62" s="176">
        <f>ENERGÍA!AQ66</f>
        <v>0</v>
      </c>
      <c r="AP62" s="176">
        <f>ENERGÍA!AR66</f>
        <v>0</v>
      </c>
      <c r="AQ62" s="176">
        <f>ENERGÍA!AS66</f>
        <v>0</v>
      </c>
      <c r="AR62" s="176">
        <f>ENERGÍA!AT66</f>
        <v>0</v>
      </c>
      <c r="AS62" s="176">
        <f>ENERGÍA!AU66</f>
        <v>0</v>
      </c>
      <c r="AV62" s="582" t="s">
        <v>1018</v>
      </c>
      <c r="AW62" s="176">
        <v>50</v>
      </c>
    </row>
    <row r="63" spans="2:49" ht="6" customHeight="1">
      <c r="B63" s="584"/>
      <c r="C63" s="584"/>
      <c r="D63" s="584"/>
      <c r="E63" s="126"/>
      <c r="K63" s="126"/>
      <c r="L63" s="126"/>
      <c r="O63" s="580"/>
      <c r="P63" s="581"/>
      <c r="Q63" s="126"/>
      <c r="R63" s="126"/>
      <c r="V63" s="126"/>
      <c r="X63" s="580">
        <f t="shared" si="8"/>
        <v>0</v>
      </c>
      <c r="AG63" s="597"/>
      <c r="AH63" s="597"/>
      <c r="AI63" s="597"/>
      <c r="AJ63" s="597"/>
      <c r="AK63" s="597"/>
      <c r="AL63" s="597"/>
      <c r="AM63" s="597"/>
      <c r="AN63" s="597"/>
      <c r="AO63" s="597"/>
      <c r="AP63" s="597"/>
      <c r="AQ63" s="597"/>
      <c r="AR63" s="597"/>
      <c r="AS63" s="597"/>
    </row>
    <row r="64" spans="2:49" ht="15" customHeight="1">
      <c r="B64" s="1360"/>
      <c r="C64" s="1363" t="s">
        <v>222</v>
      </c>
      <c r="D64" s="1364"/>
      <c r="E64" s="1364"/>
      <c r="F64" s="1364"/>
      <c r="G64" s="1365"/>
      <c r="H64" s="1357" t="s">
        <v>1788</v>
      </c>
      <c r="I64" s="1358"/>
      <c r="J64" s="1360" t="s">
        <v>594</v>
      </c>
      <c r="K64" s="1360" t="s">
        <v>1356</v>
      </c>
      <c r="L64" s="1275" t="s">
        <v>644</v>
      </c>
      <c r="O64" s="1360" t="s">
        <v>1354</v>
      </c>
      <c r="P64" s="1360" t="s">
        <v>729</v>
      </c>
      <c r="Q64" s="1360" t="s">
        <v>849</v>
      </c>
      <c r="R64" s="1360" t="s">
        <v>850</v>
      </c>
      <c r="S64" s="1360" t="s">
        <v>1357</v>
      </c>
      <c r="T64" s="1360" t="s">
        <v>851</v>
      </c>
      <c r="U64" s="1360" t="s">
        <v>891</v>
      </c>
      <c r="V64" s="1360" t="s">
        <v>1359</v>
      </c>
      <c r="W64" s="1360" t="s">
        <v>1358</v>
      </c>
      <c r="X64" s="580">
        <f t="shared" si="8"/>
        <v>1</v>
      </c>
      <c r="Y64" s="1369" t="s">
        <v>992</v>
      </c>
      <c r="Z64" s="1370"/>
      <c r="AA64" s="1370"/>
      <c r="AB64" s="1370"/>
      <c r="AC64" s="1370"/>
      <c r="AD64" s="1371"/>
      <c r="AE64" s="1375" t="s">
        <v>1023</v>
      </c>
      <c r="AG64" s="597"/>
      <c r="AH64" s="176">
        <f>IF(AH62&lt;=$AW$60,0,AH62-$AW$60)</f>
        <v>0</v>
      </c>
      <c r="AI64" s="176">
        <f t="shared" ref="AI64:AS64" si="14">IF(AI62&lt;=$AW$60,0,AI62-$AW$60)</f>
        <v>0</v>
      </c>
      <c r="AJ64" s="176">
        <f t="shared" si="14"/>
        <v>0</v>
      </c>
      <c r="AK64" s="176">
        <f t="shared" si="14"/>
        <v>0</v>
      </c>
      <c r="AL64" s="176">
        <f t="shared" si="14"/>
        <v>0</v>
      </c>
      <c r="AM64" s="176">
        <f t="shared" si="14"/>
        <v>0</v>
      </c>
      <c r="AN64" s="176">
        <f t="shared" si="14"/>
        <v>0</v>
      </c>
      <c r="AO64" s="176">
        <f t="shared" si="14"/>
        <v>0</v>
      </c>
      <c r="AP64" s="176">
        <f t="shared" si="14"/>
        <v>0</v>
      </c>
      <c r="AQ64" s="176">
        <f t="shared" si="14"/>
        <v>0</v>
      </c>
      <c r="AR64" s="176">
        <f t="shared" si="14"/>
        <v>0</v>
      </c>
      <c r="AS64" s="176">
        <f t="shared" si="14"/>
        <v>0</v>
      </c>
      <c r="AV64" s="595" t="s">
        <v>890</v>
      </c>
      <c r="AW64" s="176">
        <f>DATOS!C26*DATOS!G29</f>
        <v>0</v>
      </c>
    </row>
    <row r="65" spans="2:49" ht="15" customHeight="1">
      <c r="B65" s="1361"/>
      <c r="C65" s="1366"/>
      <c r="D65" s="1367"/>
      <c r="E65" s="1367"/>
      <c r="F65" s="1367"/>
      <c r="G65" s="1368"/>
      <c r="H65" s="1357" t="s">
        <v>731</v>
      </c>
      <c r="I65" s="1358"/>
      <c r="J65" s="1361"/>
      <c r="K65" s="1361"/>
      <c r="L65" s="1277"/>
      <c r="O65" s="1361"/>
      <c r="P65" s="1361"/>
      <c r="Q65" s="1361"/>
      <c r="R65" s="1361"/>
      <c r="S65" s="1361"/>
      <c r="T65" s="1361"/>
      <c r="U65" s="1361"/>
      <c r="V65" s="1361"/>
      <c r="W65" s="1361"/>
      <c r="X65" s="580">
        <f t="shared" si="8"/>
        <v>0</v>
      </c>
      <c r="Y65" s="1372"/>
      <c r="Z65" s="1373"/>
      <c r="AA65" s="1373"/>
      <c r="AB65" s="1373"/>
      <c r="AC65" s="1373"/>
      <c r="AD65" s="1374"/>
      <c r="AE65" s="1376"/>
      <c r="AG65" s="597"/>
      <c r="AH65" s="597"/>
      <c r="AI65" s="597"/>
      <c r="AJ65" s="597"/>
      <c r="AK65" s="597"/>
      <c r="AL65" s="597"/>
      <c r="AM65" s="597"/>
      <c r="AN65" s="597"/>
      <c r="AO65" s="597"/>
      <c r="AP65" s="597"/>
      <c r="AQ65" s="597"/>
      <c r="AR65" s="597"/>
      <c r="AS65" s="597"/>
    </row>
    <row r="66" spans="2:49" ht="15" customHeight="1">
      <c r="B66" s="581" t="s">
        <v>223</v>
      </c>
      <c r="C66" s="1359"/>
      <c r="D66" s="1359"/>
      <c r="E66" s="1359"/>
      <c r="F66" s="1359"/>
      <c r="G66" s="1359"/>
      <c r="H66" s="1274" t="str">
        <f>IF(J66=0,"-","Nivel B")</f>
        <v>-</v>
      </c>
      <c r="I66" s="1274"/>
      <c r="J66" s="589">
        <f>ENERGÍA!L70</f>
        <v>0</v>
      </c>
      <c r="K66" s="589">
        <f>ENERGÍA!M70</f>
        <v>0</v>
      </c>
      <c r="L66" s="589"/>
      <c r="O66" s="176">
        <f>IF(J66=0,0,VLOOKUP(K66,adyacentem,2,FALSE))</f>
        <v>0</v>
      </c>
      <c r="P66" s="590">
        <f>P60</f>
        <v>0.6</v>
      </c>
      <c r="Q66" s="176">
        <f>'Materiales Personalizados'!$AV$38</f>
        <v>1</v>
      </c>
      <c r="R66" s="590">
        <f>Q66*J66</f>
        <v>0</v>
      </c>
      <c r="S66" s="590">
        <f>IF(J66=0,0,(O66*R66))</f>
        <v>0</v>
      </c>
      <c r="T66" s="590">
        <f>Q66</f>
        <v>1</v>
      </c>
      <c r="U66" s="590">
        <f>T66*J66</f>
        <v>0</v>
      </c>
      <c r="V66" s="590">
        <f>IF(J66=0,0,(O66*U66))</f>
        <v>0</v>
      </c>
      <c r="W66" s="590">
        <f>IF(K66=BASE!$DA$7,J66,0)</f>
        <v>0</v>
      </c>
      <c r="X66" s="580">
        <f t="shared" si="8"/>
        <v>0</v>
      </c>
      <c r="Y66" s="599" t="s">
        <v>1183</v>
      </c>
      <c r="Z66" s="148">
        <f>DATOS!C29</f>
        <v>0</v>
      </c>
      <c r="AA66" s="599" t="s">
        <v>1120</v>
      </c>
      <c r="AB66" s="1284">
        <f>ENERGÍA!AC70</f>
        <v>47</v>
      </c>
      <c r="AC66" s="1338"/>
      <c r="AD66" s="1285"/>
      <c r="AE66" s="175">
        <f>AB66*Z66</f>
        <v>0</v>
      </c>
      <c r="AG66" s="597"/>
      <c r="AH66" s="176">
        <f t="shared" ref="AH66:AS66" si="15">IF(AH62&lt;=$AW$59,(AH62-$AW$59)*-1,0)</f>
        <v>18</v>
      </c>
      <c r="AI66" s="176">
        <f t="shared" si="15"/>
        <v>18</v>
      </c>
      <c r="AJ66" s="176">
        <f t="shared" si="15"/>
        <v>18</v>
      </c>
      <c r="AK66" s="176">
        <f t="shared" si="15"/>
        <v>18</v>
      </c>
      <c r="AL66" s="176">
        <f t="shared" si="15"/>
        <v>18</v>
      </c>
      <c r="AM66" s="176">
        <f t="shared" si="15"/>
        <v>18</v>
      </c>
      <c r="AN66" s="176">
        <f t="shared" si="15"/>
        <v>18</v>
      </c>
      <c r="AO66" s="176">
        <f t="shared" si="15"/>
        <v>18</v>
      </c>
      <c r="AP66" s="176">
        <f t="shared" si="15"/>
        <v>18</v>
      </c>
      <c r="AQ66" s="176">
        <f t="shared" si="15"/>
        <v>18</v>
      </c>
      <c r="AR66" s="176">
        <f t="shared" si="15"/>
        <v>18</v>
      </c>
      <c r="AS66" s="176">
        <f t="shared" si="15"/>
        <v>18</v>
      </c>
    </row>
    <row r="67" spans="2:49" ht="15" customHeight="1">
      <c r="B67" s="581" t="s">
        <v>224</v>
      </c>
      <c r="C67" s="1359"/>
      <c r="D67" s="1359"/>
      <c r="E67" s="1359"/>
      <c r="F67" s="1359"/>
      <c r="G67" s="1359"/>
      <c r="H67" s="1274" t="str">
        <f t="shared" ref="H67:H70" si="16">IF(J67=0,"-","Nivel B")</f>
        <v>-</v>
      </c>
      <c r="I67" s="1274"/>
      <c r="J67" s="589">
        <f>ENERGÍA!L71</f>
        <v>0</v>
      </c>
      <c r="K67" s="589">
        <f>ENERGÍA!M71</f>
        <v>0</v>
      </c>
      <c r="L67" s="589"/>
      <c r="O67" s="176">
        <f>IF(J67=0,0,VLOOKUP(K67,adyacentem,2,FALSE))</f>
        <v>0</v>
      </c>
      <c r="P67" s="590">
        <f>P66</f>
        <v>0.6</v>
      </c>
      <c r="Q67" s="176">
        <f>Q66</f>
        <v>1</v>
      </c>
      <c r="R67" s="590">
        <f>Q67*J67</f>
        <v>0</v>
      </c>
      <c r="S67" s="590">
        <f t="shared" ref="S67:S70" si="17">IF(J67=0,0,(O67*R67))</f>
        <v>0</v>
      </c>
      <c r="T67" s="590">
        <f>Q67</f>
        <v>1</v>
      </c>
      <c r="U67" s="590">
        <f>T67*J67</f>
        <v>0</v>
      </c>
      <c r="V67" s="590">
        <f t="shared" ref="V67:V70" si="18">IF(J67=0,0,(O67*U67))</f>
        <v>0</v>
      </c>
      <c r="W67" s="590">
        <f>IF(K67=BASE!$DA$7,J67,0)</f>
        <v>0</v>
      </c>
      <c r="X67" s="580">
        <f t="shared" si="8"/>
        <v>0</v>
      </c>
      <c r="AG67" s="598" t="s">
        <v>1028</v>
      </c>
      <c r="AH67" s="176">
        <f>-(AM67-AI67)/4+AI67</f>
        <v>0</v>
      </c>
      <c r="AI67" s="176">
        <f>ENERGÍA!AK71</f>
        <v>0</v>
      </c>
      <c r="AJ67" s="176">
        <f>(AM67-AI67)/4+AI67</f>
        <v>0</v>
      </c>
      <c r="AK67" s="176">
        <f>(AN67-AI67)*2/4+AI67</f>
        <v>0</v>
      </c>
      <c r="AL67" s="176">
        <f>(AO67-AI67)*3/4+AI67</f>
        <v>0</v>
      </c>
      <c r="AM67" s="176">
        <f>ENERGÍA!AO71</f>
        <v>0</v>
      </c>
      <c r="AN67" s="176">
        <f>(AM67-AI67)/4+AM67</f>
        <v>0</v>
      </c>
      <c r="AO67" s="176">
        <f>AM67</f>
        <v>0</v>
      </c>
      <c r="AP67" s="176">
        <f>AL67</f>
        <v>0</v>
      </c>
      <c r="AQ67" s="176">
        <f>AK67</f>
        <v>0</v>
      </c>
      <c r="AR67" s="176">
        <f>AJ67</f>
        <v>0</v>
      </c>
      <c r="AS67" s="176">
        <f>ENERGÍA!AU71</f>
        <v>0</v>
      </c>
      <c r="AV67" s="582" t="s">
        <v>986</v>
      </c>
      <c r="AW67" s="148">
        <f>ENERGÍA!AY71</f>
        <v>1</v>
      </c>
    </row>
    <row r="68" spans="2:49" ht="15" customHeight="1">
      <c r="B68" s="581" t="s">
        <v>1516</v>
      </c>
      <c r="C68" s="1342"/>
      <c r="D68" s="1340"/>
      <c r="E68" s="1340"/>
      <c r="F68" s="1340"/>
      <c r="G68" s="1340"/>
      <c r="H68" s="1274" t="str">
        <f t="shared" si="16"/>
        <v>-</v>
      </c>
      <c r="I68" s="1274"/>
      <c r="J68" s="589">
        <f>ENERGÍA!L72</f>
        <v>0</v>
      </c>
      <c r="K68" s="589">
        <f>ENERGÍA!M72</f>
        <v>0</v>
      </c>
      <c r="L68" s="589"/>
      <c r="O68" s="176">
        <f>IF(J68=0,0,VLOOKUP(K68,adyacentem,2,FALSE))</f>
        <v>0</v>
      </c>
      <c r="P68" s="590">
        <f t="shared" ref="P68:P70" si="19">P67</f>
        <v>0.6</v>
      </c>
      <c r="Q68" s="176">
        <f t="shared" ref="Q68:Q70" si="20">Q67</f>
        <v>1</v>
      </c>
      <c r="R68" s="590">
        <f>Q68*J68</f>
        <v>0</v>
      </c>
      <c r="S68" s="590">
        <f t="shared" si="17"/>
        <v>0</v>
      </c>
      <c r="T68" s="590">
        <f>Q68</f>
        <v>1</v>
      </c>
      <c r="U68" s="590">
        <f>T68*J68</f>
        <v>0</v>
      </c>
      <c r="V68" s="590">
        <f t="shared" si="18"/>
        <v>0</v>
      </c>
      <c r="W68" s="590">
        <f>IF(K68=BASE!$DA$7,J68,0)</f>
        <v>0</v>
      </c>
      <c r="X68" s="580">
        <f t="shared" si="8"/>
        <v>0</v>
      </c>
      <c r="Y68" s="1350" t="s">
        <v>1101</v>
      </c>
      <c r="Z68" s="1350"/>
      <c r="AA68" s="1350"/>
      <c r="AB68" s="1350"/>
      <c r="AC68" s="1350"/>
      <c r="AD68" s="588" t="s">
        <v>999</v>
      </c>
      <c r="AE68" s="175" t="e">
        <f>AE70</f>
        <v>#N/A</v>
      </c>
      <c r="AG68" s="598" t="s">
        <v>1029</v>
      </c>
      <c r="AH68" s="176">
        <f t="shared" ref="AH68:AS68" si="21">(6.108*EXP((17.27*AH62)/(AH62+237.3)))*AH67/100</f>
        <v>0</v>
      </c>
      <c r="AI68" s="176">
        <f t="shared" si="21"/>
        <v>0</v>
      </c>
      <c r="AJ68" s="176">
        <f t="shared" si="21"/>
        <v>0</v>
      </c>
      <c r="AK68" s="176">
        <f t="shared" si="21"/>
        <v>0</v>
      </c>
      <c r="AL68" s="176">
        <f t="shared" si="21"/>
        <v>0</v>
      </c>
      <c r="AM68" s="176">
        <f t="shared" si="21"/>
        <v>0</v>
      </c>
      <c r="AN68" s="176">
        <f t="shared" si="21"/>
        <v>0</v>
      </c>
      <c r="AO68" s="176">
        <f t="shared" si="21"/>
        <v>0</v>
      </c>
      <c r="AP68" s="176">
        <f t="shared" si="21"/>
        <v>0</v>
      </c>
      <c r="AQ68" s="176">
        <f t="shared" si="21"/>
        <v>0</v>
      </c>
      <c r="AR68" s="176">
        <f t="shared" si="21"/>
        <v>0</v>
      </c>
      <c r="AS68" s="176">
        <f t="shared" si="21"/>
        <v>0</v>
      </c>
    </row>
    <row r="69" spans="2:49" ht="15" customHeight="1">
      <c r="B69" s="581" t="s">
        <v>632</v>
      </c>
      <c r="C69" s="1342"/>
      <c r="D69" s="1340"/>
      <c r="E69" s="1340"/>
      <c r="F69" s="1340"/>
      <c r="G69" s="1340"/>
      <c r="H69" s="1274" t="str">
        <f t="shared" si="16"/>
        <v>-</v>
      </c>
      <c r="I69" s="1274"/>
      <c r="J69" s="589">
        <f>ENERGÍA!L73</f>
        <v>0</v>
      </c>
      <c r="K69" s="589">
        <f>ENERGÍA!M73</f>
        <v>0</v>
      </c>
      <c r="L69" s="589"/>
      <c r="O69" s="176">
        <f>IF(J69=0,0,VLOOKUP(K69,adyacentem,2,FALSE))</f>
        <v>0</v>
      </c>
      <c r="P69" s="590">
        <f t="shared" si="19"/>
        <v>0.6</v>
      </c>
      <c r="Q69" s="176">
        <f t="shared" si="20"/>
        <v>1</v>
      </c>
      <c r="R69" s="590">
        <f>Q69*J69</f>
        <v>0</v>
      </c>
      <c r="S69" s="590">
        <f t="shared" si="17"/>
        <v>0</v>
      </c>
      <c r="T69" s="590">
        <f>Q69</f>
        <v>1</v>
      </c>
      <c r="U69" s="590">
        <f>T69*J69</f>
        <v>0</v>
      </c>
      <c r="V69" s="590">
        <f t="shared" si="18"/>
        <v>0</v>
      </c>
      <c r="W69" s="590">
        <f>IF(K69=BASE!$DA$7,J69,0)</f>
        <v>0</v>
      </c>
      <c r="X69" s="580">
        <f t="shared" si="8"/>
        <v>0</v>
      </c>
      <c r="Y69" s="148" t="s">
        <v>589</v>
      </c>
      <c r="Z69" s="148" t="s">
        <v>1011</v>
      </c>
      <c r="AA69" s="148" t="s">
        <v>897</v>
      </c>
      <c r="AB69" s="1273" t="s">
        <v>1017</v>
      </c>
      <c r="AC69" s="1273"/>
      <c r="AD69" s="148" t="s">
        <v>898</v>
      </c>
      <c r="AE69" s="226" t="s">
        <v>1023</v>
      </c>
      <c r="AG69" s="598" t="s">
        <v>1030</v>
      </c>
      <c r="AH69" s="176">
        <f>622*AH68/('Modelo de Radiación Solar'!$BM$11-0.37804*AH68)</f>
        <v>0</v>
      </c>
      <c r="AI69" s="176">
        <f>622*AI68/('Modelo de Radiación Solar'!$BM$11-0.37804*AI68)</f>
        <v>0</v>
      </c>
      <c r="AJ69" s="176">
        <f>622*AJ68/('Modelo de Radiación Solar'!$BM$11-0.37804*AJ68)</f>
        <v>0</v>
      </c>
      <c r="AK69" s="176">
        <f>622*AK68/('Modelo de Radiación Solar'!$BM$11-0.37804*AK68)</f>
        <v>0</v>
      </c>
      <c r="AL69" s="176">
        <f>622*AL68/('Modelo de Radiación Solar'!$BM$11-0.37804*AL68)</f>
        <v>0</v>
      </c>
      <c r="AM69" s="176">
        <f>622*AM68/('Modelo de Radiación Solar'!$BM$11-0.37804*AM68)</f>
        <v>0</v>
      </c>
      <c r="AN69" s="176">
        <f>622*AN68/('Modelo de Radiación Solar'!$BM$11-0.37804*AN68)</f>
        <v>0</v>
      </c>
      <c r="AO69" s="176">
        <f>622*AO68/('Modelo de Radiación Solar'!$BM$11-0.37804*AO68)</f>
        <v>0</v>
      </c>
      <c r="AP69" s="176">
        <f>622*AP68/('Modelo de Radiación Solar'!$BM$11-0.37804*AP68)</f>
        <v>0</v>
      </c>
      <c r="AQ69" s="176">
        <f>622*AQ68/('Modelo de Radiación Solar'!$BM$11-0.37804*AQ68)</f>
        <v>0</v>
      </c>
      <c r="AR69" s="176">
        <f>622*AR68/('Modelo de Radiación Solar'!$BM$11-0.37804*AR68)</f>
        <v>0</v>
      </c>
      <c r="AS69" s="176">
        <f>622*AS68/('Modelo de Radiación Solar'!$BM$11-0.37804*AS68)</f>
        <v>0</v>
      </c>
      <c r="AV69" s="582" t="s">
        <v>1013</v>
      </c>
      <c r="AW69" s="148">
        <f>ENERGÍA!AY73</f>
        <v>0</v>
      </c>
    </row>
    <row r="70" spans="2:49" ht="15" customHeight="1">
      <c r="B70" s="581" t="s">
        <v>631</v>
      </c>
      <c r="C70" s="1342"/>
      <c r="D70" s="1340"/>
      <c r="E70" s="1340"/>
      <c r="F70" s="1340"/>
      <c r="G70" s="1340"/>
      <c r="H70" s="1274" t="str">
        <f t="shared" si="16"/>
        <v>-</v>
      </c>
      <c r="I70" s="1274"/>
      <c r="J70" s="589">
        <f>ENERGÍA!L74</f>
        <v>0</v>
      </c>
      <c r="K70" s="589">
        <f>ENERGÍA!M74</f>
        <v>0</v>
      </c>
      <c r="L70" s="589"/>
      <c r="M70" s="126" t="s">
        <v>1786</v>
      </c>
      <c r="O70" s="176">
        <f>IF(J70=0,0,VLOOKUP(K70,adyacentem,2,FALSE))</f>
        <v>0</v>
      </c>
      <c r="P70" s="590">
        <f t="shared" si="19"/>
        <v>0.6</v>
      </c>
      <c r="Q70" s="176">
        <f t="shared" si="20"/>
        <v>1</v>
      </c>
      <c r="R70" s="590">
        <f>Q70*J70</f>
        <v>0</v>
      </c>
      <c r="S70" s="590">
        <f t="shared" si="17"/>
        <v>0</v>
      </c>
      <c r="T70" s="590">
        <f>Q70</f>
        <v>1</v>
      </c>
      <c r="U70" s="590">
        <f>T70*J70</f>
        <v>0</v>
      </c>
      <c r="V70" s="590">
        <f t="shared" si="18"/>
        <v>0</v>
      </c>
      <c r="W70" s="590">
        <f>IF(K70=BASE!$DA$7,J70,0)</f>
        <v>0</v>
      </c>
      <c r="X70" s="580">
        <f t="shared" si="8"/>
        <v>0</v>
      </c>
      <c r="Y70" s="148">
        <f>C35</f>
        <v>0</v>
      </c>
      <c r="Z70" s="176" t="e">
        <f>O35</f>
        <v>#N/A</v>
      </c>
      <c r="AA70" s="176" t="e">
        <f>'Modelo de Radiación Solar'!O148*'LINEAS BASE 3'!$AW$67</f>
        <v>#N/A</v>
      </c>
      <c r="AB70" s="1274" t="e">
        <f>1-AE103-AB27</f>
        <v>#N/A</v>
      </c>
      <c r="AC70" s="1274"/>
      <c r="AD70" s="176" t="e">
        <f>Z70*AA70</f>
        <v>#N/A</v>
      </c>
      <c r="AE70" s="1282" t="e">
        <f>AD70+AD72+AD74+AD76</f>
        <v>#N/A</v>
      </c>
      <c r="AG70" s="598" t="s">
        <v>1031</v>
      </c>
      <c r="AH70" s="176">
        <f>AH69-'LINEAS BASE 3'!$AW$79</f>
        <v>-9.2098978806022647</v>
      </c>
      <c r="AI70" s="176">
        <f>AI69-'LINEAS BASE 3'!$AW$79</f>
        <v>-9.2098978806022647</v>
      </c>
      <c r="AJ70" s="176">
        <f>AJ69-'LINEAS BASE 3'!$AW$79</f>
        <v>-9.2098978806022647</v>
      </c>
      <c r="AK70" s="176">
        <f>AK69-'LINEAS BASE 3'!$AW$79</f>
        <v>-9.2098978806022647</v>
      </c>
      <c r="AL70" s="176">
        <f>AL69-'LINEAS BASE 3'!$AW$79</f>
        <v>-9.2098978806022647</v>
      </c>
      <c r="AM70" s="176">
        <f>AM69-'LINEAS BASE 3'!$AW$79</f>
        <v>-9.2098978806022647</v>
      </c>
      <c r="AN70" s="176">
        <f>AN69-'LINEAS BASE 3'!$AW$79</f>
        <v>-9.2098978806022647</v>
      </c>
      <c r="AO70" s="176">
        <f>AO69-'LINEAS BASE 3'!$AW$79</f>
        <v>-9.2098978806022647</v>
      </c>
      <c r="AP70" s="176">
        <f>AP69-'LINEAS BASE 3'!$AW$79</f>
        <v>-9.2098978806022647</v>
      </c>
      <c r="AQ70" s="176">
        <f>AQ69-'LINEAS BASE 3'!$AW$79</f>
        <v>-9.2098978806022647</v>
      </c>
      <c r="AR70" s="176">
        <f>AR69-'LINEAS BASE 3'!$AW$79</f>
        <v>-9.2098978806022647</v>
      </c>
      <c r="AS70" s="176">
        <f>AS69-'LINEAS BASE 3'!$AW$79</f>
        <v>-9.2098978806022647</v>
      </c>
      <c r="AV70" s="582" t="s">
        <v>1014</v>
      </c>
      <c r="AW70" s="148">
        <f>ENERGÍA!AY74</f>
        <v>0</v>
      </c>
    </row>
    <row r="71" spans="2:49" ht="6" customHeight="1">
      <c r="L71" s="126"/>
      <c r="O71" s="580"/>
      <c r="P71" s="581"/>
      <c r="Q71" s="597"/>
      <c r="R71" s="597"/>
      <c r="S71" s="597"/>
      <c r="V71" s="126"/>
      <c r="X71" s="580">
        <f t="shared" si="8"/>
        <v>0</v>
      </c>
      <c r="AB71" s="597"/>
      <c r="AC71" s="597"/>
      <c r="AE71" s="1282"/>
      <c r="AG71" s="597"/>
      <c r="AH71" s="597"/>
      <c r="AI71" s="597"/>
      <c r="AJ71" s="597"/>
      <c r="AK71" s="597"/>
      <c r="AL71" s="597"/>
      <c r="AM71" s="597"/>
      <c r="AN71" s="597"/>
      <c r="AO71" s="597"/>
      <c r="AP71" s="597"/>
      <c r="AQ71" s="597"/>
      <c r="AR71" s="597"/>
      <c r="AS71" s="597"/>
    </row>
    <row r="72" spans="2:49" ht="15" customHeight="1">
      <c r="B72" s="1323">
        <f>C37</f>
        <v>0</v>
      </c>
      <c r="C72" s="1323"/>
      <c r="D72" s="1323"/>
      <c r="E72" s="1323"/>
      <c r="F72" s="1323"/>
      <c r="G72" s="1323"/>
      <c r="H72" s="1323"/>
      <c r="I72" s="1323"/>
      <c r="J72" s="1323"/>
      <c r="K72" s="1323"/>
      <c r="L72" s="1323"/>
      <c r="O72" s="1320">
        <f>B72</f>
        <v>0</v>
      </c>
      <c r="P72" s="1321"/>
      <c r="Q72" s="1321"/>
      <c r="R72" s="1321"/>
      <c r="S72" s="1321"/>
      <c r="T72" s="1321"/>
      <c r="U72" s="1321"/>
      <c r="V72" s="1321"/>
      <c r="W72" s="1322"/>
      <c r="X72" s="580">
        <f t="shared" si="8"/>
        <v>0</v>
      </c>
      <c r="Y72" s="148">
        <f>C36</f>
        <v>0</v>
      </c>
      <c r="Z72" s="176" t="e">
        <f>O36</f>
        <v>#N/A</v>
      </c>
      <c r="AA72" s="176" t="e">
        <f>'Modelo de Radiación Solar'!AD148*'LINEAS BASE 3'!$AW$67</f>
        <v>#N/A</v>
      </c>
      <c r="AB72" s="1274" t="e">
        <f>1-AE121-AB27</f>
        <v>#N/A</v>
      </c>
      <c r="AC72" s="1274"/>
      <c r="AD72" s="176" t="e">
        <f>Z72*AA72*AB72</f>
        <v>#N/A</v>
      </c>
      <c r="AE72" s="1282"/>
      <c r="AG72" s="598" t="s">
        <v>1121</v>
      </c>
      <c r="AH72" s="176">
        <v>31</v>
      </c>
      <c r="AI72" s="176">
        <v>28</v>
      </c>
      <c r="AJ72" s="176">
        <v>31</v>
      </c>
      <c r="AK72" s="176">
        <v>30</v>
      </c>
      <c r="AL72" s="176">
        <v>31</v>
      </c>
      <c r="AM72" s="176">
        <v>30</v>
      </c>
      <c r="AN72" s="176">
        <v>31</v>
      </c>
      <c r="AO72" s="176">
        <v>31</v>
      </c>
      <c r="AP72" s="176">
        <v>30</v>
      </c>
      <c r="AQ72" s="176">
        <v>31</v>
      </c>
      <c r="AR72" s="176">
        <v>30</v>
      </c>
      <c r="AS72" s="176">
        <v>31</v>
      </c>
      <c r="AV72" s="582" t="s">
        <v>1015</v>
      </c>
      <c r="AW72" s="176">
        <f>AW60</f>
        <v>24</v>
      </c>
    </row>
    <row r="73" spans="2:49" ht="6" customHeight="1">
      <c r="B73" s="584"/>
      <c r="C73" s="584"/>
      <c r="D73" s="584"/>
      <c r="E73" s="126"/>
      <c r="K73" s="126"/>
      <c r="L73" s="126"/>
      <c r="O73" s="580"/>
      <c r="P73" s="581"/>
      <c r="Q73" s="126"/>
      <c r="R73" s="126"/>
      <c r="V73" s="126"/>
      <c r="X73" s="580">
        <f t="shared" si="8"/>
        <v>0</v>
      </c>
      <c r="Y73" s="584"/>
      <c r="Z73" s="584"/>
      <c r="AB73" s="597"/>
      <c r="AC73" s="597"/>
      <c r="AE73" s="1282"/>
      <c r="AG73" s="597"/>
      <c r="AH73" s="597"/>
      <c r="AI73" s="597"/>
      <c r="AJ73" s="597"/>
      <c r="AK73" s="597"/>
      <c r="AL73" s="597"/>
      <c r="AM73" s="597"/>
      <c r="AN73" s="597"/>
      <c r="AO73" s="597"/>
      <c r="AP73" s="597"/>
      <c r="AQ73" s="597"/>
      <c r="AR73" s="597"/>
      <c r="AS73" s="597"/>
      <c r="AT73" s="173"/>
      <c r="AU73" s="173"/>
    </row>
    <row r="74" spans="2:49" ht="15" customHeight="1">
      <c r="B74" s="1360"/>
      <c r="C74" s="1363" t="s">
        <v>222</v>
      </c>
      <c r="D74" s="1364"/>
      <c r="E74" s="1364"/>
      <c r="F74" s="1364"/>
      <c r="G74" s="1365"/>
      <c r="H74" s="1357" t="s">
        <v>1788</v>
      </c>
      <c r="I74" s="1358"/>
      <c r="J74" s="1360" t="s">
        <v>594</v>
      </c>
      <c r="K74" s="1360" t="s">
        <v>1356</v>
      </c>
      <c r="L74" s="1275" t="s">
        <v>644</v>
      </c>
      <c r="O74" s="1360" t="s">
        <v>1354</v>
      </c>
      <c r="P74" s="1360" t="s">
        <v>729</v>
      </c>
      <c r="Q74" s="1360" t="s">
        <v>849</v>
      </c>
      <c r="R74" s="1360" t="s">
        <v>850</v>
      </c>
      <c r="S74" s="1360" t="s">
        <v>1357</v>
      </c>
      <c r="T74" s="1360" t="s">
        <v>851</v>
      </c>
      <c r="U74" s="1360" t="s">
        <v>891</v>
      </c>
      <c r="V74" s="1360" t="s">
        <v>1359</v>
      </c>
      <c r="W74" s="1360" t="s">
        <v>1358</v>
      </c>
      <c r="X74" s="580">
        <f t="shared" si="8"/>
        <v>1</v>
      </c>
      <c r="Y74" s="148">
        <f>C37</f>
        <v>0</v>
      </c>
      <c r="Z74" s="176" t="e">
        <f>O37</f>
        <v>#N/A</v>
      </c>
      <c r="AA74" s="176" t="e">
        <f>'Modelo de Radiación Solar'!AS148*'LINEAS BASE 3'!$AW$67</f>
        <v>#N/A</v>
      </c>
      <c r="AB74" s="1274" t="e">
        <f>1-AE139-AB27</f>
        <v>#N/A</v>
      </c>
      <c r="AC74" s="1274"/>
      <c r="AD74" s="176" t="e">
        <f>Z74*AA74*AB74</f>
        <v>#N/A</v>
      </c>
      <c r="AE74" s="1282"/>
      <c r="AG74" s="1274" t="s">
        <v>1485</v>
      </c>
      <c r="AH74" s="1274"/>
      <c r="AI74" s="1274"/>
      <c r="AJ74" s="1274"/>
      <c r="AK74" s="1274"/>
      <c r="AL74" s="1274"/>
      <c r="AM74" s="1274"/>
      <c r="AN74" s="1274"/>
      <c r="AO74" s="1274"/>
      <c r="AP74" s="1274"/>
      <c r="AQ74" s="1274"/>
      <c r="AR74" s="1274"/>
      <c r="AS74" s="1274"/>
      <c r="AV74" s="582" t="s">
        <v>1016</v>
      </c>
      <c r="AW74" s="176">
        <f>AW70-AW72</f>
        <v>-24</v>
      </c>
    </row>
    <row r="75" spans="2:49" ht="15" customHeight="1">
      <c r="B75" s="1361"/>
      <c r="C75" s="1366"/>
      <c r="D75" s="1367"/>
      <c r="E75" s="1367"/>
      <c r="F75" s="1367"/>
      <c r="G75" s="1368"/>
      <c r="H75" s="1357" t="s">
        <v>731</v>
      </c>
      <c r="I75" s="1358"/>
      <c r="J75" s="1361"/>
      <c r="K75" s="1361"/>
      <c r="L75" s="1277"/>
      <c r="O75" s="1361"/>
      <c r="P75" s="1361"/>
      <c r="Q75" s="1361"/>
      <c r="R75" s="1361"/>
      <c r="S75" s="1361"/>
      <c r="T75" s="1361"/>
      <c r="U75" s="1361"/>
      <c r="V75" s="1361"/>
      <c r="W75" s="1361"/>
      <c r="X75" s="580">
        <f t="shared" si="8"/>
        <v>0</v>
      </c>
      <c r="Y75" s="148"/>
      <c r="Z75" s="176"/>
      <c r="AA75" s="176"/>
      <c r="AB75" s="176"/>
      <c r="AC75" s="176"/>
      <c r="AD75" s="176"/>
      <c r="AE75" s="1282"/>
      <c r="AG75" s="176"/>
      <c r="AH75" s="176"/>
      <c r="AI75" s="176"/>
      <c r="AJ75" s="176"/>
      <c r="AK75" s="176"/>
      <c r="AL75" s="176"/>
      <c r="AM75" s="176"/>
      <c r="AN75" s="176"/>
      <c r="AO75" s="176"/>
      <c r="AP75" s="176"/>
      <c r="AQ75" s="176"/>
      <c r="AR75" s="176"/>
      <c r="AS75" s="176"/>
    </row>
    <row r="76" spans="2:49" ht="15" customHeight="1">
      <c r="B76" s="581" t="s">
        <v>223</v>
      </c>
      <c r="C76" s="1359"/>
      <c r="D76" s="1359"/>
      <c r="E76" s="1359"/>
      <c r="F76" s="1359"/>
      <c r="G76" s="1359"/>
      <c r="H76" s="1274" t="str">
        <f>IF(J76=0,"-","Nivel B")</f>
        <v>-</v>
      </c>
      <c r="I76" s="1274"/>
      <c r="J76" s="589">
        <f>ENERGÍA!L80</f>
        <v>0</v>
      </c>
      <c r="K76" s="589">
        <f>ENERGÍA!M80</f>
        <v>0</v>
      </c>
      <c r="L76" s="589"/>
      <c r="O76" s="176">
        <f>IF(J76=0,0,VLOOKUP(K76,adyacentem,2,FALSE))</f>
        <v>0</v>
      </c>
      <c r="P76" s="590">
        <f>P70</f>
        <v>0.6</v>
      </c>
      <c r="Q76" s="176">
        <f>'Materiales Personalizados'!$AV$38</f>
        <v>1</v>
      </c>
      <c r="R76" s="590">
        <f>Q76*J76</f>
        <v>0</v>
      </c>
      <c r="S76" s="590">
        <f>IF(J76=0,0,(O76*R76))</f>
        <v>0</v>
      </c>
      <c r="T76" s="590">
        <f>Q76</f>
        <v>1</v>
      </c>
      <c r="U76" s="590">
        <f>T76*J76</f>
        <v>0</v>
      </c>
      <c r="V76" s="590">
        <f>IF(J76=0,0,(O76*U76))</f>
        <v>0</v>
      </c>
      <c r="W76" s="590">
        <f>IF(K76=BASE!$DA$7,J76,0)</f>
        <v>0</v>
      </c>
      <c r="X76" s="580">
        <f t="shared" si="8"/>
        <v>0</v>
      </c>
      <c r="Y76" s="148">
        <f>C38</f>
        <v>0</v>
      </c>
      <c r="Z76" s="176" t="e">
        <f>O38</f>
        <v>#N/A</v>
      </c>
      <c r="AA76" s="176" t="e">
        <f>'Modelo de Radiación Solar'!BH148*'LINEAS BASE 3'!$AW$67</f>
        <v>#N/A</v>
      </c>
      <c r="AB76" s="1274" t="e">
        <f>1-AE157-AB27</f>
        <v>#N/A</v>
      </c>
      <c r="AC76" s="1274"/>
      <c r="AD76" s="176" t="e">
        <f>Z76*AA76*AB76</f>
        <v>#N/A</v>
      </c>
      <c r="AE76" s="1282"/>
      <c r="AG76" s="598">
        <f>'LINEAS BASE 3'!C35</f>
        <v>0</v>
      </c>
      <c r="AH76" s="176" t="e">
        <f>'Modelo de Radiación Solar'!D160*'LINEAS BASE 3'!$Z$70*'LINEAS BASE 3'!$AB$70</f>
        <v>#N/A</v>
      </c>
      <c r="AI76" s="176" t="e">
        <f>'Modelo de Radiación Solar'!E160*'LINEAS BASE 3'!$Z$70*'LINEAS BASE 3'!$AB$70</f>
        <v>#N/A</v>
      </c>
      <c r="AJ76" s="176" t="e">
        <f>'Modelo de Radiación Solar'!F160*'LINEAS BASE 3'!$Z$70*'LINEAS BASE 3'!$AB$70</f>
        <v>#N/A</v>
      </c>
      <c r="AK76" s="176" t="e">
        <f>'Modelo de Radiación Solar'!G160*'LINEAS BASE 3'!$Z$70*'LINEAS BASE 3'!$AB$70</f>
        <v>#N/A</v>
      </c>
      <c r="AL76" s="176" t="e">
        <f>'Modelo de Radiación Solar'!H160*'LINEAS BASE 3'!$Z$70*'LINEAS BASE 3'!$AB$70</f>
        <v>#N/A</v>
      </c>
      <c r="AM76" s="176" t="e">
        <f>'Modelo de Radiación Solar'!I160*'LINEAS BASE 3'!$Z$70*'LINEAS BASE 3'!$AB$70</f>
        <v>#N/A</v>
      </c>
      <c r="AN76" s="176" t="e">
        <f>'Modelo de Radiación Solar'!J160*'LINEAS BASE 3'!$Z$70*'LINEAS BASE 3'!$AB$70</f>
        <v>#N/A</v>
      </c>
      <c r="AO76" s="176" t="e">
        <f>'Modelo de Radiación Solar'!K160*'LINEAS BASE 3'!$Z$70*'LINEAS BASE 3'!$AB$70</f>
        <v>#N/A</v>
      </c>
      <c r="AP76" s="176" t="e">
        <f>'Modelo de Radiación Solar'!L160*'LINEAS BASE 3'!$Z$70*'LINEAS BASE 3'!$AB$70</f>
        <v>#N/A</v>
      </c>
      <c r="AQ76" s="176" t="e">
        <f>'Modelo de Radiación Solar'!M160*'LINEAS BASE 3'!$Z$70*'LINEAS BASE 3'!$AB$70</f>
        <v>#N/A</v>
      </c>
      <c r="AR76" s="176" t="e">
        <f>'Modelo de Radiación Solar'!N160*'LINEAS BASE 3'!$Z$70*'LINEAS BASE 3'!$AB$70</f>
        <v>#N/A</v>
      </c>
      <c r="AS76" s="176" t="e">
        <f>'Modelo de Radiación Solar'!O160*'LINEAS BASE 3'!$Z$70*'LINEAS BASE 3'!$AB$70</f>
        <v>#N/A</v>
      </c>
    </row>
    <row r="77" spans="2:49" ht="15" customHeight="1">
      <c r="B77" s="581" t="s">
        <v>224</v>
      </c>
      <c r="C77" s="1359"/>
      <c r="D77" s="1359"/>
      <c r="E77" s="1359"/>
      <c r="F77" s="1359"/>
      <c r="G77" s="1359"/>
      <c r="H77" s="1274" t="str">
        <f t="shared" ref="H77:H80" si="22">IF(J77=0,"-","Nivel B")</f>
        <v>-</v>
      </c>
      <c r="I77" s="1274"/>
      <c r="J77" s="589">
        <f>ENERGÍA!L81</f>
        <v>0</v>
      </c>
      <c r="K77" s="589">
        <f>ENERGÍA!M81</f>
        <v>0</v>
      </c>
      <c r="L77" s="589"/>
      <c r="O77" s="176">
        <f>IF(J77=0,0,VLOOKUP(K77,adyacentem,2,FALSE))</f>
        <v>0</v>
      </c>
      <c r="P77" s="590">
        <f>P76</f>
        <v>0.6</v>
      </c>
      <c r="Q77" s="176">
        <f>Q76</f>
        <v>1</v>
      </c>
      <c r="R77" s="590">
        <f>Q77*J77</f>
        <v>0</v>
      </c>
      <c r="S77" s="590">
        <f t="shared" ref="S77:S80" si="23">IF(J77=0,0,(O77*R77))</f>
        <v>0</v>
      </c>
      <c r="T77" s="590">
        <f>Q77</f>
        <v>1</v>
      </c>
      <c r="U77" s="590">
        <f>T77*J77</f>
        <v>0</v>
      </c>
      <c r="V77" s="590">
        <f t="shared" ref="V77:V80" si="24">IF(J77=0,0,(O77*U77))</f>
        <v>0</v>
      </c>
      <c r="W77" s="590">
        <f>IF(K77=BASE!$DA$7,J77,0)</f>
        <v>0</v>
      </c>
      <c r="X77" s="580">
        <f t="shared" si="8"/>
        <v>0</v>
      </c>
      <c r="AG77" s="598">
        <f>'LINEAS BASE 3'!C36</f>
        <v>0</v>
      </c>
      <c r="AH77" s="176" t="e">
        <f>'Modelo de Radiación Solar'!S160*'LINEAS BASE 3'!$Z$72*'LINEAS BASE 3'!$AB$72</f>
        <v>#N/A</v>
      </c>
      <c r="AI77" s="176" t="e">
        <f>'Modelo de Radiación Solar'!T160*'LINEAS BASE 3'!$Z$72*'LINEAS BASE 3'!$AB$72</f>
        <v>#N/A</v>
      </c>
      <c r="AJ77" s="176" t="e">
        <f>'Modelo de Radiación Solar'!U160*'LINEAS BASE 3'!$Z$72*'LINEAS BASE 3'!$AB$72</f>
        <v>#N/A</v>
      </c>
      <c r="AK77" s="176" t="e">
        <f>'Modelo de Radiación Solar'!V160*'LINEAS BASE 3'!$Z$72*'LINEAS BASE 3'!$AB$72</f>
        <v>#N/A</v>
      </c>
      <c r="AL77" s="176" t="e">
        <f>'Modelo de Radiación Solar'!W160*'LINEAS BASE 3'!$Z$72*'LINEAS BASE 3'!$AB$72</f>
        <v>#N/A</v>
      </c>
      <c r="AM77" s="176" t="e">
        <f>'Modelo de Radiación Solar'!X160*'LINEAS BASE 3'!$Z$72*'LINEAS BASE 3'!$AB$72</f>
        <v>#N/A</v>
      </c>
      <c r="AN77" s="176" t="e">
        <f>'Modelo de Radiación Solar'!Y160*'LINEAS BASE 3'!$Z$72*'LINEAS BASE 3'!$AB$72</f>
        <v>#N/A</v>
      </c>
      <c r="AO77" s="176" t="e">
        <f>'Modelo de Radiación Solar'!Z160*'LINEAS BASE 3'!$Z$72*'LINEAS BASE 3'!$AB$72</f>
        <v>#N/A</v>
      </c>
      <c r="AP77" s="176" t="e">
        <f>'Modelo de Radiación Solar'!AA160*'LINEAS BASE 3'!$Z$72*'LINEAS BASE 3'!$AB$72</f>
        <v>#N/A</v>
      </c>
      <c r="AQ77" s="176" t="e">
        <f>'Modelo de Radiación Solar'!AB160*'LINEAS BASE 3'!$Z$72*'LINEAS BASE 3'!$AB$72</f>
        <v>#N/A</v>
      </c>
      <c r="AR77" s="176" t="e">
        <f>'Modelo de Radiación Solar'!AC160*'LINEAS BASE 3'!$Z$72*'LINEAS BASE 3'!$AB$72</f>
        <v>#N/A</v>
      </c>
      <c r="AS77" s="176" t="e">
        <f>'Modelo de Radiación Solar'!AD160*'LINEAS BASE 3'!$Z$72*'LINEAS BASE 3'!$AB$72</f>
        <v>#N/A</v>
      </c>
      <c r="AV77" s="582" t="s">
        <v>1019</v>
      </c>
      <c r="AW77" s="148">
        <f>ENERGÍA!AY81</f>
        <v>0</v>
      </c>
    </row>
    <row r="78" spans="2:49" ht="15" customHeight="1">
      <c r="B78" s="581" t="s">
        <v>1516</v>
      </c>
      <c r="C78" s="1342"/>
      <c r="D78" s="1340"/>
      <c r="E78" s="1340"/>
      <c r="F78" s="1340"/>
      <c r="G78" s="1340"/>
      <c r="H78" s="1274" t="str">
        <f t="shared" si="22"/>
        <v>-</v>
      </c>
      <c r="I78" s="1274"/>
      <c r="J78" s="589">
        <f>ENERGÍA!L82</f>
        <v>0</v>
      </c>
      <c r="K78" s="589">
        <f>ENERGÍA!M82</f>
        <v>0</v>
      </c>
      <c r="L78" s="589"/>
      <c r="O78" s="176">
        <f>IF(J78=0,0,VLOOKUP(K78,adyacentem,2,FALSE))</f>
        <v>0</v>
      </c>
      <c r="P78" s="590">
        <f t="shared" ref="P78:P80" si="25">P77</f>
        <v>0.6</v>
      </c>
      <c r="Q78" s="176">
        <f t="shared" ref="Q78:Q80" si="26">Q77</f>
        <v>1</v>
      </c>
      <c r="R78" s="590">
        <f>Q78*J78</f>
        <v>0</v>
      </c>
      <c r="S78" s="590">
        <f t="shared" si="23"/>
        <v>0</v>
      </c>
      <c r="T78" s="590">
        <f>Q78</f>
        <v>1</v>
      </c>
      <c r="U78" s="590">
        <f>T78*J78</f>
        <v>0</v>
      </c>
      <c r="V78" s="590">
        <f t="shared" si="24"/>
        <v>0</v>
      </c>
      <c r="W78" s="590">
        <f>IF(K78=BASE!$DA$7,J78,0)</f>
        <v>0</v>
      </c>
      <c r="X78" s="580">
        <f t="shared" si="8"/>
        <v>0</v>
      </c>
      <c r="Y78" s="1350" t="s">
        <v>1001</v>
      </c>
      <c r="Z78" s="1350"/>
      <c r="AA78" s="1350"/>
      <c r="AB78" s="1350"/>
      <c r="AC78" s="1350"/>
      <c r="AD78" s="588" t="s">
        <v>999</v>
      </c>
      <c r="AE78" s="175">
        <f>AE92+AE82+Z60</f>
        <v>118</v>
      </c>
      <c r="AG78" s="598">
        <f>'LINEAS BASE 3'!C37</f>
        <v>0</v>
      </c>
      <c r="AH78" s="176" t="e">
        <f>'Modelo de Radiación Solar'!AH160*'LINEAS BASE 3'!$Z$74*'LINEAS BASE 3'!$AB$74</f>
        <v>#N/A</v>
      </c>
      <c r="AI78" s="176" t="e">
        <f>'Modelo de Radiación Solar'!AI160*'LINEAS BASE 3'!$Z$74*'LINEAS BASE 3'!$AB$74</f>
        <v>#N/A</v>
      </c>
      <c r="AJ78" s="176" t="e">
        <f>'Modelo de Radiación Solar'!AJ160*'LINEAS BASE 3'!$Z$74*'LINEAS BASE 3'!$AB$74</f>
        <v>#N/A</v>
      </c>
      <c r="AK78" s="176" t="e">
        <f>'Modelo de Radiación Solar'!AK160*'LINEAS BASE 3'!$Z$74*'LINEAS BASE 3'!$AB$74</f>
        <v>#N/A</v>
      </c>
      <c r="AL78" s="176" t="e">
        <f>'Modelo de Radiación Solar'!AL160*'LINEAS BASE 3'!$Z$74*'LINEAS BASE 3'!$AB$74</f>
        <v>#N/A</v>
      </c>
      <c r="AM78" s="176" t="e">
        <f>'Modelo de Radiación Solar'!AM160*'LINEAS BASE 3'!$Z$74*'LINEAS BASE 3'!$AB$74</f>
        <v>#N/A</v>
      </c>
      <c r="AN78" s="176" t="e">
        <f>'Modelo de Radiación Solar'!AN160*'LINEAS BASE 3'!$Z$74*'LINEAS BASE 3'!$AB$74</f>
        <v>#N/A</v>
      </c>
      <c r="AO78" s="176" t="e">
        <f>'Modelo de Radiación Solar'!AO160*'LINEAS BASE 3'!$Z$74*'LINEAS BASE 3'!$AB$74</f>
        <v>#N/A</v>
      </c>
      <c r="AP78" s="176" t="e">
        <f>'Modelo de Radiación Solar'!AP160*'LINEAS BASE 3'!$Z$74*'LINEAS BASE 3'!$AB$74</f>
        <v>#N/A</v>
      </c>
      <c r="AQ78" s="176" t="e">
        <f>'Modelo de Radiación Solar'!AQ160*'LINEAS BASE 3'!$Z$74*'LINEAS BASE 3'!$AB$74</f>
        <v>#N/A</v>
      </c>
      <c r="AR78" s="176" t="e">
        <f>'Modelo de Radiación Solar'!AR160*'LINEAS BASE 3'!$Z$74*'LINEAS BASE 3'!$AB$74</f>
        <v>#N/A</v>
      </c>
      <c r="AS78" s="176" t="e">
        <f>'Modelo de Radiación Solar'!AS160*'LINEAS BASE 3'!$Z$74*'LINEAS BASE 3'!$AB$74</f>
        <v>#N/A</v>
      </c>
      <c r="AV78" s="582" t="s">
        <v>1021</v>
      </c>
      <c r="AW78" s="176">
        <f>'Modelo de Radiación Solar'!BU16</f>
        <v>0</v>
      </c>
    </row>
    <row r="79" spans="2:49" ht="15" customHeight="1">
      <c r="B79" s="581" t="s">
        <v>632</v>
      </c>
      <c r="C79" s="1342"/>
      <c r="D79" s="1340"/>
      <c r="E79" s="1340"/>
      <c r="F79" s="1340"/>
      <c r="G79" s="1340"/>
      <c r="H79" s="1274" t="str">
        <f t="shared" si="22"/>
        <v>-</v>
      </c>
      <c r="I79" s="1274"/>
      <c r="J79" s="589">
        <f>ENERGÍA!L83</f>
        <v>0</v>
      </c>
      <c r="K79" s="589">
        <f>ENERGÍA!M83</f>
        <v>0</v>
      </c>
      <c r="L79" s="589"/>
      <c r="O79" s="176">
        <f>IF(J79=0,0,VLOOKUP(K79,adyacentem,2,FALSE))</f>
        <v>0</v>
      </c>
      <c r="P79" s="590">
        <f t="shared" si="25"/>
        <v>0.6</v>
      </c>
      <c r="Q79" s="176">
        <f t="shared" si="26"/>
        <v>1</v>
      </c>
      <c r="R79" s="590">
        <f>Q79*J79</f>
        <v>0</v>
      </c>
      <c r="S79" s="590">
        <f t="shared" si="23"/>
        <v>0</v>
      </c>
      <c r="T79" s="590">
        <f>Q79</f>
        <v>1</v>
      </c>
      <c r="U79" s="590">
        <f>T79*J79</f>
        <v>0</v>
      </c>
      <c r="V79" s="590">
        <f t="shared" si="24"/>
        <v>0</v>
      </c>
      <c r="W79" s="590">
        <f>IF(K79=BASE!$DA$7,J79,0)</f>
        <v>0</v>
      </c>
      <c r="X79" s="580">
        <f t="shared" si="8"/>
        <v>0</v>
      </c>
      <c r="Y79" s="1350" t="s">
        <v>994</v>
      </c>
      <c r="Z79" s="1350"/>
      <c r="AA79" s="1350"/>
      <c r="AB79" s="1350"/>
      <c r="AC79" s="1350"/>
      <c r="AD79" s="1350"/>
      <c r="AE79" s="1350"/>
      <c r="AG79" s="598">
        <f>'LINEAS BASE 3'!C38</f>
        <v>0</v>
      </c>
      <c r="AH79" s="176" t="e">
        <f>'Modelo de Radiación Solar'!AW160*'LINEAS BASE 3'!$Z$76*'LINEAS BASE 3'!$AB$76</f>
        <v>#N/A</v>
      </c>
      <c r="AI79" s="176" t="e">
        <f>'Modelo de Radiación Solar'!AX160*'LINEAS BASE 3'!$Z$76*'LINEAS BASE 3'!$AB$76</f>
        <v>#N/A</v>
      </c>
      <c r="AJ79" s="176" t="e">
        <f>'Modelo de Radiación Solar'!AY160*'LINEAS BASE 3'!$Z$76*'LINEAS BASE 3'!$AB$76</f>
        <v>#N/A</v>
      </c>
      <c r="AK79" s="176" t="e">
        <f>'Modelo de Radiación Solar'!AZ160*'LINEAS BASE 3'!$Z$76*'LINEAS BASE 3'!$AB$76</f>
        <v>#N/A</v>
      </c>
      <c r="AL79" s="176" t="e">
        <f>'Modelo de Radiación Solar'!BA160*'LINEAS BASE 3'!$Z$76*'LINEAS BASE 3'!$AB$76</f>
        <v>#N/A</v>
      </c>
      <c r="AM79" s="176" t="e">
        <f>'Modelo de Radiación Solar'!BB160*'LINEAS BASE 3'!$Z$76*'LINEAS BASE 3'!$AB$76</f>
        <v>#N/A</v>
      </c>
      <c r="AN79" s="176" t="e">
        <f>'Modelo de Radiación Solar'!BC160*'LINEAS BASE 3'!$Z$76*'LINEAS BASE 3'!$AB$76</f>
        <v>#N/A</v>
      </c>
      <c r="AO79" s="176" t="e">
        <f>'Modelo de Radiación Solar'!BD160*'LINEAS BASE 3'!$Z$76*'LINEAS BASE 3'!$AB$76</f>
        <v>#N/A</v>
      </c>
      <c r="AP79" s="176" t="e">
        <f>'Modelo de Radiación Solar'!BE160*'LINEAS BASE 3'!$Z$76*'LINEAS BASE 3'!$AB$76</f>
        <v>#N/A</v>
      </c>
      <c r="AQ79" s="176" t="e">
        <f>'Modelo de Radiación Solar'!BF160*'LINEAS BASE 3'!$Z$76*'LINEAS BASE 3'!$AB$76</f>
        <v>#N/A</v>
      </c>
      <c r="AR79" s="176" t="e">
        <f>'Modelo de Radiación Solar'!BG160*'LINEAS BASE 3'!$Z$76*'LINEAS BASE 3'!$AB$76</f>
        <v>#N/A</v>
      </c>
      <c r="AS79" s="176" t="e">
        <f>'Modelo de Radiación Solar'!BH160*'LINEAS BASE 3'!$Z$76*'LINEAS BASE 3'!$AB$76</f>
        <v>#N/A</v>
      </c>
      <c r="AV79" s="582" t="s">
        <v>1022</v>
      </c>
      <c r="AW79" s="176">
        <f>'Modelo de Radiación Solar'!BU13</f>
        <v>9.2098978806022647</v>
      </c>
    </row>
    <row r="80" spans="2:49" ht="15" customHeight="1">
      <c r="B80" s="581" t="s">
        <v>631</v>
      </c>
      <c r="C80" s="1342"/>
      <c r="D80" s="1340"/>
      <c r="E80" s="1340"/>
      <c r="F80" s="1340"/>
      <c r="G80" s="1340"/>
      <c r="H80" s="1274" t="str">
        <f t="shared" si="22"/>
        <v>-</v>
      </c>
      <c r="I80" s="1274"/>
      <c r="J80" s="589">
        <f>ENERGÍA!L84</f>
        <v>0</v>
      </c>
      <c r="K80" s="589">
        <f>ENERGÍA!M84</f>
        <v>0</v>
      </c>
      <c r="L80" s="589"/>
      <c r="O80" s="176">
        <f>IF(J80=0,0,VLOOKUP(K80,adyacentem,2,FALSE))</f>
        <v>0</v>
      </c>
      <c r="P80" s="590">
        <f t="shared" si="25"/>
        <v>0.6</v>
      </c>
      <c r="Q80" s="176">
        <f t="shared" si="26"/>
        <v>1</v>
      </c>
      <c r="R80" s="590">
        <f>Q80*J80</f>
        <v>0</v>
      </c>
      <c r="S80" s="590">
        <f t="shared" si="23"/>
        <v>0</v>
      </c>
      <c r="T80" s="590">
        <f>Q80</f>
        <v>1</v>
      </c>
      <c r="U80" s="590">
        <f>T80*J80</f>
        <v>0</v>
      </c>
      <c r="V80" s="590">
        <f t="shared" si="24"/>
        <v>0</v>
      </c>
      <c r="W80" s="590">
        <f>IF(K80=BASE!$DA$7,J80,0)</f>
        <v>0</v>
      </c>
      <c r="X80" s="580">
        <f t="shared" si="8"/>
        <v>0</v>
      </c>
      <c r="Y80" s="148"/>
      <c r="Z80" s="148" t="s">
        <v>995</v>
      </c>
      <c r="AA80" s="148" t="s">
        <v>996</v>
      </c>
      <c r="AB80" s="148" t="s">
        <v>997</v>
      </c>
      <c r="AC80" s="148" t="s">
        <v>998</v>
      </c>
      <c r="AD80" s="148" t="s">
        <v>898</v>
      </c>
      <c r="AE80" s="591" t="s">
        <v>1023</v>
      </c>
      <c r="AG80" s="600" t="s">
        <v>1032</v>
      </c>
      <c r="AH80" s="176" t="e">
        <f t="shared" ref="AH80:AS80" si="27">SUM(AH76:AH79)*$AW$67</f>
        <v>#N/A</v>
      </c>
      <c r="AI80" s="176" t="e">
        <f t="shared" si="27"/>
        <v>#N/A</v>
      </c>
      <c r="AJ80" s="176" t="e">
        <f t="shared" si="27"/>
        <v>#N/A</v>
      </c>
      <c r="AK80" s="176" t="e">
        <f t="shared" si="27"/>
        <v>#N/A</v>
      </c>
      <c r="AL80" s="176" t="e">
        <f t="shared" si="27"/>
        <v>#N/A</v>
      </c>
      <c r="AM80" s="176" t="e">
        <f t="shared" si="27"/>
        <v>#N/A</v>
      </c>
      <c r="AN80" s="176" t="e">
        <f t="shared" si="27"/>
        <v>#N/A</v>
      </c>
      <c r="AO80" s="176" t="e">
        <f t="shared" si="27"/>
        <v>#N/A</v>
      </c>
      <c r="AP80" s="176" t="e">
        <f t="shared" si="27"/>
        <v>#N/A</v>
      </c>
      <c r="AQ80" s="176" t="e">
        <f t="shared" si="27"/>
        <v>#N/A</v>
      </c>
      <c r="AR80" s="176" t="e">
        <f t="shared" si="27"/>
        <v>#N/A</v>
      </c>
      <c r="AS80" s="176" t="e">
        <f t="shared" si="27"/>
        <v>#N/A</v>
      </c>
      <c r="AV80" s="582" t="s">
        <v>1020</v>
      </c>
      <c r="AW80" s="176">
        <f>AW78-AW79</f>
        <v>-9.2098978806022647</v>
      </c>
    </row>
    <row r="81" spans="2:49" ht="6" customHeight="1">
      <c r="L81" s="126"/>
      <c r="O81" s="580"/>
      <c r="P81" s="581"/>
      <c r="Q81" s="597"/>
      <c r="R81" s="597"/>
      <c r="S81" s="597"/>
      <c r="V81" s="126"/>
      <c r="X81" s="580">
        <f t="shared" si="8"/>
        <v>0</v>
      </c>
      <c r="AG81" s="597"/>
      <c r="AH81" s="597"/>
      <c r="AI81" s="597"/>
      <c r="AJ81" s="597"/>
      <c r="AK81" s="597"/>
      <c r="AL81" s="597"/>
      <c r="AM81" s="597"/>
      <c r="AN81" s="597"/>
      <c r="AO81" s="597"/>
      <c r="AP81" s="597"/>
      <c r="AQ81" s="597"/>
      <c r="AR81" s="597"/>
      <c r="AS81" s="597"/>
    </row>
    <row r="82" spans="2:49" ht="15" customHeight="1">
      <c r="B82" s="1323">
        <f>C38</f>
        <v>0</v>
      </c>
      <c r="C82" s="1323"/>
      <c r="D82" s="1323"/>
      <c r="E82" s="1323"/>
      <c r="F82" s="1323"/>
      <c r="G82" s="1323"/>
      <c r="H82" s="1323"/>
      <c r="I82" s="1323"/>
      <c r="J82" s="1323"/>
      <c r="K82" s="1323"/>
      <c r="L82" s="1323"/>
      <c r="O82" s="1320">
        <f>B82</f>
        <v>0</v>
      </c>
      <c r="P82" s="1321"/>
      <c r="Q82" s="1321"/>
      <c r="R82" s="1321"/>
      <c r="S82" s="1321"/>
      <c r="T82" s="1321"/>
      <c r="U82" s="1321"/>
      <c r="V82" s="1321"/>
      <c r="W82" s="1322"/>
      <c r="X82" s="580">
        <f t="shared" si="8"/>
        <v>0</v>
      </c>
      <c r="Y82" s="148" t="s">
        <v>618</v>
      </c>
      <c r="Z82" s="148">
        <f>Z52</f>
        <v>0</v>
      </c>
      <c r="AA82" s="148">
        <f>ENERGÍA!AB86</f>
        <v>450</v>
      </c>
      <c r="AB82" s="148">
        <f>AB52</f>
        <v>25</v>
      </c>
      <c r="AC82" s="148">
        <f>AA82*AB82/100</f>
        <v>112.5</v>
      </c>
      <c r="AD82" s="148">
        <f>AC82*Z82</f>
        <v>0</v>
      </c>
      <c r="AE82" s="1282">
        <f>SUM(AD82:AD87)</f>
        <v>118</v>
      </c>
      <c r="AG82" s="1362" t="s">
        <v>1650</v>
      </c>
      <c r="AH82" s="1362"/>
      <c r="AI82" s="1362"/>
      <c r="AJ82" s="1362"/>
      <c r="AK82" s="1362"/>
      <c r="AL82" s="1362"/>
      <c r="AM82" s="1362"/>
      <c r="AN82" s="1362"/>
      <c r="AO82" s="1362"/>
      <c r="AP82" s="1362"/>
      <c r="AQ82" s="1362"/>
      <c r="AR82" s="1362"/>
      <c r="AS82" s="1362"/>
    </row>
    <row r="83" spans="2:49" ht="6" customHeight="1">
      <c r="B83" s="584"/>
      <c r="C83" s="584"/>
      <c r="D83" s="584"/>
      <c r="E83" s="126"/>
      <c r="K83" s="126"/>
      <c r="L83" s="126"/>
      <c r="O83" s="580"/>
      <c r="P83" s="581"/>
      <c r="Q83" s="126"/>
      <c r="R83" s="126"/>
      <c r="V83" s="126"/>
      <c r="X83" s="580">
        <f t="shared" si="8"/>
        <v>0</v>
      </c>
      <c r="AE83" s="1282"/>
    </row>
    <row r="84" spans="2:49" ht="15" customHeight="1">
      <c r="B84" s="1360"/>
      <c r="C84" s="1363" t="s">
        <v>222</v>
      </c>
      <c r="D84" s="1364"/>
      <c r="E84" s="1364"/>
      <c r="F84" s="1364"/>
      <c r="G84" s="1365"/>
      <c r="H84" s="1357" t="s">
        <v>1788</v>
      </c>
      <c r="I84" s="1358"/>
      <c r="J84" s="1360" t="s">
        <v>594</v>
      </c>
      <c r="K84" s="1360" t="s">
        <v>1356</v>
      </c>
      <c r="L84" s="1275" t="s">
        <v>644</v>
      </c>
      <c r="O84" s="1360" t="s">
        <v>1354</v>
      </c>
      <c r="P84" s="1360" t="s">
        <v>729</v>
      </c>
      <c r="Q84" s="1360" t="s">
        <v>849</v>
      </c>
      <c r="R84" s="1360" t="s">
        <v>850</v>
      </c>
      <c r="S84" s="1360" t="s">
        <v>1357</v>
      </c>
      <c r="T84" s="1360" t="s">
        <v>851</v>
      </c>
      <c r="U84" s="1360" t="s">
        <v>891</v>
      </c>
      <c r="V84" s="1360" t="s">
        <v>1359</v>
      </c>
      <c r="W84" s="1360" t="s">
        <v>1358</v>
      </c>
      <c r="X84" s="580">
        <f t="shared" si="8"/>
        <v>1</v>
      </c>
      <c r="Y84" s="148" t="s">
        <v>572</v>
      </c>
      <c r="Z84" s="148">
        <f>Z54</f>
        <v>1</v>
      </c>
      <c r="AA84" s="148">
        <f>ENERGÍA!AB88</f>
        <v>472</v>
      </c>
      <c r="AB84" s="148">
        <f>AB54</f>
        <v>25</v>
      </c>
      <c r="AC84" s="148">
        <f>AA84*AB84/100</f>
        <v>118</v>
      </c>
      <c r="AD84" s="148">
        <f>AC84*Z84</f>
        <v>118</v>
      </c>
      <c r="AE84" s="1282"/>
      <c r="AG84" s="1339" t="s">
        <v>1521</v>
      </c>
      <c r="AH84" s="1339"/>
      <c r="AI84" s="1339"/>
      <c r="AJ84" s="1339"/>
      <c r="AK84" s="1339"/>
      <c r="AL84" s="1339"/>
      <c r="AM84" s="1339"/>
      <c r="AN84" s="1339"/>
      <c r="AO84" s="1339"/>
      <c r="AP84" s="1339"/>
      <c r="AQ84" s="1339"/>
      <c r="AR84" s="1339"/>
      <c r="AS84" s="1339"/>
      <c r="AV84" s="1351" t="s">
        <v>1024</v>
      </c>
      <c r="AW84" s="1352"/>
    </row>
    <row r="85" spans="2:49" ht="15" customHeight="1">
      <c r="B85" s="1361"/>
      <c r="C85" s="1366"/>
      <c r="D85" s="1367"/>
      <c r="E85" s="1367"/>
      <c r="F85" s="1367"/>
      <c r="G85" s="1368"/>
      <c r="H85" s="1357" t="s">
        <v>731</v>
      </c>
      <c r="I85" s="1358"/>
      <c r="J85" s="1361"/>
      <c r="K85" s="1361"/>
      <c r="L85" s="1277"/>
      <c r="O85" s="1361"/>
      <c r="P85" s="1361"/>
      <c r="Q85" s="1361"/>
      <c r="R85" s="1361"/>
      <c r="S85" s="1361"/>
      <c r="T85" s="1361"/>
      <c r="U85" s="1361"/>
      <c r="V85" s="1361"/>
      <c r="W85" s="1361"/>
      <c r="X85" s="580">
        <f t="shared" si="8"/>
        <v>0</v>
      </c>
      <c r="Y85" s="148"/>
      <c r="Z85" s="148"/>
      <c r="AA85" s="148"/>
      <c r="AB85" s="148"/>
      <c r="AC85" s="148"/>
      <c r="AD85" s="148"/>
      <c r="AE85" s="1282"/>
      <c r="AG85" s="601"/>
      <c r="AH85" s="601"/>
      <c r="AI85" s="601"/>
      <c r="AJ85" s="601"/>
      <c r="AK85" s="601"/>
      <c r="AL85" s="601"/>
      <c r="AM85" s="601"/>
      <c r="AN85" s="601"/>
      <c r="AO85" s="601"/>
      <c r="AP85" s="601"/>
      <c r="AQ85" s="601"/>
      <c r="AR85" s="601"/>
      <c r="AS85" s="601"/>
      <c r="AV85" s="1353"/>
      <c r="AW85" s="1354"/>
    </row>
    <row r="86" spans="2:49" ht="15" customHeight="1">
      <c r="B86" s="581" t="s">
        <v>223</v>
      </c>
      <c r="C86" s="1359"/>
      <c r="D86" s="1359"/>
      <c r="E86" s="1359"/>
      <c r="F86" s="1359"/>
      <c r="G86" s="1359"/>
      <c r="H86" s="1274" t="str">
        <f>IF(J86=0,"-","Nivel B")</f>
        <v>-</v>
      </c>
      <c r="I86" s="1274"/>
      <c r="J86" s="589">
        <f>ENERGÍA!L90</f>
        <v>0</v>
      </c>
      <c r="K86" s="589">
        <f>ENERGÍA!M90</f>
        <v>0</v>
      </c>
      <c r="L86" s="589"/>
      <c r="O86" s="176">
        <f>IF(J86=0,0,VLOOKUP(K86,adyacentem,2,FALSE))</f>
        <v>0</v>
      </c>
      <c r="P86" s="590">
        <f>P80</f>
        <v>0.6</v>
      </c>
      <c r="Q86" s="176">
        <f>'Materiales Personalizados'!$AV$38</f>
        <v>1</v>
      </c>
      <c r="R86" s="590">
        <f>Q86*J86</f>
        <v>0</v>
      </c>
      <c r="S86" s="590">
        <f>IF(J86=0,0,(O86*R86))</f>
        <v>0</v>
      </c>
      <c r="T86" s="590">
        <f>Q86</f>
        <v>1</v>
      </c>
      <c r="U86" s="590">
        <f>T86*J86</f>
        <v>0</v>
      </c>
      <c r="V86" s="590">
        <f>IF(J86=0,0,(O86*U86))</f>
        <v>0</v>
      </c>
      <c r="W86" s="590">
        <f>IF(K86=BASE!$DA$7,J86,0)</f>
        <v>0</v>
      </c>
      <c r="X86" s="580">
        <f t="shared" si="8"/>
        <v>0</v>
      </c>
      <c r="Y86" s="148" t="s">
        <v>620</v>
      </c>
      <c r="Z86" s="148">
        <f>Z56</f>
        <v>1</v>
      </c>
      <c r="AA86" s="148">
        <f>ENERGÍA!AB90</f>
        <v>0</v>
      </c>
      <c r="AB86" s="148">
        <f>AB56</f>
        <v>15</v>
      </c>
      <c r="AC86" s="148">
        <f>AA86*AB86/100</f>
        <v>0</v>
      </c>
      <c r="AD86" s="148">
        <f>AC86*Z86</f>
        <v>0</v>
      </c>
      <c r="AE86" s="1282"/>
      <c r="AG86" s="598" t="s">
        <v>1032</v>
      </c>
      <c r="AH86" s="176" t="e">
        <f>AH80</f>
        <v>#N/A</v>
      </c>
      <c r="AI86" s="176" t="e">
        <f t="shared" ref="AI86:AS86" si="28">AI80</f>
        <v>#N/A</v>
      </c>
      <c r="AJ86" s="176" t="e">
        <f t="shared" si="28"/>
        <v>#N/A</v>
      </c>
      <c r="AK86" s="176" t="e">
        <f t="shared" si="28"/>
        <v>#N/A</v>
      </c>
      <c r="AL86" s="176" t="e">
        <f t="shared" si="28"/>
        <v>#N/A</v>
      </c>
      <c r="AM86" s="176" t="e">
        <f t="shared" si="28"/>
        <v>#N/A</v>
      </c>
      <c r="AN86" s="176" t="e">
        <f t="shared" si="28"/>
        <v>#N/A</v>
      </c>
      <c r="AO86" s="176" t="e">
        <f t="shared" si="28"/>
        <v>#N/A</v>
      </c>
      <c r="AP86" s="176" t="e">
        <f t="shared" si="28"/>
        <v>#N/A</v>
      </c>
      <c r="AQ86" s="176" t="e">
        <f t="shared" si="28"/>
        <v>#N/A</v>
      </c>
      <c r="AR86" s="176" t="e">
        <f t="shared" si="28"/>
        <v>#N/A</v>
      </c>
      <c r="AS86" s="176" t="e">
        <f t="shared" si="28"/>
        <v>#N/A</v>
      </c>
      <c r="AV86" s="1353"/>
      <c r="AW86" s="1354"/>
    </row>
    <row r="87" spans="2:49" ht="15" customHeight="1">
      <c r="B87" s="581" t="s">
        <v>224</v>
      </c>
      <c r="C87" s="1359"/>
      <c r="D87" s="1359"/>
      <c r="E87" s="1359"/>
      <c r="F87" s="1359"/>
      <c r="G87" s="1359"/>
      <c r="H87" s="1274" t="str">
        <f t="shared" ref="H87:H90" si="29">IF(J87=0,"-","Nivel B")</f>
        <v>-</v>
      </c>
      <c r="I87" s="1274"/>
      <c r="J87" s="589">
        <f>ENERGÍA!L91</f>
        <v>0</v>
      </c>
      <c r="K87" s="589">
        <f>ENERGÍA!M91</f>
        <v>0</v>
      </c>
      <c r="L87" s="589"/>
      <c r="O87" s="176">
        <f>IF(J87=0,0,VLOOKUP(K87,adyacentem,2,FALSE))</f>
        <v>0</v>
      </c>
      <c r="P87" s="590">
        <f>P86</f>
        <v>0.6</v>
      </c>
      <c r="Q87" s="176">
        <f>Q86</f>
        <v>1</v>
      </c>
      <c r="R87" s="590">
        <f>Q87*J87</f>
        <v>0</v>
      </c>
      <c r="S87" s="590">
        <f t="shared" ref="S87:S90" si="30">IF(J87=0,0,(O87*R87))</f>
        <v>0</v>
      </c>
      <c r="T87" s="590">
        <f>Q87</f>
        <v>1</v>
      </c>
      <c r="U87" s="590">
        <f>T87*J87</f>
        <v>0</v>
      </c>
      <c r="V87" s="590">
        <f t="shared" ref="V87:V90" si="31">IF(J87=0,0,(O87*U87))</f>
        <v>0</v>
      </c>
      <c r="W87" s="590">
        <f>IF(K87=BASE!$DA$7,J87,0)</f>
        <v>0</v>
      </c>
      <c r="X87" s="580">
        <f t="shared" si="8"/>
        <v>0</v>
      </c>
      <c r="Y87" s="148" t="s">
        <v>619</v>
      </c>
      <c r="Z87" s="148">
        <f>Z57</f>
        <v>1</v>
      </c>
      <c r="AA87" s="148">
        <f>ENERGÍA!AB91</f>
        <v>0</v>
      </c>
      <c r="AB87" s="148">
        <f>AB57</f>
        <v>25</v>
      </c>
      <c r="AC87" s="148">
        <f>AA87*AB87/100</f>
        <v>0</v>
      </c>
      <c r="AD87" s="148">
        <f>AC87*Z87</f>
        <v>0</v>
      </c>
      <c r="AE87" s="1282"/>
      <c r="AG87" s="581" t="s">
        <v>991</v>
      </c>
      <c r="AH87" s="580">
        <f>(AD60+AE92)*12/24</f>
        <v>0</v>
      </c>
      <c r="AI87" s="580">
        <f>AH87</f>
        <v>0</v>
      </c>
      <c r="AJ87" s="580">
        <f t="shared" ref="AJ87:AS87" si="32">AI87</f>
        <v>0</v>
      </c>
      <c r="AK87" s="580">
        <f t="shared" si="32"/>
        <v>0</v>
      </c>
      <c r="AL87" s="580">
        <f t="shared" si="32"/>
        <v>0</v>
      </c>
      <c r="AM87" s="580">
        <f t="shared" si="32"/>
        <v>0</v>
      </c>
      <c r="AN87" s="580">
        <f t="shared" si="32"/>
        <v>0</v>
      </c>
      <c r="AO87" s="580">
        <f t="shared" si="32"/>
        <v>0</v>
      </c>
      <c r="AP87" s="580">
        <f t="shared" si="32"/>
        <v>0</v>
      </c>
      <c r="AQ87" s="580">
        <f t="shared" si="32"/>
        <v>0</v>
      </c>
      <c r="AR87" s="580">
        <f t="shared" si="32"/>
        <v>0</v>
      </c>
      <c r="AS87" s="580">
        <f t="shared" si="32"/>
        <v>0</v>
      </c>
      <c r="AV87" s="1355"/>
      <c r="AW87" s="1356"/>
    </row>
    <row r="88" spans="2:49" ht="15" customHeight="1">
      <c r="B88" s="581" t="s">
        <v>1516</v>
      </c>
      <c r="C88" s="1342"/>
      <c r="D88" s="1340"/>
      <c r="E88" s="1340"/>
      <c r="F88" s="1340"/>
      <c r="G88" s="1340"/>
      <c r="H88" s="1274" t="str">
        <f t="shared" si="29"/>
        <v>-</v>
      </c>
      <c r="I88" s="1274"/>
      <c r="J88" s="589">
        <f>ENERGÍA!L92</f>
        <v>0</v>
      </c>
      <c r="K88" s="589">
        <f>ENERGÍA!M92</f>
        <v>0</v>
      </c>
      <c r="L88" s="589"/>
      <c r="O88" s="176">
        <f>IF(J88=0,0,VLOOKUP(K88,adyacentem,2,FALSE))</f>
        <v>0</v>
      </c>
      <c r="P88" s="590">
        <f t="shared" ref="P88:P90" si="33">P87</f>
        <v>0.6</v>
      </c>
      <c r="Q88" s="176">
        <f t="shared" ref="Q88:Q90" si="34">Q87</f>
        <v>1</v>
      </c>
      <c r="R88" s="590">
        <f>Q88*J88</f>
        <v>0</v>
      </c>
      <c r="S88" s="590">
        <f t="shared" si="30"/>
        <v>0</v>
      </c>
      <c r="T88" s="590">
        <f>Q88</f>
        <v>1</v>
      </c>
      <c r="U88" s="590">
        <f>T88*J88</f>
        <v>0</v>
      </c>
      <c r="V88" s="590">
        <f t="shared" si="31"/>
        <v>0</v>
      </c>
      <c r="W88" s="590">
        <f>IF(K88=BASE!$DA$7,J88,0)</f>
        <v>0</v>
      </c>
      <c r="X88" s="580">
        <f t="shared" si="8"/>
        <v>0</v>
      </c>
      <c r="AG88" s="581" t="s">
        <v>760</v>
      </c>
      <c r="AH88" s="590">
        <f>($AH$120*1000)/24/AH72</f>
        <v>0</v>
      </c>
      <c r="AI88" s="590">
        <f t="shared" ref="AI88:AS88" si="35">($AH$120*1000)/24/AI72</f>
        <v>0</v>
      </c>
      <c r="AJ88" s="590">
        <f t="shared" si="35"/>
        <v>0</v>
      </c>
      <c r="AK88" s="590">
        <f t="shared" si="35"/>
        <v>0</v>
      </c>
      <c r="AL88" s="590">
        <f t="shared" si="35"/>
        <v>0</v>
      </c>
      <c r="AM88" s="590">
        <f t="shared" si="35"/>
        <v>0</v>
      </c>
      <c r="AN88" s="590">
        <f t="shared" si="35"/>
        <v>0</v>
      </c>
      <c r="AO88" s="590">
        <f t="shared" si="35"/>
        <v>0</v>
      </c>
      <c r="AP88" s="590">
        <f t="shared" si="35"/>
        <v>0</v>
      </c>
      <c r="AQ88" s="590">
        <f t="shared" si="35"/>
        <v>0</v>
      </c>
      <c r="AR88" s="590">
        <f t="shared" si="35"/>
        <v>0</v>
      </c>
      <c r="AS88" s="590">
        <f t="shared" si="35"/>
        <v>0</v>
      </c>
      <c r="AV88" s="1280" t="s">
        <v>892</v>
      </c>
      <c r="AW88" s="1282" t="e">
        <f>SUM(S46:S90)+SUM(R95:R96)+SUM(AC104:AC170)</f>
        <v>#N/A</v>
      </c>
    </row>
    <row r="89" spans="2:49" ht="15" customHeight="1">
      <c r="B89" s="581" t="s">
        <v>632</v>
      </c>
      <c r="C89" s="1342"/>
      <c r="D89" s="1340"/>
      <c r="E89" s="1340"/>
      <c r="F89" s="1340"/>
      <c r="G89" s="1340"/>
      <c r="H89" s="1274" t="str">
        <f t="shared" si="29"/>
        <v>-</v>
      </c>
      <c r="I89" s="1274"/>
      <c r="J89" s="589">
        <f>ENERGÍA!L93</f>
        <v>0</v>
      </c>
      <c r="K89" s="589">
        <f>ENERGÍA!M93</f>
        <v>0</v>
      </c>
      <c r="L89" s="589"/>
      <c r="O89" s="176">
        <f>IF(J89=0,0,VLOOKUP(K89,adyacentem,2,FALSE))</f>
        <v>0</v>
      </c>
      <c r="P89" s="590">
        <f t="shared" si="33"/>
        <v>0.6</v>
      </c>
      <c r="Q89" s="176">
        <f t="shared" si="34"/>
        <v>1</v>
      </c>
      <c r="R89" s="590">
        <f>Q89*J89</f>
        <v>0</v>
      </c>
      <c r="S89" s="590">
        <f t="shared" si="30"/>
        <v>0</v>
      </c>
      <c r="T89" s="590">
        <f>Q89</f>
        <v>1</v>
      </c>
      <c r="U89" s="590">
        <f>T89*J89</f>
        <v>0</v>
      </c>
      <c r="V89" s="590">
        <f t="shared" si="31"/>
        <v>0</v>
      </c>
      <c r="W89" s="590">
        <f>IF(K89=BASE!$DA$7,J89,0)</f>
        <v>0</v>
      </c>
      <c r="X89" s="580">
        <f t="shared" si="8"/>
        <v>0</v>
      </c>
      <c r="Y89" s="1350" t="s">
        <v>992</v>
      </c>
      <c r="Z89" s="1350"/>
      <c r="AA89" s="1350"/>
      <c r="AB89" s="1350"/>
      <c r="AC89" s="1350"/>
      <c r="AD89" s="1350"/>
      <c r="AE89" s="1350"/>
      <c r="AG89" s="581" t="s">
        <v>762</v>
      </c>
      <c r="AH89" s="590">
        <f t="shared" ref="AH89:AS89" si="36">($AH$121*1000)/24/AH72</f>
        <v>95.833333333333343</v>
      </c>
      <c r="AI89" s="590">
        <f t="shared" si="36"/>
        <v>106.10119047619048</v>
      </c>
      <c r="AJ89" s="590">
        <f t="shared" si="36"/>
        <v>95.833333333333343</v>
      </c>
      <c r="AK89" s="590">
        <f t="shared" si="36"/>
        <v>99.027777777777786</v>
      </c>
      <c r="AL89" s="590">
        <f t="shared" si="36"/>
        <v>95.833333333333343</v>
      </c>
      <c r="AM89" s="590">
        <f t="shared" si="36"/>
        <v>99.027777777777786</v>
      </c>
      <c r="AN89" s="590">
        <f t="shared" si="36"/>
        <v>95.833333333333343</v>
      </c>
      <c r="AO89" s="590">
        <f t="shared" si="36"/>
        <v>95.833333333333343</v>
      </c>
      <c r="AP89" s="590">
        <f t="shared" si="36"/>
        <v>99.027777777777786</v>
      </c>
      <c r="AQ89" s="590">
        <f t="shared" si="36"/>
        <v>95.833333333333343</v>
      </c>
      <c r="AR89" s="590">
        <f t="shared" si="36"/>
        <v>99.027777777777786</v>
      </c>
      <c r="AS89" s="590">
        <f t="shared" si="36"/>
        <v>95.833333333333343</v>
      </c>
      <c r="AV89" s="1280"/>
      <c r="AW89" s="1282"/>
    </row>
    <row r="90" spans="2:49" ht="15" customHeight="1">
      <c r="B90" s="581" t="s">
        <v>631</v>
      </c>
      <c r="C90" s="1342"/>
      <c r="D90" s="1340"/>
      <c r="E90" s="1340"/>
      <c r="F90" s="1340"/>
      <c r="G90" s="1340"/>
      <c r="H90" s="1274" t="str">
        <f t="shared" si="29"/>
        <v>-</v>
      </c>
      <c r="I90" s="1274"/>
      <c r="J90" s="589">
        <f>ENERGÍA!L94</f>
        <v>0</v>
      </c>
      <c r="K90" s="589">
        <f>ENERGÍA!M94</f>
        <v>0</v>
      </c>
      <c r="L90" s="589"/>
      <c r="O90" s="176">
        <f>IF(J90=0,0,VLOOKUP(K90,adyacentem,2,FALSE))</f>
        <v>0</v>
      </c>
      <c r="P90" s="590">
        <f t="shared" si="33"/>
        <v>0.6</v>
      </c>
      <c r="Q90" s="176">
        <f t="shared" si="34"/>
        <v>1</v>
      </c>
      <c r="R90" s="590">
        <f>Q90*J90</f>
        <v>0</v>
      </c>
      <c r="S90" s="590">
        <f t="shared" si="30"/>
        <v>0</v>
      </c>
      <c r="T90" s="590">
        <f>Q90</f>
        <v>1</v>
      </c>
      <c r="U90" s="590">
        <f>T90*J90</f>
        <v>0</v>
      </c>
      <c r="V90" s="590">
        <f t="shared" si="31"/>
        <v>0</v>
      </c>
      <c r="W90" s="590">
        <f>IF(K90=BASE!$DA$7,J90,0)</f>
        <v>0</v>
      </c>
      <c r="X90" s="580">
        <f t="shared" si="8"/>
        <v>0</v>
      </c>
      <c r="Y90" s="1343" t="s">
        <v>1119</v>
      </c>
      <c r="Z90" s="1343"/>
      <c r="AA90" s="1343"/>
      <c r="AB90" s="1343" t="s">
        <v>1120</v>
      </c>
      <c r="AC90" s="1343"/>
      <c r="AD90" s="1343"/>
      <c r="AE90" s="591" t="s">
        <v>1023</v>
      </c>
      <c r="AG90" s="581" t="s">
        <v>896</v>
      </c>
      <c r="AH90" s="590" t="e">
        <f>SUM(AH86:AH89)</f>
        <v>#N/A</v>
      </c>
      <c r="AI90" s="590" t="e">
        <f t="shared" ref="AI90:AS90" si="37">SUM(AI86:AI89)</f>
        <v>#N/A</v>
      </c>
      <c r="AJ90" s="590" t="e">
        <f t="shared" si="37"/>
        <v>#N/A</v>
      </c>
      <c r="AK90" s="590" t="e">
        <f t="shared" si="37"/>
        <v>#N/A</v>
      </c>
      <c r="AL90" s="590" t="e">
        <f t="shared" si="37"/>
        <v>#N/A</v>
      </c>
      <c r="AM90" s="590" t="e">
        <f t="shared" si="37"/>
        <v>#N/A</v>
      </c>
      <c r="AN90" s="590" t="e">
        <f t="shared" si="37"/>
        <v>#N/A</v>
      </c>
      <c r="AO90" s="590" t="e">
        <f t="shared" si="37"/>
        <v>#N/A</v>
      </c>
      <c r="AP90" s="590" t="e">
        <f t="shared" si="37"/>
        <v>#N/A</v>
      </c>
      <c r="AQ90" s="590" t="e">
        <f t="shared" si="37"/>
        <v>#N/A</v>
      </c>
      <c r="AR90" s="590" t="e">
        <f t="shared" si="37"/>
        <v>#N/A</v>
      </c>
      <c r="AS90" s="590" t="e">
        <f t="shared" si="37"/>
        <v>#N/A</v>
      </c>
      <c r="AV90" s="1280" t="s">
        <v>893</v>
      </c>
      <c r="AW90" s="1282" t="e">
        <f>SUM(V46:V90)+SUM(U95:U96)+SUM(AD104:AD170)</f>
        <v>#N/A</v>
      </c>
    </row>
    <row r="91" spans="2:49" ht="6" customHeight="1">
      <c r="L91" s="126"/>
      <c r="O91" s="148"/>
      <c r="P91" s="581"/>
      <c r="Q91" s="597"/>
      <c r="R91" s="597"/>
      <c r="S91" s="597"/>
      <c r="AV91" s="1280"/>
      <c r="AW91" s="1282"/>
    </row>
    <row r="92" spans="2:49" ht="15" customHeight="1">
      <c r="B92" s="1323" t="s">
        <v>593</v>
      </c>
      <c r="C92" s="1323"/>
      <c r="D92" s="1323"/>
      <c r="E92" s="1323"/>
      <c r="F92" s="1323"/>
      <c r="G92" s="1323"/>
      <c r="H92" s="1323"/>
      <c r="I92" s="1323"/>
      <c r="J92" s="1323"/>
      <c r="K92" s="1323"/>
      <c r="L92" s="1323"/>
      <c r="O92" s="1320" t="s">
        <v>593</v>
      </c>
      <c r="P92" s="1321"/>
      <c r="Q92" s="1321"/>
      <c r="R92" s="1321"/>
      <c r="S92" s="1321"/>
      <c r="T92" s="1321"/>
      <c r="U92" s="1321"/>
      <c r="V92" s="1321"/>
      <c r="W92" s="1322"/>
      <c r="Y92" s="1273">
        <f>Z66</f>
        <v>0</v>
      </c>
      <c r="Z92" s="1273"/>
      <c r="AA92" s="1273"/>
      <c r="AB92" s="1273">
        <f>ENERGÍA!AC96</f>
        <v>39</v>
      </c>
      <c r="AC92" s="1273"/>
      <c r="AD92" s="1273"/>
      <c r="AE92" s="226">
        <f>AB92*Y92</f>
        <v>0</v>
      </c>
      <c r="AG92" s="1339" t="s">
        <v>1487</v>
      </c>
      <c r="AH92" s="1339"/>
      <c r="AI92" s="1339"/>
      <c r="AJ92" s="1339"/>
      <c r="AK92" s="1339"/>
      <c r="AL92" s="1339"/>
      <c r="AM92" s="1339"/>
      <c r="AN92" s="1339"/>
      <c r="AO92" s="1339"/>
      <c r="AP92" s="1339"/>
      <c r="AQ92" s="1339"/>
      <c r="AR92" s="1339"/>
      <c r="AS92" s="1339"/>
    </row>
    <row r="93" spans="2:49" ht="6" customHeight="1">
      <c r="B93" s="584"/>
      <c r="C93" s="584"/>
      <c r="D93" s="584"/>
      <c r="E93" s="126"/>
      <c r="L93" s="126"/>
      <c r="O93" s="148"/>
      <c r="P93" s="581"/>
      <c r="Q93" s="126"/>
      <c r="R93" s="126"/>
    </row>
    <row r="94" spans="2:49" ht="15" customHeight="1">
      <c r="B94" s="584"/>
      <c r="C94" s="1273" t="s">
        <v>222</v>
      </c>
      <c r="D94" s="1273"/>
      <c r="E94" s="1273"/>
      <c r="F94" s="1273"/>
      <c r="G94" s="1273"/>
      <c r="H94" s="1273"/>
      <c r="I94" s="1273"/>
      <c r="J94" s="1273"/>
      <c r="K94" s="148" t="s">
        <v>594</v>
      </c>
      <c r="L94" s="166" t="s">
        <v>1356</v>
      </c>
      <c r="O94" s="166" t="s">
        <v>1354</v>
      </c>
      <c r="P94" s="166" t="s">
        <v>849</v>
      </c>
      <c r="Q94" s="166" t="s">
        <v>850</v>
      </c>
      <c r="R94" s="166" t="s">
        <v>1357</v>
      </c>
      <c r="S94" s="166" t="s">
        <v>851</v>
      </c>
      <c r="T94" s="166" t="s">
        <v>891</v>
      </c>
      <c r="U94" s="166" t="s">
        <v>1359</v>
      </c>
      <c r="V94" s="148"/>
      <c r="Y94" s="1341" t="s">
        <v>1053</v>
      </c>
      <c r="Z94" s="1341"/>
      <c r="AA94" s="1341"/>
      <c r="AB94" s="1341"/>
      <c r="AC94" s="1341"/>
      <c r="AD94" s="1341"/>
      <c r="AE94" s="175" t="e">
        <f>AE78+AE47+AE68+AE42</f>
        <v>#N/A</v>
      </c>
      <c r="AG94" s="581" t="s">
        <v>219</v>
      </c>
      <c r="AH94" s="590" t="e">
        <f>IF(AH62&gt;=18,$AW$90,$AW$88)</f>
        <v>#N/A</v>
      </c>
      <c r="AI94" s="590" t="e">
        <f t="shared" ref="AI94:AS94" si="38">IF(AI62&gt;=18,$AW$90,$AW$88)</f>
        <v>#N/A</v>
      </c>
      <c r="AJ94" s="590" t="e">
        <f t="shared" si="38"/>
        <v>#N/A</v>
      </c>
      <c r="AK94" s="590" t="e">
        <f t="shared" si="38"/>
        <v>#N/A</v>
      </c>
      <c r="AL94" s="590" t="e">
        <f t="shared" si="38"/>
        <v>#N/A</v>
      </c>
      <c r="AM94" s="590" t="e">
        <f t="shared" si="38"/>
        <v>#N/A</v>
      </c>
      <c r="AN94" s="590" t="e">
        <f t="shared" si="38"/>
        <v>#N/A</v>
      </c>
      <c r="AO94" s="590" t="e">
        <f t="shared" si="38"/>
        <v>#N/A</v>
      </c>
      <c r="AP94" s="590" t="e">
        <f t="shared" si="38"/>
        <v>#N/A</v>
      </c>
      <c r="AQ94" s="590" t="e">
        <f t="shared" si="38"/>
        <v>#N/A</v>
      </c>
      <c r="AR94" s="590" t="e">
        <f t="shared" si="38"/>
        <v>#N/A</v>
      </c>
      <c r="AS94" s="590" t="e">
        <f t="shared" si="38"/>
        <v>#N/A</v>
      </c>
      <c r="AV94" s="1273" t="s">
        <v>1025</v>
      </c>
      <c r="AW94" s="1273"/>
    </row>
    <row r="95" spans="2:49" ht="15" customHeight="1">
      <c r="B95" s="581" t="s">
        <v>595</v>
      </c>
      <c r="C95" s="1340"/>
      <c r="D95" s="1340"/>
      <c r="E95" s="1340"/>
      <c r="F95" s="1340"/>
      <c r="G95" s="1340"/>
      <c r="H95" s="1340"/>
      <c r="I95" s="1340"/>
      <c r="J95" s="1340"/>
      <c r="K95" s="589">
        <f>ENERGÍA!M99</f>
        <v>0</v>
      </c>
      <c r="L95" s="589">
        <f>ENERGÍA!N99</f>
        <v>0</v>
      </c>
      <c r="O95" s="176">
        <f>IF(K95=0,0,VLOOKUP(L95,adyacentem,2,FALSE))</f>
        <v>0</v>
      </c>
      <c r="P95" s="176">
        <f>'Materiales Personalizados'!AA6</f>
        <v>1</v>
      </c>
      <c r="Q95" s="590">
        <f>P95*K95</f>
        <v>0</v>
      </c>
      <c r="R95" s="580">
        <f>Q95*O95</f>
        <v>0</v>
      </c>
      <c r="S95" s="590">
        <f>P95</f>
        <v>1</v>
      </c>
      <c r="T95" s="590">
        <f>S95*K95</f>
        <v>0</v>
      </c>
      <c r="U95" s="148">
        <f>T95*O95</f>
        <v>0</v>
      </c>
      <c r="V95" s="148"/>
      <c r="AG95" s="581" t="s">
        <v>1528</v>
      </c>
      <c r="AH95" s="580">
        <f>AJ52</f>
        <v>0</v>
      </c>
      <c r="AI95" s="580">
        <f>AH95</f>
        <v>0</v>
      </c>
      <c r="AJ95" s="580">
        <f t="shared" ref="AJ95:AS96" si="39">AI95</f>
        <v>0</v>
      </c>
      <c r="AK95" s="580">
        <f t="shared" si="39"/>
        <v>0</v>
      </c>
      <c r="AL95" s="580">
        <f t="shared" si="39"/>
        <v>0</v>
      </c>
      <c r="AM95" s="580">
        <f t="shared" si="39"/>
        <v>0</v>
      </c>
      <c r="AN95" s="580">
        <f t="shared" si="39"/>
        <v>0</v>
      </c>
      <c r="AO95" s="580">
        <f t="shared" si="39"/>
        <v>0</v>
      </c>
      <c r="AP95" s="580">
        <f t="shared" si="39"/>
        <v>0</v>
      </c>
      <c r="AQ95" s="580">
        <f t="shared" si="39"/>
        <v>0</v>
      </c>
      <c r="AR95" s="580">
        <f t="shared" si="39"/>
        <v>0</v>
      </c>
      <c r="AS95" s="580">
        <f t="shared" si="39"/>
        <v>0</v>
      </c>
      <c r="AU95" s="580" t="str">
        <f>'BASE DE DATOS'!HA23</f>
        <v>Si</v>
      </c>
      <c r="AV95" s="1273"/>
      <c r="AW95" s="1273"/>
    </row>
    <row r="96" spans="2:49" ht="15" customHeight="1">
      <c r="B96" s="581" t="s">
        <v>1517</v>
      </c>
      <c r="C96" s="1340"/>
      <c r="D96" s="1340"/>
      <c r="E96" s="1340"/>
      <c r="F96" s="1340"/>
      <c r="G96" s="1340"/>
      <c r="H96" s="1340"/>
      <c r="I96" s="1340"/>
      <c r="J96" s="1340"/>
      <c r="K96" s="589">
        <f>ENERGÍA!M102</f>
        <v>0</v>
      </c>
      <c r="L96" s="589">
        <f>ENERGÍA!N102</f>
        <v>0</v>
      </c>
      <c r="O96" s="176">
        <f>IF(K96=0,0,VLOOKUP(L96,adyacentem,2,FALSE))</f>
        <v>0</v>
      </c>
      <c r="P96" s="176">
        <f>P95</f>
        <v>1</v>
      </c>
      <c r="Q96" s="590">
        <f>P96*K96</f>
        <v>0</v>
      </c>
      <c r="R96" s="580">
        <f>Q96*O96</f>
        <v>0</v>
      </c>
      <c r="S96" s="590">
        <f>P96</f>
        <v>1</v>
      </c>
      <c r="T96" s="590">
        <f>S96*K96</f>
        <v>0</v>
      </c>
      <c r="U96" s="148">
        <f>T96*O96</f>
        <v>0</v>
      </c>
      <c r="V96" s="148"/>
      <c r="AG96" s="581" t="s">
        <v>1486</v>
      </c>
      <c r="AH96" s="580" t="e">
        <f>AH54</f>
        <v>#DIV/0!</v>
      </c>
      <c r="AI96" s="580" t="e">
        <f>AH96</f>
        <v>#DIV/0!</v>
      </c>
      <c r="AJ96" s="580" t="e">
        <f t="shared" si="39"/>
        <v>#DIV/0!</v>
      </c>
      <c r="AK96" s="580" t="e">
        <f t="shared" si="39"/>
        <v>#DIV/0!</v>
      </c>
      <c r="AL96" s="580" t="e">
        <f t="shared" si="39"/>
        <v>#DIV/0!</v>
      </c>
      <c r="AM96" s="580" t="e">
        <f t="shared" si="39"/>
        <v>#DIV/0!</v>
      </c>
      <c r="AN96" s="580" t="e">
        <f t="shared" si="39"/>
        <v>#DIV/0!</v>
      </c>
      <c r="AO96" s="580" t="e">
        <f t="shared" si="39"/>
        <v>#DIV/0!</v>
      </c>
      <c r="AP96" s="580" t="e">
        <f t="shared" si="39"/>
        <v>#DIV/0!</v>
      </c>
      <c r="AQ96" s="580" t="e">
        <f t="shared" si="39"/>
        <v>#DIV/0!</v>
      </c>
      <c r="AR96" s="580" t="e">
        <f t="shared" si="39"/>
        <v>#DIV/0!</v>
      </c>
      <c r="AS96" s="580" t="e">
        <f t="shared" si="39"/>
        <v>#DIV/0!</v>
      </c>
      <c r="AU96" s="580" t="s">
        <v>1816</v>
      </c>
      <c r="AV96" s="148" t="s">
        <v>233</v>
      </c>
      <c r="AW96" s="176" t="e">
        <f>IF(AU95="Si",(AW88/AW64)-((AW88/AW64)*0.05),AW88/AW64)</f>
        <v>#N/A</v>
      </c>
    </row>
    <row r="97" spans="2:50" ht="6" customHeight="1">
      <c r="D97" s="126"/>
      <c r="E97" s="126"/>
      <c r="L97" s="126"/>
      <c r="O97" s="148"/>
      <c r="P97" s="581"/>
      <c r="Q97" s="126"/>
      <c r="R97" s="126"/>
      <c r="V97" s="148"/>
      <c r="X97" s="126"/>
    </row>
    <row r="98" spans="2:50" ht="15" customHeight="1">
      <c r="B98" s="1283" t="s">
        <v>645</v>
      </c>
      <c r="C98" s="1283"/>
      <c r="D98" s="1283"/>
      <c r="E98" s="1283"/>
      <c r="F98" s="1283"/>
      <c r="G98" s="1283"/>
      <c r="H98" s="1283"/>
      <c r="I98" s="1283"/>
      <c r="J98" s="1283"/>
      <c r="K98" s="1283"/>
      <c r="L98" s="1283"/>
      <c r="O98" s="1317" t="s">
        <v>645</v>
      </c>
      <c r="P98" s="1318"/>
      <c r="Q98" s="1318"/>
      <c r="R98" s="1318"/>
      <c r="S98" s="1318"/>
      <c r="T98" s="1318"/>
      <c r="U98" s="1318"/>
      <c r="V98" s="1318"/>
      <c r="W98" s="1318"/>
      <c r="X98" s="1318"/>
      <c r="Y98" s="1318"/>
      <c r="Z98" s="1318"/>
      <c r="AA98" s="1318"/>
      <c r="AB98" s="1318"/>
      <c r="AC98" s="1318"/>
      <c r="AD98" s="1318"/>
      <c r="AE98" s="1319"/>
      <c r="AG98" s="581" t="s">
        <v>1524</v>
      </c>
      <c r="AH98" s="590" t="e">
        <f>AH94-(AH94*AH95)+(AH94*AH96)</f>
        <v>#N/A</v>
      </c>
      <c r="AI98" s="590" t="e">
        <f t="shared" ref="AI98:AS98" si="40">AI94-(AI94*AI95)+(AI94*AI96)</f>
        <v>#N/A</v>
      </c>
      <c r="AJ98" s="590" t="e">
        <f t="shared" si="40"/>
        <v>#N/A</v>
      </c>
      <c r="AK98" s="590" t="e">
        <f t="shared" si="40"/>
        <v>#N/A</v>
      </c>
      <c r="AL98" s="590" t="e">
        <f t="shared" si="40"/>
        <v>#N/A</v>
      </c>
      <c r="AM98" s="590" t="e">
        <f t="shared" si="40"/>
        <v>#N/A</v>
      </c>
      <c r="AN98" s="590" t="e">
        <f t="shared" si="40"/>
        <v>#N/A</v>
      </c>
      <c r="AO98" s="590" t="e">
        <f t="shared" si="40"/>
        <v>#N/A</v>
      </c>
      <c r="AP98" s="590" t="e">
        <f t="shared" si="40"/>
        <v>#N/A</v>
      </c>
      <c r="AQ98" s="590" t="e">
        <f t="shared" si="40"/>
        <v>#N/A</v>
      </c>
      <c r="AR98" s="590" t="e">
        <f t="shared" si="40"/>
        <v>#N/A</v>
      </c>
      <c r="AS98" s="590" t="e">
        <f t="shared" si="40"/>
        <v>#N/A</v>
      </c>
      <c r="AT98" s="173"/>
      <c r="AU98" s="173"/>
      <c r="AV98" s="148" t="s">
        <v>235</v>
      </c>
      <c r="AW98" s="176" t="e">
        <f>AE94/AW64</f>
        <v>#N/A</v>
      </c>
    </row>
    <row r="99" spans="2:50" ht="6" customHeight="1">
      <c r="L99" s="126"/>
      <c r="O99" s="148"/>
      <c r="P99" s="581"/>
      <c r="Q99" s="126"/>
      <c r="R99" s="126"/>
      <c r="V99" s="148"/>
      <c r="X99" s="126"/>
      <c r="AG99" s="581"/>
      <c r="AH99" s="580"/>
      <c r="AI99" s="580"/>
      <c r="AJ99" s="580"/>
      <c r="AK99" s="580"/>
      <c r="AL99" s="580"/>
      <c r="AM99" s="580"/>
      <c r="AN99" s="580"/>
      <c r="AO99" s="580"/>
      <c r="AP99" s="580"/>
      <c r="AQ99" s="580"/>
      <c r="AR99" s="580"/>
      <c r="AS99" s="580"/>
    </row>
    <row r="100" spans="2:50" s="159" customFormat="1" ht="15" customHeight="1">
      <c r="B100" s="1273">
        <f>C35</f>
        <v>0</v>
      </c>
      <c r="C100" s="1273"/>
      <c r="D100" s="1273"/>
      <c r="E100" s="1273"/>
      <c r="F100" s="1273"/>
      <c r="G100" s="1273"/>
      <c r="H100" s="1273"/>
      <c r="I100" s="1273"/>
      <c r="J100" s="1273"/>
      <c r="K100" s="1273"/>
      <c r="L100" s="1273"/>
      <c r="M100" s="126"/>
      <c r="N100" s="126"/>
      <c r="O100" s="1284">
        <f>B100</f>
        <v>0</v>
      </c>
      <c r="P100" s="1338"/>
      <c r="Q100" s="1338"/>
      <c r="R100" s="1338"/>
      <c r="S100" s="1338"/>
      <c r="T100" s="1338"/>
      <c r="U100" s="1338"/>
      <c r="V100" s="1338"/>
      <c r="W100" s="1338"/>
      <c r="X100" s="1338"/>
      <c r="Y100" s="1338"/>
      <c r="Z100" s="1338"/>
      <c r="AA100" s="1338"/>
      <c r="AB100" s="1338"/>
      <c r="AC100" s="1338"/>
      <c r="AD100" s="1338"/>
      <c r="AE100" s="1285"/>
      <c r="AG100" s="581" t="s">
        <v>1034</v>
      </c>
      <c r="AH100" s="175">
        <f>Z60</f>
        <v>0</v>
      </c>
      <c r="AI100" s="175">
        <f>AH100</f>
        <v>0</v>
      </c>
      <c r="AJ100" s="175">
        <f t="shared" ref="AJ100:AS100" si="41">AI100</f>
        <v>0</v>
      </c>
      <c r="AK100" s="175">
        <f t="shared" si="41"/>
        <v>0</v>
      </c>
      <c r="AL100" s="175">
        <f t="shared" si="41"/>
        <v>0</v>
      </c>
      <c r="AM100" s="175">
        <f t="shared" si="41"/>
        <v>0</v>
      </c>
      <c r="AN100" s="175">
        <f t="shared" si="41"/>
        <v>0</v>
      </c>
      <c r="AO100" s="175">
        <f t="shared" si="41"/>
        <v>0</v>
      </c>
      <c r="AP100" s="175">
        <f t="shared" si="41"/>
        <v>0</v>
      </c>
      <c r="AQ100" s="175">
        <f t="shared" si="41"/>
        <v>0</v>
      </c>
      <c r="AR100" s="175">
        <f t="shared" si="41"/>
        <v>0</v>
      </c>
      <c r="AS100" s="175">
        <f t="shared" si="41"/>
        <v>0</v>
      </c>
      <c r="AX100" s="126"/>
    </row>
    <row r="101" spans="2:50" ht="6" customHeight="1">
      <c r="L101" s="126"/>
      <c r="V101" s="148"/>
      <c r="AA101" s="580"/>
    </row>
    <row r="102" spans="2:50" ht="15" customHeight="1">
      <c r="B102" s="1273"/>
      <c r="C102" s="1323" t="s">
        <v>1184</v>
      </c>
      <c r="D102" s="1323"/>
      <c r="E102" s="1323"/>
      <c r="F102" s="1323" t="s">
        <v>1188</v>
      </c>
      <c r="G102" s="1323"/>
      <c r="H102" s="1323" t="s">
        <v>1203</v>
      </c>
      <c r="I102" s="1323"/>
      <c r="J102" s="1281" t="s">
        <v>790</v>
      </c>
      <c r="K102" s="1281" t="s">
        <v>1136</v>
      </c>
      <c r="L102" s="1281"/>
      <c r="O102" s="580" t="s">
        <v>1651</v>
      </c>
      <c r="P102" s="1281" t="s">
        <v>1064</v>
      </c>
      <c r="Q102" s="580" t="s">
        <v>1652</v>
      </c>
      <c r="R102" s="1273" t="s">
        <v>1191</v>
      </c>
      <c r="S102" s="580" t="s">
        <v>1190</v>
      </c>
      <c r="T102" s="1273" t="s">
        <v>1192</v>
      </c>
      <c r="U102" s="1323" t="s">
        <v>1653</v>
      </c>
      <c r="V102" s="1323"/>
      <c r="W102" s="580" t="s">
        <v>1654</v>
      </c>
      <c r="X102" s="1273" t="s">
        <v>1403</v>
      </c>
      <c r="Y102" s="1273" t="s">
        <v>1404</v>
      </c>
      <c r="Z102" s="1273" t="s">
        <v>1210</v>
      </c>
      <c r="AA102" s="1273" t="s">
        <v>1201</v>
      </c>
      <c r="AB102" s="1273" t="s">
        <v>1202</v>
      </c>
      <c r="AC102" s="1281" t="s">
        <v>850</v>
      </c>
      <c r="AD102" s="1281" t="str">
        <f>AC102</f>
        <v>W/K Inv</v>
      </c>
      <c r="AE102" s="226" t="s">
        <v>1017</v>
      </c>
      <c r="AG102" s="581" t="s">
        <v>1525</v>
      </c>
      <c r="AH102" s="590" t="e">
        <f>AH98+AH100</f>
        <v>#N/A</v>
      </c>
      <c r="AI102" s="590" t="e">
        <f t="shared" ref="AI102:AS102" si="42">AI98+AI100</f>
        <v>#N/A</v>
      </c>
      <c r="AJ102" s="590" t="e">
        <f t="shared" si="42"/>
        <v>#N/A</v>
      </c>
      <c r="AK102" s="590" t="e">
        <f t="shared" si="42"/>
        <v>#N/A</v>
      </c>
      <c r="AL102" s="590" t="e">
        <f t="shared" si="42"/>
        <v>#N/A</v>
      </c>
      <c r="AM102" s="590" t="e">
        <f t="shared" si="42"/>
        <v>#N/A</v>
      </c>
      <c r="AN102" s="590" t="e">
        <f t="shared" si="42"/>
        <v>#N/A</v>
      </c>
      <c r="AO102" s="590" t="e">
        <f t="shared" si="42"/>
        <v>#N/A</v>
      </c>
      <c r="AP102" s="590" t="e">
        <f t="shared" si="42"/>
        <v>#N/A</v>
      </c>
      <c r="AQ102" s="590" t="e">
        <f t="shared" si="42"/>
        <v>#N/A</v>
      </c>
      <c r="AR102" s="590" t="e">
        <f t="shared" si="42"/>
        <v>#N/A</v>
      </c>
      <c r="AS102" s="590" t="e">
        <f t="shared" si="42"/>
        <v>#N/A</v>
      </c>
    </row>
    <row r="103" spans="2:50" ht="15" customHeight="1">
      <c r="B103" s="1273"/>
      <c r="C103" s="148" t="s">
        <v>623</v>
      </c>
      <c r="D103" s="580" t="s">
        <v>1185</v>
      </c>
      <c r="E103" s="580" t="s">
        <v>1186</v>
      </c>
      <c r="F103" s="580" t="s">
        <v>623</v>
      </c>
      <c r="G103" s="580" t="s">
        <v>1189</v>
      </c>
      <c r="H103" s="580" t="s">
        <v>757</v>
      </c>
      <c r="I103" s="580" t="s">
        <v>650</v>
      </c>
      <c r="J103" s="1281"/>
      <c r="K103" s="166" t="s">
        <v>623</v>
      </c>
      <c r="L103" s="602" t="s">
        <v>1122</v>
      </c>
      <c r="O103" s="580" t="s">
        <v>1187</v>
      </c>
      <c r="P103" s="1281"/>
      <c r="Q103" s="580" t="s">
        <v>1187</v>
      </c>
      <c r="R103" s="1273"/>
      <c r="S103" s="580" t="s">
        <v>18</v>
      </c>
      <c r="T103" s="1273"/>
      <c r="U103" s="580" t="s">
        <v>1199</v>
      </c>
      <c r="V103" s="148" t="s">
        <v>1200</v>
      </c>
      <c r="W103" s="176" t="s">
        <v>1187</v>
      </c>
      <c r="X103" s="1273"/>
      <c r="Y103" s="1273"/>
      <c r="Z103" s="1273"/>
      <c r="AA103" s="1273"/>
      <c r="AB103" s="1273"/>
      <c r="AC103" s="1281"/>
      <c r="AD103" s="1281"/>
      <c r="AE103" s="603" t="e">
        <f>Q35</f>
        <v>#N/A</v>
      </c>
    </row>
    <row r="104" spans="2:50" ht="15" customHeight="1">
      <c r="B104" s="581" t="s">
        <v>225</v>
      </c>
      <c r="C104" s="604"/>
      <c r="D104" s="604"/>
      <c r="E104" s="604"/>
      <c r="F104" s="604"/>
      <c r="G104" s="604"/>
      <c r="H104" s="176" t="e">
        <f t="shared" ref="H104:H112" si="43">IF(W104=0,"-",IF($O$4=6,"No Aplica",HLOOKUP(AA104,ZONA2,2,TRUE)))</f>
        <v>#N/A</v>
      </c>
      <c r="I104" s="176" t="e">
        <f t="shared" ref="I104:I112" si="44">IF(W104=0,"-",IF($O$4=6,HLOOKUP(AB104,ZONA3,2,TRUE),HLOOKUP(AB104,ZONA1,2,TRUE)))</f>
        <v>#N/A</v>
      </c>
      <c r="J104" s="604"/>
      <c r="K104" s="604"/>
      <c r="L104" s="604"/>
      <c r="O104" s="590" t="e">
        <f t="shared" ref="O104:O112" si="45">$W$104-Q104</f>
        <v>#N/A</v>
      </c>
      <c r="P104" s="176">
        <f>IF('BASE DE DATOS'!HC17="B",2.9,IF('BASE DE DATOS'!HC17="D",3.23,6))</f>
        <v>6</v>
      </c>
      <c r="Q104" s="580" t="e">
        <f t="shared" ref="Q104:Q112" si="46">W104*0.02</f>
        <v>#N/A</v>
      </c>
      <c r="R104" s="580">
        <f>IF('BASE DE DATOS'!HC17="B",2.2,IF('BASE DE DATOS'!HC17="D",3.3,5.8))</f>
        <v>5.8</v>
      </c>
      <c r="S104" s="590" t="e">
        <f t="shared" ref="S104:S112" si="47">(W104/2)+2</f>
        <v>#N/A</v>
      </c>
      <c r="T104" s="176" t="e">
        <f t="shared" ref="T104:T112" si="48">((O104*P104)+(Q104*R104)+(S104*0.02))/W104</f>
        <v>#N/A</v>
      </c>
      <c r="U104" s="580">
        <f>IF('BASE DE DATOS'!HC17="B",100,IF('BASE DE DATOS'!HC17="D",200,300))</f>
        <v>300</v>
      </c>
      <c r="V104" s="176" t="e">
        <f t="shared" ref="V104:V112" si="49">IF(W104=0,0,U104*W104)</f>
        <v>#N/A</v>
      </c>
      <c r="W104" s="605" t="e">
        <f>IF($R$35=2,$O$35/2,IF($R$35=4,$O$35/4,IF($R$35=6,$O$35/6,IF($R$35=8,$O$35/8,IF($R$35=9,$O$35/9)))))</f>
        <v>#N/A</v>
      </c>
      <c r="X104" s="606" t="e">
        <f t="shared" ref="X104:X112" si="50">(V104*$AW$112)</f>
        <v>#N/A</v>
      </c>
      <c r="Y104" s="606" t="e">
        <f t="shared" ref="Y104:Y112" si="51">V104*$AW$114</f>
        <v>#N/A</v>
      </c>
      <c r="Z104" s="148">
        <f>IF('BASE DE DATOS'!HC17="B",0.5,IF('BASE DE DATOS'!HC17="D",2,3))</f>
        <v>3</v>
      </c>
      <c r="AA104" s="176" t="e">
        <f t="shared" ref="AA104:AA112" si="52">IF(W104=0,0,(($AW$104*Z104)+X104+(T104*$AW$108))/W104)</f>
        <v>#N/A</v>
      </c>
      <c r="AB104" s="176" t="e">
        <f>IF(W104=0,0,(($AW$106*Z104)-(X104+T104)*$AW$110)/W104)</f>
        <v>#N/A</v>
      </c>
      <c r="AC104" s="590" t="e">
        <f>IF(W104=0,0,(T104*O104))</f>
        <v>#N/A</v>
      </c>
      <c r="AD104" s="590" t="e">
        <f t="shared" ref="AD104:AD112" si="53">AC104</f>
        <v>#N/A</v>
      </c>
      <c r="AG104" s="581" t="s">
        <v>1527</v>
      </c>
      <c r="AH104" s="590" t="e">
        <f>AH90/AH102</f>
        <v>#N/A</v>
      </c>
      <c r="AI104" s="590" t="e">
        <f t="shared" ref="AI104:AS104" si="54">AI90/AI102</f>
        <v>#N/A</v>
      </c>
      <c r="AJ104" s="590" t="e">
        <f t="shared" si="54"/>
        <v>#N/A</v>
      </c>
      <c r="AK104" s="590" t="e">
        <f t="shared" si="54"/>
        <v>#N/A</v>
      </c>
      <c r="AL104" s="590" t="e">
        <f t="shared" si="54"/>
        <v>#N/A</v>
      </c>
      <c r="AM104" s="590" t="e">
        <f t="shared" si="54"/>
        <v>#N/A</v>
      </c>
      <c r="AN104" s="590" t="e">
        <f t="shared" si="54"/>
        <v>#N/A</v>
      </c>
      <c r="AO104" s="590" t="e">
        <f t="shared" si="54"/>
        <v>#N/A</v>
      </c>
      <c r="AP104" s="590" t="e">
        <f t="shared" si="54"/>
        <v>#N/A</v>
      </c>
      <c r="AQ104" s="590" t="e">
        <f t="shared" si="54"/>
        <v>#N/A</v>
      </c>
      <c r="AR104" s="590" t="e">
        <f t="shared" si="54"/>
        <v>#N/A</v>
      </c>
      <c r="AS104" s="590" t="e">
        <f t="shared" si="54"/>
        <v>#N/A</v>
      </c>
      <c r="AV104" s="148" t="s">
        <v>1205</v>
      </c>
      <c r="AW104" s="148">
        <f>ENERGÍA!AY110</f>
        <v>0</v>
      </c>
    </row>
    <row r="105" spans="2:50" ht="15" customHeight="1">
      <c r="B105" s="581" t="s">
        <v>225</v>
      </c>
      <c r="C105" s="604"/>
      <c r="D105" s="604"/>
      <c r="E105" s="604"/>
      <c r="F105" s="604"/>
      <c r="G105" s="604"/>
      <c r="H105" s="176" t="e">
        <f t="shared" si="43"/>
        <v>#N/A</v>
      </c>
      <c r="I105" s="176" t="e">
        <f t="shared" si="44"/>
        <v>#N/A</v>
      </c>
      <c r="J105" s="604"/>
      <c r="K105" s="604"/>
      <c r="L105" s="604"/>
      <c r="O105" s="590" t="e">
        <f t="shared" si="45"/>
        <v>#N/A</v>
      </c>
      <c r="P105" s="176">
        <f>P104</f>
        <v>6</v>
      </c>
      <c r="Q105" s="580" t="e">
        <f t="shared" si="46"/>
        <v>#N/A</v>
      </c>
      <c r="R105" s="580">
        <f>R104</f>
        <v>5.8</v>
      </c>
      <c r="S105" s="590" t="e">
        <f t="shared" si="47"/>
        <v>#N/A</v>
      </c>
      <c r="T105" s="176" t="e">
        <f t="shared" si="48"/>
        <v>#N/A</v>
      </c>
      <c r="U105" s="580">
        <f>U104</f>
        <v>300</v>
      </c>
      <c r="V105" s="176" t="e">
        <f t="shared" si="49"/>
        <v>#N/A</v>
      </c>
      <c r="W105" s="605" t="e">
        <f t="shared" ref="W105" si="55">IF($R$35=2,$O$35/2,IF($R$35=4,$O$35/4,IF($R$35=6,$O$35/6,IF($R$35=8,$O$35/8,IF($R$35=9,$O$35/9)))))</f>
        <v>#N/A</v>
      </c>
      <c r="X105" s="606" t="e">
        <f t="shared" si="50"/>
        <v>#N/A</v>
      </c>
      <c r="Y105" s="606" t="e">
        <f t="shared" si="51"/>
        <v>#N/A</v>
      </c>
      <c r="Z105" s="580">
        <f>Z104</f>
        <v>3</v>
      </c>
      <c r="AA105" s="176" t="e">
        <f t="shared" si="52"/>
        <v>#N/A</v>
      </c>
      <c r="AB105" s="176" t="e">
        <f t="shared" ref="AB105:AB112" si="56">IF(W105=0,0,(($AW$106*Z105)-(X105+T105)*$AW$110)/W105)</f>
        <v>#N/A</v>
      </c>
      <c r="AC105" s="590" t="e">
        <f t="shared" ref="AC105:AC112" si="57">IF(W105=0,0,(T105*O105))</f>
        <v>#N/A</v>
      </c>
      <c r="AD105" s="590" t="e">
        <f t="shared" si="53"/>
        <v>#N/A</v>
      </c>
      <c r="AG105" s="607" t="s">
        <v>1526</v>
      </c>
      <c r="AH105" s="603" t="e">
        <f>AH62+AH104</f>
        <v>#N/A</v>
      </c>
      <c r="AI105" s="603" t="e">
        <f t="shared" ref="AI105:AS105" si="58">AI62+AI104</f>
        <v>#N/A</v>
      </c>
      <c r="AJ105" s="603" t="e">
        <f t="shared" si="58"/>
        <v>#N/A</v>
      </c>
      <c r="AK105" s="603" t="e">
        <f t="shared" si="58"/>
        <v>#N/A</v>
      </c>
      <c r="AL105" s="603" t="e">
        <f t="shared" si="58"/>
        <v>#N/A</v>
      </c>
      <c r="AM105" s="603" t="e">
        <f t="shared" si="58"/>
        <v>#N/A</v>
      </c>
      <c r="AN105" s="603" t="e">
        <f t="shared" si="58"/>
        <v>#N/A</v>
      </c>
      <c r="AO105" s="603" t="e">
        <f t="shared" si="58"/>
        <v>#N/A</v>
      </c>
      <c r="AP105" s="603" t="e">
        <f t="shared" si="58"/>
        <v>#N/A</v>
      </c>
      <c r="AQ105" s="603" t="e">
        <f t="shared" si="58"/>
        <v>#N/A</v>
      </c>
      <c r="AR105" s="603" t="e">
        <f t="shared" si="58"/>
        <v>#N/A</v>
      </c>
      <c r="AS105" s="603" t="e">
        <f t="shared" si="58"/>
        <v>#N/A</v>
      </c>
      <c r="AW105" s="580"/>
    </row>
    <row r="106" spans="2:50" ht="15" customHeight="1">
      <c r="B106" s="581" t="s">
        <v>225</v>
      </c>
      <c r="C106" s="604"/>
      <c r="D106" s="604"/>
      <c r="E106" s="604"/>
      <c r="F106" s="604"/>
      <c r="G106" s="604"/>
      <c r="H106" s="176" t="e">
        <f t="shared" si="43"/>
        <v>#N/A</v>
      </c>
      <c r="I106" s="176" t="e">
        <f t="shared" si="44"/>
        <v>#N/A</v>
      </c>
      <c r="J106" s="604"/>
      <c r="K106" s="604"/>
      <c r="L106" s="604"/>
      <c r="O106" s="590" t="e">
        <f t="shared" si="45"/>
        <v>#N/A</v>
      </c>
      <c r="P106" s="176">
        <f t="shared" ref="P106:P112" si="59">P105</f>
        <v>6</v>
      </c>
      <c r="Q106" s="580" t="e">
        <f t="shared" si="46"/>
        <v>#N/A</v>
      </c>
      <c r="R106" s="580">
        <f t="shared" ref="R106:R112" si="60">R105</f>
        <v>5.8</v>
      </c>
      <c r="S106" s="590" t="e">
        <f t="shared" si="47"/>
        <v>#N/A</v>
      </c>
      <c r="T106" s="176" t="e">
        <f t="shared" si="48"/>
        <v>#N/A</v>
      </c>
      <c r="U106" s="580">
        <f t="shared" ref="U106:U112" si="61">U105</f>
        <v>300</v>
      </c>
      <c r="V106" s="176" t="e">
        <f t="shared" si="49"/>
        <v>#N/A</v>
      </c>
      <c r="W106" s="605" t="e">
        <f>IF($R$35=2,0,IF($R$35=4,$O$35/4,IF($R$35=6,$O$35/6,IF($R$35=8,$O$35/8,IF($R$35=9,$O$35/9)))))</f>
        <v>#N/A</v>
      </c>
      <c r="X106" s="606" t="e">
        <f t="shared" si="50"/>
        <v>#N/A</v>
      </c>
      <c r="Y106" s="606" t="e">
        <f t="shared" si="51"/>
        <v>#N/A</v>
      </c>
      <c r="Z106" s="580">
        <f t="shared" ref="Z106:Z112" si="62">Z105</f>
        <v>3</v>
      </c>
      <c r="AA106" s="176" t="e">
        <f t="shared" si="52"/>
        <v>#N/A</v>
      </c>
      <c r="AB106" s="176" t="e">
        <f t="shared" si="56"/>
        <v>#N/A</v>
      </c>
      <c r="AC106" s="590" t="e">
        <f t="shared" si="57"/>
        <v>#N/A</v>
      </c>
      <c r="AD106" s="590" t="e">
        <f t="shared" si="53"/>
        <v>#N/A</v>
      </c>
      <c r="AG106" s="581" t="s">
        <v>1529</v>
      </c>
      <c r="AH106" s="590" t="e">
        <f>IF((AH105-$AW$60)&lt;0,0,AH105-$AW$60)</f>
        <v>#N/A</v>
      </c>
      <c r="AI106" s="590" t="e">
        <f t="shared" ref="AI106:AS106" si="63">IF((AI105-$AW$60)&lt;0,0,AI105-$AW$60)</f>
        <v>#N/A</v>
      </c>
      <c r="AJ106" s="590" t="e">
        <f t="shared" si="63"/>
        <v>#N/A</v>
      </c>
      <c r="AK106" s="590" t="e">
        <f t="shared" si="63"/>
        <v>#N/A</v>
      </c>
      <c r="AL106" s="590" t="e">
        <f t="shared" si="63"/>
        <v>#N/A</v>
      </c>
      <c r="AM106" s="590" t="e">
        <f t="shared" si="63"/>
        <v>#N/A</v>
      </c>
      <c r="AN106" s="590" t="e">
        <f t="shared" si="63"/>
        <v>#N/A</v>
      </c>
      <c r="AO106" s="590" t="e">
        <f t="shared" si="63"/>
        <v>#N/A</v>
      </c>
      <c r="AP106" s="590" t="e">
        <f t="shared" si="63"/>
        <v>#N/A</v>
      </c>
      <c r="AQ106" s="590" t="e">
        <f t="shared" si="63"/>
        <v>#N/A</v>
      </c>
      <c r="AR106" s="590" t="e">
        <f t="shared" si="63"/>
        <v>#N/A</v>
      </c>
      <c r="AS106" s="590" t="e">
        <f t="shared" si="63"/>
        <v>#N/A</v>
      </c>
      <c r="AV106" s="148" t="s">
        <v>1209</v>
      </c>
      <c r="AW106" s="148">
        <f>ENERGÍA!AY112</f>
        <v>0</v>
      </c>
    </row>
    <row r="107" spans="2:50" ht="15" customHeight="1">
      <c r="B107" s="581" t="s">
        <v>225</v>
      </c>
      <c r="C107" s="604"/>
      <c r="D107" s="604"/>
      <c r="E107" s="604"/>
      <c r="F107" s="604"/>
      <c r="G107" s="604"/>
      <c r="H107" s="176" t="e">
        <f t="shared" si="43"/>
        <v>#N/A</v>
      </c>
      <c r="I107" s="176" t="e">
        <f t="shared" si="44"/>
        <v>#N/A</v>
      </c>
      <c r="J107" s="604"/>
      <c r="K107" s="604"/>
      <c r="L107" s="604"/>
      <c r="O107" s="590" t="e">
        <f t="shared" si="45"/>
        <v>#N/A</v>
      </c>
      <c r="P107" s="176">
        <f t="shared" si="59"/>
        <v>6</v>
      </c>
      <c r="Q107" s="580" t="e">
        <f t="shared" si="46"/>
        <v>#N/A</v>
      </c>
      <c r="R107" s="580">
        <f t="shared" si="60"/>
        <v>5.8</v>
      </c>
      <c r="S107" s="590" t="e">
        <f t="shared" si="47"/>
        <v>#N/A</v>
      </c>
      <c r="T107" s="176" t="e">
        <f t="shared" si="48"/>
        <v>#N/A</v>
      </c>
      <c r="U107" s="580">
        <f t="shared" si="61"/>
        <v>300</v>
      </c>
      <c r="V107" s="176" t="e">
        <f t="shared" si="49"/>
        <v>#N/A</v>
      </c>
      <c r="W107" s="605" t="e">
        <f>IF($R$35=2,0,IF($R$35=4,$O$35/4,IF($R$35=6,$O$35/6,IF($R$35=8,$O$35/8,IF($R$35=9,$O$35/9)))))</f>
        <v>#N/A</v>
      </c>
      <c r="X107" s="606" t="e">
        <f t="shared" si="50"/>
        <v>#N/A</v>
      </c>
      <c r="Y107" s="606" t="e">
        <f t="shared" si="51"/>
        <v>#N/A</v>
      </c>
      <c r="Z107" s="580">
        <f t="shared" si="62"/>
        <v>3</v>
      </c>
      <c r="AA107" s="176" t="e">
        <f t="shared" si="52"/>
        <v>#N/A</v>
      </c>
      <c r="AB107" s="176" t="e">
        <f t="shared" si="56"/>
        <v>#N/A</v>
      </c>
      <c r="AC107" s="590" t="e">
        <f t="shared" si="57"/>
        <v>#N/A</v>
      </c>
      <c r="AD107" s="590" t="e">
        <f t="shared" si="53"/>
        <v>#N/A</v>
      </c>
      <c r="AG107" s="581" t="s">
        <v>1530</v>
      </c>
      <c r="AH107" s="590" t="e">
        <f>IF(AH105&gt;$AW$60,0,IF(AH105&lt;$AW$59,$AW$59-AH105,0))</f>
        <v>#N/A</v>
      </c>
      <c r="AI107" s="590" t="e">
        <f t="shared" ref="AI107:AS107" si="64">IF(AI105&gt;$AW$60,0,IF(AI105&lt;$AW$59,$AW$59-AI105,0))</f>
        <v>#N/A</v>
      </c>
      <c r="AJ107" s="590" t="e">
        <f t="shared" si="64"/>
        <v>#N/A</v>
      </c>
      <c r="AK107" s="590" t="e">
        <f t="shared" si="64"/>
        <v>#N/A</v>
      </c>
      <c r="AL107" s="590" t="e">
        <f t="shared" si="64"/>
        <v>#N/A</v>
      </c>
      <c r="AM107" s="590" t="e">
        <f t="shared" si="64"/>
        <v>#N/A</v>
      </c>
      <c r="AN107" s="590" t="e">
        <f t="shared" si="64"/>
        <v>#N/A</v>
      </c>
      <c r="AO107" s="590" t="e">
        <f t="shared" si="64"/>
        <v>#N/A</v>
      </c>
      <c r="AP107" s="590" t="e">
        <f t="shared" si="64"/>
        <v>#N/A</v>
      </c>
      <c r="AQ107" s="590" t="e">
        <f t="shared" si="64"/>
        <v>#N/A</v>
      </c>
      <c r="AR107" s="590" t="e">
        <f t="shared" si="64"/>
        <v>#N/A</v>
      </c>
      <c r="AS107" s="590" t="e">
        <f t="shared" si="64"/>
        <v>#N/A</v>
      </c>
      <c r="AW107" s="580"/>
    </row>
    <row r="108" spans="2:50" ht="15" customHeight="1">
      <c r="B108" s="581" t="s">
        <v>225</v>
      </c>
      <c r="C108" s="604"/>
      <c r="D108" s="604"/>
      <c r="E108" s="604"/>
      <c r="F108" s="604"/>
      <c r="G108" s="604"/>
      <c r="H108" s="176" t="e">
        <f t="shared" si="43"/>
        <v>#N/A</v>
      </c>
      <c r="I108" s="176" t="e">
        <f t="shared" si="44"/>
        <v>#N/A</v>
      </c>
      <c r="J108" s="604"/>
      <c r="K108" s="604"/>
      <c r="L108" s="604"/>
      <c r="O108" s="590" t="e">
        <f t="shared" si="45"/>
        <v>#N/A</v>
      </c>
      <c r="P108" s="176">
        <f t="shared" si="59"/>
        <v>6</v>
      </c>
      <c r="Q108" s="580" t="e">
        <f t="shared" si="46"/>
        <v>#N/A</v>
      </c>
      <c r="R108" s="580">
        <f t="shared" si="60"/>
        <v>5.8</v>
      </c>
      <c r="S108" s="590" t="e">
        <f t="shared" si="47"/>
        <v>#N/A</v>
      </c>
      <c r="T108" s="176" t="e">
        <f t="shared" si="48"/>
        <v>#N/A</v>
      </c>
      <c r="U108" s="580">
        <f t="shared" si="61"/>
        <v>300</v>
      </c>
      <c r="V108" s="176" t="e">
        <f t="shared" si="49"/>
        <v>#N/A</v>
      </c>
      <c r="W108" s="605" t="e">
        <f>IF($R$35=2,0,IF($R$35=4,0,IF($R$35=6,$O$35/6,IF($R$35=8,$O$35/8,IF($R$35=9,$O$35/9)))))</f>
        <v>#N/A</v>
      </c>
      <c r="X108" s="606" t="e">
        <f t="shared" si="50"/>
        <v>#N/A</v>
      </c>
      <c r="Y108" s="606" t="e">
        <f t="shared" si="51"/>
        <v>#N/A</v>
      </c>
      <c r="Z108" s="580">
        <f t="shared" si="62"/>
        <v>3</v>
      </c>
      <c r="AA108" s="176" t="e">
        <f t="shared" si="52"/>
        <v>#N/A</v>
      </c>
      <c r="AB108" s="176" t="e">
        <f t="shared" si="56"/>
        <v>#N/A</v>
      </c>
      <c r="AC108" s="590" t="e">
        <f t="shared" si="57"/>
        <v>#N/A</v>
      </c>
      <c r="AD108" s="590" t="e">
        <f t="shared" si="53"/>
        <v>#N/A</v>
      </c>
      <c r="AG108" s="581" t="s">
        <v>1540</v>
      </c>
      <c r="AH108" s="590" t="e">
        <f>(AH106+AH107)*24</f>
        <v>#N/A</v>
      </c>
      <c r="AI108" s="590" t="e">
        <f t="shared" ref="AI108:AS108" si="65">(AI106+AI107)*24</f>
        <v>#N/A</v>
      </c>
      <c r="AJ108" s="590" t="e">
        <f t="shared" si="65"/>
        <v>#N/A</v>
      </c>
      <c r="AK108" s="590" t="e">
        <f t="shared" si="65"/>
        <v>#N/A</v>
      </c>
      <c r="AL108" s="590" t="e">
        <f t="shared" si="65"/>
        <v>#N/A</v>
      </c>
      <c r="AM108" s="590" t="e">
        <f t="shared" si="65"/>
        <v>#N/A</v>
      </c>
      <c r="AN108" s="590" t="e">
        <f t="shared" si="65"/>
        <v>#N/A</v>
      </c>
      <c r="AO108" s="590" t="e">
        <f t="shared" si="65"/>
        <v>#N/A</v>
      </c>
      <c r="AP108" s="590" t="e">
        <f t="shared" si="65"/>
        <v>#N/A</v>
      </c>
      <c r="AQ108" s="590" t="e">
        <f t="shared" si="65"/>
        <v>#N/A</v>
      </c>
      <c r="AR108" s="590" t="e">
        <f t="shared" si="65"/>
        <v>#N/A</v>
      </c>
      <c r="AS108" s="590" t="e">
        <f t="shared" si="65"/>
        <v>#N/A</v>
      </c>
      <c r="AV108" s="148" t="s">
        <v>1207</v>
      </c>
      <c r="AW108" s="148">
        <f>ENERGÍA!AY114</f>
        <v>0</v>
      </c>
    </row>
    <row r="109" spans="2:50" ht="15" customHeight="1">
      <c r="B109" s="581" t="s">
        <v>225</v>
      </c>
      <c r="C109" s="604"/>
      <c r="D109" s="604"/>
      <c r="E109" s="604"/>
      <c r="F109" s="604"/>
      <c r="G109" s="604"/>
      <c r="H109" s="176" t="e">
        <f t="shared" si="43"/>
        <v>#N/A</v>
      </c>
      <c r="I109" s="176" t="e">
        <f t="shared" si="44"/>
        <v>#N/A</v>
      </c>
      <c r="J109" s="604"/>
      <c r="K109" s="604"/>
      <c r="L109" s="604"/>
      <c r="O109" s="590" t="e">
        <f t="shared" si="45"/>
        <v>#N/A</v>
      </c>
      <c r="P109" s="176">
        <f t="shared" si="59"/>
        <v>6</v>
      </c>
      <c r="Q109" s="580" t="e">
        <f t="shared" si="46"/>
        <v>#N/A</v>
      </c>
      <c r="R109" s="580">
        <f t="shared" si="60"/>
        <v>5.8</v>
      </c>
      <c r="S109" s="590" t="e">
        <f t="shared" si="47"/>
        <v>#N/A</v>
      </c>
      <c r="T109" s="176" t="e">
        <f t="shared" si="48"/>
        <v>#N/A</v>
      </c>
      <c r="U109" s="580">
        <f t="shared" si="61"/>
        <v>300</v>
      </c>
      <c r="V109" s="176" t="e">
        <f t="shared" si="49"/>
        <v>#N/A</v>
      </c>
      <c r="W109" s="605" t="e">
        <f>IF($R$35=2,0,IF($R$35=4,0,IF($R$35=6,$O$35/6,IF($R$35=8,$O$35/8,IF($R$35=9,$O$35/9)))))</f>
        <v>#N/A</v>
      </c>
      <c r="X109" s="606" t="e">
        <f t="shared" si="50"/>
        <v>#N/A</v>
      </c>
      <c r="Y109" s="606" t="e">
        <f t="shared" si="51"/>
        <v>#N/A</v>
      </c>
      <c r="Z109" s="580">
        <f t="shared" si="62"/>
        <v>3</v>
      </c>
      <c r="AA109" s="176" t="e">
        <f t="shared" si="52"/>
        <v>#N/A</v>
      </c>
      <c r="AB109" s="176" t="e">
        <f t="shared" si="56"/>
        <v>#N/A</v>
      </c>
      <c r="AC109" s="590" t="e">
        <f t="shared" si="57"/>
        <v>#N/A</v>
      </c>
      <c r="AD109" s="590" t="e">
        <f t="shared" si="53"/>
        <v>#N/A</v>
      </c>
      <c r="AW109" s="580"/>
    </row>
    <row r="110" spans="2:50" ht="15" customHeight="1">
      <c r="B110" s="581" t="s">
        <v>225</v>
      </c>
      <c r="C110" s="604"/>
      <c r="D110" s="604"/>
      <c r="E110" s="604"/>
      <c r="F110" s="604"/>
      <c r="G110" s="604"/>
      <c r="H110" s="176" t="e">
        <f t="shared" si="43"/>
        <v>#N/A</v>
      </c>
      <c r="I110" s="176" t="e">
        <f t="shared" si="44"/>
        <v>#N/A</v>
      </c>
      <c r="J110" s="604"/>
      <c r="K110" s="604"/>
      <c r="L110" s="604"/>
      <c r="O110" s="590" t="e">
        <f t="shared" si="45"/>
        <v>#N/A</v>
      </c>
      <c r="P110" s="176">
        <f t="shared" si="59"/>
        <v>6</v>
      </c>
      <c r="Q110" s="580" t="e">
        <f t="shared" si="46"/>
        <v>#N/A</v>
      </c>
      <c r="R110" s="580">
        <f t="shared" si="60"/>
        <v>5.8</v>
      </c>
      <c r="S110" s="590" t="e">
        <f t="shared" si="47"/>
        <v>#N/A</v>
      </c>
      <c r="T110" s="176" t="e">
        <f t="shared" si="48"/>
        <v>#N/A</v>
      </c>
      <c r="U110" s="580">
        <f t="shared" si="61"/>
        <v>300</v>
      </c>
      <c r="V110" s="176" t="e">
        <f t="shared" si="49"/>
        <v>#N/A</v>
      </c>
      <c r="W110" s="605" t="e">
        <f>IF($R$35=2,0,IF($R$35=4,0,IF($R$35=6,0,IF($R$35=8,$O$35/8,IF($R$35=9,$O$35/9)))))</f>
        <v>#N/A</v>
      </c>
      <c r="X110" s="606" t="e">
        <f t="shared" si="50"/>
        <v>#N/A</v>
      </c>
      <c r="Y110" s="606" t="e">
        <f t="shared" si="51"/>
        <v>#N/A</v>
      </c>
      <c r="Z110" s="580">
        <f t="shared" si="62"/>
        <v>3</v>
      </c>
      <c r="AA110" s="176" t="e">
        <f t="shared" si="52"/>
        <v>#N/A</v>
      </c>
      <c r="AB110" s="176" t="e">
        <f t="shared" si="56"/>
        <v>#N/A</v>
      </c>
      <c r="AC110" s="590" t="e">
        <f t="shared" si="57"/>
        <v>#N/A</v>
      </c>
      <c r="AD110" s="590" t="e">
        <f t="shared" si="53"/>
        <v>#N/A</v>
      </c>
      <c r="AV110" s="148" t="s">
        <v>1206</v>
      </c>
      <c r="AW110" s="148">
        <f>ENERGÍA!AY116</f>
        <v>0</v>
      </c>
    </row>
    <row r="111" spans="2:50" ht="15" customHeight="1">
      <c r="B111" s="581" t="s">
        <v>225</v>
      </c>
      <c r="C111" s="604"/>
      <c r="D111" s="604"/>
      <c r="E111" s="604"/>
      <c r="F111" s="604"/>
      <c r="G111" s="604"/>
      <c r="H111" s="176" t="e">
        <f t="shared" si="43"/>
        <v>#N/A</v>
      </c>
      <c r="I111" s="176" t="e">
        <f t="shared" si="44"/>
        <v>#N/A</v>
      </c>
      <c r="J111" s="604"/>
      <c r="K111" s="604"/>
      <c r="L111" s="604"/>
      <c r="O111" s="590" t="e">
        <f t="shared" si="45"/>
        <v>#N/A</v>
      </c>
      <c r="P111" s="176">
        <f t="shared" si="59"/>
        <v>6</v>
      </c>
      <c r="Q111" s="580" t="e">
        <f t="shared" si="46"/>
        <v>#N/A</v>
      </c>
      <c r="R111" s="580">
        <f t="shared" si="60"/>
        <v>5.8</v>
      </c>
      <c r="S111" s="590" t="e">
        <f t="shared" si="47"/>
        <v>#N/A</v>
      </c>
      <c r="T111" s="176" t="e">
        <f t="shared" si="48"/>
        <v>#N/A</v>
      </c>
      <c r="U111" s="580">
        <f t="shared" si="61"/>
        <v>300</v>
      </c>
      <c r="V111" s="176" t="e">
        <f t="shared" si="49"/>
        <v>#N/A</v>
      </c>
      <c r="W111" s="605" t="e">
        <f>IF($R$35=2,0,IF($R$35=4,0,IF($R$35=6,0,IF($R$35=8,$O$35/8,IF($R$35=9,$O$35/9)))))</f>
        <v>#N/A</v>
      </c>
      <c r="X111" s="606" t="e">
        <f t="shared" si="50"/>
        <v>#N/A</v>
      </c>
      <c r="Y111" s="606" t="e">
        <f t="shared" si="51"/>
        <v>#N/A</v>
      </c>
      <c r="Z111" s="580">
        <f t="shared" si="62"/>
        <v>3</v>
      </c>
      <c r="AA111" s="176" t="e">
        <f t="shared" si="52"/>
        <v>#N/A</v>
      </c>
      <c r="AB111" s="176" t="e">
        <f t="shared" si="56"/>
        <v>#N/A</v>
      </c>
      <c r="AC111" s="590" t="e">
        <f t="shared" si="57"/>
        <v>#N/A</v>
      </c>
      <c r="AD111" s="590" t="e">
        <f t="shared" si="53"/>
        <v>#N/A</v>
      </c>
      <c r="AG111" s="581" t="s">
        <v>1541</v>
      </c>
      <c r="AH111" s="580">
        <f t="shared" ref="AH111:AS111" si="66">AH64*24</f>
        <v>0</v>
      </c>
      <c r="AI111" s="580">
        <f t="shared" si="66"/>
        <v>0</v>
      </c>
      <c r="AJ111" s="580">
        <f t="shared" si="66"/>
        <v>0</v>
      </c>
      <c r="AK111" s="580">
        <f t="shared" si="66"/>
        <v>0</v>
      </c>
      <c r="AL111" s="580">
        <f t="shared" si="66"/>
        <v>0</v>
      </c>
      <c r="AM111" s="580">
        <f t="shared" si="66"/>
        <v>0</v>
      </c>
      <c r="AN111" s="580">
        <f t="shared" si="66"/>
        <v>0</v>
      </c>
      <c r="AO111" s="580">
        <f t="shared" si="66"/>
        <v>0</v>
      </c>
      <c r="AP111" s="580">
        <f t="shared" si="66"/>
        <v>0</v>
      </c>
      <c r="AQ111" s="580">
        <f t="shared" si="66"/>
        <v>0</v>
      </c>
      <c r="AR111" s="580">
        <f t="shared" si="66"/>
        <v>0</v>
      </c>
      <c r="AS111" s="580">
        <f t="shared" si="66"/>
        <v>0</v>
      </c>
      <c r="AW111" s="580"/>
    </row>
    <row r="112" spans="2:50" ht="15" customHeight="1">
      <c r="B112" s="581" t="s">
        <v>225</v>
      </c>
      <c r="C112" s="604"/>
      <c r="D112" s="604"/>
      <c r="E112" s="604"/>
      <c r="F112" s="604"/>
      <c r="G112" s="604"/>
      <c r="H112" s="176" t="e">
        <f t="shared" si="43"/>
        <v>#N/A</v>
      </c>
      <c r="I112" s="176" t="e">
        <f t="shared" si="44"/>
        <v>#N/A</v>
      </c>
      <c r="J112" s="604"/>
      <c r="K112" s="604"/>
      <c r="L112" s="604"/>
      <c r="O112" s="590" t="e">
        <f t="shared" si="45"/>
        <v>#N/A</v>
      </c>
      <c r="P112" s="176">
        <f t="shared" si="59"/>
        <v>6</v>
      </c>
      <c r="Q112" s="580" t="e">
        <f t="shared" si="46"/>
        <v>#N/A</v>
      </c>
      <c r="R112" s="580">
        <f t="shared" si="60"/>
        <v>5.8</v>
      </c>
      <c r="S112" s="590" t="e">
        <f t="shared" si="47"/>
        <v>#N/A</v>
      </c>
      <c r="T112" s="176" t="e">
        <f t="shared" si="48"/>
        <v>#N/A</v>
      </c>
      <c r="U112" s="580">
        <f t="shared" si="61"/>
        <v>300</v>
      </c>
      <c r="V112" s="176" t="e">
        <f t="shared" si="49"/>
        <v>#N/A</v>
      </c>
      <c r="W112" s="605" t="e">
        <f>IF($R$35=2,0,IF($R$35=4,0,IF($R$35=6,0,IF($R$35=8,0,IF($R$35=9,$O$35/9)))))</f>
        <v>#N/A</v>
      </c>
      <c r="X112" s="606" t="e">
        <f t="shared" si="50"/>
        <v>#N/A</v>
      </c>
      <c r="Y112" s="606" t="e">
        <f t="shared" si="51"/>
        <v>#N/A</v>
      </c>
      <c r="Z112" s="580">
        <f t="shared" si="62"/>
        <v>3</v>
      </c>
      <c r="AA112" s="176" t="e">
        <f t="shared" si="52"/>
        <v>#N/A</v>
      </c>
      <c r="AB112" s="176" t="e">
        <f t="shared" si="56"/>
        <v>#N/A</v>
      </c>
      <c r="AC112" s="590" t="e">
        <f t="shared" si="57"/>
        <v>#N/A</v>
      </c>
      <c r="AD112" s="590" t="e">
        <f t="shared" si="53"/>
        <v>#N/A</v>
      </c>
      <c r="AG112" s="581" t="s">
        <v>1545</v>
      </c>
      <c r="AH112" s="580">
        <f>(AH66*24/100)</f>
        <v>4.32</v>
      </c>
      <c r="AI112" s="580">
        <f t="shared" ref="AI112:AS112" si="67">(AI66*24/100)</f>
        <v>4.32</v>
      </c>
      <c r="AJ112" s="580">
        <f t="shared" si="67"/>
        <v>4.32</v>
      </c>
      <c r="AK112" s="580">
        <f t="shared" si="67"/>
        <v>4.32</v>
      </c>
      <c r="AL112" s="580">
        <f t="shared" si="67"/>
        <v>4.32</v>
      </c>
      <c r="AM112" s="580">
        <f t="shared" si="67"/>
        <v>4.32</v>
      </c>
      <c r="AN112" s="580">
        <f t="shared" si="67"/>
        <v>4.32</v>
      </c>
      <c r="AO112" s="580">
        <f t="shared" si="67"/>
        <v>4.32</v>
      </c>
      <c r="AP112" s="580">
        <f t="shared" si="67"/>
        <v>4.32</v>
      </c>
      <c r="AQ112" s="580">
        <f t="shared" si="67"/>
        <v>4.32</v>
      </c>
      <c r="AR112" s="580">
        <f t="shared" si="67"/>
        <v>4.32</v>
      </c>
      <c r="AS112" s="580">
        <f t="shared" si="67"/>
        <v>4.32</v>
      </c>
      <c r="AV112" s="580" t="s">
        <v>1405</v>
      </c>
      <c r="AW112" s="148">
        <f>ENERGÍA!AY118</f>
        <v>0</v>
      </c>
    </row>
    <row r="113" spans="1:50" ht="15" customHeight="1">
      <c r="D113" s="126"/>
      <c r="E113" s="126"/>
      <c r="K113" s="126"/>
      <c r="L113" s="126"/>
      <c r="Q113" s="126"/>
      <c r="R113" s="126"/>
      <c r="V113" s="126"/>
      <c r="X113" s="126"/>
      <c r="AV113" s="580"/>
      <c r="AW113" s="580"/>
    </row>
    <row r="114" spans="1:50" ht="15" customHeight="1">
      <c r="D114" s="126"/>
      <c r="E114" s="126"/>
      <c r="K114" s="126"/>
      <c r="L114" s="126"/>
      <c r="Q114" s="126"/>
      <c r="R114" s="126"/>
      <c r="V114" s="126"/>
      <c r="X114" s="126"/>
      <c r="AG114" s="581" t="s">
        <v>1544</v>
      </c>
      <c r="AH114" s="590" t="e">
        <f>IF(($AW$59-AH62)&lt;0,0,(($AW$59-AH62)*24)*AH112-AH108)</f>
        <v>#N/A</v>
      </c>
      <c r="AI114" s="590" t="e">
        <f t="shared" ref="AI114:AS114" si="68">IF(($AW$59-AI62)&lt;0,0,(($AW$59-AI62)*24)*AI112-AI108)</f>
        <v>#N/A</v>
      </c>
      <c r="AJ114" s="590" t="e">
        <f t="shared" si="68"/>
        <v>#N/A</v>
      </c>
      <c r="AK114" s="590" t="e">
        <f t="shared" si="68"/>
        <v>#N/A</v>
      </c>
      <c r="AL114" s="590" t="e">
        <f t="shared" si="68"/>
        <v>#N/A</v>
      </c>
      <c r="AM114" s="590" t="e">
        <f t="shared" si="68"/>
        <v>#N/A</v>
      </c>
      <c r="AN114" s="590" t="e">
        <f t="shared" si="68"/>
        <v>#N/A</v>
      </c>
      <c r="AO114" s="590" t="e">
        <f t="shared" si="68"/>
        <v>#N/A</v>
      </c>
      <c r="AP114" s="590" t="e">
        <f t="shared" si="68"/>
        <v>#N/A</v>
      </c>
      <c r="AQ114" s="590" t="e">
        <f t="shared" si="68"/>
        <v>#N/A</v>
      </c>
      <c r="AR114" s="590" t="e">
        <f t="shared" si="68"/>
        <v>#N/A</v>
      </c>
      <c r="AS114" s="590" t="e">
        <f t="shared" si="68"/>
        <v>#N/A</v>
      </c>
      <c r="AV114" s="580" t="s">
        <v>1406</v>
      </c>
      <c r="AW114" s="148">
        <f>ENERGÍA!AY120</f>
        <v>0</v>
      </c>
    </row>
    <row r="115" spans="1:50" ht="15" customHeight="1">
      <c r="C115" s="1323" t="s">
        <v>1204</v>
      </c>
      <c r="D115" s="1323"/>
      <c r="E115" s="580" t="s">
        <v>1185</v>
      </c>
      <c r="F115" s="580" t="s">
        <v>1186</v>
      </c>
      <c r="G115" s="580" t="s">
        <v>227</v>
      </c>
      <c r="K115" s="126"/>
      <c r="L115" s="126"/>
      <c r="Q115" s="126"/>
      <c r="R115" s="126"/>
      <c r="V115" s="126"/>
      <c r="X115" s="126"/>
      <c r="AH115" s="590" t="e">
        <f>IF(AH114&lt;0,0,AH114)</f>
        <v>#N/A</v>
      </c>
      <c r="AI115" s="590" t="e">
        <f t="shared" ref="AI115:AS115" si="69">IF(AI114&lt;0,0,AI114)</f>
        <v>#N/A</v>
      </c>
      <c r="AJ115" s="590" t="e">
        <f t="shared" si="69"/>
        <v>#N/A</v>
      </c>
      <c r="AK115" s="590" t="e">
        <f t="shared" si="69"/>
        <v>#N/A</v>
      </c>
      <c r="AL115" s="590" t="e">
        <f t="shared" si="69"/>
        <v>#N/A</v>
      </c>
      <c r="AM115" s="590" t="e">
        <f t="shared" si="69"/>
        <v>#N/A</v>
      </c>
      <c r="AN115" s="590" t="e">
        <f t="shared" si="69"/>
        <v>#N/A</v>
      </c>
      <c r="AO115" s="590" t="e">
        <f t="shared" si="69"/>
        <v>#N/A</v>
      </c>
      <c r="AP115" s="590" t="e">
        <f t="shared" si="69"/>
        <v>#N/A</v>
      </c>
      <c r="AQ115" s="590" t="e">
        <f t="shared" si="69"/>
        <v>#N/A</v>
      </c>
      <c r="AR115" s="590" t="e">
        <f t="shared" si="69"/>
        <v>#N/A</v>
      </c>
      <c r="AS115" s="590" t="e">
        <f t="shared" si="69"/>
        <v>#N/A</v>
      </c>
      <c r="AW115" s="580"/>
    </row>
    <row r="116" spans="1:50" ht="15" customHeight="1">
      <c r="B116" s="581" t="s">
        <v>768</v>
      </c>
      <c r="C116" s="1324"/>
      <c r="D116" s="1324"/>
      <c r="E116" s="589">
        <f>ENERGÍA!F122</f>
        <v>0</v>
      </c>
      <c r="F116" s="589">
        <f>ENERGÍA!G122</f>
        <v>0</v>
      </c>
      <c r="G116" s="589">
        <f>ENERGÍA!H122</f>
        <v>0</v>
      </c>
      <c r="K116" s="126"/>
      <c r="L116" s="126"/>
      <c r="T116" s="590">
        <f>ENERGÍA!U122</f>
        <v>0</v>
      </c>
      <c r="V116" s="126"/>
      <c r="X116" s="126"/>
      <c r="AC116" s="590">
        <f>T116*E116*F116</f>
        <v>0</v>
      </c>
      <c r="AD116" s="590">
        <f>AC116</f>
        <v>0</v>
      </c>
      <c r="AG116" s="1339" t="s">
        <v>1542</v>
      </c>
      <c r="AH116" s="1339"/>
      <c r="AI116" s="1339"/>
      <c r="AJ116" s="1339"/>
      <c r="AK116" s="1339"/>
      <c r="AL116" s="1339"/>
      <c r="AM116" s="1339"/>
      <c r="AN116" s="1339"/>
      <c r="AO116" s="1339"/>
      <c r="AP116" s="1339"/>
      <c r="AQ116" s="1339"/>
      <c r="AR116" s="1339"/>
      <c r="AS116" s="1339"/>
      <c r="AW116" s="580"/>
    </row>
    <row r="117" spans="1:50" ht="6" customHeight="1">
      <c r="J117" s="580"/>
      <c r="L117" s="126"/>
      <c r="V117" s="148"/>
      <c r="Z117" s="580"/>
      <c r="AA117" s="580"/>
      <c r="AW117" s="580"/>
    </row>
    <row r="118" spans="1:50" ht="15" customHeight="1">
      <c r="B118" s="1323">
        <f>C36</f>
        <v>0</v>
      </c>
      <c r="C118" s="1323"/>
      <c r="D118" s="1323"/>
      <c r="E118" s="1323"/>
      <c r="F118" s="1323"/>
      <c r="G118" s="1323"/>
      <c r="H118" s="1323"/>
      <c r="I118" s="1323"/>
      <c r="J118" s="1323"/>
      <c r="K118" s="1323"/>
      <c r="L118" s="1323"/>
      <c r="O118" s="1284">
        <f>B118</f>
        <v>0</v>
      </c>
      <c r="P118" s="1338"/>
      <c r="Q118" s="1338"/>
      <c r="R118" s="1338"/>
      <c r="S118" s="1338"/>
      <c r="T118" s="1338"/>
      <c r="U118" s="1338"/>
      <c r="V118" s="1338"/>
      <c r="W118" s="1338"/>
      <c r="X118" s="1338"/>
      <c r="Y118" s="1338"/>
      <c r="Z118" s="1338"/>
      <c r="AA118" s="1338"/>
      <c r="AB118" s="1338"/>
      <c r="AC118" s="1338"/>
      <c r="AD118" s="1338"/>
      <c r="AE118" s="1285"/>
      <c r="AG118" s="581" t="s">
        <v>1656</v>
      </c>
      <c r="AH118" s="590" t="e">
        <f>AH98*AH108*24/500</f>
        <v>#N/A</v>
      </c>
      <c r="AI118" s="590" t="e">
        <f t="shared" ref="AI118:AS118" si="70">AI98*AI108*24/500</f>
        <v>#N/A</v>
      </c>
      <c r="AJ118" s="590" t="e">
        <f t="shared" si="70"/>
        <v>#N/A</v>
      </c>
      <c r="AK118" s="590" t="e">
        <f t="shared" si="70"/>
        <v>#N/A</v>
      </c>
      <c r="AL118" s="590" t="e">
        <f t="shared" si="70"/>
        <v>#N/A</v>
      </c>
      <c r="AM118" s="590" t="e">
        <f t="shared" si="70"/>
        <v>#N/A</v>
      </c>
      <c r="AN118" s="590" t="e">
        <f t="shared" si="70"/>
        <v>#N/A</v>
      </c>
      <c r="AO118" s="590" t="e">
        <f t="shared" si="70"/>
        <v>#N/A</v>
      </c>
      <c r="AP118" s="590" t="e">
        <f t="shared" si="70"/>
        <v>#N/A</v>
      </c>
      <c r="AQ118" s="590" t="e">
        <f t="shared" si="70"/>
        <v>#N/A</v>
      </c>
      <c r="AR118" s="590" t="e">
        <f t="shared" si="70"/>
        <v>#N/A</v>
      </c>
      <c r="AS118" s="590" t="e">
        <f t="shared" si="70"/>
        <v>#N/A</v>
      </c>
      <c r="AW118" s="580"/>
    </row>
    <row r="119" spans="1:50" ht="6" customHeight="1">
      <c r="L119" s="126"/>
      <c r="V119" s="148"/>
      <c r="Z119" s="580"/>
      <c r="AA119" s="580"/>
      <c r="AF119" s="597"/>
      <c r="AW119" s="580"/>
    </row>
    <row r="120" spans="1:50" ht="15" customHeight="1">
      <c r="B120" s="1273"/>
      <c r="C120" s="1323" t="s">
        <v>1184</v>
      </c>
      <c r="D120" s="1323"/>
      <c r="E120" s="1323"/>
      <c r="F120" s="1323" t="s">
        <v>1188</v>
      </c>
      <c r="G120" s="1323"/>
      <c r="H120" s="1323" t="s">
        <v>1203</v>
      </c>
      <c r="I120" s="1323"/>
      <c r="J120" s="1281" t="s">
        <v>790</v>
      </c>
      <c r="K120" s="1281" t="s">
        <v>1136</v>
      </c>
      <c r="L120" s="1281"/>
      <c r="O120" s="580" t="s">
        <v>1651</v>
      </c>
      <c r="P120" s="1281" t="s">
        <v>1064</v>
      </c>
      <c r="Q120" s="580" t="s">
        <v>1652</v>
      </c>
      <c r="R120" s="1273" t="s">
        <v>1191</v>
      </c>
      <c r="S120" s="580" t="s">
        <v>1190</v>
      </c>
      <c r="T120" s="1273" t="s">
        <v>1192</v>
      </c>
      <c r="U120" s="1323" t="s">
        <v>1653</v>
      </c>
      <c r="V120" s="1323"/>
      <c r="W120" s="580" t="s">
        <v>1654</v>
      </c>
      <c r="X120" s="1273" t="s">
        <v>1403</v>
      </c>
      <c r="Y120" s="1273" t="s">
        <v>1404</v>
      </c>
      <c r="Z120" s="1273" t="s">
        <v>1210</v>
      </c>
      <c r="AA120" s="1273" t="s">
        <v>1201</v>
      </c>
      <c r="AB120" s="1273" t="s">
        <v>1202</v>
      </c>
      <c r="AC120" s="1281" t="s">
        <v>850</v>
      </c>
      <c r="AD120" s="1281" t="str">
        <f>AC120</f>
        <v>W/K Inv</v>
      </c>
      <c r="AE120" s="226" t="s">
        <v>1017</v>
      </c>
      <c r="AF120" s="597"/>
      <c r="AG120" s="581" t="s">
        <v>760</v>
      </c>
      <c r="AH120" s="590">
        <f>(AD60/0.2)*31/1000*(6.1/6)</f>
        <v>0</v>
      </c>
      <c r="AI120" s="590">
        <f>AH120</f>
        <v>0</v>
      </c>
      <c r="AJ120" s="590">
        <f t="shared" ref="AJ120:AS120" si="71">AI120</f>
        <v>0</v>
      </c>
      <c r="AK120" s="590">
        <f t="shared" si="71"/>
        <v>0</v>
      </c>
      <c r="AL120" s="590">
        <f t="shared" si="71"/>
        <v>0</v>
      </c>
      <c r="AM120" s="590">
        <f t="shared" si="71"/>
        <v>0</v>
      </c>
      <c r="AN120" s="590">
        <f t="shared" si="71"/>
        <v>0</v>
      </c>
      <c r="AO120" s="590">
        <f t="shared" si="71"/>
        <v>0</v>
      </c>
      <c r="AP120" s="590">
        <f t="shared" si="71"/>
        <v>0</v>
      </c>
      <c r="AQ120" s="590">
        <f t="shared" si="71"/>
        <v>0</v>
      </c>
      <c r="AR120" s="590">
        <f t="shared" si="71"/>
        <v>0</v>
      </c>
      <c r="AS120" s="590">
        <f t="shared" si="71"/>
        <v>0</v>
      </c>
    </row>
    <row r="121" spans="1:50" ht="15" customHeight="1">
      <c r="B121" s="1273"/>
      <c r="C121" s="148" t="s">
        <v>623</v>
      </c>
      <c r="D121" s="580" t="s">
        <v>1185</v>
      </c>
      <c r="E121" s="580" t="s">
        <v>1186</v>
      </c>
      <c r="F121" s="580" t="s">
        <v>623</v>
      </c>
      <c r="G121" s="580" t="s">
        <v>1189</v>
      </c>
      <c r="H121" s="580" t="s">
        <v>757</v>
      </c>
      <c r="I121" s="580" t="s">
        <v>650</v>
      </c>
      <c r="J121" s="1281"/>
      <c r="K121" s="166" t="s">
        <v>623</v>
      </c>
      <c r="L121" s="602" t="s">
        <v>1122</v>
      </c>
      <c r="O121" s="580" t="s">
        <v>1187</v>
      </c>
      <c r="P121" s="1281"/>
      <c r="Q121" s="580" t="s">
        <v>1187</v>
      </c>
      <c r="R121" s="1273"/>
      <c r="S121" s="580" t="s">
        <v>18</v>
      </c>
      <c r="T121" s="1273"/>
      <c r="U121" s="580" t="s">
        <v>1199</v>
      </c>
      <c r="V121" s="148" t="s">
        <v>1200</v>
      </c>
      <c r="W121" s="176" t="s">
        <v>1187</v>
      </c>
      <c r="X121" s="1273"/>
      <c r="Y121" s="1273"/>
      <c r="Z121" s="1273"/>
      <c r="AA121" s="1273"/>
      <c r="AB121" s="1273"/>
      <c r="AC121" s="1281"/>
      <c r="AD121" s="1281"/>
      <c r="AE121" s="603" t="e">
        <f>Q36</f>
        <v>#N/A</v>
      </c>
      <c r="AF121" s="597"/>
      <c r="AG121" s="608" t="s">
        <v>762</v>
      </c>
      <c r="AH121" s="590">
        <f>AK121*AH72/30</f>
        <v>71.3</v>
      </c>
      <c r="AI121" s="590">
        <f>AK121*AI72/30</f>
        <v>64.400000000000006</v>
      </c>
      <c r="AJ121" s="590">
        <f>AH121</f>
        <v>71.3</v>
      </c>
      <c r="AK121" s="590">
        <f>AJ50</f>
        <v>69</v>
      </c>
      <c r="AL121" s="590">
        <f>AJ121</f>
        <v>71.3</v>
      </c>
      <c r="AM121" s="590">
        <f>AK121</f>
        <v>69</v>
      </c>
      <c r="AN121" s="590">
        <f>AJ121</f>
        <v>71.3</v>
      </c>
      <c r="AO121" s="590">
        <f>AJ121</f>
        <v>71.3</v>
      </c>
      <c r="AP121" s="590">
        <f>AK121</f>
        <v>69</v>
      </c>
      <c r="AQ121" s="590">
        <f>AJ121</f>
        <v>71.3</v>
      </c>
      <c r="AR121" s="590">
        <f>AK121</f>
        <v>69</v>
      </c>
      <c r="AS121" s="590">
        <f>AJ121</f>
        <v>71.3</v>
      </c>
    </row>
    <row r="122" spans="1:50" s="173" customFormat="1" ht="15" customHeight="1">
      <c r="A122" s="126"/>
      <c r="B122" s="581" t="s">
        <v>225</v>
      </c>
      <c r="C122" s="604"/>
      <c r="D122" s="604"/>
      <c r="E122" s="604"/>
      <c r="F122" s="604"/>
      <c r="G122" s="604"/>
      <c r="H122" s="176" t="e">
        <f t="shared" ref="H122:H130" si="72">IF(W122=0,"-",IF($O$4=6,"No Aplica",HLOOKUP(AA122,ZONA2,2,TRUE)))</f>
        <v>#N/A</v>
      </c>
      <c r="I122" s="176" t="e">
        <f t="shared" ref="I122:I130" si="73">IF(W122=0,"-",IF($O$4=6,HLOOKUP(AB122,ZONA3,2,TRUE),HLOOKUP(AB122,ZONA1,2,TRUE)))</f>
        <v>#N/A</v>
      </c>
      <c r="J122" s="604"/>
      <c r="K122" s="604"/>
      <c r="L122" s="604"/>
      <c r="M122" s="126"/>
      <c r="N122" s="126"/>
      <c r="O122" s="590" t="e">
        <f t="shared" ref="O122:O130" si="74">$W$104-Q122</f>
        <v>#N/A</v>
      </c>
      <c r="P122" s="176">
        <f>P104</f>
        <v>6</v>
      </c>
      <c r="Q122" s="580" t="e">
        <f t="shared" ref="Q122:Q130" si="75">W122*0.02</f>
        <v>#N/A</v>
      </c>
      <c r="R122" s="176">
        <f>R104</f>
        <v>5.8</v>
      </c>
      <c r="S122" s="590" t="e">
        <f t="shared" ref="S122:S130" si="76">(W122/2)+2</f>
        <v>#N/A</v>
      </c>
      <c r="T122" s="176" t="e">
        <f t="shared" ref="T122:T130" si="77">((O122*P122)+(Q122*R122)+(S122*0.02))/W122</f>
        <v>#N/A</v>
      </c>
      <c r="U122" s="176">
        <f>U104</f>
        <v>300</v>
      </c>
      <c r="V122" s="176" t="e">
        <f t="shared" ref="V122:V130" si="78">IF(W122=0,0,U122*W122)</f>
        <v>#N/A</v>
      </c>
      <c r="W122" s="605" t="e">
        <f t="shared" ref="W122:W123" si="79">IF($R$36=2,$O$36/2,IF($R$36=4,$O$36/4,IF($R$36=6,$O$36/6,IF($R$36=8,$O$36/8,IF($R$36=9,$O$36/9)))))</f>
        <v>#N/A</v>
      </c>
      <c r="X122" s="606" t="e">
        <f t="shared" ref="X122:X130" si="80">(V122*$AW$112)</f>
        <v>#N/A</v>
      </c>
      <c r="Y122" s="606" t="e">
        <f t="shared" ref="Y122:Y130" si="81">V122*$AW$114</f>
        <v>#N/A</v>
      </c>
      <c r="Z122" s="176">
        <f>Z104</f>
        <v>3</v>
      </c>
      <c r="AA122" s="176" t="e">
        <f t="shared" ref="AA122:AA130" si="82">IF(W122=0,0,(($AW$104*Z122)+X122+(T122*$AW$108))/W122)</f>
        <v>#N/A</v>
      </c>
      <c r="AB122" s="176" t="e">
        <f t="shared" ref="AB122:AB130" si="83">IF(W122=0,0,(($AW$106*Z122)-(X122+T122)*$AW$110)/W122)</f>
        <v>#N/A</v>
      </c>
      <c r="AC122" s="590" t="e">
        <f t="shared" ref="AC122:AC130" si="84">IF(W122=0,0,(T122*O122))</f>
        <v>#N/A</v>
      </c>
      <c r="AD122" s="590" t="e">
        <f t="shared" ref="AD122:AD130" si="85">AC122</f>
        <v>#N/A</v>
      </c>
      <c r="AE122" s="126"/>
      <c r="AF122" s="126"/>
      <c r="AG122" s="581" t="s">
        <v>1033</v>
      </c>
      <c r="AH122" s="590" t="e">
        <f t="shared" ref="AH122:AS122" si="86">AH80*23*AH72/1000</f>
        <v>#N/A</v>
      </c>
      <c r="AI122" s="590" t="e">
        <f t="shared" si="86"/>
        <v>#N/A</v>
      </c>
      <c r="AJ122" s="590" t="e">
        <f t="shared" si="86"/>
        <v>#N/A</v>
      </c>
      <c r="AK122" s="590" t="e">
        <f t="shared" si="86"/>
        <v>#N/A</v>
      </c>
      <c r="AL122" s="590" t="e">
        <f t="shared" si="86"/>
        <v>#N/A</v>
      </c>
      <c r="AM122" s="590" t="e">
        <f t="shared" si="86"/>
        <v>#N/A</v>
      </c>
      <c r="AN122" s="590" t="e">
        <f t="shared" si="86"/>
        <v>#N/A</v>
      </c>
      <c r="AO122" s="590" t="e">
        <f t="shared" si="86"/>
        <v>#N/A</v>
      </c>
      <c r="AP122" s="590" t="e">
        <f t="shared" si="86"/>
        <v>#N/A</v>
      </c>
      <c r="AQ122" s="590" t="e">
        <f t="shared" si="86"/>
        <v>#N/A</v>
      </c>
      <c r="AR122" s="590" t="e">
        <f t="shared" si="86"/>
        <v>#N/A</v>
      </c>
      <c r="AS122" s="590" t="e">
        <f t="shared" si="86"/>
        <v>#N/A</v>
      </c>
      <c r="AX122" s="126"/>
    </row>
    <row r="123" spans="1:50" ht="15" customHeight="1">
      <c r="B123" s="581" t="s">
        <v>225</v>
      </c>
      <c r="C123" s="604"/>
      <c r="D123" s="604"/>
      <c r="E123" s="604"/>
      <c r="F123" s="604"/>
      <c r="G123" s="604"/>
      <c r="H123" s="176" t="e">
        <f t="shared" si="72"/>
        <v>#N/A</v>
      </c>
      <c r="I123" s="176" t="e">
        <f t="shared" si="73"/>
        <v>#N/A</v>
      </c>
      <c r="J123" s="604"/>
      <c r="K123" s="604"/>
      <c r="L123" s="604"/>
      <c r="O123" s="590" t="e">
        <f t="shared" si="74"/>
        <v>#N/A</v>
      </c>
      <c r="P123" s="176">
        <f>P122</f>
        <v>6</v>
      </c>
      <c r="Q123" s="580" t="e">
        <f t="shared" si="75"/>
        <v>#N/A</v>
      </c>
      <c r="R123" s="176">
        <f>R122</f>
        <v>5.8</v>
      </c>
      <c r="S123" s="590" t="e">
        <f t="shared" si="76"/>
        <v>#N/A</v>
      </c>
      <c r="T123" s="176" t="e">
        <f t="shared" si="77"/>
        <v>#N/A</v>
      </c>
      <c r="U123" s="176">
        <f>U122</f>
        <v>300</v>
      </c>
      <c r="V123" s="176" t="e">
        <f t="shared" si="78"/>
        <v>#N/A</v>
      </c>
      <c r="W123" s="605" t="e">
        <f t="shared" si="79"/>
        <v>#N/A</v>
      </c>
      <c r="X123" s="606" t="e">
        <f t="shared" si="80"/>
        <v>#N/A</v>
      </c>
      <c r="Y123" s="606" t="e">
        <f t="shared" si="81"/>
        <v>#N/A</v>
      </c>
      <c r="Z123" s="176">
        <f>Z122</f>
        <v>3</v>
      </c>
      <c r="AA123" s="176" t="e">
        <f t="shared" si="82"/>
        <v>#N/A</v>
      </c>
      <c r="AB123" s="176" t="e">
        <f t="shared" si="83"/>
        <v>#N/A</v>
      </c>
      <c r="AC123" s="590" t="e">
        <f t="shared" si="84"/>
        <v>#N/A</v>
      </c>
      <c r="AD123" s="590" t="e">
        <f t="shared" si="85"/>
        <v>#N/A</v>
      </c>
      <c r="AF123" s="597"/>
      <c r="AG123" s="581" t="s">
        <v>991</v>
      </c>
      <c r="AH123" s="590">
        <f t="shared" ref="AH123:AS123" si="87">AH87*31*24/1000</f>
        <v>0</v>
      </c>
      <c r="AI123" s="590">
        <f t="shared" si="87"/>
        <v>0</v>
      </c>
      <c r="AJ123" s="590">
        <f t="shared" si="87"/>
        <v>0</v>
      </c>
      <c r="AK123" s="590">
        <f t="shared" si="87"/>
        <v>0</v>
      </c>
      <c r="AL123" s="590">
        <f t="shared" si="87"/>
        <v>0</v>
      </c>
      <c r="AM123" s="590">
        <f t="shared" si="87"/>
        <v>0</v>
      </c>
      <c r="AN123" s="590">
        <f t="shared" si="87"/>
        <v>0</v>
      </c>
      <c r="AO123" s="590">
        <f t="shared" si="87"/>
        <v>0</v>
      </c>
      <c r="AP123" s="590">
        <f t="shared" si="87"/>
        <v>0</v>
      </c>
      <c r="AQ123" s="590">
        <f t="shared" si="87"/>
        <v>0</v>
      </c>
      <c r="AR123" s="590">
        <f t="shared" si="87"/>
        <v>0</v>
      </c>
      <c r="AS123" s="590">
        <f t="shared" si="87"/>
        <v>0</v>
      </c>
    </row>
    <row r="124" spans="1:50" ht="15" customHeight="1">
      <c r="B124" s="581" t="s">
        <v>225</v>
      </c>
      <c r="C124" s="604"/>
      <c r="D124" s="604"/>
      <c r="E124" s="604"/>
      <c r="F124" s="604"/>
      <c r="G124" s="604"/>
      <c r="H124" s="176" t="e">
        <f t="shared" si="72"/>
        <v>#N/A</v>
      </c>
      <c r="I124" s="176" t="e">
        <f t="shared" si="73"/>
        <v>#N/A</v>
      </c>
      <c r="J124" s="604"/>
      <c r="K124" s="604"/>
      <c r="L124" s="604"/>
      <c r="O124" s="590" t="e">
        <f t="shared" si="74"/>
        <v>#N/A</v>
      </c>
      <c r="P124" s="176">
        <f t="shared" ref="P124:R130" si="88">P123</f>
        <v>6</v>
      </c>
      <c r="Q124" s="580" t="e">
        <f t="shared" si="75"/>
        <v>#N/A</v>
      </c>
      <c r="R124" s="176">
        <f t="shared" si="88"/>
        <v>5.8</v>
      </c>
      <c r="S124" s="590" t="e">
        <f t="shared" si="76"/>
        <v>#N/A</v>
      </c>
      <c r="T124" s="176" t="e">
        <f t="shared" si="77"/>
        <v>#N/A</v>
      </c>
      <c r="U124" s="176">
        <f t="shared" ref="U124:U130" si="89">U123</f>
        <v>300</v>
      </c>
      <c r="V124" s="176" t="e">
        <f t="shared" si="78"/>
        <v>#N/A</v>
      </c>
      <c r="W124" s="605" t="e">
        <f>IF($R$36=2,0,IF($R$36=4,$O$36/4,IF($R$36=6,$O$36/6,IF($R$36=8,$O$36/8,IF($R$36=9,$O$36/9)))))</f>
        <v>#N/A</v>
      </c>
      <c r="X124" s="606" t="e">
        <f t="shared" si="80"/>
        <v>#N/A</v>
      </c>
      <c r="Y124" s="606" t="e">
        <f t="shared" si="81"/>
        <v>#N/A</v>
      </c>
      <c r="Z124" s="176">
        <f t="shared" ref="Z124:Z130" si="90">Z123</f>
        <v>3</v>
      </c>
      <c r="AA124" s="176" t="e">
        <f t="shared" si="82"/>
        <v>#N/A</v>
      </c>
      <c r="AB124" s="176" t="e">
        <f t="shared" si="83"/>
        <v>#N/A</v>
      </c>
      <c r="AC124" s="590" t="e">
        <f t="shared" si="84"/>
        <v>#N/A</v>
      </c>
      <c r="AD124" s="590" t="e">
        <f t="shared" si="85"/>
        <v>#N/A</v>
      </c>
    </row>
    <row r="125" spans="1:50" ht="15" customHeight="1">
      <c r="B125" s="581" t="s">
        <v>225</v>
      </c>
      <c r="C125" s="604"/>
      <c r="D125" s="604"/>
      <c r="E125" s="604"/>
      <c r="F125" s="604"/>
      <c r="G125" s="604"/>
      <c r="H125" s="176" t="e">
        <f t="shared" si="72"/>
        <v>#N/A</v>
      </c>
      <c r="I125" s="176" t="e">
        <f t="shared" si="73"/>
        <v>#N/A</v>
      </c>
      <c r="J125" s="604"/>
      <c r="K125" s="604"/>
      <c r="L125" s="604"/>
      <c r="O125" s="590" t="e">
        <f t="shared" si="74"/>
        <v>#N/A</v>
      </c>
      <c r="P125" s="176">
        <f t="shared" si="88"/>
        <v>6</v>
      </c>
      <c r="Q125" s="580" t="e">
        <f t="shared" si="75"/>
        <v>#N/A</v>
      </c>
      <c r="R125" s="176">
        <f t="shared" si="88"/>
        <v>5.8</v>
      </c>
      <c r="S125" s="590" t="e">
        <f t="shared" si="76"/>
        <v>#N/A</v>
      </c>
      <c r="T125" s="176" t="e">
        <f t="shared" si="77"/>
        <v>#N/A</v>
      </c>
      <c r="U125" s="176">
        <f t="shared" si="89"/>
        <v>300</v>
      </c>
      <c r="V125" s="176" t="e">
        <f t="shared" si="78"/>
        <v>#N/A</v>
      </c>
      <c r="W125" s="605" t="e">
        <f t="shared" ref="W125" si="91">IF($R$36=2,0,IF($R$36=4,$O$36/4,IF($R$36=6,$O$36/6,IF($R$36=8,$O$36/8,IF($R$36=9,$O$36/9)))))</f>
        <v>#N/A</v>
      </c>
      <c r="X125" s="606" t="e">
        <f t="shared" si="80"/>
        <v>#N/A</v>
      </c>
      <c r="Y125" s="606" t="e">
        <f t="shared" si="81"/>
        <v>#N/A</v>
      </c>
      <c r="Z125" s="176">
        <f t="shared" si="90"/>
        <v>3</v>
      </c>
      <c r="AA125" s="176" t="e">
        <f t="shared" si="82"/>
        <v>#N/A</v>
      </c>
      <c r="AB125" s="176" t="e">
        <f t="shared" si="83"/>
        <v>#N/A</v>
      </c>
      <c r="AC125" s="590" t="e">
        <f t="shared" si="84"/>
        <v>#N/A</v>
      </c>
      <c r="AD125" s="590" t="e">
        <f t="shared" si="85"/>
        <v>#N/A</v>
      </c>
      <c r="AF125" s="597"/>
      <c r="AG125" s="581" t="s">
        <v>1620</v>
      </c>
      <c r="AH125" s="590">
        <v>0</v>
      </c>
      <c r="AI125" s="590">
        <v>0</v>
      </c>
      <c r="AJ125" s="590">
        <v>0</v>
      </c>
      <c r="AK125" s="590">
        <v>0</v>
      </c>
      <c r="AL125" s="590">
        <v>0</v>
      </c>
      <c r="AM125" s="590">
        <v>0</v>
      </c>
      <c r="AN125" s="590">
        <v>0</v>
      </c>
      <c r="AO125" s="590">
        <v>0</v>
      </c>
      <c r="AP125" s="590">
        <v>0</v>
      </c>
      <c r="AQ125" s="590">
        <v>0</v>
      </c>
      <c r="AR125" s="590">
        <v>0</v>
      </c>
      <c r="AS125" s="590">
        <v>0</v>
      </c>
    </row>
    <row r="126" spans="1:50" ht="15" customHeight="1">
      <c r="B126" s="581" t="s">
        <v>225</v>
      </c>
      <c r="C126" s="604"/>
      <c r="D126" s="604"/>
      <c r="E126" s="604"/>
      <c r="F126" s="604"/>
      <c r="G126" s="604"/>
      <c r="H126" s="176" t="e">
        <f t="shared" si="72"/>
        <v>#N/A</v>
      </c>
      <c r="I126" s="176" t="e">
        <f t="shared" si="73"/>
        <v>#N/A</v>
      </c>
      <c r="J126" s="604"/>
      <c r="K126" s="604"/>
      <c r="L126" s="604"/>
      <c r="O126" s="590" t="e">
        <f t="shared" si="74"/>
        <v>#N/A</v>
      </c>
      <c r="P126" s="176">
        <f t="shared" si="88"/>
        <v>6</v>
      </c>
      <c r="Q126" s="580" t="e">
        <f t="shared" si="75"/>
        <v>#N/A</v>
      </c>
      <c r="R126" s="176">
        <f t="shared" si="88"/>
        <v>5.8</v>
      </c>
      <c r="S126" s="590" t="e">
        <f t="shared" si="76"/>
        <v>#N/A</v>
      </c>
      <c r="T126" s="176" t="e">
        <f t="shared" si="77"/>
        <v>#N/A</v>
      </c>
      <c r="U126" s="176">
        <f t="shared" si="89"/>
        <v>300</v>
      </c>
      <c r="V126" s="176" t="e">
        <f t="shared" si="78"/>
        <v>#N/A</v>
      </c>
      <c r="W126" s="605" t="e">
        <f>IF($R$36=2,0,IF($R$36=4,0,IF($R$36=6,$O$36/6,IF($R$36=8,$O$36/8,IF($R$36=9,$O$36/9)))))</f>
        <v>#N/A</v>
      </c>
      <c r="X126" s="606" t="e">
        <f t="shared" si="80"/>
        <v>#N/A</v>
      </c>
      <c r="Y126" s="606" t="e">
        <f t="shared" si="81"/>
        <v>#N/A</v>
      </c>
      <c r="Z126" s="176">
        <f t="shared" si="90"/>
        <v>3</v>
      </c>
      <c r="AA126" s="176" t="e">
        <f t="shared" si="82"/>
        <v>#N/A</v>
      </c>
      <c r="AB126" s="176" t="e">
        <f t="shared" si="83"/>
        <v>#N/A</v>
      </c>
      <c r="AC126" s="590" t="e">
        <f t="shared" si="84"/>
        <v>#N/A</v>
      </c>
      <c r="AD126" s="590" t="e">
        <f t="shared" si="85"/>
        <v>#N/A</v>
      </c>
    </row>
    <row r="127" spans="1:50" ht="15" customHeight="1">
      <c r="B127" s="581" t="s">
        <v>225</v>
      </c>
      <c r="C127" s="604"/>
      <c r="D127" s="604"/>
      <c r="E127" s="604"/>
      <c r="F127" s="604"/>
      <c r="G127" s="604"/>
      <c r="H127" s="176" t="e">
        <f t="shared" si="72"/>
        <v>#N/A</v>
      </c>
      <c r="I127" s="176" t="e">
        <f t="shared" si="73"/>
        <v>#N/A</v>
      </c>
      <c r="J127" s="604"/>
      <c r="K127" s="604"/>
      <c r="L127" s="604"/>
      <c r="O127" s="590" t="e">
        <f t="shared" si="74"/>
        <v>#N/A</v>
      </c>
      <c r="P127" s="176">
        <f t="shared" si="88"/>
        <v>6</v>
      </c>
      <c r="Q127" s="580" t="e">
        <f t="shared" si="75"/>
        <v>#N/A</v>
      </c>
      <c r="R127" s="176">
        <f t="shared" si="88"/>
        <v>5.8</v>
      </c>
      <c r="S127" s="590" t="e">
        <f t="shared" si="76"/>
        <v>#N/A</v>
      </c>
      <c r="T127" s="176" t="e">
        <f t="shared" si="77"/>
        <v>#N/A</v>
      </c>
      <c r="U127" s="176">
        <f t="shared" si="89"/>
        <v>300</v>
      </c>
      <c r="V127" s="176" t="e">
        <f t="shared" si="78"/>
        <v>#N/A</v>
      </c>
      <c r="W127" s="605" t="e">
        <f>IF($R$36=2,0,IF($R$36=4,0,IF($R$36=6,$O$36/6,IF($R$36=8,$O$36/8,IF($R$36=9,$O$36/9)))))</f>
        <v>#N/A</v>
      </c>
      <c r="X127" s="606" t="e">
        <f t="shared" si="80"/>
        <v>#N/A</v>
      </c>
      <c r="Y127" s="606" t="e">
        <f t="shared" si="81"/>
        <v>#N/A</v>
      </c>
      <c r="Z127" s="176">
        <f t="shared" si="90"/>
        <v>3</v>
      </c>
      <c r="AA127" s="176" t="e">
        <f t="shared" si="82"/>
        <v>#N/A</v>
      </c>
      <c r="AB127" s="176" t="e">
        <f t="shared" si="83"/>
        <v>#N/A</v>
      </c>
      <c r="AC127" s="590" t="e">
        <f t="shared" si="84"/>
        <v>#N/A</v>
      </c>
      <c r="AD127" s="590" t="e">
        <f t="shared" si="85"/>
        <v>#N/A</v>
      </c>
      <c r="AF127" s="597"/>
    </row>
    <row r="128" spans="1:50" ht="15" customHeight="1">
      <c r="B128" s="581" t="s">
        <v>225</v>
      </c>
      <c r="C128" s="604"/>
      <c r="D128" s="604"/>
      <c r="E128" s="604"/>
      <c r="F128" s="604"/>
      <c r="G128" s="604"/>
      <c r="H128" s="176" t="e">
        <f t="shared" si="72"/>
        <v>#N/A</v>
      </c>
      <c r="I128" s="176" t="e">
        <f t="shared" si="73"/>
        <v>#N/A</v>
      </c>
      <c r="J128" s="604"/>
      <c r="K128" s="604"/>
      <c r="L128" s="604"/>
      <c r="O128" s="590" t="e">
        <f t="shared" si="74"/>
        <v>#N/A</v>
      </c>
      <c r="P128" s="176">
        <f t="shared" si="88"/>
        <v>6</v>
      </c>
      <c r="Q128" s="580" t="e">
        <f t="shared" si="75"/>
        <v>#N/A</v>
      </c>
      <c r="R128" s="176">
        <f t="shared" si="88"/>
        <v>5.8</v>
      </c>
      <c r="S128" s="590" t="e">
        <f t="shared" si="76"/>
        <v>#N/A</v>
      </c>
      <c r="T128" s="176" t="e">
        <f t="shared" si="77"/>
        <v>#N/A</v>
      </c>
      <c r="U128" s="176">
        <f t="shared" si="89"/>
        <v>300</v>
      </c>
      <c r="V128" s="176" t="e">
        <f t="shared" si="78"/>
        <v>#N/A</v>
      </c>
      <c r="W128" s="605" t="e">
        <f>IF($R$36=2,0,IF($R$36=4,0,IF($R$36=6,0,IF($R$36=8,$O$36/8,IF($R$36=9,$O$36/9)))))</f>
        <v>#N/A</v>
      </c>
      <c r="X128" s="606" t="e">
        <f t="shared" si="80"/>
        <v>#N/A</v>
      </c>
      <c r="Y128" s="606" t="e">
        <f t="shared" si="81"/>
        <v>#N/A</v>
      </c>
      <c r="Z128" s="176">
        <f t="shared" si="90"/>
        <v>3</v>
      </c>
      <c r="AA128" s="176" t="e">
        <f t="shared" si="82"/>
        <v>#N/A</v>
      </c>
      <c r="AB128" s="176" t="e">
        <f t="shared" si="83"/>
        <v>#N/A</v>
      </c>
      <c r="AC128" s="590" t="e">
        <f t="shared" si="84"/>
        <v>#N/A</v>
      </c>
      <c r="AD128" s="590" t="e">
        <f t="shared" si="85"/>
        <v>#N/A</v>
      </c>
      <c r="AG128" s="581" t="s">
        <v>1784</v>
      </c>
      <c r="AH128" s="590">
        <f>IF(AH62&lt;=$AW$59,(($AF$175*AH70*24*($Q$175*0.5)*AH72/(2.5*1000))*-1),0)</f>
        <v>0</v>
      </c>
      <c r="AI128" s="590">
        <f t="shared" ref="AI128:AS128" si="92">IF(AI62&lt;=$AW$59,(($AF$175*AI70*24*($Q$175*0.5)*AI72/(2.5*1000))*-1),0)</f>
        <v>0</v>
      </c>
      <c r="AJ128" s="590">
        <f t="shared" si="92"/>
        <v>0</v>
      </c>
      <c r="AK128" s="590">
        <f t="shared" si="92"/>
        <v>0</v>
      </c>
      <c r="AL128" s="590">
        <f t="shared" si="92"/>
        <v>0</v>
      </c>
      <c r="AM128" s="590">
        <f t="shared" si="92"/>
        <v>0</v>
      </c>
      <c r="AN128" s="590">
        <f t="shared" si="92"/>
        <v>0</v>
      </c>
      <c r="AO128" s="590">
        <f t="shared" si="92"/>
        <v>0</v>
      </c>
      <c r="AP128" s="590">
        <f t="shared" si="92"/>
        <v>0</v>
      </c>
      <c r="AQ128" s="590">
        <f t="shared" si="92"/>
        <v>0</v>
      </c>
      <c r="AR128" s="590">
        <f t="shared" si="92"/>
        <v>0</v>
      </c>
      <c r="AS128" s="590">
        <f t="shared" si="92"/>
        <v>0</v>
      </c>
    </row>
    <row r="129" spans="1:46" ht="15" customHeight="1">
      <c r="B129" s="581" t="s">
        <v>225</v>
      </c>
      <c r="C129" s="604"/>
      <c r="D129" s="604"/>
      <c r="E129" s="604"/>
      <c r="F129" s="604"/>
      <c r="G129" s="604"/>
      <c r="H129" s="176" t="e">
        <f t="shared" si="72"/>
        <v>#N/A</v>
      </c>
      <c r="I129" s="176" t="e">
        <f t="shared" si="73"/>
        <v>#N/A</v>
      </c>
      <c r="J129" s="604"/>
      <c r="K129" s="604"/>
      <c r="L129" s="604"/>
      <c r="O129" s="590" t="e">
        <f t="shared" si="74"/>
        <v>#N/A</v>
      </c>
      <c r="P129" s="176">
        <f t="shared" si="88"/>
        <v>6</v>
      </c>
      <c r="Q129" s="580" t="e">
        <f t="shared" si="75"/>
        <v>#N/A</v>
      </c>
      <c r="R129" s="176">
        <f t="shared" si="88"/>
        <v>5.8</v>
      </c>
      <c r="S129" s="590" t="e">
        <f t="shared" si="76"/>
        <v>#N/A</v>
      </c>
      <c r="T129" s="176" t="e">
        <f t="shared" si="77"/>
        <v>#N/A</v>
      </c>
      <c r="U129" s="176">
        <f t="shared" si="89"/>
        <v>300</v>
      </c>
      <c r="V129" s="176" t="e">
        <f t="shared" si="78"/>
        <v>#N/A</v>
      </c>
      <c r="W129" s="605" t="e">
        <f t="shared" ref="W129" si="93">IF($R$36=2,0,IF($R$36=4,0,IF($R$36=6,0,IF($R$36=8,$O$36/8,IF($R$36=9,$O$36/9)))))</f>
        <v>#N/A</v>
      </c>
      <c r="X129" s="606" t="e">
        <f t="shared" si="80"/>
        <v>#N/A</v>
      </c>
      <c r="Y129" s="606" t="e">
        <f t="shared" si="81"/>
        <v>#N/A</v>
      </c>
      <c r="Z129" s="176">
        <f t="shared" si="90"/>
        <v>3</v>
      </c>
      <c r="AA129" s="176" t="e">
        <f t="shared" si="82"/>
        <v>#N/A</v>
      </c>
      <c r="AB129" s="176" t="e">
        <f t="shared" si="83"/>
        <v>#N/A</v>
      </c>
      <c r="AC129" s="590" t="e">
        <f t="shared" si="84"/>
        <v>#N/A</v>
      </c>
      <c r="AD129" s="590" t="e">
        <f t="shared" si="85"/>
        <v>#N/A</v>
      </c>
      <c r="AF129" s="597"/>
      <c r="AG129" s="176"/>
      <c r="AH129" s="176"/>
      <c r="AI129" s="176"/>
      <c r="AJ129" s="176"/>
      <c r="AK129" s="176"/>
      <c r="AL129" s="176"/>
      <c r="AM129" s="176"/>
      <c r="AN129" s="176"/>
      <c r="AO129" s="176"/>
      <c r="AP129" s="176"/>
      <c r="AQ129" s="176"/>
      <c r="AR129" s="176"/>
      <c r="AS129" s="176"/>
    </row>
    <row r="130" spans="1:46" ht="15" customHeight="1">
      <c r="B130" s="581" t="s">
        <v>225</v>
      </c>
      <c r="C130" s="604"/>
      <c r="D130" s="604"/>
      <c r="E130" s="604"/>
      <c r="F130" s="604"/>
      <c r="G130" s="604"/>
      <c r="H130" s="176" t="e">
        <f t="shared" si="72"/>
        <v>#N/A</v>
      </c>
      <c r="I130" s="176" t="e">
        <f t="shared" si="73"/>
        <v>#N/A</v>
      </c>
      <c r="J130" s="604"/>
      <c r="K130" s="604"/>
      <c r="L130" s="604"/>
      <c r="O130" s="590" t="e">
        <f t="shared" si="74"/>
        <v>#N/A</v>
      </c>
      <c r="P130" s="176">
        <f t="shared" si="88"/>
        <v>6</v>
      </c>
      <c r="Q130" s="580" t="e">
        <f t="shared" si="75"/>
        <v>#N/A</v>
      </c>
      <c r="R130" s="176">
        <f t="shared" si="88"/>
        <v>5.8</v>
      </c>
      <c r="S130" s="590" t="e">
        <f t="shared" si="76"/>
        <v>#N/A</v>
      </c>
      <c r="T130" s="176" t="e">
        <f t="shared" si="77"/>
        <v>#N/A</v>
      </c>
      <c r="U130" s="176">
        <f t="shared" si="89"/>
        <v>300</v>
      </c>
      <c r="V130" s="176" t="e">
        <f t="shared" si="78"/>
        <v>#N/A</v>
      </c>
      <c r="W130" s="605" t="e">
        <f>IF($R$36=2,0,IF($R$36=4,0,IF($R$36=6,0,IF($R$36=8,0,IF($R$36=9,$O$36/9)))))</f>
        <v>#N/A</v>
      </c>
      <c r="X130" s="606" t="e">
        <f t="shared" si="80"/>
        <v>#N/A</v>
      </c>
      <c r="Y130" s="606" t="e">
        <f t="shared" si="81"/>
        <v>#N/A</v>
      </c>
      <c r="Z130" s="176">
        <f t="shared" si="90"/>
        <v>3</v>
      </c>
      <c r="AA130" s="176" t="e">
        <f t="shared" si="82"/>
        <v>#N/A</v>
      </c>
      <c r="AB130" s="176" t="e">
        <f t="shared" si="83"/>
        <v>#N/A</v>
      </c>
      <c r="AC130" s="590" t="e">
        <f t="shared" si="84"/>
        <v>#N/A</v>
      </c>
      <c r="AD130" s="590" t="e">
        <f t="shared" si="85"/>
        <v>#N/A</v>
      </c>
      <c r="AG130" s="581" t="s">
        <v>1785</v>
      </c>
      <c r="AH130" s="590">
        <f>IF(($Z$60*AH70*24*AH72/(2.5*1000))&lt;0,0,$Z$60*AH70*24*AH72/(2.5*1000))</f>
        <v>0</v>
      </c>
      <c r="AI130" s="590">
        <f t="shared" ref="AI130:AS130" si="94">IF(($Z$60*AI70*24*AI72/(2.5*1000))&lt;0,0,$Z$60*AI70*24*AI72/(2.5*1000))</f>
        <v>0</v>
      </c>
      <c r="AJ130" s="590">
        <f t="shared" si="94"/>
        <v>0</v>
      </c>
      <c r="AK130" s="590">
        <f t="shared" si="94"/>
        <v>0</v>
      </c>
      <c r="AL130" s="590">
        <f t="shared" si="94"/>
        <v>0</v>
      </c>
      <c r="AM130" s="590">
        <f t="shared" si="94"/>
        <v>0</v>
      </c>
      <c r="AN130" s="590">
        <f t="shared" si="94"/>
        <v>0</v>
      </c>
      <c r="AO130" s="590">
        <f t="shared" si="94"/>
        <v>0</v>
      </c>
      <c r="AP130" s="590">
        <f t="shared" si="94"/>
        <v>0</v>
      </c>
      <c r="AQ130" s="590">
        <f t="shared" si="94"/>
        <v>0</v>
      </c>
      <c r="AR130" s="590">
        <f t="shared" si="94"/>
        <v>0</v>
      </c>
      <c r="AS130" s="590">
        <f t="shared" si="94"/>
        <v>0</v>
      </c>
    </row>
    <row r="131" spans="1:46" ht="15" customHeight="1">
      <c r="D131" s="126"/>
      <c r="E131" s="126"/>
      <c r="K131" s="126"/>
      <c r="L131" s="126"/>
      <c r="Q131" s="126"/>
      <c r="R131" s="126"/>
      <c r="V131" s="126"/>
      <c r="X131" s="126"/>
      <c r="AF131" s="597"/>
    </row>
    <row r="132" spans="1:46" ht="15" customHeight="1">
      <c r="D132" s="126"/>
      <c r="E132" s="126"/>
      <c r="K132" s="126"/>
      <c r="L132" s="126"/>
      <c r="Q132" s="126"/>
      <c r="R132" s="126"/>
      <c r="V132" s="126"/>
      <c r="X132" s="126"/>
      <c r="AF132" s="597"/>
      <c r="AG132" s="581" t="s">
        <v>1543</v>
      </c>
      <c r="AH132" s="590" t="e">
        <f>($AW$90*AH111*24/1000)+(AH118*0.05)</f>
        <v>#N/A</v>
      </c>
      <c r="AI132" s="590" t="e">
        <f t="shared" ref="AI132:AS132" si="95">($AW$90*AI111*24/1000)+(AI118*0.05)</f>
        <v>#N/A</v>
      </c>
      <c r="AJ132" s="590" t="e">
        <f t="shared" si="95"/>
        <v>#N/A</v>
      </c>
      <c r="AK132" s="590" t="e">
        <f t="shared" si="95"/>
        <v>#N/A</v>
      </c>
      <c r="AL132" s="590" t="e">
        <f t="shared" si="95"/>
        <v>#N/A</v>
      </c>
      <c r="AM132" s="590" t="e">
        <f t="shared" si="95"/>
        <v>#N/A</v>
      </c>
      <c r="AN132" s="590" t="e">
        <f t="shared" si="95"/>
        <v>#N/A</v>
      </c>
      <c r="AO132" s="590" t="e">
        <f t="shared" si="95"/>
        <v>#N/A</v>
      </c>
      <c r="AP132" s="590" t="e">
        <f t="shared" si="95"/>
        <v>#N/A</v>
      </c>
      <c r="AQ132" s="590" t="e">
        <f t="shared" si="95"/>
        <v>#N/A</v>
      </c>
      <c r="AR132" s="590" t="e">
        <f t="shared" si="95"/>
        <v>#N/A</v>
      </c>
      <c r="AS132" s="590" t="e">
        <f t="shared" si="95"/>
        <v>#N/A</v>
      </c>
    </row>
    <row r="133" spans="1:46" ht="15" customHeight="1">
      <c r="C133" s="1323" t="s">
        <v>1204</v>
      </c>
      <c r="D133" s="1323"/>
      <c r="E133" s="580" t="s">
        <v>1185</v>
      </c>
      <c r="F133" s="580" t="s">
        <v>1186</v>
      </c>
      <c r="G133" s="580" t="s">
        <v>227</v>
      </c>
      <c r="K133" s="126"/>
      <c r="L133" s="126"/>
      <c r="Q133" s="126"/>
      <c r="R133" s="126"/>
      <c r="V133" s="126"/>
      <c r="X133" s="126"/>
      <c r="AF133" s="597"/>
      <c r="AG133" s="580" t="s">
        <v>1816</v>
      </c>
      <c r="AH133" s="590">
        <f>$Z$60*AH111*24/(7.2*1000)</f>
        <v>0</v>
      </c>
      <c r="AI133" s="590">
        <f t="shared" ref="AI133:AS133" si="96">$Z$60*AI111*24/(7.2*1000)</f>
        <v>0</v>
      </c>
      <c r="AJ133" s="590">
        <f t="shared" si="96"/>
        <v>0</v>
      </c>
      <c r="AK133" s="590">
        <f t="shared" si="96"/>
        <v>0</v>
      </c>
      <c r="AL133" s="590">
        <f t="shared" si="96"/>
        <v>0</v>
      </c>
      <c r="AM133" s="590">
        <f t="shared" si="96"/>
        <v>0</v>
      </c>
      <c r="AN133" s="590">
        <f t="shared" si="96"/>
        <v>0</v>
      </c>
      <c r="AO133" s="590">
        <f t="shared" si="96"/>
        <v>0</v>
      </c>
      <c r="AP133" s="590">
        <f t="shared" si="96"/>
        <v>0</v>
      </c>
      <c r="AQ133" s="590">
        <f t="shared" si="96"/>
        <v>0</v>
      </c>
      <c r="AR133" s="590">
        <f t="shared" si="96"/>
        <v>0</v>
      </c>
      <c r="AS133" s="590">
        <f t="shared" si="96"/>
        <v>0</v>
      </c>
    </row>
    <row r="134" spans="1:46" ht="15" customHeight="1">
      <c r="B134" s="581" t="s">
        <v>768</v>
      </c>
      <c r="C134" s="1324"/>
      <c r="D134" s="1324"/>
      <c r="E134" s="589">
        <f>ENERGÍA!F140</f>
        <v>0</v>
      </c>
      <c r="F134" s="589">
        <f>ENERGÍA!G140</f>
        <v>0</v>
      </c>
      <c r="G134" s="589">
        <f>ENERGÍA!H140</f>
        <v>0</v>
      </c>
      <c r="K134" s="126"/>
      <c r="L134" s="126"/>
      <c r="T134" s="590">
        <f>ENERGÍA!U140</f>
        <v>0</v>
      </c>
      <c r="V134" s="126"/>
      <c r="X134" s="126"/>
      <c r="AC134" s="590">
        <f>T134*E134*F134</f>
        <v>0</v>
      </c>
      <c r="AD134" s="590">
        <f>AC134</f>
        <v>0</v>
      </c>
    </row>
    <row r="135" spans="1:46" ht="6" customHeight="1">
      <c r="L135" s="126"/>
      <c r="V135" s="148"/>
      <c r="Z135" s="580"/>
      <c r="AA135" s="580"/>
    </row>
    <row r="136" spans="1:46" ht="15" customHeight="1">
      <c r="B136" s="1323">
        <f>C37</f>
        <v>0</v>
      </c>
      <c r="C136" s="1323"/>
      <c r="D136" s="1323"/>
      <c r="E136" s="1323"/>
      <c r="F136" s="1323"/>
      <c r="G136" s="1323"/>
      <c r="H136" s="1323"/>
      <c r="I136" s="1323"/>
      <c r="J136" s="1323"/>
      <c r="K136" s="1323"/>
      <c r="L136" s="1323"/>
      <c r="O136" s="1320">
        <f>B136</f>
        <v>0</v>
      </c>
      <c r="P136" s="1321"/>
      <c r="Q136" s="1321"/>
      <c r="R136" s="1321"/>
      <c r="S136" s="1321"/>
      <c r="T136" s="1321"/>
      <c r="U136" s="1321"/>
      <c r="V136" s="1321"/>
      <c r="W136" s="1321"/>
      <c r="X136" s="1321"/>
      <c r="Y136" s="1321"/>
      <c r="Z136" s="1321"/>
      <c r="AA136" s="1321"/>
      <c r="AB136" s="1321"/>
      <c r="AC136" s="1321"/>
      <c r="AD136" s="1321"/>
      <c r="AE136" s="1322"/>
      <c r="AG136" s="581" t="s">
        <v>1621</v>
      </c>
      <c r="AH136" s="590" t="e">
        <f>IF(AH62&gt;$AW$59,0,($AW$96*$AW$64*(24/1000)*AH112*AH115)-AH125-(AH128*0.15))</f>
        <v>#N/A</v>
      </c>
      <c r="AI136" s="590" t="e">
        <f t="shared" ref="AI136:AS136" si="97">IF(AI62&gt;$AW$59,0,($AW$96*$AW$64*(24/1000)*AI112*AI115)-AI125-(AI128*0.15))</f>
        <v>#N/A</v>
      </c>
      <c r="AJ136" s="590" t="e">
        <f t="shared" si="97"/>
        <v>#N/A</v>
      </c>
      <c r="AK136" s="590" t="e">
        <f t="shared" si="97"/>
        <v>#N/A</v>
      </c>
      <c r="AL136" s="590" t="e">
        <f t="shared" si="97"/>
        <v>#N/A</v>
      </c>
      <c r="AM136" s="590" t="e">
        <f>IF(AM62&gt;$AW$59,0,($AW$96*$AW$64*(24/1000)*AM112*AM115)-AM125-(AM128*0.15))</f>
        <v>#N/A</v>
      </c>
      <c r="AN136" s="590" t="e">
        <f t="shared" si="97"/>
        <v>#N/A</v>
      </c>
      <c r="AO136" s="590" t="e">
        <f t="shared" si="97"/>
        <v>#N/A</v>
      </c>
      <c r="AP136" s="590" t="e">
        <f t="shared" si="97"/>
        <v>#N/A</v>
      </c>
      <c r="AQ136" s="590" t="e">
        <f t="shared" si="97"/>
        <v>#N/A</v>
      </c>
      <c r="AR136" s="590" t="e">
        <f t="shared" si="97"/>
        <v>#N/A</v>
      </c>
      <c r="AS136" s="590" t="e">
        <f t="shared" si="97"/>
        <v>#N/A</v>
      </c>
    </row>
    <row r="137" spans="1:46" ht="6" customHeight="1">
      <c r="L137" s="126"/>
      <c r="V137" s="148"/>
      <c r="Z137" s="580"/>
      <c r="AA137" s="580"/>
    </row>
    <row r="138" spans="1:46" ht="15" customHeight="1">
      <c r="B138" s="1273"/>
      <c r="C138" s="1323" t="s">
        <v>1184</v>
      </c>
      <c r="D138" s="1323"/>
      <c r="E138" s="1323"/>
      <c r="F138" s="1323" t="s">
        <v>1188</v>
      </c>
      <c r="G138" s="1323"/>
      <c r="H138" s="1323" t="s">
        <v>1203</v>
      </c>
      <c r="I138" s="1323"/>
      <c r="J138" s="1281" t="s">
        <v>790</v>
      </c>
      <c r="K138" s="1281" t="s">
        <v>1136</v>
      </c>
      <c r="L138" s="1281"/>
      <c r="O138" s="580" t="s">
        <v>1651</v>
      </c>
      <c r="P138" s="1281" t="s">
        <v>1064</v>
      </c>
      <c r="Q138" s="580" t="s">
        <v>1652</v>
      </c>
      <c r="R138" s="1273" t="s">
        <v>1191</v>
      </c>
      <c r="S138" s="580" t="s">
        <v>1190</v>
      </c>
      <c r="T138" s="1273" t="s">
        <v>1192</v>
      </c>
      <c r="U138" s="1323" t="s">
        <v>1653</v>
      </c>
      <c r="V138" s="1323"/>
      <c r="W138" s="580" t="s">
        <v>1654</v>
      </c>
      <c r="X138" s="1273" t="s">
        <v>1403</v>
      </c>
      <c r="Y138" s="1273" t="s">
        <v>1404</v>
      </c>
      <c r="Z138" s="1273" t="s">
        <v>1210</v>
      </c>
      <c r="AA138" s="1273" t="s">
        <v>1201</v>
      </c>
      <c r="AB138" s="1273" t="s">
        <v>1202</v>
      </c>
      <c r="AC138" s="1281" t="s">
        <v>850</v>
      </c>
      <c r="AD138" s="1281" t="str">
        <f>AC138</f>
        <v>W/K Inv</v>
      </c>
      <c r="AE138" s="226" t="s">
        <v>1017</v>
      </c>
    </row>
    <row r="139" spans="1:46" ht="15" customHeight="1">
      <c r="B139" s="1273"/>
      <c r="C139" s="148" t="s">
        <v>623</v>
      </c>
      <c r="D139" s="580" t="s">
        <v>1185</v>
      </c>
      <c r="E139" s="580" t="s">
        <v>1186</v>
      </c>
      <c r="F139" s="580" t="s">
        <v>623</v>
      </c>
      <c r="G139" s="580" t="s">
        <v>1189</v>
      </c>
      <c r="H139" s="580" t="s">
        <v>757</v>
      </c>
      <c r="I139" s="580" t="s">
        <v>650</v>
      </c>
      <c r="J139" s="1281"/>
      <c r="K139" s="166" t="s">
        <v>623</v>
      </c>
      <c r="L139" s="602" t="s">
        <v>1122</v>
      </c>
      <c r="O139" s="580" t="s">
        <v>1187</v>
      </c>
      <c r="P139" s="1281"/>
      <c r="Q139" s="580" t="s">
        <v>1187</v>
      </c>
      <c r="R139" s="1273"/>
      <c r="S139" s="580" t="s">
        <v>18</v>
      </c>
      <c r="T139" s="1273"/>
      <c r="U139" s="580" t="s">
        <v>1199</v>
      </c>
      <c r="V139" s="148" t="s">
        <v>1200</v>
      </c>
      <c r="W139" s="176" t="s">
        <v>1187</v>
      </c>
      <c r="X139" s="1273"/>
      <c r="Y139" s="1273"/>
      <c r="Z139" s="1273"/>
      <c r="AA139" s="1273"/>
      <c r="AB139" s="1273"/>
      <c r="AC139" s="1281"/>
      <c r="AD139" s="1281"/>
      <c r="AE139" s="603" t="e">
        <f>Q37</f>
        <v>#N/A</v>
      </c>
      <c r="AG139" s="1329" t="s">
        <v>1065</v>
      </c>
      <c r="AH139" s="1330"/>
      <c r="AI139" s="1330"/>
      <c r="AJ139" s="1330"/>
      <c r="AK139" s="1330"/>
      <c r="AL139" s="1330"/>
      <c r="AM139" s="1330"/>
      <c r="AN139" s="1330"/>
      <c r="AO139" s="1330"/>
      <c r="AP139" s="1330"/>
      <c r="AQ139" s="1330"/>
      <c r="AR139" s="1330"/>
      <c r="AS139" s="1331"/>
    </row>
    <row r="140" spans="1:46" s="173" customFormat="1" ht="15" customHeight="1">
      <c r="A140" s="126"/>
      <c r="B140" s="581" t="s">
        <v>225</v>
      </c>
      <c r="C140" s="604"/>
      <c r="D140" s="604"/>
      <c r="E140" s="604"/>
      <c r="F140" s="604"/>
      <c r="G140" s="604"/>
      <c r="H140" s="176" t="e">
        <f t="shared" ref="H140:H148" si="98">IF(W140=0,"-",IF($O$4=6,"No Aplica",HLOOKUP(AA140,ZONA2,2,TRUE)))</f>
        <v>#N/A</v>
      </c>
      <c r="I140" s="176" t="e">
        <f t="shared" ref="I140:I148" si="99">IF(W140=0,"-",IF($O$4=6,HLOOKUP(AB140,ZONA3,2,TRUE),HLOOKUP(AB140,ZONA1,2,TRUE)))</f>
        <v>#N/A</v>
      </c>
      <c r="J140" s="604"/>
      <c r="K140" s="604"/>
      <c r="L140" s="604"/>
      <c r="M140" s="126"/>
      <c r="N140" s="126"/>
      <c r="O140" s="590" t="e">
        <f t="shared" ref="O140:O148" si="100">$W$104-Q140</f>
        <v>#N/A</v>
      </c>
      <c r="P140" s="176">
        <f>P122</f>
        <v>6</v>
      </c>
      <c r="Q140" s="580" t="e">
        <f t="shared" ref="Q140:Q148" si="101">W140*0.02</f>
        <v>#N/A</v>
      </c>
      <c r="R140" s="176">
        <f>R122</f>
        <v>5.8</v>
      </c>
      <c r="S140" s="590" t="e">
        <f t="shared" ref="S140:S148" si="102">(W140/2)+2</f>
        <v>#N/A</v>
      </c>
      <c r="T140" s="176" t="e">
        <f t="shared" ref="T140:T148" si="103">((O140*P140)+(Q140*R140)+(S140*0.02))/W140</f>
        <v>#N/A</v>
      </c>
      <c r="U140" s="176">
        <f>U122</f>
        <v>300</v>
      </c>
      <c r="V140" s="176" t="e">
        <f t="shared" ref="V140:V148" si="104">IF(W140=0,0,U140*W140)</f>
        <v>#N/A</v>
      </c>
      <c r="W140" s="605" t="e">
        <f t="shared" ref="W140:W141" si="105">IF($R$36=2,$O$36/2,IF($R$36=4,$O$36/4,IF($R$36=6,$O$36/6,IF($R$36=8,$O$36/8,IF($R$36=9,$O$36/9)))))</f>
        <v>#N/A</v>
      </c>
      <c r="X140" s="606" t="e">
        <f t="shared" ref="X140:X148" si="106">(V140*$AW$112)</f>
        <v>#N/A</v>
      </c>
      <c r="Y140" s="606" t="e">
        <f t="shared" ref="Y140:Y148" si="107">V140*$AW$114</f>
        <v>#N/A</v>
      </c>
      <c r="Z140" s="176">
        <f>Z122</f>
        <v>3</v>
      </c>
      <c r="AA140" s="176" t="e">
        <f t="shared" ref="AA140:AA148" si="108">IF(W140=0,0,(($AW$104*Z140)+X140+(T140*$AW$108))/W140)</f>
        <v>#N/A</v>
      </c>
      <c r="AB140" s="176" t="e">
        <f t="shared" ref="AB140:AB148" si="109">IF(W140=0,0,(($AW$106*Z140)-(X140+T140)*$AW$110)/W140)</f>
        <v>#N/A</v>
      </c>
      <c r="AC140" s="590" t="e">
        <f t="shared" ref="AC140:AC148" si="110">IF(W140=0,0,(T140*O140))</f>
        <v>#N/A</v>
      </c>
      <c r="AD140" s="590" t="e">
        <f t="shared" ref="AD140:AD148" si="111">AC140</f>
        <v>#N/A</v>
      </c>
      <c r="AE140" s="126"/>
      <c r="AG140" s="1332"/>
      <c r="AH140" s="1333"/>
      <c r="AI140" s="1333"/>
      <c r="AJ140" s="1333"/>
      <c r="AK140" s="1333"/>
      <c r="AL140" s="1333"/>
      <c r="AM140" s="1333"/>
      <c r="AN140" s="1333"/>
      <c r="AO140" s="1333"/>
      <c r="AP140" s="1333"/>
      <c r="AQ140" s="1333"/>
      <c r="AR140" s="1333"/>
      <c r="AS140" s="1334"/>
    </row>
    <row r="141" spans="1:46" s="173" customFormat="1" ht="15" customHeight="1">
      <c r="A141" s="126"/>
      <c r="B141" s="581" t="s">
        <v>225</v>
      </c>
      <c r="C141" s="604"/>
      <c r="D141" s="604"/>
      <c r="E141" s="604"/>
      <c r="F141" s="604"/>
      <c r="G141" s="604"/>
      <c r="H141" s="176" t="e">
        <f t="shared" si="98"/>
        <v>#N/A</v>
      </c>
      <c r="I141" s="176" t="e">
        <f t="shared" si="99"/>
        <v>#N/A</v>
      </c>
      <c r="J141" s="604"/>
      <c r="K141" s="604"/>
      <c r="L141" s="604"/>
      <c r="M141" s="126"/>
      <c r="N141" s="126"/>
      <c r="O141" s="590" t="e">
        <f t="shared" si="100"/>
        <v>#N/A</v>
      </c>
      <c r="P141" s="176">
        <f>P140</f>
        <v>6</v>
      </c>
      <c r="Q141" s="580" t="e">
        <f t="shared" si="101"/>
        <v>#N/A</v>
      </c>
      <c r="R141" s="176">
        <f>R140</f>
        <v>5.8</v>
      </c>
      <c r="S141" s="590" t="e">
        <f t="shared" si="102"/>
        <v>#N/A</v>
      </c>
      <c r="T141" s="176" t="e">
        <f t="shared" si="103"/>
        <v>#N/A</v>
      </c>
      <c r="U141" s="176">
        <f>U140</f>
        <v>300</v>
      </c>
      <c r="V141" s="176" t="e">
        <f t="shared" si="104"/>
        <v>#N/A</v>
      </c>
      <c r="W141" s="605" t="e">
        <f t="shared" si="105"/>
        <v>#N/A</v>
      </c>
      <c r="X141" s="606" t="e">
        <f t="shared" si="106"/>
        <v>#N/A</v>
      </c>
      <c r="Y141" s="606" t="e">
        <f t="shared" si="107"/>
        <v>#N/A</v>
      </c>
      <c r="Z141" s="176">
        <f>Z140</f>
        <v>3</v>
      </c>
      <c r="AA141" s="176" t="e">
        <f t="shared" si="108"/>
        <v>#N/A</v>
      </c>
      <c r="AB141" s="176" t="e">
        <f t="shared" si="109"/>
        <v>#N/A</v>
      </c>
      <c r="AC141" s="590" t="e">
        <f t="shared" si="110"/>
        <v>#N/A</v>
      </c>
      <c r="AD141" s="590" t="e">
        <f t="shared" si="111"/>
        <v>#N/A</v>
      </c>
      <c r="AE141" s="126"/>
      <c r="AG141" s="1335"/>
      <c r="AH141" s="1336"/>
      <c r="AI141" s="1336"/>
      <c r="AJ141" s="1336"/>
      <c r="AK141" s="1336"/>
      <c r="AL141" s="1336"/>
      <c r="AM141" s="1336"/>
      <c r="AN141" s="1336"/>
      <c r="AO141" s="1336"/>
      <c r="AP141" s="1336"/>
      <c r="AQ141" s="1336"/>
      <c r="AR141" s="1336"/>
      <c r="AS141" s="1337"/>
    </row>
    <row r="142" spans="1:46" s="173" customFormat="1" ht="15" customHeight="1">
      <c r="A142" s="126"/>
      <c r="B142" s="581" t="s">
        <v>225</v>
      </c>
      <c r="C142" s="604"/>
      <c r="D142" s="604"/>
      <c r="E142" s="604"/>
      <c r="F142" s="604"/>
      <c r="G142" s="604"/>
      <c r="H142" s="176" t="e">
        <f t="shared" si="98"/>
        <v>#N/A</v>
      </c>
      <c r="I142" s="176" t="e">
        <f t="shared" si="99"/>
        <v>#N/A</v>
      </c>
      <c r="J142" s="604"/>
      <c r="K142" s="604"/>
      <c r="L142" s="604"/>
      <c r="M142" s="126"/>
      <c r="N142" s="126"/>
      <c r="O142" s="590" t="e">
        <f t="shared" si="100"/>
        <v>#N/A</v>
      </c>
      <c r="P142" s="176">
        <f t="shared" ref="P142:P148" si="112">P141</f>
        <v>6</v>
      </c>
      <c r="Q142" s="580" t="e">
        <f t="shared" si="101"/>
        <v>#N/A</v>
      </c>
      <c r="R142" s="176">
        <f t="shared" ref="R142:R148" si="113">R141</f>
        <v>5.8</v>
      </c>
      <c r="S142" s="590" t="e">
        <f t="shared" si="102"/>
        <v>#N/A</v>
      </c>
      <c r="T142" s="176" t="e">
        <f t="shared" si="103"/>
        <v>#N/A</v>
      </c>
      <c r="U142" s="176">
        <f t="shared" ref="U142:U148" si="114">U141</f>
        <v>300</v>
      </c>
      <c r="V142" s="176" t="e">
        <f t="shared" si="104"/>
        <v>#N/A</v>
      </c>
      <c r="W142" s="605" t="e">
        <f>IF($R$36=2,0,IF($R$36=4,$O$36/4,IF($R$36=6,$O$36/6,IF($R$36=8,$O$36/8,IF($R$36=9,$O$36/9)))))</f>
        <v>#N/A</v>
      </c>
      <c r="X142" s="606" t="e">
        <f t="shared" si="106"/>
        <v>#N/A</v>
      </c>
      <c r="Y142" s="606" t="e">
        <f t="shared" si="107"/>
        <v>#N/A</v>
      </c>
      <c r="Z142" s="176">
        <f t="shared" ref="Z142:Z148" si="115">Z141</f>
        <v>3</v>
      </c>
      <c r="AA142" s="176" t="e">
        <f t="shared" si="108"/>
        <v>#N/A</v>
      </c>
      <c r="AB142" s="176" t="e">
        <f t="shared" si="109"/>
        <v>#N/A</v>
      </c>
      <c r="AC142" s="590" t="e">
        <f t="shared" si="110"/>
        <v>#N/A</v>
      </c>
      <c r="AD142" s="590" t="e">
        <f t="shared" si="111"/>
        <v>#N/A</v>
      </c>
      <c r="AE142" s="126"/>
      <c r="AG142" s="126"/>
      <c r="AH142" s="126"/>
      <c r="AI142" s="126"/>
      <c r="AJ142" s="126"/>
      <c r="AK142" s="126"/>
      <c r="AL142" s="126"/>
      <c r="AM142" s="126"/>
      <c r="AN142" s="126"/>
      <c r="AO142" s="126"/>
      <c r="AP142" s="126"/>
      <c r="AQ142" s="126"/>
      <c r="AR142" s="126"/>
      <c r="AS142" s="126"/>
    </row>
    <row r="143" spans="1:46" ht="15" customHeight="1">
      <c r="B143" s="581" t="s">
        <v>225</v>
      </c>
      <c r="C143" s="604"/>
      <c r="D143" s="604"/>
      <c r="E143" s="604"/>
      <c r="F143" s="604"/>
      <c r="G143" s="604"/>
      <c r="H143" s="176" t="e">
        <f t="shared" si="98"/>
        <v>#N/A</v>
      </c>
      <c r="I143" s="176" t="e">
        <f t="shared" si="99"/>
        <v>#N/A</v>
      </c>
      <c r="J143" s="604"/>
      <c r="K143" s="604"/>
      <c r="L143" s="604"/>
      <c r="O143" s="590" t="e">
        <f t="shared" si="100"/>
        <v>#N/A</v>
      </c>
      <c r="P143" s="176">
        <f t="shared" si="112"/>
        <v>6</v>
      </c>
      <c r="Q143" s="580" t="e">
        <f t="shared" si="101"/>
        <v>#N/A</v>
      </c>
      <c r="R143" s="176">
        <f t="shared" si="113"/>
        <v>5.8</v>
      </c>
      <c r="S143" s="590" t="e">
        <f t="shared" si="102"/>
        <v>#N/A</v>
      </c>
      <c r="T143" s="176" t="e">
        <f t="shared" si="103"/>
        <v>#N/A</v>
      </c>
      <c r="U143" s="176">
        <f t="shared" si="114"/>
        <v>300</v>
      </c>
      <c r="V143" s="176" t="e">
        <f t="shared" si="104"/>
        <v>#N/A</v>
      </c>
      <c r="W143" s="605" t="e">
        <f t="shared" ref="W143" si="116">IF($R$36=2,0,IF($R$36=4,$O$36/4,IF($R$36=6,$O$36/6,IF($R$36=8,$O$36/8,IF($R$36=9,$O$36/9)))))</f>
        <v>#N/A</v>
      </c>
      <c r="X143" s="606" t="e">
        <f t="shared" si="106"/>
        <v>#N/A</v>
      </c>
      <c r="Y143" s="606" t="e">
        <f t="shared" si="107"/>
        <v>#N/A</v>
      </c>
      <c r="Z143" s="176">
        <f t="shared" si="115"/>
        <v>3</v>
      </c>
      <c r="AA143" s="176" t="e">
        <f t="shared" si="108"/>
        <v>#N/A</v>
      </c>
      <c r="AB143" s="176" t="e">
        <f t="shared" si="109"/>
        <v>#N/A</v>
      </c>
      <c r="AC143" s="590" t="e">
        <f t="shared" si="110"/>
        <v>#N/A</v>
      </c>
      <c r="AD143" s="590" t="e">
        <f t="shared" si="111"/>
        <v>#N/A</v>
      </c>
      <c r="AG143" s="174" t="s">
        <v>1026</v>
      </c>
      <c r="AH143" s="175" t="e">
        <f>IF(AH136&lt;0,0,AH136)</f>
        <v>#N/A</v>
      </c>
      <c r="AI143" s="175" t="e">
        <f t="shared" ref="AI143:AS143" si="117">IF(AI136&lt;0,0,AI136)</f>
        <v>#N/A</v>
      </c>
      <c r="AJ143" s="175" t="e">
        <f t="shared" si="117"/>
        <v>#N/A</v>
      </c>
      <c r="AK143" s="175" t="e">
        <f t="shared" si="117"/>
        <v>#N/A</v>
      </c>
      <c r="AL143" s="175" t="e">
        <f t="shared" si="117"/>
        <v>#N/A</v>
      </c>
      <c r="AM143" s="175" t="e">
        <f t="shared" si="117"/>
        <v>#N/A</v>
      </c>
      <c r="AN143" s="175" t="e">
        <f t="shared" si="117"/>
        <v>#N/A</v>
      </c>
      <c r="AO143" s="175" t="e">
        <f t="shared" si="117"/>
        <v>#N/A</v>
      </c>
      <c r="AP143" s="175" t="e">
        <f t="shared" si="117"/>
        <v>#N/A</v>
      </c>
      <c r="AQ143" s="175" t="e">
        <f t="shared" si="117"/>
        <v>#N/A</v>
      </c>
      <c r="AR143" s="175" t="e">
        <f t="shared" si="117"/>
        <v>#N/A</v>
      </c>
      <c r="AS143" s="175" t="e">
        <f t="shared" si="117"/>
        <v>#N/A</v>
      </c>
      <c r="AT143" s="590" t="e">
        <f>SUM(AH143:AS143)</f>
        <v>#N/A</v>
      </c>
    </row>
    <row r="144" spans="1:46" ht="15" customHeight="1">
      <c r="B144" s="581" t="s">
        <v>225</v>
      </c>
      <c r="C144" s="604"/>
      <c r="D144" s="604"/>
      <c r="E144" s="604"/>
      <c r="F144" s="604"/>
      <c r="G144" s="604"/>
      <c r="H144" s="176" t="e">
        <f t="shared" si="98"/>
        <v>#N/A</v>
      </c>
      <c r="I144" s="176" t="e">
        <f t="shared" si="99"/>
        <v>#N/A</v>
      </c>
      <c r="J144" s="604"/>
      <c r="K144" s="604"/>
      <c r="L144" s="604"/>
      <c r="O144" s="590" t="e">
        <f t="shared" si="100"/>
        <v>#N/A</v>
      </c>
      <c r="P144" s="176">
        <f t="shared" si="112"/>
        <v>6</v>
      </c>
      <c r="Q144" s="580" t="e">
        <f t="shared" si="101"/>
        <v>#N/A</v>
      </c>
      <c r="R144" s="176">
        <f t="shared" si="113"/>
        <v>5.8</v>
      </c>
      <c r="S144" s="590" t="e">
        <f t="shared" si="102"/>
        <v>#N/A</v>
      </c>
      <c r="T144" s="176" t="e">
        <f t="shared" si="103"/>
        <v>#N/A</v>
      </c>
      <c r="U144" s="176">
        <f t="shared" si="114"/>
        <v>300</v>
      </c>
      <c r="V144" s="176" t="e">
        <f t="shared" si="104"/>
        <v>#N/A</v>
      </c>
      <c r="W144" s="605" t="e">
        <f>IF($R$36=2,0,IF($R$36=4,0,IF($R$36=6,$O$36/6,IF($R$36=8,$O$36/8,IF($R$36=9,$O$36/9)))))</f>
        <v>#N/A</v>
      </c>
      <c r="X144" s="606" t="e">
        <f t="shared" si="106"/>
        <v>#N/A</v>
      </c>
      <c r="Y144" s="606" t="e">
        <f t="shared" si="107"/>
        <v>#N/A</v>
      </c>
      <c r="Z144" s="176">
        <f t="shared" si="115"/>
        <v>3</v>
      </c>
      <c r="AA144" s="176" t="e">
        <f t="shared" si="108"/>
        <v>#N/A</v>
      </c>
      <c r="AB144" s="176" t="e">
        <f t="shared" si="109"/>
        <v>#N/A</v>
      </c>
      <c r="AC144" s="590" t="e">
        <f t="shared" si="110"/>
        <v>#N/A</v>
      </c>
      <c r="AD144" s="590" t="e">
        <f t="shared" si="111"/>
        <v>#N/A</v>
      </c>
      <c r="AG144" s="176"/>
      <c r="AH144" s="176"/>
      <c r="AI144" s="176"/>
      <c r="AJ144" s="176"/>
      <c r="AK144" s="176"/>
      <c r="AL144" s="176"/>
      <c r="AM144" s="176"/>
      <c r="AN144" s="176"/>
      <c r="AO144" s="176"/>
      <c r="AP144" s="176"/>
      <c r="AQ144" s="176"/>
      <c r="AR144" s="176"/>
      <c r="AS144" s="176"/>
    </row>
    <row r="145" spans="1:46" ht="15" customHeight="1">
      <c r="B145" s="581" t="s">
        <v>225</v>
      </c>
      <c r="C145" s="604"/>
      <c r="D145" s="604"/>
      <c r="E145" s="604"/>
      <c r="F145" s="604"/>
      <c r="G145" s="604"/>
      <c r="H145" s="176" t="e">
        <f t="shared" si="98"/>
        <v>#N/A</v>
      </c>
      <c r="I145" s="176" t="e">
        <f t="shared" si="99"/>
        <v>#N/A</v>
      </c>
      <c r="J145" s="604"/>
      <c r="K145" s="604"/>
      <c r="L145" s="604"/>
      <c r="O145" s="590" t="e">
        <f t="shared" si="100"/>
        <v>#N/A</v>
      </c>
      <c r="P145" s="176">
        <f t="shared" si="112"/>
        <v>6</v>
      </c>
      <c r="Q145" s="580" t="e">
        <f t="shared" si="101"/>
        <v>#N/A</v>
      </c>
      <c r="R145" s="176">
        <f t="shared" si="113"/>
        <v>5.8</v>
      </c>
      <c r="S145" s="590" t="e">
        <f t="shared" si="102"/>
        <v>#N/A</v>
      </c>
      <c r="T145" s="176" t="e">
        <f t="shared" si="103"/>
        <v>#N/A</v>
      </c>
      <c r="U145" s="176">
        <f t="shared" si="114"/>
        <v>300</v>
      </c>
      <c r="V145" s="176" t="e">
        <f t="shared" si="104"/>
        <v>#N/A</v>
      </c>
      <c r="W145" s="605" t="e">
        <f>IF($R$36=2,0,IF($R$36=4,0,IF($R$36=6,$O$36/6,IF($R$36=8,$O$36/8,IF($R$36=9,$O$36/9)))))</f>
        <v>#N/A</v>
      </c>
      <c r="X145" s="606" t="e">
        <f t="shared" si="106"/>
        <v>#N/A</v>
      </c>
      <c r="Y145" s="606" t="e">
        <f t="shared" si="107"/>
        <v>#N/A</v>
      </c>
      <c r="Z145" s="176">
        <f t="shared" si="115"/>
        <v>3</v>
      </c>
      <c r="AA145" s="176" t="e">
        <f t="shared" si="108"/>
        <v>#N/A</v>
      </c>
      <c r="AB145" s="176" t="e">
        <f t="shared" si="109"/>
        <v>#N/A</v>
      </c>
      <c r="AC145" s="590" t="e">
        <f t="shared" si="110"/>
        <v>#N/A</v>
      </c>
      <c r="AD145" s="590" t="e">
        <f t="shared" si="111"/>
        <v>#N/A</v>
      </c>
      <c r="AG145" s="174" t="s">
        <v>1027</v>
      </c>
      <c r="AH145" s="175" t="e">
        <f>IF(AH105&gt;$AW$60,SUM(AH118:AH123)+SUM(AH132:AH133)+AH108-(AH130*0.01),0)</f>
        <v>#N/A</v>
      </c>
      <c r="AI145" s="175" t="e">
        <f t="shared" ref="AI145:AS145" si="118">IF(AI105&gt;$AW$60,SUM(AI118:AI123)+SUM(AI132:AI133)+AI108-(AI130*0.01),0)</f>
        <v>#N/A</v>
      </c>
      <c r="AJ145" s="175" t="e">
        <f t="shared" si="118"/>
        <v>#N/A</v>
      </c>
      <c r="AK145" s="175" t="e">
        <f t="shared" si="118"/>
        <v>#N/A</v>
      </c>
      <c r="AL145" s="175" t="e">
        <f t="shared" si="118"/>
        <v>#N/A</v>
      </c>
      <c r="AM145" s="175" t="e">
        <f t="shared" si="118"/>
        <v>#N/A</v>
      </c>
      <c r="AN145" s="175" t="e">
        <f t="shared" si="118"/>
        <v>#N/A</v>
      </c>
      <c r="AO145" s="175" t="e">
        <f t="shared" si="118"/>
        <v>#N/A</v>
      </c>
      <c r="AP145" s="175" t="e">
        <f t="shared" si="118"/>
        <v>#N/A</v>
      </c>
      <c r="AQ145" s="175" t="e">
        <f t="shared" si="118"/>
        <v>#N/A</v>
      </c>
      <c r="AR145" s="175" t="e">
        <f t="shared" si="118"/>
        <v>#N/A</v>
      </c>
      <c r="AS145" s="175" t="e">
        <f t="shared" si="118"/>
        <v>#N/A</v>
      </c>
      <c r="AT145" s="590" t="e">
        <f>SUM(AH145:AS145)</f>
        <v>#N/A</v>
      </c>
    </row>
    <row r="146" spans="1:46" ht="15" customHeight="1">
      <c r="B146" s="581" t="s">
        <v>225</v>
      </c>
      <c r="C146" s="604"/>
      <c r="D146" s="604"/>
      <c r="E146" s="604"/>
      <c r="F146" s="604"/>
      <c r="G146" s="604"/>
      <c r="H146" s="176" t="e">
        <f t="shared" si="98"/>
        <v>#N/A</v>
      </c>
      <c r="I146" s="176" t="e">
        <f t="shared" si="99"/>
        <v>#N/A</v>
      </c>
      <c r="J146" s="604"/>
      <c r="K146" s="604"/>
      <c r="L146" s="604"/>
      <c r="O146" s="590" t="e">
        <f t="shared" si="100"/>
        <v>#N/A</v>
      </c>
      <c r="P146" s="176">
        <f t="shared" si="112"/>
        <v>6</v>
      </c>
      <c r="Q146" s="580" t="e">
        <f t="shared" si="101"/>
        <v>#N/A</v>
      </c>
      <c r="R146" s="176">
        <f t="shared" si="113"/>
        <v>5.8</v>
      </c>
      <c r="S146" s="590" t="e">
        <f t="shared" si="102"/>
        <v>#N/A</v>
      </c>
      <c r="T146" s="176" t="e">
        <f t="shared" si="103"/>
        <v>#N/A</v>
      </c>
      <c r="U146" s="176">
        <f t="shared" si="114"/>
        <v>300</v>
      </c>
      <c r="V146" s="176" t="e">
        <f t="shared" si="104"/>
        <v>#N/A</v>
      </c>
      <c r="W146" s="605" t="e">
        <f>IF($R$36=2,0,IF($R$36=4,0,IF($R$36=6,0,IF($R$36=8,$O$36/8,IF($R$36=9,$O$36/9)))))</f>
        <v>#N/A</v>
      </c>
      <c r="X146" s="606" t="e">
        <f t="shared" si="106"/>
        <v>#N/A</v>
      </c>
      <c r="Y146" s="606" t="e">
        <f t="shared" si="107"/>
        <v>#N/A</v>
      </c>
      <c r="Z146" s="176">
        <f t="shared" si="115"/>
        <v>3</v>
      </c>
      <c r="AA146" s="176" t="e">
        <f t="shared" si="108"/>
        <v>#N/A</v>
      </c>
      <c r="AB146" s="176" t="e">
        <f t="shared" si="109"/>
        <v>#N/A</v>
      </c>
      <c r="AC146" s="590" t="e">
        <f t="shared" si="110"/>
        <v>#N/A</v>
      </c>
      <c r="AD146" s="590" t="e">
        <f t="shared" si="111"/>
        <v>#N/A</v>
      </c>
    </row>
    <row r="147" spans="1:46" ht="15" customHeight="1">
      <c r="B147" s="581" t="s">
        <v>225</v>
      </c>
      <c r="C147" s="604"/>
      <c r="D147" s="604"/>
      <c r="E147" s="604"/>
      <c r="F147" s="604"/>
      <c r="G147" s="604"/>
      <c r="H147" s="176" t="e">
        <f t="shared" si="98"/>
        <v>#N/A</v>
      </c>
      <c r="I147" s="176" t="e">
        <f t="shared" si="99"/>
        <v>#N/A</v>
      </c>
      <c r="J147" s="604"/>
      <c r="K147" s="604"/>
      <c r="L147" s="604"/>
      <c r="O147" s="590" t="e">
        <f t="shared" si="100"/>
        <v>#N/A</v>
      </c>
      <c r="P147" s="176">
        <f t="shared" si="112"/>
        <v>6</v>
      </c>
      <c r="Q147" s="580" t="e">
        <f t="shared" si="101"/>
        <v>#N/A</v>
      </c>
      <c r="R147" s="176">
        <f t="shared" si="113"/>
        <v>5.8</v>
      </c>
      <c r="S147" s="590" t="e">
        <f t="shared" si="102"/>
        <v>#N/A</v>
      </c>
      <c r="T147" s="176" t="e">
        <f t="shared" si="103"/>
        <v>#N/A</v>
      </c>
      <c r="U147" s="176">
        <f t="shared" si="114"/>
        <v>300</v>
      </c>
      <c r="V147" s="176" t="e">
        <f t="shared" si="104"/>
        <v>#N/A</v>
      </c>
      <c r="W147" s="605" t="e">
        <f t="shared" ref="W147" si="119">IF($R$36=2,0,IF($R$36=4,0,IF($R$36=6,0,IF($R$36=8,$O$36/8,IF($R$36=9,$O$36/9)))))</f>
        <v>#N/A</v>
      </c>
      <c r="X147" s="606" t="e">
        <f t="shared" si="106"/>
        <v>#N/A</v>
      </c>
      <c r="Y147" s="606" t="e">
        <f t="shared" si="107"/>
        <v>#N/A</v>
      </c>
      <c r="Z147" s="176">
        <f t="shared" si="115"/>
        <v>3</v>
      </c>
      <c r="AA147" s="176" t="e">
        <f t="shared" si="108"/>
        <v>#N/A</v>
      </c>
      <c r="AB147" s="176" t="e">
        <f t="shared" si="109"/>
        <v>#N/A</v>
      </c>
      <c r="AC147" s="590" t="e">
        <f t="shared" si="110"/>
        <v>#N/A</v>
      </c>
      <c r="AD147" s="590" t="e">
        <f t="shared" si="111"/>
        <v>#N/A</v>
      </c>
    </row>
    <row r="148" spans="1:46" s="173" customFormat="1" ht="15" customHeight="1">
      <c r="A148" s="126"/>
      <c r="B148" s="581" t="s">
        <v>225</v>
      </c>
      <c r="C148" s="604"/>
      <c r="D148" s="604"/>
      <c r="E148" s="604"/>
      <c r="F148" s="604"/>
      <c r="G148" s="604"/>
      <c r="H148" s="176" t="e">
        <f t="shared" si="98"/>
        <v>#N/A</v>
      </c>
      <c r="I148" s="176" t="e">
        <f t="shared" si="99"/>
        <v>#N/A</v>
      </c>
      <c r="J148" s="604"/>
      <c r="K148" s="604"/>
      <c r="L148" s="604"/>
      <c r="M148" s="126"/>
      <c r="N148" s="126"/>
      <c r="O148" s="590" t="e">
        <f t="shared" si="100"/>
        <v>#N/A</v>
      </c>
      <c r="P148" s="176">
        <f t="shared" si="112"/>
        <v>6</v>
      </c>
      <c r="Q148" s="580" t="e">
        <f t="shared" si="101"/>
        <v>#N/A</v>
      </c>
      <c r="R148" s="176">
        <f t="shared" si="113"/>
        <v>5.8</v>
      </c>
      <c r="S148" s="590" t="e">
        <f t="shared" si="102"/>
        <v>#N/A</v>
      </c>
      <c r="T148" s="176" t="e">
        <f t="shared" si="103"/>
        <v>#N/A</v>
      </c>
      <c r="U148" s="176">
        <f t="shared" si="114"/>
        <v>300</v>
      </c>
      <c r="V148" s="176" t="e">
        <f t="shared" si="104"/>
        <v>#N/A</v>
      </c>
      <c r="W148" s="605" t="e">
        <f>IF($R$36=2,0,IF($R$36=4,0,IF($R$36=6,0,IF($R$36=8,0,IF($R$36=9,$O$36/9)))))</f>
        <v>#N/A</v>
      </c>
      <c r="X148" s="606" t="e">
        <f t="shared" si="106"/>
        <v>#N/A</v>
      </c>
      <c r="Y148" s="606" t="e">
        <f t="shared" si="107"/>
        <v>#N/A</v>
      </c>
      <c r="Z148" s="176">
        <f t="shared" si="115"/>
        <v>3</v>
      </c>
      <c r="AA148" s="176" t="e">
        <f t="shared" si="108"/>
        <v>#N/A</v>
      </c>
      <c r="AB148" s="176" t="e">
        <f t="shared" si="109"/>
        <v>#N/A</v>
      </c>
      <c r="AC148" s="590" t="e">
        <f t="shared" si="110"/>
        <v>#N/A</v>
      </c>
      <c r="AD148" s="590" t="e">
        <f t="shared" si="111"/>
        <v>#N/A</v>
      </c>
      <c r="AE148" s="126"/>
    </row>
    <row r="149" spans="1:46" ht="15" customHeight="1">
      <c r="D149" s="126"/>
      <c r="E149" s="126"/>
      <c r="K149" s="126"/>
      <c r="L149" s="126"/>
      <c r="Q149" s="126"/>
      <c r="R149" s="126"/>
      <c r="V149" s="126"/>
      <c r="X149" s="126"/>
    </row>
    <row r="150" spans="1:46" ht="15" customHeight="1">
      <c r="D150" s="126"/>
      <c r="E150" s="126"/>
      <c r="K150" s="126"/>
      <c r="L150" s="126"/>
      <c r="Q150" s="126"/>
      <c r="R150" s="126"/>
      <c r="V150" s="126"/>
      <c r="X150" s="126"/>
    </row>
    <row r="151" spans="1:46" ht="15" customHeight="1">
      <c r="C151" s="1323" t="s">
        <v>1204</v>
      </c>
      <c r="D151" s="1323"/>
      <c r="E151" s="580" t="s">
        <v>1185</v>
      </c>
      <c r="F151" s="580" t="s">
        <v>1186</v>
      </c>
      <c r="G151" s="580" t="s">
        <v>227</v>
      </c>
      <c r="K151" s="126"/>
      <c r="L151" s="126"/>
      <c r="Q151" s="126"/>
      <c r="R151" s="126"/>
      <c r="V151" s="126"/>
      <c r="X151" s="126"/>
    </row>
    <row r="152" spans="1:46" ht="15" customHeight="1">
      <c r="B152" s="581" t="s">
        <v>768</v>
      </c>
      <c r="C152" s="1324"/>
      <c r="D152" s="1324"/>
      <c r="E152" s="589">
        <f>ENERGÍA!F158</f>
        <v>0</v>
      </c>
      <c r="F152" s="589">
        <f>ENERGÍA!G158</f>
        <v>0</v>
      </c>
      <c r="G152" s="589">
        <f>ENERGÍA!H158</f>
        <v>0</v>
      </c>
      <c r="K152" s="126"/>
      <c r="L152" s="126"/>
      <c r="T152" s="590">
        <f>ENERGÍA!U158</f>
        <v>0</v>
      </c>
      <c r="V152" s="126"/>
      <c r="X152" s="126"/>
      <c r="AC152" s="590">
        <f>T152*E152*F152</f>
        <v>0</v>
      </c>
      <c r="AD152" s="590">
        <f>AC152</f>
        <v>0</v>
      </c>
    </row>
    <row r="153" spans="1:46" ht="6" customHeight="1">
      <c r="L153" s="126"/>
      <c r="V153" s="148"/>
      <c r="Z153" s="580"/>
      <c r="AA153" s="580"/>
    </row>
    <row r="154" spans="1:46" ht="15" customHeight="1">
      <c r="B154" s="1323">
        <f>C38</f>
        <v>0</v>
      </c>
      <c r="C154" s="1323"/>
      <c r="D154" s="1323"/>
      <c r="E154" s="1323"/>
      <c r="F154" s="1323"/>
      <c r="G154" s="1323"/>
      <c r="H154" s="1323"/>
      <c r="I154" s="1323"/>
      <c r="J154" s="1323"/>
      <c r="K154" s="1323"/>
      <c r="L154" s="1323"/>
      <c r="O154" s="1320">
        <f>B154</f>
        <v>0</v>
      </c>
      <c r="P154" s="1321"/>
      <c r="Q154" s="1321"/>
      <c r="R154" s="1321"/>
      <c r="S154" s="1321"/>
      <c r="T154" s="1321"/>
      <c r="U154" s="1321"/>
      <c r="V154" s="1321"/>
      <c r="W154" s="1321"/>
      <c r="X154" s="1321"/>
      <c r="Y154" s="1321"/>
      <c r="Z154" s="1321"/>
      <c r="AA154" s="1321"/>
      <c r="AB154" s="1321"/>
      <c r="AC154" s="1321"/>
      <c r="AD154" s="1321"/>
      <c r="AE154" s="1322"/>
    </row>
    <row r="155" spans="1:46" ht="6" customHeight="1">
      <c r="L155" s="126"/>
      <c r="V155" s="148"/>
      <c r="Z155" s="580"/>
      <c r="AA155" s="580"/>
    </row>
    <row r="156" spans="1:46" ht="15" customHeight="1">
      <c r="B156" s="1273"/>
      <c r="C156" s="1323" t="s">
        <v>1184</v>
      </c>
      <c r="D156" s="1323"/>
      <c r="E156" s="1323"/>
      <c r="F156" s="1323" t="s">
        <v>1188</v>
      </c>
      <c r="G156" s="1323"/>
      <c r="H156" s="1323" t="s">
        <v>1203</v>
      </c>
      <c r="I156" s="1323"/>
      <c r="J156" s="1281" t="s">
        <v>790</v>
      </c>
      <c r="K156" s="1281" t="s">
        <v>1136</v>
      </c>
      <c r="L156" s="1281"/>
      <c r="O156" s="580" t="s">
        <v>1651</v>
      </c>
      <c r="P156" s="1281" t="s">
        <v>1064</v>
      </c>
      <c r="Q156" s="580" t="s">
        <v>1652</v>
      </c>
      <c r="R156" s="1273" t="s">
        <v>1191</v>
      </c>
      <c r="S156" s="580" t="s">
        <v>1190</v>
      </c>
      <c r="T156" s="1273" t="s">
        <v>1192</v>
      </c>
      <c r="U156" s="1323" t="s">
        <v>1653</v>
      </c>
      <c r="V156" s="1323"/>
      <c r="W156" s="580" t="s">
        <v>1654</v>
      </c>
      <c r="X156" s="1273" t="s">
        <v>1403</v>
      </c>
      <c r="Y156" s="1273" t="s">
        <v>1404</v>
      </c>
      <c r="Z156" s="1273" t="s">
        <v>1210</v>
      </c>
      <c r="AA156" s="1273" t="s">
        <v>1201</v>
      </c>
      <c r="AB156" s="1273" t="s">
        <v>1202</v>
      </c>
      <c r="AC156" s="1281" t="s">
        <v>850</v>
      </c>
      <c r="AD156" s="1281" t="str">
        <f>AC156</f>
        <v>W/K Inv</v>
      </c>
      <c r="AE156" s="226" t="s">
        <v>1017</v>
      </c>
    </row>
    <row r="157" spans="1:46" ht="15" customHeight="1">
      <c r="B157" s="1273"/>
      <c r="C157" s="148" t="s">
        <v>623</v>
      </c>
      <c r="D157" s="580" t="s">
        <v>1185</v>
      </c>
      <c r="E157" s="580" t="s">
        <v>1186</v>
      </c>
      <c r="F157" s="580" t="s">
        <v>623</v>
      </c>
      <c r="G157" s="580" t="s">
        <v>1189</v>
      </c>
      <c r="H157" s="580" t="s">
        <v>757</v>
      </c>
      <c r="I157" s="580" t="s">
        <v>650</v>
      </c>
      <c r="J157" s="1281"/>
      <c r="K157" s="166" t="s">
        <v>623</v>
      </c>
      <c r="L157" s="602" t="s">
        <v>1122</v>
      </c>
      <c r="O157" s="580" t="s">
        <v>1187</v>
      </c>
      <c r="P157" s="1281"/>
      <c r="Q157" s="580" t="s">
        <v>1187</v>
      </c>
      <c r="R157" s="1273"/>
      <c r="S157" s="580" t="s">
        <v>18</v>
      </c>
      <c r="T157" s="1273"/>
      <c r="U157" s="580" t="s">
        <v>1199</v>
      </c>
      <c r="V157" s="148" t="s">
        <v>1200</v>
      </c>
      <c r="W157" s="176" t="s">
        <v>1187</v>
      </c>
      <c r="X157" s="1273"/>
      <c r="Y157" s="1273"/>
      <c r="Z157" s="1273"/>
      <c r="AA157" s="1273"/>
      <c r="AB157" s="1273"/>
      <c r="AC157" s="1281"/>
      <c r="AD157" s="1281"/>
      <c r="AE157" s="603" t="e">
        <f>Q38</f>
        <v>#N/A</v>
      </c>
    </row>
    <row r="158" spans="1:46" ht="15" customHeight="1">
      <c r="B158" s="581" t="s">
        <v>225</v>
      </c>
      <c r="C158" s="604"/>
      <c r="D158" s="604"/>
      <c r="E158" s="604"/>
      <c r="F158" s="604"/>
      <c r="G158" s="604"/>
      <c r="H158" s="176" t="e">
        <f t="shared" ref="H158:H166" si="120">IF(W158=0,"-",IF($O$4=6,"No Aplica",HLOOKUP(AA158,ZONA2,2,TRUE)))</f>
        <v>#N/A</v>
      </c>
      <c r="I158" s="176" t="e">
        <f t="shared" ref="I158:I166" si="121">IF(W158=0,"-",IF($O$4=6,HLOOKUP(AB158,ZONA3,2,TRUE),HLOOKUP(AB158,ZONA1,2,TRUE)))</f>
        <v>#N/A</v>
      </c>
      <c r="J158" s="604"/>
      <c r="K158" s="604"/>
      <c r="L158" s="604"/>
      <c r="O158" s="590" t="e">
        <f t="shared" ref="O158:O166" si="122">$W$104-Q158</f>
        <v>#N/A</v>
      </c>
      <c r="P158" s="176">
        <f>P140</f>
        <v>6</v>
      </c>
      <c r="Q158" s="580" t="e">
        <f t="shared" ref="Q158:Q166" si="123">W158*0.02</f>
        <v>#N/A</v>
      </c>
      <c r="R158" s="176">
        <f>R140</f>
        <v>5.8</v>
      </c>
      <c r="S158" s="590" t="e">
        <f t="shared" ref="S158:S166" si="124">(W158/2)+2</f>
        <v>#N/A</v>
      </c>
      <c r="T158" s="176" t="e">
        <f t="shared" ref="T158:T166" si="125">((O158*P158)+(Q158*R158)+(S158*0.02))/W158</f>
        <v>#N/A</v>
      </c>
      <c r="U158" s="176">
        <f>U140</f>
        <v>300</v>
      </c>
      <c r="V158" s="176" t="e">
        <f t="shared" ref="V158:V166" si="126">IF(W158=0,0,U158*W158)</f>
        <v>#N/A</v>
      </c>
      <c r="W158" s="605" t="e">
        <f t="shared" ref="W158:W159" si="127">IF($R$36=2,$O$36/2,IF($R$36=4,$O$36/4,IF($R$36=6,$O$36/6,IF($R$36=8,$O$36/8,IF($R$36=9,$O$36/9)))))</f>
        <v>#N/A</v>
      </c>
      <c r="X158" s="606" t="e">
        <f t="shared" ref="X158:X166" si="128">(V158*$AW$112)</f>
        <v>#N/A</v>
      </c>
      <c r="Y158" s="606" t="e">
        <f t="shared" ref="Y158:Y166" si="129">V158*$AW$114</f>
        <v>#N/A</v>
      </c>
      <c r="Z158" s="176">
        <f>Z140</f>
        <v>3</v>
      </c>
      <c r="AA158" s="176" t="e">
        <f t="shared" ref="AA158:AA166" si="130">IF(W158=0,0,(($AW$104*Z158)+X158+(T158*$AW$108))/W158)</f>
        <v>#N/A</v>
      </c>
      <c r="AB158" s="176" t="e">
        <f>IF(W158=0,0,(($AW$106*Z158)-(X158+T158)*$AW$110)/W158)</f>
        <v>#N/A</v>
      </c>
      <c r="AC158" s="590" t="e">
        <f>IF(W158=0,0,(T158*O158))</f>
        <v>#N/A</v>
      </c>
      <c r="AD158" s="590" t="e">
        <f t="shared" ref="AD158:AD166" si="131">AC158</f>
        <v>#N/A</v>
      </c>
    </row>
    <row r="159" spans="1:46" ht="15" customHeight="1">
      <c r="B159" s="581" t="s">
        <v>225</v>
      </c>
      <c r="C159" s="604"/>
      <c r="D159" s="604"/>
      <c r="E159" s="604"/>
      <c r="F159" s="604"/>
      <c r="G159" s="604"/>
      <c r="H159" s="176" t="e">
        <f t="shared" si="120"/>
        <v>#N/A</v>
      </c>
      <c r="I159" s="176" t="e">
        <f t="shared" si="121"/>
        <v>#N/A</v>
      </c>
      <c r="J159" s="604"/>
      <c r="K159" s="604"/>
      <c r="L159" s="604"/>
      <c r="O159" s="590" t="e">
        <f t="shared" si="122"/>
        <v>#N/A</v>
      </c>
      <c r="P159" s="176">
        <f>P158</f>
        <v>6</v>
      </c>
      <c r="Q159" s="580" t="e">
        <f t="shared" si="123"/>
        <v>#N/A</v>
      </c>
      <c r="R159" s="176">
        <f>R158</f>
        <v>5.8</v>
      </c>
      <c r="S159" s="590" t="e">
        <f t="shared" si="124"/>
        <v>#N/A</v>
      </c>
      <c r="T159" s="176" t="e">
        <f t="shared" si="125"/>
        <v>#N/A</v>
      </c>
      <c r="U159" s="176">
        <f>U158</f>
        <v>300</v>
      </c>
      <c r="V159" s="176" t="e">
        <f t="shared" si="126"/>
        <v>#N/A</v>
      </c>
      <c r="W159" s="605" t="e">
        <f t="shared" si="127"/>
        <v>#N/A</v>
      </c>
      <c r="X159" s="606" t="e">
        <f t="shared" si="128"/>
        <v>#N/A</v>
      </c>
      <c r="Y159" s="606" t="e">
        <f t="shared" si="129"/>
        <v>#N/A</v>
      </c>
      <c r="Z159" s="176">
        <f>Z158</f>
        <v>3</v>
      </c>
      <c r="AA159" s="176" t="e">
        <f t="shared" si="130"/>
        <v>#N/A</v>
      </c>
      <c r="AB159" s="176" t="e">
        <f t="shared" ref="AB159:AB166" si="132">IF(W159=0,0,(($AW$106*Z159)-(X159+T159)*$AW$110)/W159)</f>
        <v>#N/A</v>
      </c>
      <c r="AC159" s="590" t="e">
        <f t="shared" ref="AC159:AC166" si="133">IF(W159=0,0,(T159*O159))</f>
        <v>#N/A</v>
      </c>
      <c r="AD159" s="590" t="e">
        <f t="shared" si="131"/>
        <v>#N/A</v>
      </c>
    </row>
    <row r="160" spans="1:46" ht="15" customHeight="1">
      <c r="B160" s="581" t="s">
        <v>225</v>
      </c>
      <c r="C160" s="604"/>
      <c r="D160" s="604"/>
      <c r="E160" s="604"/>
      <c r="F160" s="604"/>
      <c r="G160" s="604"/>
      <c r="H160" s="176" t="e">
        <f t="shared" si="120"/>
        <v>#N/A</v>
      </c>
      <c r="I160" s="176" t="e">
        <f t="shared" si="121"/>
        <v>#N/A</v>
      </c>
      <c r="J160" s="604"/>
      <c r="K160" s="604"/>
      <c r="L160" s="604"/>
      <c r="O160" s="590" t="e">
        <f t="shared" si="122"/>
        <v>#N/A</v>
      </c>
      <c r="P160" s="176">
        <f t="shared" ref="P160:P166" si="134">P159</f>
        <v>6</v>
      </c>
      <c r="Q160" s="580" t="e">
        <f t="shared" si="123"/>
        <v>#N/A</v>
      </c>
      <c r="R160" s="176">
        <f t="shared" ref="R160:R166" si="135">R159</f>
        <v>5.8</v>
      </c>
      <c r="S160" s="590" t="e">
        <f t="shared" si="124"/>
        <v>#N/A</v>
      </c>
      <c r="T160" s="176" t="e">
        <f t="shared" si="125"/>
        <v>#N/A</v>
      </c>
      <c r="U160" s="176">
        <f t="shared" ref="U160:U166" si="136">U159</f>
        <v>300</v>
      </c>
      <c r="V160" s="176" t="e">
        <f t="shared" si="126"/>
        <v>#N/A</v>
      </c>
      <c r="W160" s="605" t="e">
        <f>IF($R$36=2,0,IF($R$36=4,$O$36/4,IF($R$36=6,$O$36/6,IF($R$36=8,$O$36/8,IF($R$36=9,$O$36/9)))))</f>
        <v>#N/A</v>
      </c>
      <c r="X160" s="606" t="e">
        <f t="shared" si="128"/>
        <v>#N/A</v>
      </c>
      <c r="Y160" s="606" t="e">
        <f t="shared" si="129"/>
        <v>#N/A</v>
      </c>
      <c r="Z160" s="176">
        <f t="shared" ref="Z160:Z166" si="137">Z159</f>
        <v>3</v>
      </c>
      <c r="AA160" s="176" t="e">
        <f t="shared" si="130"/>
        <v>#N/A</v>
      </c>
      <c r="AB160" s="176" t="e">
        <f t="shared" si="132"/>
        <v>#N/A</v>
      </c>
      <c r="AC160" s="590" t="e">
        <f t="shared" si="133"/>
        <v>#N/A</v>
      </c>
      <c r="AD160" s="590" t="e">
        <f t="shared" si="131"/>
        <v>#N/A</v>
      </c>
    </row>
    <row r="161" spans="1:32" ht="15" customHeight="1">
      <c r="B161" s="581" t="s">
        <v>225</v>
      </c>
      <c r="C161" s="604"/>
      <c r="D161" s="604"/>
      <c r="E161" s="604"/>
      <c r="F161" s="604"/>
      <c r="G161" s="604"/>
      <c r="H161" s="176" t="e">
        <f t="shared" si="120"/>
        <v>#N/A</v>
      </c>
      <c r="I161" s="176" t="e">
        <f t="shared" si="121"/>
        <v>#N/A</v>
      </c>
      <c r="J161" s="604"/>
      <c r="K161" s="604"/>
      <c r="L161" s="604"/>
      <c r="O161" s="590" t="e">
        <f t="shared" si="122"/>
        <v>#N/A</v>
      </c>
      <c r="P161" s="176">
        <f t="shared" si="134"/>
        <v>6</v>
      </c>
      <c r="Q161" s="580" t="e">
        <f t="shared" si="123"/>
        <v>#N/A</v>
      </c>
      <c r="R161" s="176">
        <f t="shared" si="135"/>
        <v>5.8</v>
      </c>
      <c r="S161" s="590" t="e">
        <f t="shared" si="124"/>
        <v>#N/A</v>
      </c>
      <c r="T161" s="176" t="e">
        <f t="shared" si="125"/>
        <v>#N/A</v>
      </c>
      <c r="U161" s="176">
        <f t="shared" si="136"/>
        <v>300</v>
      </c>
      <c r="V161" s="176" t="e">
        <f t="shared" si="126"/>
        <v>#N/A</v>
      </c>
      <c r="W161" s="605" t="e">
        <f t="shared" ref="W161" si="138">IF($R$36=2,0,IF($R$36=4,$O$36/4,IF($R$36=6,$O$36/6,IF($R$36=8,$O$36/8,IF($R$36=9,$O$36/9)))))</f>
        <v>#N/A</v>
      </c>
      <c r="X161" s="606" t="e">
        <f t="shared" si="128"/>
        <v>#N/A</v>
      </c>
      <c r="Y161" s="606" t="e">
        <f t="shared" si="129"/>
        <v>#N/A</v>
      </c>
      <c r="Z161" s="176">
        <f t="shared" si="137"/>
        <v>3</v>
      </c>
      <c r="AA161" s="176" t="e">
        <f t="shared" si="130"/>
        <v>#N/A</v>
      </c>
      <c r="AB161" s="176" t="e">
        <f t="shared" si="132"/>
        <v>#N/A</v>
      </c>
      <c r="AC161" s="590" t="e">
        <f t="shared" si="133"/>
        <v>#N/A</v>
      </c>
      <c r="AD161" s="590" t="e">
        <f t="shared" si="131"/>
        <v>#N/A</v>
      </c>
    </row>
    <row r="162" spans="1:32" ht="15" customHeight="1">
      <c r="B162" s="581" t="s">
        <v>225</v>
      </c>
      <c r="C162" s="604"/>
      <c r="D162" s="604"/>
      <c r="E162" s="604"/>
      <c r="F162" s="604"/>
      <c r="G162" s="604"/>
      <c r="H162" s="176" t="e">
        <f t="shared" si="120"/>
        <v>#N/A</v>
      </c>
      <c r="I162" s="176" t="e">
        <f t="shared" si="121"/>
        <v>#N/A</v>
      </c>
      <c r="J162" s="604"/>
      <c r="K162" s="604"/>
      <c r="L162" s="604"/>
      <c r="O162" s="590" t="e">
        <f t="shared" si="122"/>
        <v>#N/A</v>
      </c>
      <c r="P162" s="176">
        <f t="shared" si="134"/>
        <v>6</v>
      </c>
      <c r="Q162" s="580" t="e">
        <f t="shared" si="123"/>
        <v>#N/A</v>
      </c>
      <c r="R162" s="176">
        <f t="shared" si="135"/>
        <v>5.8</v>
      </c>
      <c r="S162" s="590" t="e">
        <f t="shared" si="124"/>
        <v>#N/A</v>
      </c>
      <c r="T162" s="176" t="e">
        <f t="shared" si="125"/>
        <v>#N/A</v>
      </c>
      <c r="U162" s="176">
        <f t="shared" si="136"/>
        <v>300</v>
      </c>
      <c r="V162" s="176" t="e">
        <f t="shared" si="126"/>
        <v>#N/A</v>
      </c>
      <c r="W162" s="605" t="e">
        <f>IF($R$36=2,0,IF($R$36=4,0,IF($R$36=6,$O$36/6,IF($R$36=8,$O$36/8,IF($R$36=9,$O$36/9)))))</f>
        <v>#N/A</v>
      </c>
      <c r="X162" s="606" t="e">
        <f t="shared" si="128"/>
        <v>#N/A</v>
      </c>
      <c r="Y162" s="606" t="e">
        <f t="shared" si="129"/>
        <v>#N/A</v>
      </c>
      <c r="Z162" s="176">
        <f t="shared" si="137"/>
        <v>3</v>
      </c>
      <c r="AA162" s="176" t="e">
        <f t="shared" si="130"/>
        <v>#N/A</v>
      </c>
      <c r="AB162" s="176" t="e">
        <f t="shared" si="132"/>
        <v>#N/A</v>
      </c>
      <c r="AC162" s="590" t="e">
        <f t="shared" si="133"/>
        <v>#N/A</v>
      </c>
      <c r="AD162" s="590" t="e">
        <f t="shared" si="131"/>
        <v>#N/A</v>
      </c>
    </row>
    <row r="163" spans="1:32" ht="15" customHeight="1">
      <c r="B163" s="581" t="s">
        <v>225</v>
      </c>
      <c r="C163" s="604"/>
      <c r="D163" s="604"/>
      <c r="E163" s="604"/>
      <c r="F163" s="604"/>
      <c r="G163" s="604"/>
      <c r="H163" s="176" t="e">
        <f t="shared" si="120"/>
        <v>#N/A</v>
      </c>
      <c r="I163" s="176" t="e">
        <f t="shared" si="121"/>
        <v>#N/A</v>
      </c>
      <c r="J163" s="604"/>
      <c r="K163" s="604"/>
      <c r="L163" s="604"/>
      <c r="O163" s="590" t="e">
        <f t="shared" si="122"/>
        <v>#N/A</v>
      </c>
      <c r="P163" s="176">
        <f t="shared" si="134"/>
        <v>6</v>
      </c>
      <c r="Q163" s="580" t="e">
        <f t="shared" si="123"/>
        <v>#N/A</v>
      </c>
      <c r="R163" s="176">
        <f t="shared" si="135"/>
        <v>5.8</v>
      </c>
      <c r="S163" s="590" t="e">
        <f t="shared" si="124"/>
        <v>#N/A</v>
      </c>
      <c r="T163" s="176" t="e">
        <f t="shared" si="125"/>
        <v>#N/A</v>
      </c>
      <c r="U163" s="176">
        <f t="shared" si="136"/>
        <v>300</v>
      </c>
      <c r="V163" s="176" t="e">
        <f t="shared" si="126"/>
        <v>#N/A</v>
      </c>
      <c r="W163" s="605" t="e">
        <f>IF($R$36=2,0,IF($R$36=4,0,IF($R$36=6,$O$36/6,IF($R$36=8,$O$36/8,IF($R$36=9,$O$36/9)))))</f>
        <v>#N/A</v>
      </c>
      <c r="X163" s="606" t="e">
        <f t="shared" si="128"/>
        <v>#N/A</v>
      </c>
      <c r="Y163" s="606" t="e">
        <f t="shared" si="129"/>
        <v>#N/A</v>
      </c>
      <c r="Z163" s="176">
        <f t="shared" si="137"/>
        <v>3</v>
      </c>
      <c r="AA163" s="176" t="e">
        <f t="shared" si="130"/>
        <v>#N/A</v>
      </c>
      <c r="AB163" s="176" t="e">
        <f t="shared" si="132"/>
        <v>#N/A</v>
      </c>
      <c r="AC163" s="590" t="e">
        <f t="shared" si="133"/>
        <v>#N/A</v>
      </c>
      <c r="AD163" s="590" t="e">
        <f t="shared" si="131"/>
        <v>#N/A</v>
      </c>
    </row>
    <row r="164" spans="1:32" ht="15" customHeight="1">
      <c r="B164" s="581" t="s">
        <v>225</v>
      </c>
      <c r="C164" s="604"/>
      <c r="D164" s="604"/>
      <c r="E164" s="604"/>
      <c r="F164" s="604"/>
      <c r="G164" s="604"/>
      <c r="H164" s="176" t="e">
        <f t="shared" si="120"/>
        <v>#N/A</v>
      </c>
      <c r="I164" s="176" t="e">
        <f t="shared" si="121"/>
        <v>#N/A</v>
      </c>
      <c r="J164" s="604"/>
      <c r="K164" s="604"/>
      <c r="L164" s="604"/>
      <c r="O164" s="590" t="e">
        <f t="shared" si="122"/>
        <v>#N/A</v>
      </c>
      <c r="P164" s="176">
        <f t="shared" si="134"/>
        <v>6</v>
      </c>
      <c r="Q164" s="580" t="e">
        <f t="shared" si="123"/>
        <v>#N/A</v>
      </c>
      <c r="R164" s="176">
        <f t="shared" si="135"/>
        <v>5.8</v>
      </c>
      <c r="S164" s="590" t="e">
        <f t="shared" si="124"/>
        <v>#N/A</v>
      </c>
      <c r="T164" s="176" t="e">
        <f t="shared" si="125"/>
        <v>#N/A</v>
      </c>
      <c r="U164" s="176">
        <f t="shared" si="136"/>
        <v>300</v>
      </c>
      <c r="V164" s="176" t="e">
        <f t="shared" si="126"/>
        <v>#N/A</v>
      </c>
      <c r="W164" s="605" t="e">
        <f>IF($R$36=2,0,IF($R$36=4,0,IF($R$36=6,0,IF($R$36=8,$O$36/8,IF($R$36=9,$O$36/9)))))</f>
        <v>#N/A</v>
      </c>
      <c r="X164" s="606" t="e">
        <f t="shared" si="128"/>
        <v>#N/A</v>
      </c>
      <c r="Y164" s="606" t="e">
        <f t="shared" si="129"/>
        <v>#N/A</v>
      </c>
      <c r="Z164" s="176">
        <f t="shared" si="137"/>
        <v>3</v>
      </c>
      <c r="AA164" s="176" t="e">
        <f t="shared" si="130"/>
        <v>#N/A</v>
      </c>
      <c r="AB164" s="176" t="e">
        <f t="shared" si="132"/>
        <v>#N/A</v>
      </c>
      <c r="AC164" s="590" t="e">
        <f t="shared" si="133"/>
        <v>#N/A</v>
      </c>
      <c r="AD164" s="590" t="e">
        <f t="shared" si="131"/>
        <v>#N/A</v>
      </c>
    </row>
    <row r="165" spans="1:32" ht="15" customHeight="1">
      <c r="B165" s="581" t="s">
        <v>225</v>
      </c>
      <c r="C165" s="604"/>
      <c r="D165" s="604"/>
      <c r="E165" s="604"/>
      <c r="F165" s="604"/>
      <c r="G165" s="604"/>
      <c r="H165" s="176" t="e">
        <f t="shared" si="120"/>
        <v>#N/A</v>
      </c>
      <c r="I165" s="176" t="e">
        <f t="shared" si="121"/>
        <v>#N/A</v>
      </c>
      <c r="J165" s="604"/>
      <c r="K165" s="604"/>
      <c r="L165" s="604"/>
      <c r="O165" s="590" t="e">
        <f t="shared" si="122"/>
        <v>#N/A</v>
      </c>
      <c r="P165" s="176">
        <f t="shared" si="134"/>
        <v>6</v>
      </c>
      <c r="Q165" s="580" t="e">
        <f t="shared" si="123"/>
        <v>#N/A</v>
      </c>
      <c r="R165" s="176">
        <f t="shared" si="135"/>
        <v>5.8</v>
      </c>
      <c r="S165" s="590" t="e">
        <f t="shared" si="124"/>
        <v>#N/A</v>
      </c>
      <c r="T165" s="176" t="e">
        <f t="shared" si="125"/>
        <v>#N/A</v>
      </c>
      <c r="U165" s="176">
        <f t="shared" si="136"/>
        <v>300</v>
      </c>
      <c r="V165" s="176" t="e">
        <f t="shared" si="126"/>
        <v>#N/A</v>
      </c>
      <c r="W165" s="605" t="e">
        <f t="shared" ref="W165" si="139">IF($R$36=2,0,IF($R$36=4,0,IF($R$36=6,0,IF($R$36=8,$O$36/8,IF($R$36=9,$O$36/9)))))</f>
        <v>#N/A</v>
      </c>
      <c r="X165" s="606" t="e">
        <f t="shared" si="128"/>
        <v>#N/A</v>
      </c>
      <c r="Y165" s="606" t="e">
        <f t="shared" si="129"/>
        <v>#N/A</v>
      </c>
      <c r="Z165" s="176">
        <f t="shared" si="137"/>
        <v>3</v>
      </c>
      <c r="AA165" s="176" t="e">
        <f t="shared" si="130"/>
        <v>#N/A</v>
      </c>
      <c r="AB165" s="176" t="e">
        <f t="shared" si="132"/>
        <v>#N/A</v>
      </c>
      <c r="AC165" s="590" t="e">
        <f t="shared" si="133"/>
        <v>#N/A</v>
      </c>
      <c r="AD165" s="590" t="e">
        <f t="shared" si="131"/>
        <v>#N/A</v>
      </c>
    </row>
    <row r="166" spans="1:32" s="173" customFormat="1" ht="15" customHeight="1">
      <c r="A166" s="126"/>
      <c r="B166" s="581" t="s">
        <v>225</v>
      </c>
      <c r="C166" s="604"/>
      <c r="D166" s="604"/>
      <c r="E166" s="604"/>
      <c r="F166" s="604"/>
      <c r="G166" s="604"/>
      <c r="H166" s="176" t="e">
        <f t="shared" si="120"/>
        <v>#N/A</v>
      </c>
      <c r="I166" s="176" t="e">
        <f t="shared" si="121"/>
        <v>#N/A</v>
      </c>
      <c r="J166" s="604"/>
      <c r="K166" s="604"/>
      <c r="L166" s="604"/>
      <c r="M166" s="126"/>
      <c r="N166" s="126"/>
      <c r="O166" s="590" t="e">
        <f t="shared" si="122"/>
        <v>#N/A</v>
      </c>
      <c r="P166" s="176">
        <f t="shared" si="134"/>
        <v>6</v>
      </c>
      <c r="Q166" s="580" t="e">
        <f t="shared" si="123"/>
        <v>#N/A</v>
      </c>
      <c r="R166" s="176">
        <f t="shared" si="135"/>
        <v>5.8</v>
      </c>
      <c r="S166" s="590" t="e">
        <f t="shared" si="124"/>
        <v>#N/A</v>
      </c>
      <c r="T166" s="176" t="e">
        <f t="shared" si="125"/>
        <v>#N/A</v>
      </c>
      <c r="U166" s="176">
        <f t="shared" si="136"/>
        <v>300</v>
      </c>
      <c r="V166" s="176" t="e">
        <f t="shared" si="126"/>
        <v>#N/A</v>
      </c>
      <c r="W166" s="605" t="e">
        <f>IF($R$36=2,0,IF($R$36=4,0,IF($R$36=6,0,IF($R$36=8,0,IF($R$36=9,$O$36/9)))))</f>
        <v>#N/A</v>
      </c>
      <c r="X166" s="606" t="e">
        <f t="shared" si="128"/>
        <v>#N/A</v>
      </c>
      <c r="Y166" s="606" t="e">
        <f t="shared" si="129"/>
        <v>#N/A</v>
      </c>
      <c r="Z166" s="176">
        <f t="shared" si="137"/>
        <v>3</v>
      </c>
      <c r="AA166" s="176" t="e">
        <f t="shared" si="130"/>
        <v>#N/A</v>
      </c>
      <c r="AB166" s="176" t="e">
        <f t="shared" si="132"/>
        <v>#N/A</v>
      </c>
      <c r="AC166" s="590" t="e">
        <f t="shared" si="133"/>
        <v>#N/A</v>
      </c>
      <c r="AD166" s="590" t="e">
        <f t="shared" si="131"/>
        <v>#N/A</v>
      </c>
      <c r="AE166" s="126"/>
    </row>
    <row r="167" spans="1:32" ht="15" customHeight="1">
      <c r="D167" s="126"/>
      <c r="E167" s="126"/>
      <c r="K167" s="126"/>
      <c r="L167" s="126"/>
      <c r="Q167" s="126"/>
      <c r="R167" s="126"/>
      <c r="V167" s="126"/>
      <c r="X167" s="126"/>
    </row>
    <row r="168" spans="1:32" ht="15" customHeight="1">
      <c r="D168" s="126"/>
      <c r="E168" s="126"/>
      <c r="K168" s="126"/>
      <c r="L168" s="126"/>
      <c r="Q168" s="126"/>
      <c r="R168" s="126"/>
      <c r="V168" s="126"/>
      <c r="X168" s="126"/>
    </row>
    <row r="169" spans="1:32" ht="15" customHeight="1">
      <c r="C169" s="1323" t="s">
        <v>1204</v>
      </c>
      <c r="D169" s="1323"/>
      <c r="E169" s="580" t="s">
        <v>1185</v>
      </c>
      <c r="F169" s="580" t="s">
        <v>1186</v>
      </c>
      <c r="G169" s="580" t="s">
        <v>227</v>
      </c>
      <c r="K169" s="126"/>
      <c r="L169" s="126"/>
      <c r="Q169" s="126"/>
      <c r="R169" s="126"/>
      <c r="V169" s="126"/>
      <c r="X169" s="126"/>
    </row>
    <row r="170" spans="1:32" ht="15" customHeight="1">
      <c r="B170" s="581" t="s">
        <v>768</v>
      </c>
      <c r="C170" s="1324"/>
      <c r="D170" s="1324"/>
      <c r="E170" s="589">
        <f>ENERGÍA!F176</f>
        <v>0</v>
      </c>
      <c r="F170" s="589">
        <f>ENERGÍA!G176</f>
        <v>0</v>
      </c>
      <c r="G170" s="589">
        <f>ENERGÍA!H176</f>
        <v>0</v>
      </c>
      <c r="K170" s="126"/>
      <c r="L170" s="126"/>
      <c r="T170" s="590">
        <f>ENERGÍA!U176</f>
        <v>0</v>
      </c>
      <c r="V170" s="126"/>
      <c r="X170" s="126"/>
      <c r="AC170" s="590">
        <f>T170*E170*F170</f>
        <v>0</v>
      </c>
      <c r="AD170" s="590">
        <f>AC170</f>
        <v>0</v>
      </c>
    </row>
    <row r="171" spans="1:32" ht="6" customHeight="1">
      <c r="D171" s="126"/>
      <c r="E171" s="126"/>
      <c r="O171" s="148"/>
      <c r="P171" s="581"/>
      <c r="Q171" s="126"/>
      <c r="R171" s="126"/>
      <c r="V171" s="148"/>
    </row>
    <row r="172" spans="1:32" ht="15" customHeight="1">
      <c r="B172" s="1280" t="s">
        <v>601</v>
      </c>
      <c r="C172" s="1280"/>
      <c r="D172" s="1280"/>
      <c r="E172" s="1280"/>
      <c r="F172" s="1280"/>
      <c r="G172" s="1280"/>
      <c r="H172" s="1280"/>
      <c r="I172" s="1280"/>
      <c r="J172" s="1280"/>
      <c r="K172" s="1280"/>
      <c r="L172" s="1280"/>
      <c r="O172" s="1317" t="s">
        <v>601</v>
      </c>
      <c r="P172" s="1318"/>
      <c r="Q172" s="1318"/>
      <c r="R172" s="1318"/>
      <c r="S172" s="1318"/>
      <c r="T172" s="1318"/>
      <c r="U172" s="1318"/>
      <c r="V172" s="1318"/>
      <c r="W172" s="1318"/>
      <c r="X172" s="1318"/>
      <c r="Y172" s="1318"/>
      <c r="Z172" s="1318"/>
      <c r="AA172" s="1318"/>
      <c r="AB172" s="1318"/>
      <c r="AC172" s="1318"/>
      <c r="AD172" s="1318"/>
      <c r="AE172" s="1318"/>
      <c r="AF172" s="1319"/>
    </row>
    <row r="173" spans="1:32" ht="6" customHeight="1">
      <c r="O173" s="148"/>
      <c r="Q173" s="126"/>
      <c r="R173" s="126"/>
      <c r="V173" s="148"/>
    </row>
    <row r="174" spans="1:32" ht="15" customHeight="1">
      <c r="B174" s="580" t="s">
        <v>598</v>
      </c>
      <c r="C174" s="1320" t="s">
        <v>1034</v>
      </c>
      <c r="D174" s="1321"/>
      <c r="E174" s="1321"/>
      <c r="F174" s="1321"/>
      <c r="G174" s="1321"/>
      <c r="H174" s="1321"/>
      <c r="I174" s="1321"/>
      <c r="J174" s="1321"/>
      <c r="K174" s="1321"/>
      <c r="L174" s="1322"/>
      <c r="P174" s="580" t="s">
        <v>1388</v>
      </c>
      <c r="Q174" s="148" t="s">
        <v>1389</v>
      </c>
      <c r="X174" s="580" t="s">
        <v>1392</v>
      </c>
      <c r="Z174" s="148" t="s">
        <v>1393</v>
      </c>
      <c r="AA174" s="580" t="s">
        <v>1391</v>
      </c>
      <c r="AB174" s="148" t="s">
        <v>1390</v>
      </c>
      <c r="AD174" s="148" t="s">
        <v>1393</v>
      </c>
      <c r="AE174" s="580" t="s">
        <v>1391</v>
      </c>
      <c r="AF174" s="148" t="s">
        <v>1394</v>
      </c>
    </row>
    <row r="175" spans="1:32" ht="15" customHeight="1">
      <c r="B175" s="581" t="s">
        <v>574</v>
      </c>
      <c r="C175" s="1326" t="str">
        <f>'BASE DE DATOS'!GW23</f>
        <v>Ventilación Selectiva</v>
      </c>
      <c r="D175" s="1327"/>
      <c r="E175" s="1327"/>
      <c r="F175" s="1327"/>
      <c r="G175" s="1327"/>
      <c r="H175" s="1327"/>
      <c r="I175" s="1327"/>
      <c r="J175" s="1327"/>
      <c r="K175" s="1327"/>
      <c r="L175" s="1328"/>
      <c r="O175" s="580">
        <f>ENERGÍA!P181</f>
        <v>0</v>
      </c>
      <c r="P175" s="148">
        <f>IF(O175=0,0,IF(C175='Materiales Personalizados'!$AG$30,55,IF(C175='Materiales Personalizados'!$AG$31,25,IF(C175='Materiales Personalizados'!$AG$32,55,0))))</f>
        <v>0</v>
      </c>
      <c r="Q175" s="1286">
        <f>IF(SUM(P175:P184)=0,0,SUM(P175:P184))</f>
        <v>0</v>
      </c>
      <c r="X175" s="1286">
        <f>((Q175*AW64)/3600)*0.33</f>
        <v>0</v>
      </c>
      <c r="Z175" s="1275">
        <v>0.3</v>
      </c>
      <c r="AA175" s="1286">
        <f>(X175+Z175)*1200</f>
        <v>360</v>
      </c>
      <c r="AB175" s="1286">
        <f>(1/1000)*AA175*(AH64)</f>
        <v>0</v>
      </c>
      <c r="AD175" s="1275">
        <v>0.3</v>
      </c>
      <c r="AE175" s="1286">
        <f>(AD175)*1200</f>
        <v>360</v>
      </c>
      <c r="AF175" s="1286">
        <f>(1/1000)*AE175*(AN66)</f>
        <v>6.4799999999999995</v>
      </c>
    </row>
    <row r="176" spans="1:32" ht="15" customHeight="1">
      <c r="B176" s="581" t="s">
        <v>575</v>
      </c>
      <c r="C176" s="1326" t="str">
        <f>C175</f>
        <v>Ventilación Selectiva</v>
      </c>
      <c r="D176" s="1327"/>
      <c r="E176" s="1327"/>
      <c r="F176" s="1327"/>
      <c r="G176" s="1327"/>
      <c r="H176" s="1327"/>
      <c r="I176" s="1327"/>
      <c r="J176" s="1327"/>
      <c r="K176" s="1327"/>
      <c r="L176" s="1328"/>
      <c r="O176" s="580">
        <f>ENERGÍA!P182</f>
        <v>0</v>
      </c>
      <c r="P176" s="148">
        <f>IF(O176=0,0,IF(C176='Materiales Personalizados'!$AG$30,55,IF(C176='Materiales Personalizados'!$AG$31,25,IF(C176='Materiales Personalizados'!$AG$32,55,0))))</f>
        <v>0</v>
      </c>
      <c r="Q176" s="1287"/>
      <c r="X176" s="1287"/>
      <c r="Z176" s="1276"/>
      <c r="AA176" s="1287"/>
      <c r="AB176" s="1287"/>
      <c r="AD176" s="1276"/>
      <c r="AE176" s="1287"/>
      <c r="AF176" s="1287"/>
    </row>
    <row r="177" spans="2:50" ht="15" customHeight="1">
      <c r="B177" s="581" t="s">
        <v>576</v>
      </c>
      <c r="C177" s="1326" t="str">
        <f t="shared" ref="C177:C184" si="140">C176</f>
        <v>Ventilación Selectiva</v>
      </c>
      <c r="D177" s="1327"/>
      <c r="E177" s="1327"/>
      <c r="F177" s="1327"/>
      <c r="G177" s="1327"/>
      <c r="H177" s="1327"/>
      <c r="I177" s="1327"/>
      <c r="J177" s="1327"/>
      <c r="K177" s="1327"/>
      <c r="L177" s="1328"/>
      <c r="O177" s="580">
        <f>ENERGÍA!P183</f>
        <v>0</v>
      </c>
      <c r="P177" s="148">
        <f>IF(O177=0,0,IF(C177='Materiales Personalizados'!$AG$30,55,IF(C177='Materiales Personalizados'!$AG$31,25,IF(C177='Materiales Personalizados'!$AG$32,55,0))))</f>
        <v>0</v>
      </c>
      <c r="Q177" s="1287"/>
      <c r="S177" s="597"/>
      <c r="X177" s="1287"/>
      <c r="Z177" s="1276"/>
      <c r="AA177" s="1287"/>
      <c r="AB177" s="1287"/>
      <c r="AD177" s="1276"/>
      <c r="AE177" s="1287"/>
      <c r="AF177" s="1287"/>
    </row>
    <row r="178" spans="2:50" ht="15" customHeight="1">
      <c r="B178" s="581" t="s">
        <v>577</v>
      </c>
      <c r="C178" s="1326" t="str">
        <f t="shared" si="140"/>
        <v>Ventilación Selectiva</v>
      </c>
      <c r="D178" s="1327"/>
      <c r="E178" s="1327"/>
      <c r="F178" s="1327"/>
      <c r="G178" s="1327"/>
      <c r="H178" s="1327"/>
      <c r="I178" s="1327"/>
      <c r="J178" s="1327"/>
      <c r="K178" s="1327"/>
      <c r="L178" s="1328"/>
      <c r="O178" s="580">
        <f>ENERGÍA!P184</f>
        <v>0</v>
      </c>
      <c r="P178" s="148">
        <f>IF(O178=0,0,IF(C178='Materiales Personalizados'!$AG$30,55,IF(C178='Materiales Personalizados'!$AG$31,25,IF(C178='Materiales Personalizados'!$AG$32,55,0))))</f>
        <v>0</v>
      </c>
      <c r="Q178" s="1287"/>
      <c r="S178" s="597"/>
      <c r="X178" s="1287"/>
      <c r="Z178" s="1276"/>
      <c r="AA178" s="1287"/>
      <c r="AB178" s="1287"/>
      <c r="AD178" s="1276"/>
      <c r="AE178" s="1287"/>
      <c r="AF178" s="1287"/>
    </row>
    <row r="179" spans="2:50" ht="15" customHeight="1">
      <c r="B179" s="581" t="s">
        <v>578</v>
      </c>
      <c r="C179" s="1326" t="str">
        <f t="shared" si="140"/>
        <v>Ventilación Selectiva</v>
      </c>
      <c r="D179" s="1327"/>
      <c r="E179" s="1327"/>
      <c r="F179" s="1327"/>
      <c r="G179" s="1327"/>
      <c r="H179" s="1327"/>
      <c r="I179" s="1327"/>
      <c r="J179" s="1327"/>
      <c r="K179" s="1327"/>
      <c r="L179" s="1328"/>
      <c r="O179" s="580">
        <f>ENERGÍA!P185</f>
        <v>0</v>
      </c>
      <c r="P179" s="148">
        <f>IF(O179=0,0,IF(C179='Materiales Personalizados'!$AG$30,55,IF(C179='Materiales Personalizados'!$AG$31,25,IF(C179='Materiales Personalizados'!$AG$32,55,0))))</f>
        <v>0</v>
      </c>
      <c r="Q179" s="1287"/>
      <c r="X179" s="1287"/>
      <c r="Z179" s="1276"/>
      <c r="AA179" s="1287"/>
      <c r="AB179" s="1287"/>
      <c r="AD179" s="1276"/>
      <c r="AE179" s="1287"/>
      <c r="AF179" s="1287"/>
    </row>
    <row r="180" spans="2:50" ht="15" customHeight="1">
      <c r="B180" s="581" t="s">
        <v>579</v>
      </c>
      <c r="C180" s="1326" t="str">
        <f t="shared" si="140"/>
        <v>Ventilación Selectiva</v>
      </c>
      <c r="D180" s="1327"/>
      <c r="E180" s="1327"/>
      <c r="F180" s="1327"/>
      <c r="G180" s="1327"/>
      <c r="H180" s="1327"/>
      <c r="I180" s="1327"/>
      <c r="J180" s="1327"/>
      <c r="K180" s="1327"/>
      <c r="L180" s="1328"/>
      <c r="O180" s="580">
        <f>ENERGÍA!P186</f>
        <v>0</v>
      </c>
      <c r="P180" s="148">
        <f>IF(O180=0,0,IF(C180='Materiales Personalizados'!$AG$30,55,IF(C180='Materiales Personalizados'!$AG$31,25,IF(C180='Materiales Personalizados'!$AG$32,55,0))))</f>
        <v>0</v>
      </c>
      <c r="Q180" s="1287"/>
      <c r="T180" s="597"/>
      <c r="X180" s="1287"/>
      <c r="Z180" s="1276"/>
      <c r="AA180" s="1287"/>
      <c r="AB180" s="1287"/>
      <c r="AD180" s="1276"/>
      <c r="AE180" s="1287"/>
      <c r="AF180" s="1287"/>
    </row>
    <row r="181" spans="2:50" ht="15" customHeight="1">
      <c r="B181" s="581" t="s">
        <v>636</v>
      </c>
      <c r="C181" s="1326" t="str">
        <f t="shared" si="140"/>
        <v>Ventilación Selectiva</v>
      </c>
      <c r="D181" s="1327"/>
      <c r="E181" s="1327"/>
      <c r="F181" s="1327"/>
      <c r="G181" s="1327"/>
      <c r="H181" s="1327"/>
      <c r="I181" s="1327"/>
      <c r="J181" s="1327"/>
      <c r="K181" s="1327"/>
      <c r="L181" s="1328"/>
      <c r="O181" s="580">
        <f>ENERGÍA!P187</f>
        <v>0</v>
      </c>
      <c r="P181" s="148">
        <f>IF(O181=0,0,IF(C181='Materiales Personalizados'!$AG$30,55,IF(C181='Materiales Personalizados'!$AG$31,25,IF(C181='Materiales Personalizados'!$AG$32,55,0))))</f>
        <v>0</v>
      </c>
      <c r="Q181" s="1287"/>
      <c r="X181" s="1287"/>
      <c r="Z181" s="1276"/>
      <c r="AA181" s="1287"/>
      <c r="AB181" s="1287"/>
      <c r="AD181" s="1276"/>
      <c r="AE181" s="1287"/>
      <c r="AF181" s="1287"/>
    </row>
    <row r="182" spans="2:50" ht="15" customHeight="1">
      <c r="B182" s="581" t="s">
        <v>582</v>
      </c>
      <c r="C182" s="1326" t="str">
        <f t="shared" si="140"/>
        <v>Ventilación Selectiva</v>
      </c>
      <c r="D182" s="1327"/>
      <c r="E182" s="1327"/>
      <c r="F182" s="1327"/>
      <c r="G182" s="1327"/>
      <c r="H182" s="1327"/>
      <c r="I182" s="1327"/>
      <c r="J182" s="1327"/>
      <c r="K182" s="1327"/>
      <c r="L182" s="1328"/>
      <c r="O182" s="580">
        <f>ENERGÍA!P188</f>
        <v>0</v>
      </c>
      <c r="P182" s="148">
        <f>IF(O182=0,0,IF(C182='Materiales Personalizados'!$AG$30,55,IF(C182='Materiales Personalizados'!$AG$31,25,IF(C182='Materiales Personalizados'!$AG$32,55,0))))</f>
        <v>0</v>
      </c>
      <c r="Q182" s="1287"/>
      <c r="X182" s="1287"/>
      <c r="Z182" s="1276"/>
      <c r="AA182" s="1287"/>
      <c r="AB182" s="1287"/>
      <c r="AD182" s="1276"/>
      <c r="AE182" s="1287"/>
      <c r="AF182" s="1287"/>
    </row>
    <row r="183" spans="2:50" ht="15" customHeight="1">
      <c r="B183" s="581" t="s">
        <v>566</v>
      </c>
      <c r="C183" s="1326" t="str">
        <f t="shared" si="140"/>
        <v>Ventilación Selectiva</v>
      </c>
      <c r="D183" s="1327"/>
      <c r="E183" s="1327"/>
      <c r="F183" s="1327"/>
      <c r="G183" s="1327"/>
      <c r="H183" s="1327"/>
      <c r="I183" s="1327"/>
      <c r="J183" s="1327"/>
      <c r="K183" s="1327"/>
      <c r="L183" s="1328"/>
      <c r="O183" s="580">
        <f>ENERGÍA!P189</f>
        <v>0</v>
      </c>
      <c r="P183" s="148">
        <f>IF(O183=0,0,IF(C183='Materiales Personalizados'!$AG$30,55,IF(C183='Materiales Personalizados'!$AG$31,25,IF(C183='Materiales Personalizados'!$AG$32,55,0))))</f>
        <v>0</v>
      </c>
      <c r="Q183" s="1287"/>
      <c r="X183" s="1287"/>
      <c r="Z183" s="1276"/>
      <c r="AA183" s="1287"/>
      <c r="AB183" s="1287"/>
      <c r="AD183" s="1276"/>
      <c r="AE183" s="1287"/>
      <c r="AF183" s="1287"/>
    </row>
    <row r="184" spans="2:50" ht="15" customHeight="1">
      <c r="B184" s="581" t="s">
        <v>572</v>
      </c>
      <c r="C184" s="1326" t="str">
        <f t="shared" si="140"/>
        <v>Ventilación Selectiva</v>
      </c>
      <c r="D184" s="1327"/>
      <c r="E184" s="1327"/>
      <c r="F184" s="1327"/>
      <c r="G184" s="1327"/>
      <c r="H184" s="1327"/>
      <c r="I184" s="1327"/>
      <c r="J184" s="1327"/>
      <c r="K184" s="1327"/>
      <c r="L184" s="1328"/>
      <c r="O184" s="580">
        <f>ENERGÍA!P190</f>
        <v>0</v>
      </c>
      <c r="P184" s="148">
        <f>IF(O184=0,0,IF(C184='Materiales Personalizados'!$AG$30,55,IF(C184='Materiales Personalizados'!$AG$31,25,IF(C184='Materiales Personalizados'!$AG$32,55,0))))</f>
        <v>0</v>
      </c>
      <c r="Q184" s="1288"/>
      <c r="X184" s="1288"/>
      <c r="Z184" s="1277"/>
      <c r="AA184" s="1288"/>
      <c r="AB184" s="1288"/>
      <c r="AD184" s="1277"/>
      <c r="AE184" s="1288"/>
      <c r="AF184" s="1288"/>
    </row>
    <row r="185" spans="2:50" ht="6" customHeight="1">
      <c r="D185" s="126"/>
      <c r="E185" s="126"/>
      <c r="Q185" s="126"/>
      <c r="R185" s="126"/>
      <c r="V185" s="126"/>
      <c r="AV185" s="582"/>
      <c r="AW185" s="148"/>
      <c r="AX185" s="148"/>
    </row>
    <row r="186" spans="2:50" ht="15" customHeight="1">
      <c r="O186" s="148"/>
      <c r="P186" s="148"/>
      <c r="Q186" s="148"/>
      <c r="R186" s="148"/>
      <c r="S186" s="148"/>
      <c r="T186" s="148"/>
      <c r="U186" s="148"/>
      <c r="V186" s="148"/>
    </row>
    <row r="187" spans="2:50" ht="15" customHeight="1">
      <c r="O187" s="148"/>
      <c r="P187" s="148"/>
      <c r="Q187" s="148"/>
      <c r="R187" s="148"/>
      <c r="S187" s="148"/>
      <c r="T187" s="148"/>
      <c r="U187" s="148"/>
      <c r="V187" s="148"/>
    </row>
    <row r="188" spans="2:50" ht="15" customHeight="1">
      <c r="B188" s="98"/>
      <c r="C188" s="98"/>
      <c r="O188" s="148"/>
      <c r="P188" s="148"/>
      <c r="Q188" s="148"/>
      <c r="R188" s="148"/>
      <c r="S188" s="148"/>
      <c r="T188" s="148"/>
      <c r="U188" s="148"/>
      <c r="V188" s="148"/>
    </row>
    <row r="189" spans="2:50" ht="15" customHeight="1">
      <c r="O189" s="148"/>
      <c r="P189" s="148"/>
      <c r="Q189" s="148"/>
      <c r="R189" s="148"/>
      <c r="S189" s="148"/>
      <c r="T189" s="148"/>
      <c r="U189" s="148"/>
      <c r="V189" s="148"/>
    </row>
    <row r="190" spans="2:50" ht="15" customHeight="1">
      <c r="K190" s="126"/>
      <c r="L190" s="126"/>
    </row>
    <row r="191" spans="2:50" ht="15" customHeight="1">
      <c r="J191" s="148"/>
      <c r="K191" s="148"/>
      <c r="L191" s="148"/>
    </row>
  </sheetData>
  <sheetProtection algorithmName="SHA-512" hashValue="AZbEzJU3f4STVRFnBu9if3XjVB/2e7ykosgKsFq2trqEeUihHF7OLSZI/y5yLsQx9iUE0U+mH2k2ImKNY3P3wA==" saltValue="RuMomp4mAUeWDYwP3KOf3w==" spinCount="100000" sheet="1" objects="1" scenarios="1" selectLockedCells="1"/>
  <mergeCells count="349">
    <mergeCell ref="B7:L7"/>
    <mergeCell ref="O7:AW7"/>
    <mergeCell ref="C9:K9"/>
    <mergeCell ref="C10:K10"/>
    <mergeCell ref="C11:K11"/>
    <mergeCell ref="C12:K12"/>
    <mergeCell ref="B4:J5"/>
    <mergeCell ref="K4:L5"/>
    <mergeCell ref="O4:T5"/>
    <mergeCell ref="U4:U5"/>
    <mergeCell ref="V4:V5"/>
    <mergeCell ref="X4:AW5"/>
    <mergeCell ref="B18:B20"/>
    <mergeCell ref="C18:K20"/>
    <mergeCell ref="L18:L20"/>
    <mergeCell ref="B21:B23"/>
    <mergeCell ref="C21:K23"/>
    <mergeCell ref="L21:L23"/>
    <mergeCell ref="C13:K13"/>
    <mergeCell ref="B14:B15"/>
    <mergeCell ref="C14:K15"/>
    <mergeCell ref="L14:L15"/>
    <mergeCell ref="B16:B17"/>
    <mergeCell ref="C16:K17"/>
    <mergeCell ref="L16:L17"/>
    <mergeCell ref="C29:K29"/>
    <mergeCell ref="B30:L30"/>
    <mergeCell ref="B32:L32"/>
    <mergeCell ref="B34:C34"/>
    <mergeCell ref="D34:F34"/>
    <mergeCell ref="G34:J34"/>
    <mergeCell ref="K34:L34"/>
    <mergeCell ref="B24:B26"/>
    <mergeCell ref="C24:K26"/>
    <mergeCell ref="L24:L26"/>
    <mergeCell ref="B27:B28"/>
    <mergeCell ref="C27:K28"/>
    <mergeCell ref="L27:L28"/>
    <mergeCell ref="O34:P34"/>
    <mergeCell ref="D35:F35"/>
    <mergeCell ref="G35:J35"/>
    <mergeCell ref="K35:L35"/>
    <mergeCell ref="O35:P35"/>
    <mergeCell ref="D36:F36"/>
    <mergeCell ref="G36:J36"/>
    <mergeCell ref="K36:L36"/>
    <mergeCell ref="O36:P36"/>
    <mergeCell ref="AG40:AJ40"/>
    <mergeCell ref="B42:L42"/>
    <mergeCell ref="O42:W42"/>
    <mergeCell ref="Y42:AC42"/>
    <mergeCell ref="D37:F37"/>
    <mergeCell ref="G37:J37"/>
    <mergeCell ref="K37:L37"/>
    <mergeCell ref="O37:P37"/>
    <mergeCell ref="D38:F38"/>
    <mergeCell ref="G38:J38"/>
    <mergeCell ref="K38:L38"/>
    <mergeCell ref="O38:P38"/>
    <mergeCell ref="B44:B45"/>
    <mergeCell ref="C44:G45"/>
    <mergeCell ref="H44:I44"/>
    <mergeCell ref="J44:J45"/>
    <mergeCell ref="K44:K45"/>
    <mergeCell ref="L44:L45"/>
    <mergeCell ref="B40:L40"/>
    <mergeCell ref="O40:W40"/>
    <mergeCell ref="Y40:AE40"/>
    <mergeCell ref="AD44:AD45"/>
    <mergeCell ref="AE44:AE45"/>
    <mergeCell ref="C46:G46"/>
    <mergeCell ref="C47:G47"/>
    <mergeCell ref="Y47:AC47"/>
    <mergeCell ref="C48:G48"/>
    <mergeCell ref="Y48:AE48"/>
    <mergeCell ref="U44:U45"/>
    <mergeCell ref="V44:V45"/>
    <mergeCell ref="Y44:Y45"/>
    <mergeCell ref="Z44:AA45"/>
    <mergeCell ref="AB44:AB45"/>
    <mergeCell ref="AC44:AC45"/>
    <mergeCell ref="O44:O45"/>
    <mergeCell ref="P44:P45"/>
    <mergeCell ref="Q44:Q45"/>
    <mergeCell ref="R44:R45"/>
    <mergeCell ref="S44:S45"/>
    <mergeCell ref="T44:T45"/>
    <mergeCell ref="B50:L50"/>
    <mergeCell ref="O50:W50"/>
    <mergeCell ref="B52:L52"/>
    <mergeCell ref="O52:W52"/>
    <mergeCell ref="AE52:AE57"/>
    <mergeCell ref="B54:B55"/>
    <mergeCell ref="C54:G55"/>
    <mergeCell ref="H54:I54"/>
    <mergeCell ref="J54:J55"/>
    <mergeCell ref="K54:K55"/>
    <mergeCell ref="T54:T55"/>
    <mergeCell ref="U54:U55"/>
    <mergeCell ref="V54:V55"/>
    <mergeCell ref="W54:W55"/>
    <mergeCell ref="AH54:AJ54"/>
    <mergeCell ref="H55:I55"/>
    <mergeCell ref="L54:L55"/>
    <mergeCell ref="O54:O55"/>
    <mergeCell ref="P54:P55"/>
    <mergeCell ref="Q54:Q55"/>
    <mergeCell ref="R54:R55"/>
    <mergeCell ref="S54:S55"/>
    <mergeCell ref="C59:G59"/>
    <mergeCell ref="H59:I59"/>
    <mergeCell ref="Y59:Z59"/>
    <mergeCell ref="AC59:AD59"/>
    <mergeCell ref="AG59:AS59"/>
    <mergeCell ref="C60:G60"/>
    <mergeCell ref="H60:I60"/>
    <mergeCell ref="C56:G56"/>
    <mergeCell ref="H56:I56"/>
    <mergeCell ref="C57:G57"/>
    <mergeCell ref="H57:I57"/>
    <mergeCell ref="C58:G58"/>
    <mergeCell ref="H58:I58"/>
    <mergeCell ref="B62:L62"/>
    <mergeCell ref="O62:W62"/>
    <mergeCell ref="B64:B65"/>
    <mergeCell ref="C64:G65"/>
    <mergeCell ref="H64:I64"/>
    <mergeCell ref="J64:J65"/>
    <mergeCell ref="K64:K65"/>
    <mergeCell ref="L64:L65"/>
    <mergeCell ref="O64:O65"/>
    <mergeCell ref="P64:P65"/>
    <mergeCell ref="AE64:AE65"/>
    <mergeCell ref="H65:I65"/>
    <mergeCell ref="C66:G66"/>
    <mergeCell ref="H66:I66"/>
    <mergeCell ref="AB66:AD66"/>
    <mergeCell ref="Q64:Q65"/>
    <mergeCell ref="R64:R65"/>
    <mergeCell ref="S64:S65"/>
    <mergeCell ref="T64:T65"/>
    <mergeCell ref="U64:U65"/>
    <mergeCell ref="V64:V65"/>
    <mergeCell ref="C67:G67"/>
    <mergeCell ref="H67:I67"/>
    <mergeCell ref="C68:G68"/>
    <mergeCell ref="H68:I68"/>
    <mergeCell ref="Y68:AC68"/>
    <mergeCell ref="C69:G69"/>
    <mergeCell ref="H69:I69"/>
    <mergeCell ref="AB69:AC69"/>
    <mergeCell ref="W64:W65"/>
    <mergeCell ref="Y64:AD65"/>
    <mergeCell ref="C70:G70"/>
    <mergeCell ref="H70:I70"/>
    <mergeCell ref="AB70:AC70"/>
    <mergeCell ref="AE70:AE76"/>
    <mergeCell ref="B72:L72"/>
    <mergeCell ref="O72:W72"/>
    <mergeCell ref="AB72:AC72"/>
    <mergeCell ref="B74:B75"/>
    <mergeCell ref="C74:G75"/>
    <mergeCell ref="H74:I74"/>
    <mergeCell ref="AG74:AS74"/>
    <mergeCell ref="H75:I75"/>
    <mergeCell ref="C76:G76"/>
    <mergeCell ref="H76:I76"/>
    <mergeCell ref="AB76:AC76"/>
    <mergeCell ref="R74:R75"/>
    <mergeCell ref="S74:S75"/>
    <mergeCell ref="T74:T75"/>
    <mergeCell ref="U74:U75"/>
    <mergeCell ref="V74:V75"/>
    <mergeCell ref="W74:W75"/>
    <mergeCell ref="J74:J75"/>
    <mergeCell ref="K74:K75"/>
    <mergeCell ref="L74:L75"/>
    <mergeCell ref="O74:O75"/>
    <mergeCell ref="P74:P75"/>
    <mergeCell ref="Q74:Q75"/>
    <mergeCell ref="C77:G77"/>
    <mergeCell ref="H77:I77"/>
    <mergeCell ref="C78:G78"/>
    <mergeCell ref="H78:I78"/>
    <mergeCell ref="Y78:AC78"/>
    <mergeCell ref="C79:G79"/>
    <mergeCell ref="H79:I79"/>
    <mergeCell ref="Y79:AE79"/>
    <mergeCell ref="AB74:AC74"/>
    <mergeCell ref="C80:G80"/>
    <mergeCell ref="H80:I80"/>
    <mergeCell ref="B82:L82"/>
    <mergeCell ref="O82:W82"/>
    <mergeCell ref="AE82:AE87"/>
    <mergeCell ref="AG82:AS82"/>
    <mergeCell ref="B84:B85"/>
    <mergeCell ref="C84:G85"/>
    <mergeCell ref="H84:I84"/>
    <mergeCell ref="J84:J85"/>
    <mergeCell ref="AV84:AW87"/>
    <mergeCell ref="H85:I85"/>
    <mergeCell ref="C86:G86"/>
    <mergeCell ref="H86:I86"/>
    <mergeCell ref="C87:G87"/>
    <mergeCell ref="H87:I87"/>
    <mergeCell ref="S84:S85"/>
    <mergeCell ref="T84:T85"/>
    <mergeCell ref="U84:U85"/>
    <mergeCell ref="V84:V85"/>
    <mergeCell ref="W84:W85"/>
    <mergeCell ref="AG84:AS84"/>
    <mergeCell ref="K84:K85"/>
    <mergeCell ref="L84:L85"/>
    <mergeCell ref="O84:O85"/>
    <mergeCell ref="P84:P85"/>
    <mergeCell ref="Q84:Q85"/>
    <mergeCell ref="R84:R85"/>
    <mergeCell ref="AV90:AV91"/>
    <mergeCell ref="AW90:AW91"/>
    <mergeCell ref="C88:G88"/>
    <mergeCell ref="H88:I88"/>
    <mergeCell ref="AV88:AV89"/>
    <mergeCell ref="AW88:AW89"/>
    <mergeCell ref="C89:G89"/>
    <mergeCell ref="H89:I89"/>
    <mergeCell ref="Y89:AE89"/>
    <mergeCell ref="B92:L92"/>
    <mergeCell ref="O92:W92"/>
    <mergeCell ref="Y92:AA92"/>
    <mergeCell ref="AB92:AD92"/>
    <mergeCell ref="AG92:AS92"/>
    <mergeCell ref="C94:J94"/>
    <mergeCell ref="Y94:AD94"/>
    <mergeCell ref="C90:G90"/>
    <mergeCell ref="H90:I90"/>
    <mergeCell ref="Y90:AA90"/>
    <mergeCell ref="AB90:AD90"/>
    <mergeCell ref="B102:B103"/>
    <mergeCell ref="C102:E102"/>
    <mergeCell ref="F102:G102"/>
    <mergeCell ref="H102:I102"/>
    <mergeCell ref="J102:J103"/>
    <mergeCell ref="K102:L102"/>
    <mergeCell ref="AV94:AW95"/>
    <mergeCell ref="C95:J95"/>
    <mergeCell ref="C96:J96"/>
    <mergeCell ref="B98:L98"/>
    <mergeCell ref="O98:AE98"/>
    <mergeCell ref="B100:L100"/>
    <mergeCell ref="O100:AE100"/>
    <mergeCell ref="Z102:Z103"/>
    <mergeCell ref="AA102:AA103"/>
    <mergeCell ref="AB102:AB103"/>
    <mergeCell ref="AC102:AC103"/>
    <mergeCell ref="AD102:AD103"/>
    <mergeCell ref="C115:D115"/>
    <mergeCell ref="P102:P103"/>
    <mergeCell ref="R102:R103"/>
    <mergeCell ref="T102:T103"/>
    <mergeCell ref="U102:V102"/>
    <mergeCell ref="X102:X103"/>
    <mergeCell ref="Y102:Y103"/>
    <mergeCell ref="C116:D116"/>
    <mergeCell ref="AG116:AS116"/>
    <mergeCell ref="B118:L118"/>
    <mergeCell ref="O118:AE118"/>
    <mergeCell ref="B120:B121"/>
    <mergeCell ref="C120:E120"/>
    <mergeCell ref="F120:G120"/>
    <mergeCell ref="H120:I120"/>
    <mergeCell ref="J120:J121"/>
    <mergeCell ref="K120:L120"/>
    <mergeCell ref="Z120:Z121"/>
    <mergeCell ref="AA120:AA121"/>
    <mergeCell ref="AB120:AB121"/>
    <mergeCell ref="AC120:AC121"/>
    <mergeCell ref="AD120:AD121"/>
    <mergeCell ref="C133:D133"/>
    <mergeCell ref="P120:P121"/>
    <mergeCell ref="R120:R121"/>
    <mergeCell ref="T120:T121"/>
    <mergeCell ref="U120:V120"/>
    <mergeCell ref="X120:X121"/>
    <mergeCell ref="Y120:Y121"/>
    <mergeCell ref="C134:D134"/>
    <mergeCell ref="B136:L136"/>
    <mergeCell ref="O136:AE136"/>
    <mergeCell ref="B138:B139"/>
    <mergeCell ref="C138:E138"/>
    <mergeCell ref="F138:G138"/>
    <mergeCell ref="H138:I138"/>
    <mergeCell ref="J138:J139"/>
    <mergeCell ref="K138:L138"/>
    <mergeCell ref="P138:P139"/>
    <mergeCell ref="AA138:AA139"/>
    <mergeCell ref="AB138:AB139"/>
    <mergeCell ref="AC138:AC139"/>
    <mergeCell ref="AD138:AD139"/>
    <mergeCell ref="AG139:AS141"/>
    <mergeCell ref="C151:D151"/>
    <mergeCell ref="R138:R139"/>
    <mergeCell ref="T138:T139"/>
    <mergeCell ref="U138:V138"/>
    <mergeCell ref="X138:X139"/>
    <mergeCell ref="Y138:Y139"/>
    <mergeCell ref="Z138:Z139"/>
    <mergeCell ref="C152:D152"/>
    <mergeCell ref="B154:L154"/>
    <mergeCell ref="O154:AE154"/>
    <mergeCell ref="B156:B157"/>
    <mergeCell ref="C156:E156"/>
    <mergeCell ref="F156:G156"/>
    <mergeCell ref="H156:I156"/>
    <mergeCell ref="J156:J157"/>
    <mergeCell ref="K156:L156"/>
    <mergeCell ref="P156:P157"/>
    <mergeCell ref="AA156:AA157"/>
    <mergeCell ref="AB156:AB157"/>
    <mergeCell ref="AC156:AC157"/>
    <mergeCell ref="AD156:AD157"/>
    <mergeCell ref="C169:D169"/>
    <mergeCell ref="C170:D170"/>
    <mergeCell ref="R156:R157"/>
    <mergeCell ref="T156:T157"/>
    <mergeCell ref="U156:V156"/>
    <mergeCell ref="X156:X157"/>
    <mergeCell ref="Y156:Y157"/>
    <mergeCell ref="Z156:Z157"/>
    <mergeCell ref="B172:L172"/>
    <mergeCell ref="O172:AF172"/>
    <mergeCell ref="C174:L174"/>
    <mergeCell ref="C175:L175"/>
    <mergeCell ref="Q175:Q184"/>
    <mergeCell ref="X175:X184"/>
    <mergeCell ref="Z175:Z184"/>
    <mergeCell ref="AA175:AA184"/>
    <mergeCell ref="AB175:AB184"/>
    <mergeCell ref="AD175:AD184"/>
    <mergeCell ref="C184:L184"/>
    <mergeCell ref="AE175:AE184"/>
    <mergeCell ref="AF175:AF184"/>
    <mergeCell ref="C176:L176"/>
    <mergeCell ref="C177:L177"/>
    <mergeCell ref="C178:L178"/>
    <mergeCell ref="C179:L179"/>
    <mergeCell ref="C180:L180"/>
    <mergeCell ref="C181:L181"/>
    <mergeCell ref="C182:L182"/>
    <mergeCell ref="C183:L183"/>
  </mergeCells>
  <conditionalFormatting sqref="H46:I48 H56:I60">
    <cfRule type="containsText" dxfId="1406" priority="5" operator="containsText" text="No Cumple">
      <formula>NOT(ISERROR(SEARCH("No Cumple",H46)))</formula>
    </cfRule>
  </conditionalFormatting>
  <conditionalFormatting sqref="C175:L184">
    <cfRule type="expression" dxfId="1405" priority="4">
      <formula>O175=0</formula>
    </cfRule>
  </conditionalFormatting>
  <conditionalFormatting sqref="H66:I70">
    <cfRule type="containsText" dxfId="1404" priority="3" operator="containsText" text="No Cumple">
      <formula>NOT(ISERROR(SEARCH("No Cumple",H66)))</formula>
    </cfRule>
  </conditionalFormatting>
  <conditionalFormatting sqref="H76:I80">
    <cfRule type="containsText" dxfId="1403" priority="2" operator="containsText" text="No Cumple">
      <formula>NOT(ISERROR(SEARCH("No Cumple",H76)))</formula>
    </cfRule>
  </conditionalFormatting>
  <conditionalFormatting sqref="H86:I90">
    <cfRule type="containsText" dxfId="1402" priority="1" operator="containsText" text="No Cumple">
      <formula>NOT(ISERROR(SEARCH("No Cumple",H86)))</formula>
    </cfRule>
  </conditionalFormatting>
  <dataValidations count="2">
    <dataValidation type="list" allowBlank="1" showInputMessage="1" showErrorMessage="1" sqref="C39" xr:uid="{00000000-0002-0000-0B00-000000000000}">
      <formula1>ORIENTACIONES</formula1>
    </dataValidation>
    <dataValidation type="list" allowBlank="1" showInputMessage="1" showErrorMessage="1" sqref="C185:D185" xr:uid="{00000000-0002-0000-0B00-000001000000}">
      <formula1>$AL$3:$AL$6</formula1>
    </dataValidation>
  </dataValidations>
  <printOptions gridLines="1"/>
  <pageMargins left="0.23622047244094491" right="0.23622047244094491" top="0.74803149606299213" bottom="0.74803149606299213" header="0.31496062992125984" footer="0.31496062992125984"/>
  <pageSetup paperSize="9" scale="10" fitToWidth="0"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iconSet" priority="6" id="{7EE76858-4876-A84F-8381-5B45C8C96854}">
            <x14:iconSet iconSet="3Symbols" showValue="0" custom="1">
              <x14:cfvo type="percent">
                <xm:f>0</xm:f>
              </x14:cfvo>
              <x14:cfvo type="num">
                <xm:f>2</xm:f>
              </x14:cfvo>
              <x14:cfvo type="num">
                <xm:f>4</xm:f>
              </x14:cfvo>
              <x14:cfIcon iconSet="3Symbols2" iconId="0"/>
              <x14:cfIcon iconSet="3Symbols2" iconId="1"/>
              <x14:cfIcon iconSet="3Symbols2" iconId="2"/>
            </x14:iconSet>
          </x14:cfRule>
          <xm:sqref>L9:L29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AX191"/>
  <sheetViews>
    <sheetView zoomScale="70" zoomScaleNormal="70" zoomScalePageLayoutView="90" workbookViewId="0">
      <pane ySplit="6" topLeftCell="A35" activePane="bottomLeft" state="frozen"/>
      <selection pane="bottomLeft" activeCell="C35" sqref="C35"/>
    </sheetView>
  </sheetViews>
  <sheetFormatPr baseColWidth="10" defaultColWidth="11.5" defaultRowHeight="15" customHeight="1"/>
  <cols>
    <col min="1" max="1" width="2.6640625" style="126" customWidth="1"/>
    <col min="2" max="2" width="26.83203125" style="126" customWidth="1"/>
    <col min="3" max="3" width="16.6640625" style="126" customWidth="1"/>
    <col min="4" max="5" width="10" style="580" customWidth="1"/>
    <col min="6" max="6" width="12.5" style="126" customWidth="1"/>
    <col min="7" max="7" width="11.1640625" style="126" customWidth="1"/>
    <col min="8" max="8" width="13.6640625" style="126" customWidth="1"/>
    <col min="9" max="9" width="12.33203125" style="126" bestFit="1" customWidth="1"/>
    <col min="10" max="10" width="14.1640625" style="126" customWidth="1"/>
    <col min="11" max="11" width="19" style="580" customWidth="1"/>
    <col min="12" max="12" width="11.83203125" style="580" customWidth="1"/>
    <col min="13" max="14" width="2.83203125" style="126" customWidth="1"/>
    <col min="15" max="15" width="28.1640625" style="126" customWidth="1"/>
    <col min="16" max="16" width="24.5" style="126" customWidth="1"/>
    <col min="17" max="17" width="14" style="580" customWidth="1"/>
    <col min="18" max="18" width="10.83203125" style="580" customWidth="1"/>
    <col min="19" max="19" width="19.1640625" style="126" customWidth="1"/>
    <col min="20" max="20" width="41.5" style="126" customWidth="1"/>
    <col min="21" max="21" width="19.5" style="126" customWidth="1"/>
    <col min="22" max="22" width="19.5" style="580" customWidth="1"/>
    <col min="23" max="23" width="20.6640625" style="126" customWidth="1"/>
    <col min="24" max="24" width="20.1640625" style="581" customWidth="1"/>
    <col min="25" max="25" width="24.33203125" style="126" customWidth="1"/>
    <col min="26" max="26" width="16.6640625" style="126" customWidth="1"/>
    <col min="27" max="27" width="20" style="126" customWidth="1"/>
    <col min="28" max="28" width="25.33203125" style="126" customWidth="1"/>
    <col min="29" max="29" width="31.5" style="126" customWidth="1"/>
    <col min="30" max="30" width="32.33203125" style="126" customWidth="1"/>
    <col min="31" max="31" width="31.6640625" style="126" customWidth="1"/>
    <col min="32" max="32" width="13.6640625" style="126" customWidth="1"/>
    <col min="33" max="33" width="29.1640625" style="126" customWidth="1"/>
    <col min="34" max="34" width="24" style="126" customWidth="1"/>
    <col min="35" max="35" width="15" style="126" customWidth="1"/>
    <col min="36" max="36" width="25" style="126" customWidth="1"/>
    <col min="37" max="37" width="20.1640625" style="126" customWidth="1"/>
    <col min="38" max="38" width="20" style="126" customWidth="1"/>
    <col min="39" max="39" width="31.5" style="126" customWidth="1"/>
    <col min="40" max="40" width="14.33203125" style="126" customWidth="1"/>
    <col min="41" max="41" width="24.5" style="126" customWidth="1"/>
    <col min="42" max="42" width="22.33203125" style="126" customWidth="1"/>
    <col min="43" max="43" width="31" style="126" customWidth="1"/>
    <col min="44" max="44" width="31.83203125" style="126" customWidth="1"/>
    <col min="45" max="45" width="27.6640625" style="126" customWidth="1"/>
    <col min="46" max="46" width="26.6640625" style="126" customWidth="1"/>
    <col min="47" max="47" width="25.33203125" style="126" customWidth="1"/>
    <col min="48" max="48" width="32.33203125" style="126" customWidth="1"/>
    <col min="49" max="49" width="31.6640625" style="126" customWidth="1"/>
    <col min="50" max="50" width="11.5" style="126" customWidth="1"/>
    <col min="51" max="16384" width="11.5" style="126"/>
  </cols>
  <sheetData>
    <row r="1" spans="2:50" ht="15" customHeight="1">
      <c r="Y1" s="148"/>
      <c r="Z1" s="148"/>
      <c r="AA1" s="148"/>
    </row>
    <row r="2" spans="2:50" s="102" customFormat="1" ht="25" customHeight="1">
      <c r="B2" s="159" t="s">
        <v>220</v>
      </c>
      <c r="D2" s="148"/>
      <c r="E2" s="148"/>
      <c r="K2" s="148"/>
      <c r="L2" s="148"/>
      <c r="M2" s="102">
        <v>4</v>
      </c>
      <c r="O2" s="159" t="s">
        <v>220</v>
      </c>
      <c r="Q2" s="148"/>
      <c r="R2" s="148"/>
      <c r="V2" s="148"/>
      <c r="X2" s="582"/>
      <c r="Y2" s="148"/>
      <c r="Z2" s="148"/>
      <c r="AA2" s="148"/>
      <c r="AX2" s="136"/>
    </row>
    <row r="3" spans="2:50" ht="6" customHeight="1">
      <c r="Y3" s="148"/>
      <c r="Z3" s="148"/>
      <c r="AA3" s="148"/>
    </row>
    <row r="4" spans="2:50" s="148" customFormat="1" ht="20" customHeight="1">
      <c r="B4" s="1392" t="s">
        <v>1814</v>
      </c>
      <c r="C4" s="1393"/>
      <c r="D4" s="1393"/>
      <c r="E4" s="1393"/>
      <c r="F4" s="1393"/>
      <c r="G4" s="1393"/>
      <c r="H4" s="1393"/>
      <c r="I4" s="1393"/>
      <c r="J4" s="1394"/>
      <c r="K4" s="1392" t="s">
        <v>1815</v>
      </c>
      <c r="L4" s="1394"/>
      <c r="M4" s="629"/>
      <c r="N4" s="629"/>
      <c r="O4" s="1392">
        <v>4</v>
      </c>
      <c r="P4" s="1393"/>
      <c r="Q4" s="1393"/>
      <c r="R4" s="1393"/>
      <c r="S4" s="1393"/>
      <c r="T4" s="1394"/>
      <c r="U4" s="1273" t="s">
        <v>12</v>
      </c>
      <c r="V4" s="1273">
        <v>4</v>
      </c>
      <c r="X4" s="1392" t="s">
        <v>779</v>
      </c>
      <c r="Y4" s="1393"/>
      <c r="Z4" s="1393"/>
      <c r="AA4" s="1393"/>
      <c r="AB4" s="1393"/>
      <c r="AC4" s="1393"/>
      <c r="AD4" s="1393"/>
      <c r="AE4" s="1393"/>
      <c r="AF4" s="1393"/>
      <c r="AG4" s="1393"/>
      <c r="AH4" s="1393"/>
      <c r="AI4" s="1393"/>
      <c r="AJ4" s="1393"/>
      <c r="AK4" s="1393"/>
      <c r="AL4" s="1393"/>
      <c r="AM4" s="1393"/>
      <c r="AN4" s="1393"/>
      <c r="AO4" s="1393"/>
      <c r="AP4" s="1393"/>
      <c r="AQ4" s="1393"/>
      <c r="AR4" s="1393"/>
      <c r="AS4" s="1393"/>
      <c r="AT4" s="1393"/>
      <c r="AU4" s="1393"/>
      <c r="AV4" s="1393"/>
      <c r="AW4" s="1394"/>
    </row>
    <row r="5" spans="2:50" s="148" customFormat="1" ht="20" customHeight="1">
      <c r="B5" s="1395"/>
      <c r="C5" s="1396"/>
      <c r="D5" s="1396"/>
      <c r="E5" s="1396"/>
      <c r="F5" s="1396"/>
      <c r="G5" s="1396"/>
      <c r="H5" s="1396"/>
      <c r="I5" s="1396"/>
      <c r="J5" s="1397"/>
      <c r="K5" s="1395"/>
      <c r="L5" s="1397"/>
      <c r="M5" s="176"/>
      <c r="N5" s="629"/>
      <c r="O5" s="1395"/>
      <c r="P5" s="1396"/>
      <c r="Q5" s="1396"/>
      <c r="R5" s="1396"/>
      <c r="S5" s="1396"/>
      <c r="T5" s="1397"/>
      <c r="U5" s="1273"/>
      <c r="V5" s="1273"/>
      <c r="X5" s="1395"/>
      <c r="Y5" s="1396"/>
      <c r="Z5" s="1396"/>
      <c r="AA5" s="1396"/>
      <c r="AB5" s="1396"/>
      <c r="AC5" s="1396"/>
      <c r="AD5" s="1396"/>
      <c r="AE5" s="1396"/>
      <c r="AF5" s="1396"/>
      <c r="AG5" s="1396"/>
      <c r="AH5" s="1396"/>
      <c r="AI5" s="1396"/>
      <c r="AJ5" s="1396"/>
      <c r="AK5" s="1396"/>
      <c r="AL5" s="1396"/>
      <c r="AM5" s="1396"/>
      <c r="AN5" s="1396"/>
      <c r="AO5" s="1396"/>
      <c r="AP5" s="1396"/>
      <c r="AQ5" s="1396"/>
      <c r="AR5" s="1396"/>
      <c r="AS5" s="1396"/>
      <c r="AT5" s="1396"/>
      <c r="AU5" s="1396"/>
      <c r="AV5" s="1396"/>
      <c r="AW5" s="1397"/>
    </row>
    <row r="6" spans="2:50" ht="6" customHeight="1">
      <c r="Y6" s="148"/>
      <c r="Z6" s="148"/>
      <c r="AA6" s="148"/>
      <c r="AI6" s="148"/>
      <c r="AJ6" s="148"/>
      <c r="AK6" s="148"/>
    </row>
    <row r="7" spans="2:50" ht="15" customHeight="1">
      <c r="B7" s="1280" t="s">
        <v>1130</v>
      </c>
      <c r="C7" s="1280"/>
      <c r="D7" s="1280"/>
      <c r="E7" s="1280"/>
      <c r="F7" s="1280"/>
      <c r="G7" s="1280"/>
      <c r="H7" s="1280"/>
      <c r="I7" s="1280"/>
      <c r="J7" s="1280"/>
      <c r="K7" s="1280"/>
      <c r="L7" s="1280"/>
      <c r="O7" s="1323" t="s">
        <v>1083</v>
      </c>
      <c r="P7" s="1323"/>
      <c r="Q7" s="1323"/>
      <c r="R7" s="1323"/>
      <c r="S7" s="1323"/>
      <c r="T7" s="1323"/>
      <c r="U7" s="1323"/>
      <c r="V7" s="1323"/>
      <c r="W7" s="1323"/>
      <c r="X7" s="1323"/>
      <c r="Y7" s="1323"/>
      <c r="Z7" s="1323"/>
      <c r="AA7" s="1323"/>
      <c r="AB7" s="1323"/>
      <c r="AC7" s="1323"/>
      <c r="AD7" s="1323"/>
      <c r="AE7" s="1323"/>
      <c r="AF7" s="1323"/>
      <c r="AG7" s="1323"/>
      <c r="AH7" s="1323"/>
      <c r="AI7" s="1323"/>
      <c r="AJ7" s="1323"/>
      <c r="AK7" s="1323"/>
      <c r="AL7" s="1323"/>
      <c r="AM7" s="1323"/>
      <c r="AN7" s="1323"/>
      <c r="AO7" s="1323"/>
      <c r="AP7" s="1323"/>
      <c r="AQ7" s="1323"/>
      <c r="AR7" s="1323"/>
      <c r="AS7" s="1323"/>
      <c r="AT7" s="1323"/>
      <c r="AU7" s="1323"/>
      <c r="AV7" s="1323"/>
      <c r="AW7" s="1323"/>
    </row>
    <row r="8" spans="2:50" ht="6" customHeight="1">
      <c r="X8" s="173"/>
    </row>
    <row r="9" spans="2:50" s="153" customFormat="1" ht="45" customHeight="1">
      <c r="B9" s="630" t="str">
        <f>ENERGÍA!B9</f>
        <v>Lineamiento 1: Reflectividad en el Techo</v>
      </c>
      <c r="C9" s="1424" t="str">
        <f>HLOOKUP($M$2,lineamientos,3,FALSE)</f>
        <v>La Zona Bioambiental no especifica lineamiento.</v>
      </c>
      <c r="D9" s="1424"/>
      <c r="E9" s="1424"/>
      <c r="F9" s="1424"/>
      <c r="G9" s="1424"/>
      <c r="H9" s="1424"/>
      <c r="I9" s="1424"/>
      <c r="J9" s="1424"/>
      <c r="K9" s="1424"/>
      <c r="L9" s="631"/>
      <c r="O9" s="584"/>
      <c r="P9" s="584"/>
      <c r="Q9" s="584"/>
      <c r="R9" s="584"/>
      <c r="S9" s="584"/>
      <c r="T9" s="584"/>
      <c r="U9" s="584"/>
      <c r="V9" s="584"/>
      <c r="W9" s="584"/>
    </row>
    <row r="10" spans="2:50" s="153" customFormat="1" ht="45" customHeight="1">
      <c r="B10" s="630" t="s">
        <v>1115</v>
      </c>
      <c r="C10" s="1424" t="str">
        <f>HLOOKUP($M$2,lineamientos,4,FALSE)</f>
        <v>La Zona Bioambiental no especifica lineamiento.</v>
      </c>
      <c r="D10" s="1424"/>
      <c r="E10" s="1424"/>
      <c r="F10" s="1424"/>
      <c r="G10" s="1424"/>
      <c r="H10" s="1424"/>
      <c r="I10" s="1424"/>
      <c r="J10" s="1424"/>
      <c r="K10" s="1424"/>
      <c r="L10" s="631"/>
    </row>
    <row r="11" spans="2:50" s="153" customFormat="1" ht="45" customHeight="1">
      <c r="B11" s="630" t="s">
        <v>1132</v>
      </c>
      <c r="C11" s="1424" t="str">
        <f>HLOOKUP($M$2,lineamientos,5,FALSE)</f>
        <v>Controlar el tamaño de las aberturas para reducir pérdidas de calor, excepto en orientaciones al Norte.</v>
      </c>
      <c r="D11" s="1424"/>
      <c r="E11" s="1424"/>
      <c r="F11" s="1424"/>
      <c r="G11" s="1424"/>
      <c r="H11" s="1424"/>
      <c r="I11" s="1424"/>
      <c r="J11" s="1424"/>
      <c r="K11" s="1424"/>
      <c r="L11" s="631">
        <v>5</v>
      </c>
    </row>
    <row r="12" spans="2:50" s="153" customFormat="1" ht="45" customHeight="1">
      <c r="B12" s="630" t="s">
        <v>1116</v>
      </c>
      <c r="C12" s="1424" t="str">
        <f>HLOOKUP($M$2,lineamientos,6,FALSE)</f>
        <v>Incorporar aberturas: EFICIENCIA NIVEL G SEGÚN IRAM 11.507-6</v>
      </c>
      <c r="D12" s="1424"/>
      <c r="E12" s="1424"/>
      <c r="F12" s="1424"/>
      <c r="G12" s="1424"/>
      <c r="H12" s="1424"/>
      <c r="I12" s="1424"/>
      <c r="J12" s="1424"/>
      <c r="K12" s="1424"/>
      <c r="L12" s="631">
        <v>5</v>
      </c>
    </row>
    <row r="13" spans="2:50" s="153" customFormat="1" ht="45" customHeight="1">
      <c r="B13" s="630" t="s">
        <v>1117</v>
      </c>
      <c r="C13" s="1424" t="str">
        <f>HLOOKUP($M$2,lineamientos,7,FALSE)</f>
        <v>Incorporar aberturas: EFICIENCIA NIVEL D SEGÚN IRAM 11.507-6</v>
      </c>
      <c r="D13" s="1424"/>
      <c r="E13" s="1424"/>
      <c r="F13" s="1424"/>
      <c r="G13" s="1424"/>
      <c r="H13" s="1424"/>
      <c r="I13" s="1424"/>
      <c r="J13" s="1424"/>
      <c r="K13" s="1424"/>
      <c r="L13" s="631"/>
    </row>
    <row r="14" spans="2:50" s="153" customFormat="1" ht="25" customHeight="1">
      <c r="B14" s="1424" t="s">
        <v>1118</v>
      </c>
      <c r="C14" s="1424" t="str">
        <f>HLOOKUP($M$2,lineamientos,8,FALSE)</f>
        <v>VENTILACIÓN SELECTIVA: Lograr refrescamiento por la noche en climas de gran amplitud térmica. Ventilación selectiva por efecto chimenea, ingreso de aire exterior fresco para reemplazar el aire interior de mayor temperatura.</v>
      </c>
      <c r="D14" s="1424"/>
      <c r="E14" s="1424"/>
      <c r="F14" s="1424"/>
      <c r="G14" s="1424"/>
      <c r="H14" s="1424"/>
      <c r="I14" s="1424"/>
      <c r="J14" s="1424"/>
      <c r="K14" s="1424"/>
      <c r="L14" s="1428"/>
    </row>
    <row r="15" spans="2:50" s="153" customFormat="1" ht="25" customHeight="1">
      <c r="B15" s="1424"/>
      <c r="C15" s="1424"/>
      <c r="D15" s="1424"/>
      <c r="E15" s="1424"/>
      <c r="F15" s="1424"/>
      <c r="G15" s="1424"/>
      <c r="H15" s="1424"/>
      <c r="I15" s="1424"/>
      <c r="J15" s="1424"/>
      <c r="K15" s="1424"/>
      <c r="L15" s="1429"/>
    </row>
    <row r="16" spans="2:50" s="153" customFormat="1" ht="25" customHeight="1">
      <c r="B16" s="1424" t="s">
        <v>1135</v>
      </c>
      <c r="C16" s="1424" t="str">
        <f>HLOOKUP($M$2,lineamientos,9,FALSE)</f>
        <v>La Zona Bioambiental no especifica lineamiento.</v>
      </c>
      <c r="D16" s="1424"/>
      <c r="E16" s="1424"/>
      <c r="F16" s="1424"/>
      <c r="G16" s="1424"/>
      <c r="H16" s="1424"/>
      <c r="I16" s="1424"/>
      <c r="J16" s="1424"/>
      <c r="K16" s="1424"/>
      <c r="L16" s="1428"/>
    </row>
    <row r="17" spans="2:24" s="153" customFormat="1" ht="25" customHeight="1">
      <c r="B17" s="1424"/>
      <c r="C17" s="1424"/>
      <c r="D17" s="1424"/>
      <c r="E17" s="1424"/>
      <c r="F17" s="1424"/>
      <c r="G17" s="1424"/>
      <c r="H17" s="1424"/>
      <c r="I17" s="1424"/>
      <c r="J17" s="1424"/>
      <c r="K17" s="1424"/>
      <c r="L17" s="1429"/>
    </row>
    <row r="18" spans="2:24" ht="15" customHeight="1">
      <c r="B18" s="1424" t="s">
        <v>1794</v>
      </c>
      <c r="C18" s="1424" t="str">
        <f>HLOOKUP($M$2,lineamientos,10,FALSE)</f>
        <v>La Zona Bioambiental no especifica lineamiento.</v>
      </c>
      <c r="D18" s="1424"/>
      <c r="E18" s="1424"/>
      <c r="F18" s="1424"/>
      <c r="G18" s="1424"/>
      <c r="H18" s="1424"/>
      <c r="I18" s="1424"/>
      <c r="J18" s="1424"/>
      <c r="K18" s="1424"/>
      <c r="L18" s="1425"/>
      <c r="Q18" s="126"/>
      <c r="R18" s="126"/>
      <c r="V18" s="126"/>
      <c r="X18" s="126"/>
    </row>
    <row r="19" spans="2:24" ht="15" customHeight="1">
      <c r="B19" s="1424"/>
      <c r="C19" s="1424"/>
      <c r="D19" s="1424"/>
      <c r="E19" s="1424"/>
      <c r="F19" s="1424"/>
      <c r="G19" s="1424"/>
      <c r="H19" s="1424"/>
      <c r="I19" s="1424"/>
      <c r="J19" s="1424"/>
      <c r="K19" s="1424"/>
      <c r="L19" s="1426"/>
      <c r="Q19" s="126"/>
      <c r="R19" s="126"/>
      <c r="V19" s="126"/>
      <c r="X19" s="126"/>
    </row>
    <row r="20" spans="2:24" ht="15" customHeight="1">
      <c r="B20" s="1424"/>
      <c r="C20" s="1424"/>
      <c r="D20" s="1424"/>
      <c r="E20" s="1424"/>
      <c r="F20" s="1424"/>
      <c r="G20" s="1424"/>
      <c r="H20" s="1424"/>
      <c r="I20" s="1424"/>
      <c r="J20" s="1424"/>
      <c r="K20" s="1424"/>
      <c r="L20" s="1427"/>
      <c r="Q20" s="126"/>
      <c r="R20" s="126"/>
      <c r="V20" s="126"/>
      <c r="X20" s="126"/>
    </row>
    <row r="21" spans="2:24" ht="15" customHeight="1">
      <c r="B21" s="1424" t="s">
        <v>1803</v>
      </c>
      <c r="C21" s="1424" t="str">
        <f>HLOOKUP($M$2,lineamientos,12,FALSE)</f>
        <v>Plantear formas y agrupamientos compactos, que posibiliten un correcto asoleamiento y protección de los vientos característicos de la región.</v>
      </c>
      <c r="D21" s="1424"/>
      <c r="E21" s="1424"/>
      <c r="F21" s="1424"/>
      <c r="G21" s="1424"/>
      <c r="H21" s="1424"/>
      <c r="I21" s="1424"/>
      <c r="J21" s="1424"/>
      <c r="K21" s="1424"/>
      <c r="L21" s="1425">
        <v>5</v>
      </c>
      <c r="Q21" s="126"/>
      <c r="R21" s="126"/>
      <c r="V21" s="126"/>
      <c r="X21" s="126"/>
    </row>
    <row r="22" spans="2:24" ht="15" customHeight="1">
      <c r="B22" s="1424"/>
      <c r="C22" s="1424"/>
      <c r="D22" s="1424"/>
      <c r="E22" s="1424"/>
      <c r="F22" s="1424"/>
      <c r="G22" s="1424"/>
      <c r="H22" s="1424"/>
      <c r="I22" s="1424"/>
      <c r="J22" s="1424"/>
      <c r="K22" s="1424"/>
      <c r="L22" s="1426"/>
      <c r="Q22" s="126"/>
      <c r="R22" s="126"/>
      <c r="V22" s="126"/>
      <c r="X22" s="126"/>
    </row>
    <row r="23" spans="2:24" ht="15" customHeight="1">
      <c r="B23" s="1424"/>
      <c r="C23" s="1424"/>
      <c r="D23" s="1424"/>
      <c r="E23" s="1424"/>
      <c r="F23" s="1424"/>
      <c r="G23" s="1424"/>
      <c r="H23" s="1424"/>
      <c r="I23" s="1424"/>
      <c r="J23" s="1424"/>
      <c r="K23" s="1424"/>
      <c r="L23" s="1427"/>
      <c r="Q23" s="126"/>
      <c r="R23" s="126"/>
      <c r="V23" s="126"/>
      <c r="X23" s="126"/>
    </row>
    <row r="24" spans="2:24" ht="15" customHeight="1">
      <c r="B24" s="1424" t="s">
        <v>1804</v>
      </c>
      <c r="C24" s="1424" t="str">
        <f>HLOOKUP($M$2,lineamientos,13,FALSE)</f>
        <v>La Zona Bioambiental no especifica lineamiento.</v>
      </c>
      <c r="D24" s="1424"/>
      <c r="E24" s="1424"/>
      <c r="F24" s="1424"/>
      <c r="G24" s="1424"/>
      <c r="H24" s="1424"/>
      <c r="I24" s="1424"/>
      <c r="J24" s="1424"/>
      <c r="K24" s="1424"/>
      <c r="L24" s="1425"/>
      <c r="Q24" s="126"/>
      <c r="R24" s="126"/>
      <c r="V24" s="126"/>
      <c r="X24" s="126"/>
    </row>
    <row r="25" spans="2:24" ht="15" customHeight="1">
      <c r="B25" s="1424"/>
      <c r="C25" s="1424"/>
      <c r="D25" s="1424"/>
      <c r="E25" s="1424"/>
      <c r="F25" s="1424"/>
      <c r="G25" s="1424"/>
      <c r="H25" s="1424"/>
      <c r="I25" s="1424"/>
      <c r="J25" s="1424"/>
      <c r="K25" s="1424"/>
      <c r="L25" s="1426"/>
      <c r="Q25" s="126"/>
      <c r="R25" s="126"/>
      <c r="V25" s="126"/>
      <c r="X25" s="126"/>
    </row>
    <row r="26" spans="2:24" ht="15" customHeight="1">
      <c r="B26" s="1424"/>
      <c r="C26" s="1424"/>
      <c r="D26" s="1424"/>
      <c r="E26" s="1424"/>
      <c r="F26" s="1424"/>
      <c r="G26" s="1424"/>
      <c r="H26" s="1424"/>
      <c r="I26" s="1424"/>
      <c r="J26" s="1424"/>
      <c r="K26" s="1424"/>
      <c r="L26" s="1427"/>
      <c r="Q26" s="126"/>
      <c r="R26" s="126"/>
      <c r="V26" s="126"/>
      <c r="X26" s="126"/>
    </row>
    <row r="27" spans="2:24" ht="20" customHeight="1">
      <c r="B27" s="1424" t="s">
        <v>1805</v>
      </c>
      <c r="C27" s="1424" t="str">
        <f>HLOOKUP($M$2,lineamientos,14,FALSE)</f>
        <v>La conformación de los espacios exteriores deberá lograr buen asoleamiento invernal y protección de los vientos fuertes y persistentes.</v>
      </c>
      <c r="D27" s="1424"/>
      <c r="E27" s="1424"/>
      <c r="F27" s="1424"/>
      <c r="G27" s="1424"/>
      <c r="H27" s="1424"/>
      <c r="I27" s="1424"/>
      <c r="J27" s="1424"/>
      <c r="K27" s="1424"/>
      <c r="L27" s="1428">
        <v>5</v>
      </c>
      <c r="O27" s="596" t="e">
        <f>'Materiales Personalizados'!BN22*0.25</f>
        <v>#N/A</v>
      </c>
      <c r="Q27" s="126"/>
      <c r="R27" s="126"/>
      <c r="V27" s="126"/>
      <c r="X27" s="126"/>
    </row>
    <row r="28" spans="2:24" ht="20" customHeight="1">
      <c r="B28" s="1424"/>
      <c r="C28" s="1424"/>
      <c r="D28" s="1424"/>
      <c r="E28" s="1424"/>
      <c r="F28" s="1424"/>
      <c r="G28" s="1424"/>
      <c r="H28" s="1424"/>
      <c r="I28" s="1424"/>
      <c r="J28" s="1424"/>
      <c r="K28" s="1424"/>
      <c r="L28" s="1429"/>
      <c r="Q28" s="126"/>
      <c r="R28" s="126"/>
      <c r="V28" s="126"/>
      <c r="X28" s="126"/>
    </row>
    <row r="29" spans="2:24" ht="40" customHeight="1">
      <c r="B29" s="630" t="s">
        <v>1806</v>
      </c>
      <c r="C29" s="1424" t="str">
        <f>HLOOKUP($M$2,lineamientos,15,FALSE)</f>
        <v>La Zona Bioambiental no especifica lineamiento.</v>
      </c>
      <c r="D29" s="1424"/>
      <c r="E29" s="1424"/>
      <c r="F29" s="1424"/>
      <c r="G29" s="1424"/>
      <c r="H29" s="1424"/>
      <c r="I29" s="1424"/>
      <c r="J29" s="1424"/>
      <c r="K29" s="1424"/>
      <c r="L29" s="631"/>
      <c r="Q29" s="126"/>
      <c r="R29" s="126"/>
      <c r="V29" s="126"/>
      <c r="X29" s="126"/>
    </row>
    <row r="30" spans="2:24" ht="15" customHeight="1">
      <c r="B30" s="1378"/>
      <c r="C30" s="1378"/>
      <c r="D30" s="1378"/>
      <c r="E30" s="1378"/>
      <c r="F30" s="1378"/>
      <c r="G30" s="1378"/>
      <c r="H30" s="1378"/>
      <c r="I30" s="1378"/>
      <c r="J30" s="1378"/>
      <c r="K30" s="1378"/>
      <c r="L30" s="1378"/>
      <c r="Q30" s="126"/>
      <c r="R30" s="126"/>
      <c r="V30" s="126"/>
      <c r="X30" s="126"/>
    </row>
    <row r="31" spans="2:24" ht="6" customHeight="1">
      <c r="K31" s="148"/>
      <c r="L31" s="148"/>
      <c r="M31" s="148"/>
      <c r="N31" s="148"/>
      <c r="Q31" s="126"/>
      <c r="R31" s="126"/>
      <c r="V31" s="126"/>
      <c r="X31" s="126"/>
    </row>
    <row r="32" spans="2:24" s="159" customFormat="1" ht="15" customHeight="1">
      <c r="B32" s="1280" t="s">
        <v>585</v>
      </c>
      <c r="C32" s="1280"/>
      <c r="D32" s="1280"/>
      <c r="E32" s="1280"/>
      <c r="F32" s="1280"/>
      <c r="G32" s="1280"/>
      <c r="H32" s="1280"/>
      <c r="I32" s="1280"/>
      <c r="J32" s="1280"/>
      <c r="K32" s="1280"/>
      <c r="L32" s="1280"/>
      <c r="M32" s="148"/>
      <c r="N32" s="148"/>
      <c r="O32" s="126"/>
      <c r="P32" s="126"/>
      <c r="Q32" s="126"/>
      <c r="R32" s="126"/>
      <c r="S32" s="126"/>
      <c r="T32" s="126"/>
      <c r="U32" s="126"/>
      <c r="V32" s="126"/>
      <c r="W32" s="126"/>
    </row>
    <row r="33" spans="2:50" ht="6" customHeight="1">
      <c r="M33" s="148"/>
      <c r="N33" s="148"/>
      <c r="O33" s="159"/>
      <c r="P33" s="159"/>
      <c r="Q33" s="159"/>
      <c r="R33" s="159"/>
      <c r="S33" s="159"/>
      <c r="T33" s="159"/>
      <c r="U33" s="159"/>
      <c r="V33" s="159"/>
      <c r="W33" s="159"/>
      <c r="X33" s="126"/>
    </row>
    <row r="34" spans="2:50" ht="30" customHeight="1">
      <c r="B34" s="1273" t="s">
        <v>589</v>
      </c>
      <c r="C34" s="1273"/>
      <c r="D34" s="1357" t="s">
        <v>1181</v>
      </c>
      <c r="E34" s="1391"/>
      <c r="F34" s="1358"/>
      <c r="G34" s="1357" t="s">
        <v>596</v>
      </c>
      <c r="H34" s="1391"/>
      <c r="I34" s="1391"/>
      <c r="J34" s="1358"/>
      <c r="K34" s="1357" t="s">
        <v>1793</v>
      </c>
      <c r="L34" s="1358"/>
      <c r="M34" s="148"/>
      <c r="N34" s="148"/>
      <c r="O34" s="1357" t="s">
        <v>591</v>
      </c>
      <c r="P34" s="1358"/>
      <c r="Q34" s="148" t="s">
        <v>1017</v>
      </c>
      <c r="R34" s="126"/>
      <c r="V34" s="126"/>
      <c r="X34" s="126"/>
    </row>
    <row r="35" spans="2:50" ht="15" customHeight="1">
      <c r="B35" s="582" t="s">
        <v>590</v>
      </c>
      <c r="C35" s="586">
        <f>ENERGÍA!C37</f>
        <v>0</v>
      </c>
      <c r="D35" s="1385" t="e">
        <f>O35/G35</f>
        <v>#N/A</v>
      </c>
      <c r="E35" s="1386"/>
      <c r="F35" s="1387"/>
      <c r="G35" s="1388">
        <f>ENERGÍA!H37+ENERGÍA!L37</f>
        <v>0</v>
      </c>
      <c r="H35" s="1389"/>
      <c r="I35" s="1389"/>
      <c r="J35" s="1390"/>
      <c r="K35" s="1388" t="e">
        <f>VLOOKUP(C35,BASE!$ER$5:$FE$20,6,FALSE)</f>
        <v>#N/A</v>
      </c>
      <c r="L35" s="1390"/>
      <c r="M35" s="148"/>
      <c r="N35" s="148"/>
      <c r="O35" s="1383" t="e">
        <f>G35*(K35)</f>
        <v>#N/A</v>
      </c>
      <c r="P35" s="1384"/>
      <c r="Q35" s="580" t="e">
        <f>VLOOKUP(C35,BASE!$ER$5:$FE$20,7,FALSE)</f>
        <v>#N/A</v>
      </c>
      <c r="R35" s="580" t="e">
        <f>IF(O35&lt;=5,2,IF(O35&lt;10,4,IF(O35&lt;15,6,IF(O35&lt;20,8,9))))</f>
        <v>#N/A</v>
      </c>
      <c r="V35" s="126"/>
      <c r="X35" s="126"/>
      <c r="AR35" s="126">
        <f t="shared" ref="AR35:AW38" si="0">IF(A35=0,1,0)</f>
        <v>1</v>
      </c>
      <c r="AS35" s="126">
        <f t="shared" si="0"/>
        <v>0</v>
      </c>
      <c r="AT35" s="126">
        <f t="shared" si="0"/>
        <v>1</v>
      </c>
      <c r="AU35" s="126" t="e">
        <f t="shared" si="0"/>
        <v>#N/A</v>
      </c>
      <c r="AV35" s="126">
        <f t="shared" si="0"/>
        <v>1</v>
      </c>
      <c r="AW35" s="126">
        <f t="shared" si="0"/>
        <v>1</v>
      </c>
      <c r="AX35" s="126">
        <f>IF(G35=0,1,0)</f>
        <v>1</v>
      </c>
    </row>
    <row r="36" spans="2:50" ht="15" customHeight="1">
      <c r="B36" s="582" t="s">
        <v>586</v>
      </c>
      <c r="C36" s="586">
        <f>ENERGÍA!C38</f>
        <v>0</v>
      </c>
      <c r="D36" s="1385" t="e">
        <f t="shared" ref="D36:D38" si="1">O36/G36</f>
        <v>#N/A</v>
      </c>
      <c r="E36" s="1386"/>
      <c r="F36" s="1387"/>
      <c r="G36" s="1388">
        <f>ENERGÍA!H38+ENERGÍA!L38</f>
        <v>0</v>
      </c>
      <c r="H36" s="1389"/>
      <c r="I36" s="1389"/>
      <c r="J36" s="1390"/>
      <c r="K36" s="1388" t="e">
        <f>VLOOKUP(C36,BASE!$ER$5:$FE$20,6,FALSE)</f>
        <v>#N/A</v>
      </c>
      <c r="L36" s="1390"/>
      <c r="M36" s="148"/>
      <c r="N36" s="148"/>
      <c r="O36" s="1383" t="e">
        <f t="shared" ref="O36:O38" si="2">G36*(K36)</f>
        <v>#N/A</v>
      </c>
      <c r="P36" s="1384"/>
      <c r="Q36" s="580" t="e">
        <f>VLOOKUP(C36,BASE!$ER$5:$FE$20,7,FALSE)</f>
        <v>#N/A</v>
      </c>
      <c r="R36" s="580" t="e">
        <f t="shared" ref="R36:R38" si="3">IF(O36&lt;=5,2,IF(O36&lt;10,4,IF(O36&lt;15,6,IF(O36&lt;20,8,9))))</f>
        <v>#N/A</v>
      </c>
      <c r="V36" s="126"/>
      <c r="X36" s="126"/>
      <c r="AR36" s="126">
        <f t="shared" si="0"/>
        <v>1</v>
      </c>
      <c r="AS36" s="126">
        <f t="shared" si="0"/>
        <v>0</v>
      </c>
      <c r="AT36" s="126">
        <f t="shared" si="0"/>
        <v>1</v>
      </c>
      <c r="AU36" s="126" t="e">
        <f t="shared" si="0"/>
        <v>#N/A</v>
      </c>
      <c r="AV36" s="126">
        <f t="shared" si="0"/>
        <v>1</v>
      </c>
      <c r="AW36" s="126">
        <f t="shared" si="0"/>
        <v>1</v>
      </c>
      <c r="AX36" s="126">
        <f>IF(G36=0,1,0)</f>
        <v>1</v>
      </c>
    </row>
    <row r="37" spans="2:50" ht="15" customHeight="1">
      <c r="B37" s="582" t="s">
        <v>587</v>
      </c>
      <c r="C37" s="586">
        <f>ENERGÍA!C39</f>
        <v>0</v>
      </c>
      <c r="D37" s="1385" t="e">
        <f t="shared" si="1"/>
        <v>#N/A</v>
      </c>
      <c r="E37" s="1386"/>
      <c r="F37" s="1387"/>
      <c r="G37" s="1388">
        <f>ENERGÍA!H39+ENERGÍA!L39</f>
        <v>0</v>
      </c>
      <c r="H37" s="1389"/>
      <c r="I37" s="1389"/>
      <c r="J37" s="1390"/>
      <c r="K37" s="1388" t="e">
        <f>VLOOKUP(C37,BASE!$ER$5:$FE$20,6,FALSE)</f>
        <v>#N/A</v>
      </c>
      <c r="L37" s="1390"/>
      <c r="M37" s="148"/>
      <c r="N37" s="148"/>
      <c r="O37" s="1383" t="e">
        <f t="shared" si="2"/>
        <v>#N/A</v>
      </c>
      <c r="P37" s="1384"/>
      <c r="Q37" s="580" t="e">
        <f>VLOOKUP(C37,BASE!$ER$5:$FE$20,7,FALSE)</f>
        <v>#N/A</v>
      </c>
      <c r="R37" s="580" t="e">
        <f t="shared" si="3"/>
        <v>#N/A</v>
      </c>
      <c r="V37" s="126"/>
      <c r="X37" s="126"/>
      <c r="AR37" s="126">
        <f t="shared" si="0"/>
        <v>1</v>
      </c>
      <c r="AS37" s="126">
        <f t="shared" si="0"/>
        <v>0</v>
      </c>
      <c r="AT37" s="126">
        <f t="shared" si="0"/>
        <v>1</v>
      </c>
      <c r="AU37" s="126" t="e">
        <f t="shared" si="0"/>
        <v>#N/A</v>
      </c>
      <c r="AV37" s="126">
        <f t="shared" si="0"/>
        <v>1</v>
      </c>
      <c r="AW37" s="126">
        <f t="shared" si="0"/>
        <v>1</v>
      </c>
      <c r="AX37" s="126">
        <f>IF(G37=0,1,0)</f>
        <v>1</v>
      </c>
    </row>
    <row r="38" spans="2:50" ht="15" customHeight="1">
      <c r="B38" s="582" t="s">
        <v>588</v>
      </c>
      <c r="C38" s="586">
        <f>ENERGÍA!C40</f>
        <v>0</v>
      </c>
      <c r="D38" s="1385" t="e">
        <f t="shared" si="1"/>
        <v>#N/A</v>
      </c>
      <c r="E38" s="1386"/>
      <c r="F38" s="1387"/>
      <c r="G38" s="1388">
        <f>ENERGÍA!H40+ENERGÍA!L40</f>
        <v>0</v>
      </c>
      <c r="H38" s="1389"/>
      <c r="I38" s="1389"/>
      <c r="J38" s="1390"/>
      <c r="K38" s="1388" t="e">
        <f>VLOOKUP(C38,BASE!$ER$5:$FE$20,6,FALSE)</f>
        <v>#N/A</v>
      </c>
      <c r="L38" s="1390"/>
      <c r="M38" s="148"/>
      <c r="N38" s="148"/>
      <c r="O38" s="1383" t="e">
        <f t="shared" si="2"/>
        <v>#N/A</v>
      </c>
      <c r="P38" s="1384"/>
      <c r="Q38" s="580" t="e">
        <f>VLOOKUP(C38,BASE!$ER$5:$FE$20,7,FALSE)</f>
        <v>#N/A</v>
      </c>
      <c r="R38" s="580" t="e">
        <f t="shared" si="3"/>
        <v>#N/A</v>
      </c>
      <c r="V38" s="126"/>
      <c r="X38" s="126"/>
      <c r="AR38" s="126">
        <f t="shared" si="0"/>
        <v>1</v>
      </c>
      <c r="AS38" s="126">
        <f t="shared" si="0"/>
        <v>0</v>
      </c>
      <c r="AT38" s="126">
        <f t="shared" si="0"/>
        <v>1</v>
      </c>
      <c r="AU38" s="126" t="e">
        <f t="shared" si="0"/>
        <v>#N/A</v>
      </c>
      <c r="AV38" s="126">
        <f t="shared" si="0"/>
        <v>1</v>
      </c>
      <c r="AW38" s="126">
        <f t="shared" si="0"/>
        <v>1</v>
      </c>
      <c r="AX38" s="126">
        <f>IF(G38=0,1,0)</f>
        <v>1</v>
      </c>
    </row>
    <row r="39" spans="2:50" ht="6" customHeight="1">
      <c r="B39" s="582"/>
      <c r="C39" s="148"/>
      <c r="D39" s="176"/>
      <c r="E39" s="176"/>
      <c r="F39" s="176"/>
      <c r="G39" s="176"/>
      <c r="H39" s="176"/>
      <c r="I39" s="176"/>
      <c r="J39" s="587"/>
      <c r="K39" s="587"/>
      <c r="L39" s="587"/>
      <c r="M39" s="148"/>
      <c r="N39" s="148"/>
      <c r="X39" s="126"/>
    </row>
    <row r="40" spans="2:50" s="159" customFormat="1" ht="15" customHeight="1">
      <c r="B40" s="1280" t="s">
        <v>592</v>
      </c>
      <c r="C40" s="1280"/>
      <c r="D40" s="1280"/>
      <c r="E40" s="1280"/>
      <c r="F40" s="1280"/>
      <c r="G40" s="1280"/>
      <c r="H40" s="1280"/>
      <c r="I40" s="1280"/>
      <c r="J40" s="1280"/>
      <c r="K40" s="1280"/>
      <c r="L40" s="1280"/>
      <c r="M40" s="148"/>
      <c r="N40" s="148"/>
      <c r="O40" s="1317" t="s">
        <v>592</v>
      </c>
      <c r="P40" s="1318"/>
      <c r="Q40" s="1318"/>
      <c r="R40" s="1318"/>
      <c r="S40" s="1318"/>
      <c r="T40" s="1318"/>
      <c r="U40" s="1318"/>
      <c r="V40" s="1318"/>
      <c r="W40" s="1319"/>
      <c r="Y40" s="1280" t="s">
        <v>894</v>
      </c>
      <c r="Z40" s="1280"/>
      <c r="AA40" s="1280"/>
      <c r="AB40" s="1280"/>
      <c r="AC40" s="1280"/>
      <c r="AD40" s="1280"/>
      <c r="AE40" s="1280"/>
      <c r="AG40" s="1357" t="s">
        <v>762</v>
      </c>
      <c r="AH40" s="1391"/>
      <c r="AI40" s="1391"/>
      <c r="AJ40" s="1358"/>
    </row>
    <row r="41" spans="2:50" ht="6" customHeight="1">
      <c r="O41" s="148"/>
      <c r="P41" s="581"/>
      <c r="Q41" s="126"/>
      <c r="R41" s="126"/>
      <c r="V41" s="148"/>
    </row>
    <row r="42" spans="2:50" ht="15" customHeight="1">
      <c r="B42" s="1323" t="s">
        <v>218</v>
      </c>
      <c r="C42" s="1323"/>
      <c r="D42" s="1323"/>
      <c r="E42" s="1323"/>
      <c r="F42" s="1323"/>
      <c r="G42" s="1323"/>
      <c r="H42" s="1323"/>
      <c r="I42" s="1323"/>
      <c r="J42" s="1323"/>
      <c r="K42" s="1323"/>
      <c r="L42" s="1323"/>
      <c r="O42" s="1320" t="s">
        <v>218</v>
      </c>
      <c r="P42" s="1321"/>
      <c r="Q42" s="1321"/>
      <c r="R42" s="1321"/>
      <c r="S42" s="1321"/>
      <c r="T42" s="1321"/>
      <c r="U42" s="1321"/>
      <c r="V42" s="1321"/>
      <c r="W42" s="1322"/>
      <c r="Y42" s="1350" t="s">
        <v>1139</v>
      </c>
      <c r="Z42" s="1350"/>
      <c r="AA42" s="1350"/>
      <c r="AB42" s="1350"/>
      <c r="AC42" s="1350"/>
      <c r="AD42" s="588" t="s">
        <v>999</v>
      </c>
      <c r="AE42" s="175" t="e">
        <f>AE44</f>
        <v>#N/A</v>
      </c>
      <c r="AG42" s="166"/>
      <c r="AH42" s="166" t="s">
        <v>996</v>
      </c>
      <c r="AI42" s="166" t="s">
        <v>1519</v>
      </c>
      <c r="AJ42" s="166" t="s">
        <v>1520</v>
      </c>
    </row>
    <row r="43" spans="2:50" ht="6" customHeight="1">
      <c r="B43" s="584"/>
      <c r="C43" s="584"/>
      <c r="D43" s="584"/>
      <c r="E43" s="126"/>
      <c r="O43" s="148"/>
      <c r="P43" s="581"/>
      <c r="Q43" s="584"/>
      <c r="R43" s="584"/>
      <c r="AG43" s="148"/>
      <c r="AH43" s="148"/>
      <c r="AI43" s="148"/>
      <c r="AJ43" s="148"/>
    </row>
    <row r="44" spans="2:50" s="166" customFormat="1" ht="15" customHeight="1">
      <c r="B44" s="1360"/>
      <c r="C44" s="1363" t="s">
        <v>222</v>
      </c>
      <c r="D44" s="1364"/>
      <c r="E44" s="1364"/>
      <c r="F44" s="1364"/>
      <c r="G44" s="1365"/>
      <c r="H44" s="1357" t="s">
        <v>1788</v>
      </c>
      <c r="I44" s="1358"/>
      <c r="J44" s="1360" t="s">
        <v>594</v>
      </c>
      <c r="K44" s="1360" t="s">
        <v>1356</v>
      </c>
      <c r="L44" s="1275" t="s">
        <v>644</v>
      </c>
      <c r="O44" s="1360" t="s">
        <v>1354</v>
      </c>
      <c r="P44" s="1360" t="s">
        <v>729</v>
      </c>
      <c r="Q44" s="1360" t="s">
        <v>849</v>
      </c>
      <c r="R44" s="1360" t="s">
        <v>850</v>
      </c>
      <c r="S44" s="1360" t="s">
        <v>1357</v>
      </c>
      <c r="T44" s="1360" t="s">
        <v>851</v>
      </c>
      <c r="U44" s="1360" t="s">
        <v>891</v>
      </c>
      <c r="V44" s="1360" t="s">
        <v>1359</v>
      </c>
      <c r="Y44" s="1275" t="s">
        <v>1140</v>
      </c>
      <c r="Z44" s="1344" t="e">
        <f>AW90</f>
        <v>#N/A</v>
      </c>
      <c r="AA44" s="1345"/>
      <c r="AB44" s="1275" t="s">
        <v>895</v>
      </c>
      <c r="AC44" s="1286">
        <f>AW74</f>
        <v>-24</v>
      </c>
      <c r="AD44" s="1379" t="s">
        <v>1023</v>
      </c>
      <c r="AE44" s="1381" t="e">
        <f>Z44*AC44</f>
        <v>#N/A</v>
      </c>
      <c r="AG44" s="148" t="str">
        <f>Y52</f>
        <v>Agua Caliente</v>
      </c>
      <c r="AH44" s="148">
        <v>933</v>
      </c>
      <c r="AI44" s="148">
        <v>450</v>
      </c>
      <c r="AJ44" s="148">
        <f>IF(Z52=1,15,0)</f>
        <v>0</v>
      </c>
    </row>
    <row r="45" spans="2:50" s="166" customFormat="1" ht="15" customHeight="1">
      <c r="B45" s="1361"/>
      <c r="C45" s="1366"/>
      <c r="D45" s="1367"/>
      <c r="E45" s="1367"/>
      <c r="F45" s="1367"/>
      <c r="G45" s="1368"/>
      <c r="H45" s="166" t="s">
        <v>749</v>
      </c>
      <c r="I45" s="166" t="s">
        <v>750</v>
      </c>
      <c r="J45" s="1361"/>
      <c r="K45" s="1361"/>
      <c r="L45" s="1277"/>
      <c r="O45" s="1361"/>
      <c r="P45" s="1361"/>
      <c r="Q45" s="1361"/>
      <c r="R45" s="1361"/>
      <c r="S45" s="1361"/>
      <c r="T45" s="1361"/>
      <c r="U45" s="1361"/>
      <c r="V45" s="1361"/>
      <c r="Y45" s="1277"/>
      <c r="Z45" s="1348"/>
      <c r="AA45" s="1349"/>
      <c r="AB45" s="1277"/>
      <c r="AC45" s="1288"/>
      <c r="AD45" s="1380"/>
      <c r="AE45" s="1382"/>
    </row>
    <row r="46" spans="2:50" ht="15" customHeight="1">
      <c r="B46" s="581" t="s">
        <v>228</v>
      </c>
      <c r="C46" s="1359"/>
      <c r="D46" s="1359"/>
      <c r="E46" s="1359"/>
      <c r="F46" s="1359"/>
      <c r="G46" s="1359"/>
      <c r="H46" s="176" t="str">
        <f>IF(J46=0,"-","Nivel B")</f>
        <v>-</v>
      </c>
      <c r="I46" s="176" t="str">
        <f>IF(J46=0,"-","Nivel B")</f>
        <v>-</v>
      </c>
      <c r="J46" s="589">
        <f>ENERGÍA!L50</f>
        <v>0</v>
      </c>
      <c r="K46" s="589">
        <f>ENERGÍA!M50</f>
        <v>0</v>
      </c>
      <c r="L46" s="589"/>
      <c r="O46" s="176">
        <f>IF(J46=0,0,VLOOKUP(K46,adyacentem,2,FALSE))</f>
        <v>0</v>
      </c>
      <c r="P46" s="590">
        <f>VLOOKUP('BASE DE DATOS'!GY30,COLORESEXT,2,FALSE)</f>
        <v>0.6</v>
      </c>
      <c r="Q46" s="176">
        <f>IF('BASE DE DATOS'!GX30="A",'Materiales Personalizados'!BA37,IF('BASE DE DATOS'!GX30="B",'Materiales Personalizados'!BA38,'Materiales Personalizados'!$BA$39))</f>
        <v>0.83</v>
      </c>
      <c r="R46" s="590">
        <f>Q46*J46</f>
        <v>0</v>
      </c>
      <c r="S46" s="590">
        <f>IF(J46=0,0,(O46*R46))</f>
        <v>0</v>
      </c>
      <c r="T46" s="590" t="e">
        <f>IF('BASE DE DATOS'!GX30="A",'Materiales Personalizados'!BA43,IF('BASE DE DATOS'!GX30="B",'Materiales Personalizados'!BA44,'Materiales Personalizados'!BA45))</f>
        <v>#N/A</v>
      </c>
      <c r="U46" s="590" t="e">
        <f>T46*J46</f>
        <v>#N/A</v>
      </c>
      <c r="V46" s="590">
        <f>IF(J46=0,0,U46*O46)</f>
        <v>0</v>
      </c>
      <c r="W46" s="581"/>
      <c r="X46" s="580">
        <f>IF(J46&gt;0,1,0)</f>
        <v>0</v>
      </c>
      <c r="AG46" s="148" t="str">
        <f>Y54</f>
        <v>Cocina</v>
      </c>
      <c r="AH46" s="148">
        <v>977</v>
      </c>
      <c r="AI46" s="148">
        <v>472</v>
      </c>
      <c r="AJ46" s="148">
        <f>IF(Z54=1,15,0)</f>
        <v>15</v>
      </c>
    </row>
    <row r="47" spans="2:50" ht="15" customHeight="1">
      <c r="B47" s="581" t="s">
        <v>229</v>
      </c>
      <c r="C47" s="1359"/>
      <c r="D47" s="1359"/>
      <c r="E47" s="1359"/>
      <c r="F47" s="1359"/>
      <c r="G47" s="1359"/>
      <c r="H47" s="176" t="str">
        <f t="shared" ref="H47:H48" si="4">IF(J47=0,"-","Nivel B")</f>
        <v>-</v>
      </c>
      <c r="I47" s="176" t="str">
        <f t="shared" ref="I47:I48" si="5">IF(J47=0,"-","Nivel B")</f>
        <v>-</v>
      </c>
      <c r="J47" s="589">
        <f>ENERGÍA!L51</f>
        <v>0</v>
      </c>
      <c r="K47" s="589">
        <f>ENERGÍA!M51</f>
        <v>0</v>
      </c>
      <c r="L47" s="589"/>
      <c r="O47" s="176">
        <f>IF(J47=0,0,VLOOKUP(K47,adyacentem,2,FALSE))</f>
        <v>0</v>
      </c>
      <c r="P47" s="590">
        <f>P46</f>
        <v>0.6</v>
      </c>
      <c r="Q47" s="176">
        <f>Q46</f>
        <v>0.83</v>
      </c>
      <c r="R47" s="590">
        <f>Q47*J47</f>
        <v>0</v>
      </c>
      <c r="S47" s="590">
        <f t="shared" ref="S47:S48" si="6">IF(J47=0,0,(O47*R47))</f>
        <v>0</v>
      </c>
      <c r="T47" s="590" t="e">
        <f>T46</f>
        <v>#N/A</v>
      </c>
      <c r="U47" s="590" t="e">
        <f>T47*J47</f>
        <v>#N/A</v>
      </c>
      <c r="V47" s="590">
        <f t="shared" ref="V47:V48" si="7">IF(J47=0,0,U47*O47)</f>
        <v>0</v>
      </c>
      <c r="W47" s="581"/>
      <c r="X47" s="580">
        <f t="shared" ref="X47:X90" si="8">IF(J47&gt;0,1,0)</f>
        <v>0</v>
      </c>
      <c r="Y47" s="1350" t="s">
        <v>1000</v>
      </c>
      <c r="Z47" s="1350"/>
      <c r="AA47" s="1350"/>
      <c r="AB47" s="1350"/>
      <c r="AC47" s="1350"/>
      <c r="AD47" s="588" t="s">
        <v>999</v>
      </c>
      <c r="AE47" s="175">
        <f>AE66+AD60+AE52+Z60</f>
        <v>366.75</v>
      </c>
      <c r="AG47" s="148" t="str">
        <f>Y56</f>
        <v>Lavarropa</v>
      </c>
      <c r="AH47" s="148">
        <v>300</v>
      </c>
      <c r="AI47" s="148">
        <v>0</v>
      </c>
      <c r="AJ47" s="148">
        <f>IF(Z56=1,9,0)</f>
        <v>9</v>
      </c>
    </row>
    <row r="48" spans="2:50" ht="15" customHeight="1">
      <c r="B48" s="581" t="s">
        <v>631</v>
      </c>
      <c r="C48" s="1342"/>
      <c r="D48" s="1340"/>
      <c r="E48" s="1340"/>
      <c r="F48" s="1340"/>
      <c r="G48" s="1340"/>
      <c r="H48" s="176" t="str">
        <f t="shared" si="4"/>
        <v>-</v>
      </c>
      <c r="I48" s="176" t="str">
        <f t="shared" si="5"/>
        <v>-</v>
      </c>
      <c r="J48" s="589">
        <f>ENERGÍA!L52</f>
        <v>0</v>
      </c>
      <c r="K48" s="589">
        <f>ENERGÍA!M52</f>
        <v>0</v>
      </c>
      <c r="L48" s="589"/>
      <c r="O48" s="176">
        <f>IF(J48=0,0,VLOOKUP(K48,adyacentem,2,FALSE))</f>
        <v>0</v>
      </c>
      <c r="P48" s="590">
        <f>P47</f>
        <v>0.6</v>
      </c>
      <c r="Q48" s="176">
        <f>Q47</f>
        <v>0.83</v>
      </c>
      <c r="R48" s="590">
        <f>Q48*J48</f>
        <v>0</v>
      </c>
      <c r="S48" s="590">
        <f t="shared" si="6"/>
        <v>0</v>
      </c>
      <c r="T48" s="590" t="e">
        <f>T47</f>
        <v>#N/A</v>
      </c>
      <c r="U48" s="590" t="e">
        <f>T48*J48</f>
        <v>#N/A</v>
      </c>
      <c r="V48" s="590">
        <f t="shared" si="7"/>
        <v>0</v>
      </c>
      <c r="W48" s="581"/>
      <c r="X48" s="580">
        <f t="shared" si="8"/>
        <v>0</v>
      </c>
      <c r="Y48" s="1350" t="s">
        <v>994</v>
      </c>
      <c r="Z48" s="1350"/>
      <c r="AA48" s="1350"/>
      <c r="AB48" s="1350"/>
      <c r="AC48" s="1350"/>
      <c r="AD48" s="1350"/>
      <c r="AE48" s="1350"/>
      <c r="AG48" s="148" t="str">
        <f>Y57</f>
        <v>Heladera</v>
      </c>
      <c r="AH48" s="148">
        <v>310</v>
      </c>
      <c r="AI48" s="148">
        <v>0</v>
      </c>
      <c r="AJ48" s="148">
        <f>IF(Z57=1,45,0)</f>
        <v>45</v>
      </c>
    </row>
    <row r="49" spans="2:49" ht="6" customHeight="1">
      <c r="O49" s="148"/>
      <c r="P49" s="581"/>
      <c r="Q49" s="126"/>
      <c r="R49" s="126"/>
      <c r="V49" s="126"/>
      <c r="X49" s="580">
        <f t="shared" si="8"/>
        <v>0</v>
      </c>
      <c r="AG49" s="148"/>
      <c r="AH49" s="148"/>
      <c r="AI49" s="148"/>
      <c r="AJ49" s="148"/>
    </row>
    <row r="50" spans="2:49" ht="15" customHeight="1">
      <c r="B50" s="1320" t="s">
        <v>219</v>
      </c>
      <c r="C50" s="1321"/>
      <c r="D50" s="1321"/>
      <c r="E50" s="1321"/>
      <c r="F50" s="1321"/>
      <c r="G50" s="1321"/>
      <c r="H50" s="1321"/>
      <c r="I50" s="1321"/>
      <c r="J50" s="1321"/>
      <c r="K50" s="1321"/>
      <c r="L50" s="1322"/>
      <c r="O50" s="1320" t="s">
        <v>219</v>
      </c>
      <c r="P50" s="1321"/>
      <c r="Q50" s="1321"/>
      <c r="R50" s="1321"/>
      <c r="S50" s="1321"/>
      <c r="T50" s="1321"/>
      <c r="U50" s="1321"/>
      <c r="V50" s="1321"/>
      <c r="W50" s="1322"/>
      <c r="X50" s="580">
        <f t="shared" si="8"/>
        <v>0</v>
      </c>
      <c r="Y50" s="148"/>
      <c r="Z50" s="148" t="s">
        <v>995</v>
      </c>
      <c r="AA50" s="148" t="s">
        <v>996</v>
      </c>
      <c r="AB50" s="148" t="s">
        <v>997</v>
      </c>
      <c r="AC50" s="148" t="s">
        <v>998</v>
      </c>
      <c r="AD50" s="148" t="s">
        <v>898</v>
      </c>
      <c r="AE50" s="591" t="s">
        <v>1023</v>
      </c>
      <c r="AJ50" s="148">
        <f>SUM(AJ44:AJ49)</f>
        <v>69</v>
      </c>
    </row>
    <row r="51" spans="2:49" ht="6" customHeight="1">
      <c r="D51" s="126"/>
      <c r="E51" s="126"/>
      <c r="K51" s="126"/>
      <c r="L51" s="126"/>
      <c r="O51" s="148"/>
      <c r="Q51" s="126"/>
      <c r="R51" s="126"/>
      <c r="V51" s="126"/>
      <c r="X51" s="580">
        <f t="shared" si="8"/>
        <v>0</v>
      </c>
      <c r="AG51" s="148"/>
      <c r="AH51" s="148"/>
      <c r="AI51" s="148"/>
      <c r="AJ51" s="148"/>
    </row>
    <row r="52" spans="2:49" ht="15" customHeight="1">
      <c r="B52" s="1323">
        <f>C35</f>
        <v>0</v>
      </c>
      <c r="C52" s="1323"/>
      <c r="D52" s="1323"/>
      <c r="E52" s="1323"/>
      <c r="F52" s="1323"/>
      <c r="G52" s="1323"/>
      <c r="H52" s="1323"/>
      <c r="I52" s="1323"/>
      <c r="J52" s="1323"/>
      <c r="K52" s="1323"/>
      <c r="L52" s="1323"/>
      <c r="O52" s="1320">
        <f>B52</f>
        <v>0</v>
      </c>
      <c r="P52" s="1321"/>
      <c r="Q52" s="1321"/>
      <c r="R52" s="1321"/>
      <c r="S52" s="1321"/>
      <c r="T52" s="1321"/>
      <c r="U52" s="1321"/>
      <c r="V52" s="1321"/>
      <c r="W52" s="1322"/>
      <c r="X52" s="580">
        <f t="shared" si="8"/>
        <v>0</v>
      </c>
      <c r="Y52" s="148" t="s">
        <v>618</v>
      </c>
      <c r="Z52" s="148">
        <f>ENERGÍA!AA56</f>
        <v>0</v>
      </c>
      <c r="AA52" s="148">
        <f>ENERGÍA!AB56</f>
        <v>933</v>
      </c>
      <c r="AB52" s="148">
        <f>ENERGÍA!AC56</f>
        <v>25</v>
      </c>
      <c r="AC52" s="148">
        <f>AA52*AB52/100</f>
        <v>233.25</v>
      </c>
      <c r="AD52" s="148">
        <f>AC52*Z52</f>
        <v>0</v>
      </c>
      <c r="AE52" s="1282">
        <f>SUM(AD52:AD57)</f>
        <v>366.75</v>
      </c>
      <c r="AG52" s="580" t="s">
        <v>1522</v>
      </c>
      <c r="AH52" s="590">
        <f>SUM(G35:J38)</f>
        <v>0</v>
      </c>
      <c r="AI52" s="590">
        <f>SUM(W56:W90)</f>
        <v>0</v>
      </c>
      <c r="AJ52" s="580">
        <f>IF(AH52=AI52,0,((AI52*100)/AH52)/1000)</f>
        <v>0</v>
      </c>
    </row>
    <row r="53" spans="2:49" ht="6" customHeight="1">
      <c r="B53" s="584"/>
      <c r="C53" s="584"/>
      <c r="D53" s="584"/>
      <c r="E53" s="126"/>
      <c r="L53" s="126"/>
      <c r="O53" s="148"/>
      <c r="P53" s="581"/>
      <c r="Q53" s="126"/>
      <c r="R53" s="126"/>
      <c r="V53" s="126"/>
      <c r="X53" s="580">
        <f t="shared" si="8"/>
        <v>0</v>
      </c>
      <c r="AE53" s="1282"/>
    </row>
    <row r="54" spans="2:49" ht="15" customHeight="1">
      <c r="B54" s="1360"/>
      <c r="C54" s="1363" t="s">
        <v>222</v>
      </c>
      <c r="D54" s="1364"/>
      <c r="E54" s="1364"/>
      <c r="F54" s="1364"/>
      <c r="G54" s="1365"/>
      <c r="H54" s="1357" t="s">
        <v>1788</v>
      </c>
      <c r="I54" s="1358"/>
      <c r="J54" s="1360" t="s">
        <v>594</v>
      </c>
      <c r="K54" s="1360" t="s">
        <v>1356</v>
      </c>
      <c r="L54" s="1275" t="s">
        <v>644</v>
      </c>
      <c r="O54" s="1360" t="s">
        <v>1354</v>
      </c>
      <c r="P54" s="1360" t="s">
        <v>729</v>
      </c>
      <c r="Q54" s="1360" t="s">
        <v>849</v>
      </c>
      <c r="R54" s="1360" t="s">
        <v>850</v>
      </c>
      <c r="S54" s="1360" t="s">
        <v>1357</v>
      </c>
      <c r="T54" s="1360" t="s">
        <v>851</v>
      </c>
      <c r="U54" s="1360" t="s">
        <v>891</v>
      </c>
      <c r="V54" s="1360" t="s">
        <v>1359</v>
      </c>
      <c r="W54" s="1360" t="s">
        <v>1358</v>
      </c>
      <c r="X54" s="580">
        <f t="shared" si="8"/>
        <v>1</v>
      </c>
      <c r="Y54" s="148" t="s">
        <v>572</v>
      </c>
      <c r="Z54" s="148">
        <f>ENERGÍA!AA58</f>
        <v>1</v>
      </c>
      <c r="AA54" s="148">
        <f>ENERGÍA!AB58</f>
        <v>977</v>
      </c>
      <c r="AB54" s="148">
        <f>ENERGÍA!AC58</f>
        <v>25</v>
      </c>
      <c r="AC54" s="148">
        <f>AA54*AB54/100</f>
        <v>244.25</v>
      </c>
      <c r="AD54" s="148">
        <f>AC54*Z54</f>
        <v>244.25</v>
      </c>
      <c r="AE54" s="1282"/>
      <c r="AG54" s="580" t="s">
        <v>1523</v>
      </c>
      <c r="AH54" s="1320" t="e">
        <f>(AVERAGEIF(X46:X90,1,P46:P90))/5</f>
        <v>#DIV/0!</v>
      </c>
      <c r="AI54" s="1321"/>
      <c r="AJ54" s="1322"/>
    </row>
    <row r="55" spans="2:49" ht="15" customHeight="1">
      <c r="B55" s="1361"/>
      <c r="C55" s="1366"/>
      <c r="D55" s="1367"/>
      <c r="E55" s="1367"/>
      <c r="F55" s="1367"/>
      <c r="G55" s="1368"/>
      <c r="H55" s="1357" t="s">
        <v>731</v>
      </c>
      <c r="I55" s="1358"/>
      <c r="J55" s="1361"/>
      <c r="K55" s="1361"/>
      <c r="L55" s="1277"/>
      <c r="O55" s="1361"/>
      <c r="P55" s="1361"/>
      <c r="Q55" s="1361"/>
      <c r="R55" s="1361"/>
      <c r="S55" s="1361"/>
      <c r="T55" s="1361"/>
      <c r="U55" s="1361"/>
      <c r="V55" s="1361"/>
      <c r="W55" s="1361"/>
      <c r="X55" s="580">
        <f t="shared" si="8"/>
        <v>0</v>
      </c>
      <c r="Y55" s="580"/>
      <c r="Z55" s="580"/>
      <c r="AA55" s="580"/>
      <c r="AB55" s="580"/>
      <c r="AC55" s="580"/>
      <c r="AD55" s="580"/>
      <c r="AE55" s="1282"/>
      <c r="AG55" s="580"/>
      <c r="AH55" s="592"/>
      <c r="AI55" s="593"/>
      <c r="AJ55" s="594"/>
    </row>
    <row r="56" spans="2:49" ht="15" customHeight="1">
      <c r="B56" s="581" t="s">
        <v>223</v>
      </c>
      <c r="C56" s="1359"/>
      <c r="D56" s="1359"/>
      <c r="E56" s="1359"/>
      <c r="F56" s="1359"/>
      <c r="G56" s="1359"/>
      <c r="H56" s="1274" t="str">
        <f>IF(J56=0,"-","Nivel B")</f>
        <v>-</v>
      </c>
      <c r="I56" s="1274"/>
      <c r="J56" s="589">
        <f>ENERGÍA!L60</f>
        <v>0</v>
      </c>
      <c r="K56" s="589">
        <f>ENERGÍA!M60</f>
        <v>0</v>
      </c>
      <c r="L56" s="589"/>
      <c r="O56" s="176">
        <f>IF(J56=0,0,VLOOKUP(K56,adyacentem,2,FALSE))</f>
        <v>0</v>
      </c>
      <c r="P56" s="590">
        <f>VLOOKUP('BASE DE DATOS'!GY31,COLORESEXT,2,FALSE)</f>
        <v>0.6</v>
      </c>
      <c r="Q56" s="176">
        <f>IF('BASE DE DATOS'!GX31="A",'Materiales Personalizados'!AV37,IF('BASE DE DATOS'!GX31="B",'Materiales Personalizados'!AV38,'Materiales Personalizados'!$AV$39))</f>
        <v>1</v>
      </c>
      <c r="R56" s="590">
        <f>Q56*J56</f>
        <v>0</v>
      </c>
      <c r="S56" s="590">
        <f>IF(J56=0,0,(O56*R56))</f>
        <v>0</v>
      </c>
      <c r="T56" s="590">
        <f>Q56</f>
        <v>1</v>
      </c>
      <c r="U56" s="590">
        <f>T56*J56</f>
        <v>0</v>
      </c>
      <c r="V56" s="590">
        <f>IF(J56=0,0,(O56*U56))</f>
        <v>0</v>
      </c>
      <c r="W56" s="590">
        <f>IF(K56=BASE!$DA$7,J56,0)</f>
        <v>0</v>
      </c>
      <c r="X56" s="580">
        <f t="shared" si="8"/>
        <v>0</v>
      </c>
      <c r="Y56" s="148" t="s">
        <v>620</v>
      </c>
      <c r="Z56" s="148">
        <f>ENERGÍA!AA60</f>
        <v>1</v>
      </c>
      <c r="AA56" s="148">
        <f>ENERGÍA!AB60</f>
        <v>300</v>
      </c>
      <c r="AB56" s="148">
        <f>ENERGÍA!AC60</f>
        <v>15</v>
      </c>
      <c r="AC56" s="148">
        <f>AA56*AB56/100</f>
        <v>45</v>
      </c>
      <c r="AD56" s="148">
        <f>AC56*Z56</f>
        <v>45</v>
      </c>
      <c r="AE56" s="1282"/>
    </row>
    <row r="57" spans="2:49" ht="15" customHeight="1">
      <c r="B57" s="581" t="s">
        <v>224</v>
      </c>
      <c r="C57" s="1359"/>
      <c r="D57" s="1359"/>
      <c r="E57" s="1359"/>
      <c r="F57" s="1359"/>
      <c r="G57" s="1359"/>
      <c r="H57" s="1274" t="str">
        <f t="shared" ref="H57:H60" si="9">IF(J57=0,"-","Nivel B")</f>
        <v>-</v>
      </c>
      <c r="I57" s="1274"/>
      <c r="J57" s="589">
        <f>ENERGÍA!L61</f>
        <v>0</v>
      </c>
      <c r="K57" s="589">
        <f>ENERGÍA!M61</f>
        <v>0</v>
      </c>
      <c r="L57" s="589"/>
      <c r="O57" s="176">
        <f>IF(J57=0,0,VLOOKUP(K57,adyacentem,2,FALSE))</f>
        <v>0</v>
      </c>
      <c r="P57" s="590">
        <f>P56</f>
        <v>0.6</v>
      </c>
      <c r="Q57" s="176">
        <f>Q56</f>
        <v>1</v>
      </c>
      <c r="R57" s="590">
        <f>Q57*J57</f>
        <v>0</v>
      </c>
      <c r="S57" s="590">
        <f t="shared" ref="S57:S60" si="10">IF(J57=0,0,(O57*R57))</f>
        <v>0</v>
      </c>
      <c r="T57" s="590">
        <f>Q57</f>
        <v>1</v>
      </c>
      <c r="U57" s="590">
        <f>T57*J57</f>
        <v>0</v>
      </c>
      <c r="V57" s="590">
        <f t="shared" ref="V57:V60" si="11">IF(J57=0,0,(O57*U57))</f>
        <v>0</v>
      </c>
      <c r="W57" s="590">
        <f>IF(K57=BASE!$DA$7,J57,0)</f>
        <v>0</v>
      </c>
      <c r="X57" s="580">
        <f t="shared" si="8"/>
        <v>0</v>
      </c>
      <c r="Y57" s="148" t="s">
        <v>619</v>
      </c>
      <c r="Z57" s="148">
        <f>ENERGÍA!AA61</f>
        <v>1</v>
      </c>
      <c r="AA57" s="148">
        <f>ENERGÍA!AB61</f>
        <v>310</v>
      </c>
      <c r="AB57" s="148">
        <f>ENERGÍA!AC61</f>
        <v>25</v>
      </c>
      <c r="AC57" s="148">
        <f>AA57*AB57/100</f>
        <v>77.5</v>
      </c>
      <c r="AD57" s="148">
        <f>AC57*Z57</f>
        <v>77.5</v>
      </c>
      <c r="AE57" s="1282"/>
    </row>
    <row r="58" spans="2:49" ht="15" customHeight="1">
      <c r="B58" s="581" t="s">
        <v>1516</v>
      </c>
      <c r="C58" s="1342"/>
      <c r="D58" s="1340"/>
      <c r="E58" s="1340"/>
      <c r="F58" s="1340"/>
      <c r="G58" s="1340"/>
      <c r="H58" s="1274" t="str">
        <f t="shared" si="9"/>
        <v>-</v>
      </c>
      <c r="I58" s="1274"/>
      <c r="J58" s="589">
        <f>ENERGÍA!L62</f>
        <v>0</v>
      </c>
      <c r="K58" s="589">
        <f>ENERGÍA!M62</f>
        <v>0</v>
      </c>
      <c r="L58" s="589"/>
      <c r="O58" s="176">
        <f>IF(J58=0,0,VLOOKUP(K58,adyacentem,2,FALSE))</f>
        <v>0</v>
      </c>
      <c r="P58" s="590">
        <f t="shared" ref="P58:Q60" si="12">P57</f>
        <v>0.6</v>
      </c>
      <c r="Q58" s="176">
        <f t="shared" si="12"/>
        <v>1</v>
      </c>
      <c r="R58" s="590">
        <f>Q58*J58</f>
        <v>0</v>
      </c>
      <c r="S58" s="590">
        <f t="shared" si="10"/>
        <v>0</v>
      </c>
      <c r="T58" s="590">
        <f>Q58</f>
        <v>1</v>
      </c>
      <c r="U58" s="590">
        <f>T58*J58</f>
        <v>0</v>
      </c>
      <c r="V58" s="590">
        <f t="shared" si="11"/>
        <v>0</v>
      </c>
      <c r="W58" s="590">
        <f>IF(K58=BASE!$DA$7,J58,0)</f>
        <v>0</v>
      </c>
      <c r="X58" s="580">
        <f t="shared" si="8"/>
        <v>0</v>
      </c>
      <c r="Y58" s="581"/>
    </row>
    <row r="59" spans="2:49" ht="15" customHeight="1">
      <c r="B59" s="581" t="s">
        <v>632</v>
      </c>
      <c r="C59" s="1342"/>
      <c r="D59" s="1340"/>
      <c r="E59" s="1340"/>
      <c r="F59" s="1340"/>
      <c r="G59" s="1340"/>
      <c r="H59" s="1274" t="str">
        <f t="shared" si="9"/>
        <v>-</v>
      </c>
      <c r="I59" s="1274"/>
      <c r="J59" s="589">
        <f>ENERGÍA!L63</f>
        <v>0</v>
      </c>
      <c r="K59" s="589">
        <f>ENERGÍA!M63</f>
        <v>0</v>
      </c>
      <c r="L59" s="589"/>
      <c r="O59" s="176">
        <f>IF(J59=0,0,VLOOKUP(K59,adyacentem,2,FALSE))</f>
        <v>0</v>
      </c>
      <c r="P59" s="590">
        <f t="shared" si="12"/>
        <v>0.6</v>
      </c>
      <c r="Q59" s="176">
        <f t="shared" si="12"/>
        <v>1</v>
      </c>
      <c r="R59" s="590">
        <f>Q59*J59</f>
        <v>0</v>
      </c>
      <c r="S59" s="590">
        <f t="shared" si="10"/>
        <v>0</v>
      </c>
      <c r="T59" s="590">
        <f>Q59</f>
        <v>1</v>
      </c>
      <c r="U59" s="590">
        <f>T59*J59</f>
        <v>0</v>
      </c>
      <c r="V59" s="590">
        <f t="shared" si="11"/>
        <v>0</v>
      </c>
      <c r="W59" s="590">
        <f>IF(K59=BASE!$DA$7,J59,0)</f>
        <v>0</v>
      </c>
      <c r="X59" s="580">
        <f t="shared" si="8"/>
        <v>0</v>
      </c>
      <c r="Y59" s="1377" t="s">
        <v>601</v>
      </c>
      <c r="Z59" s="1377"/>
      <c r="AA59" s="581"/>
      <c r="AB59" s="581"/>
      <c r="AC59" s="1377" t="s">
        <v>602</v>
      </c>
      <c r="AD59" s="1377"/>
      <c r="AE59" s="581"/>
      <c r="AG59" s="1378" t="s">
        <v>1054</v>
      </c>
      <c r="AH59" s="1378"/>
      <c r="AI59" s="1378"/>
      <c r="AJ59" s="1378"/>
      <c r="AK59" s="1378"/>
      <c r="AL59" s="1378"/>
      <c r="AM59" s="1378"/>
      <c r="AN59" s="1378"/>
      <c r="AO59" s="1378"/>
      <c r="AP59" s="1378"/>
      <c r="AQ59" s="1378"/>
      <c r="AR59" s="1378"/>
      <c r="AS59" s="1378"/>
      <c r="AV59" s="595" t="s">
        <v>888</v>
      </c>
      <c r="AW59" s="166">
        <v>18</v>
      </c>
    </row>
    <row r="60" spans="2:49" ht="15" customHeight="1">
      <c r="B60" s="581" t="s">
        <v>631</v>
      </c>
      <c r="C60" s="1342"/>
      <c r="D60" s="1340"/>
      <c r="E60" s="1340"/>
      <c r="F60" s="1340"/>
      <c r="G60" s="1340"/>
      <c r="H60" s="1274" t="str">
        <f t="shared" si="9"/>
        <v>-</v>
      </c>
      <c r="I60" s="1274"/>
      <c r="J60" s="589">
        <f>ENERGÍA!L64</f>
        <v>0</v>
      </c>
      <c r="K60" s="589">
        <f>ENERGÍA!M64</f>
        <v>0</v>
      </c>
      <c r="L60" s="589"/>
      <c r="O60" s="176">
        <f>IF(J60=0,0,VLOOKUP(K60,adyacentem,2,FALSE))</f>
        <v>0</v>
      </c>
      <c r="P60" s="590">
        <f t="shared" si="12"/>
        <v>0.6</v>
      </c>
      <c r="Q60" s="176">
        <f t="shared" si="12"/>
        <v>1</v>
      </c>
      <c r="R60" s="590">
        <f>Q60*J60</f>
        <v>0</v>
      </c>
      <c r="S60" s="590">
        <f t="shared" si="10"/>
        <v>0</v>
      </c>
      <c r="T60" s="590">
        <f>Q60</f>
        <v>1</v>
      </c>
      <c r="U60" s="590">
        <f>T60*J60</f>
        <v>0</v>
      </c>
      <c r="V60" s="590">
        <f t="shared" si="11"/>
        <v>0</v>
      </c>
      <c r="W60" s="590">
        <f>IF(K60=BASE!$DA$7,J60,0)</f>
        <v>0</v>
      </c>
      <c r="X60" s="580">
        <f t="shared" si="8"/>
        <v>0</v>
      </c>
      <c r="Y60" s="588" t="s">
        <v>1023</v>
      </c>
      <c r="Z60" s="175">
        <f>(AB175*365)*0.55</f>
        <v>0</v>
      </c>
      <c r="AA60" s="581"/>
      <c r="AB60" s="581"/>
      <c r="AC60" s="588" t="s">
        <v>1023</v>
      </c>
      <c r="AD60" s="175">
        <f>ENERGÍA!AE64</f>
        <v>0</v>
      </c>
      <c r="AE60" s="581"/>
      <c r="AG60" s="580" t="s">
        <v>848</v>
      </c>
      <c r="AH60" s="596" t="s">
        <v>823</v>
      </c>
      <c r="AI60" s="596" t="s">
        <v>824</v>
      </c>
      <c r="AJ60" s="596" t="s">
        <v>825</v>
      </c>
      <c r="AK60" s="226" t="s">
        <v>826</v>
      </c>
      <c r="AL60" s="226" t="s">
        <v>827</v>
      </c>
      <c r="AM60" s="226" t="s">
        <v>828</v>
      </c>
      <c r="AN60" s="226" t="s">
        <v>829</v>
      </c>
      <c r="AO60" s="226" t="s">
        <v>830</v>
      </c>
      <c r="AP60" s="226" t="s">
        <v>831</v>
      </c>
      <c r="AQ60" s="226" t="s">
        <v>832</v>
      </c>
      <c r="AR60" s="226" t="s">
        <v>833</v>
      </c>
      <c r="AS60" s="226" t="s">
        <v>834</v>
      </c>
      <c r="AV60" s="595" t="s">
        <v>889</v>
      </c>
      <c r="AW60" s="166">
        <v>24</v>
      </c>
    </row>
    <row r="61" spans="2:49" ht="6" customHeight="1">
      <c r="L61" s="126"/>
      <c r="O61" s="148"/>
      <c r="P61" s="581"/>
      <c r="Q61" s="597"/>
      <c r="R61" s="597"/>
      <c r="S61" s="597"/>
      <c r="X61" s="580">
        <f t="shared" si="8"/>
        <v>0</v>
      </c>
      <c r="Y61" s="581"/>
      <c r="Z61" s="581"/>
      <c r="AA61" s="581"/>
      <c r="AB61" s="581"/>
      <c r="AC61" s="581"/>
      <c r="AD61" s="581"/>
      <c r="AE61" s="581"/>
    </row>
    <row r="62" spans="2:49" ht="15" customHeight="1">
      <c r="B62" s="1323">
        <f>C36</f>
        <v>0</v>
      </c>
      <c r="C62" s="1323"/>
      <c r="D62" s="1323"/>
      <c r="E62" s="1323"/>
      <c r="F62" s="1323"/>
      <c r="G62" s="1323"/>
      <c r="H62" s="1323"/>
      <c r="I62" s="1323"/>
      <c r="J62" s="1323"/>
      <c r="K62" s="1323"/>
      <c r="L62" s="1323"/>
      <c r="O62" s="1320">
        <f>B62</f>
        <v>0</v>
      </c>
      <c r="P62" s="1321"/>
      <c r="Q62" s="1321"/>
      <c r="R62" s="1321"/>
      <c r="S62" s="1321"/>
      <c r="T62" s="1321"/>
      <c r="U62" s="1321"/>
      <c r="V62" s="1321"/>
      <c r="W62" s="1322"/>
      <c r="X62" s="580">
        <f t="shared" si="8"/>
        <v>0</v>
      </c>
      <c r="Y62" s="581"/>
      <c r="Z62" s="581"/>
      <c r="AA62" s="581"/>
      <c r="AB62" s="581"/>
      <c r="AC62" s="581"/>
      <c r="AD62" s="581"/>
      <c r="AE62" s="581"/>
      <c r="AG62" s="598" t="s">
        <v>1035</v>
      </c>
      <c r="AH62" s="176">
        <f>ENERGÍA!AJ66</f>
        <v>0</v>
      </c>
      <c r="AI62" s="176">
        <f>ENERGÍA!AK66</f>
        <v>0</v>
      </c>
      <c r="AJ62" s="176">
        <f>ENERGÍA!AL66</f>
        <v>0</v>
      </c>
      <c r="AK62" s="176">
        <f>ENERGÍA!AM66</f>
        <v>0</v>
      </c>
      <c r="AL62" s="176">
        <f>ENERGÍA!AN66</f>
        <v>0</v>
      </c>
      <c r="AM62" s="176">
        <f>ENERGÍA!AO66</f>
        <v>0</v>
      </c>
      <c r="AN62" s="176">
        <f>ENERGÍA!AP66</f>
        <v>0</v>
      </c>
      <c r="AO62" s="176">
        <f>ENERGÍA!AQ66</f>
        <v>0</v>
      </c>
      <c r="AP62" s="176">
        <f>ENERGÍA!AR66</f>
        <v>0</v>
      </c>
      <c r="AQ62" s="176">
        <f>ENERGÍA!AS66</f>
        <v>0</v>
      </c>
      <c r="AR62" s="176">
        <f>ENERGÍA!AT66</f>
        <v>0</v>
      </c>
      <c r="AS62" s="176">
        <f>ENERGÍA!AU66</f>
        <v>0</v>
      </c>
      <c r="AV62" s="582" t="s">
        <v>1018</v>
      </c>
      <c r="AW62" s="176">
        <v>50</v>
      </c>
    </row>
    <row r="63" spans="2:49" ht="6" customHeight="1">
      <c r="B63" s="584"/>
      <c r="C63" s="584"/>
      <c r="D63" s="584"/>
      <c r="E63" s="126"/>
      <c r="K63" s="126"/>
      <c r="L63" s="126"/>
      <c r="O63" s="580"/>
      <c r="P63" s="581"/>
      <c r="Q63" s="126"/>
      <c r="R63" s="126"/>
      <c r="V63" s="126"/>
      <c r="X63" s="580">
        <f t="shared" si="8"/>
        <v>0</v>
      </c>
      <c r="AG63" s="597"/>
      <c r="AH63" s="597"/>
      <c r="AI63" s="597"/>
      <c r="AJ63" s="597"/>
      <c r="AK63" s="597"/>
      <c r="AL63" s="597"/>
      <c r="AM63" s="597"/>
      <c r="AN63" s="597"/>
      <c r="AO63" s="597"/>
      <c r="AP63" s="597"/>
      <c r="AQ63" s="597"/>
      <c r="AR63" s="597"/>
      <c r="AS63" s="597"/>
    </row>
    <row r="64" spans="2:49" ht="15" customHeight="1">
      <c r="B64" s="1360"/>
      <c r="C64" s="1363" t="s">
        <v>222</v>
      </c>
      <c r="D64" s="1364"/>
      <c r="E64" s="1364"/>
      <c r="F64" s="1364"/>
      <c r="G64" s="1365"/>
      <c r="H64" s="1357" t="s">
        <v>1788</v>
      </c>
      <c r="I64" s="1358"/>
      <c r="J64" s="1360" t="s">
        <v>594</v>
      </c>
      <c r="K64" s="1360" t="s">
        <v>1356</v>
      </c>
      <c r="L64" s="1275" t="s">
        <v>644</v>
      </c>
      <c r="O64" s="1360" t="s">
        <v>1354</v>
      </c>
      <c r="P64" s="1360" t="s">
        <v>729</v>
      </c>
      <c r="Q64" s="1360" t="s">
        <v>849</v>
      </c>
      <c r="R64" s="1360" t="s">
        <v>850</v>
      </c>
      <c r="S64" s="1360" t="s">
        <v>1357</v>
      </c>
      <c r="T64" s="1360" t="s">
        <v>851</v>
      </c>
      <c r="U64" s="1360" t="s">
        <v>891</v>
      </c>
      <c r="V64" s="1360" t="s">
        <v>1359</v>
      </c>
      <c r="W64" s="1360" t="s">
        <v>1358</v>
      </c>
      <c r="X64" s="580">
        <f t="shared" si="8"/>
        <v>1</v>
      </c>
      <c r="Y64" s="1369" t="s">
        <v>992</v>
      </c>
      <c r="Z64" s="1370"/>
      <c r="AA64" s="1370"/>
      <c r="AB64" s="1370"/>
      <c r="AC64" s="1370"/>
      <c r="AD64" s="1371"/>
      <c r="AE64" s="1375" t="s">
        <v>1023</v>
      </c>
      <c r="AG64" s="597"/>
      <c r="AH64" s="176">
        <f>IF(AH62&lt;=$AW$60,0,AH62-$AW$60)</f>
        <v>0</v>
      </c>
      <c r="AI64" s="176">
        <f t="shared" ref="AI64:AS64" si="13">IF(AI62&lt;=$AW$60,0,AI62-$AW$60)</f>
        <v>0</v>
      </c>
      <c r="AJ64" s="176">
        <f t="shared" si="13"/>
        <v>0</v>
      </c>
      <c r="AK64" s="176">
        <f t="shared" si="13"/>
        <v>0</v>
      </c>
      <c r="AL64" s="176">
        <f t="shared" si="13"/>
        <v>0</v>
      </c>
      <c r="AM64" s="176">
        <f t="shared" si="13"/>
        <v>0</v>
      </c>
      <c r="AN64" s="176">
        <f t="shared" si="13"/>
        <v>0</v>
      </c>
      <c r="AO64" s="176">
        <f t="shared" si="13"/>
        <v>0</v>
      </c>
      <c r="AP64" s="176">
        <f t="shared" si="13"/>
        <v>0</v>
      </c>
      <c r="AQ64" s="176">
        <f t="shared" si="13"/>
        <v>0</v>
      </c>
      <c r="AR64" s="176">
        <f t="shared" si="13"/>
        <v>0</v>
      </c>
      <c r="AS64" s="176">
        <f t="shared" si="13"/>
        <v>0</v>
      </c>
      <c r="AV64" s="595" t="s">
        <v>890</v>
      </c>
      <c r="AW64" s="176">
        <f>DATOS!C26*DATOS!G29</f>
        <v>0</v>
      </c>
    </row>
    <row r="65" spans="2:49" ht="15" customHeight="1">
      <c r="B65" s="1361"/>
      <c r="C65" s="1366"/>
      <c r="D65" s="1367"/>
      <c r="E65" s="1367"/>
      <c r="F65" s="1367"/>
      <c r="G65" s="1368"/>
      <c r="H65" s="1357" t="s">
        <v>731</v>
      </c>
      <c r="I65" s="1358"/>
      <c r="J65" s="1361"/>
      <c r="K65" s="1361"/>
      <c r="L65" s="1277"/>
      <c r="O65" s="1361"/>
      <c r="P65" s="1361"/>
      <c r="Q65" s="1361"/>
      <c r="R65" s="1361"/>
      <c r="S65" s="1361"/>
      <c r="T65" s="1361"/>
      <c r="U65" s="1361"/>
      <c r="V65" s="1361"/>
      <c r="W65" s="1361"/>
      <c r="X65" s="580">
        <f t="shared" si="8"/>
        <v>0</v>
      </c>
      <c r="Y65" s="1372"/>
      <c r="Z65" s="1373"/>
      <c r="AA65" s="1373"/>
      <c r="AB65" s="1373"/>
      <c r="AC65" s="1373"/>
      <c r="AD65" s="1374"/>
      <c r="AE65" s="1376"/>
      <c r="AG65" s="597"/>
      <c r="AH65" s="597"/>
      <c r="AI65" s="597"/>
      <c r="AJ65" s="597"/>
      <c r="AK65" s="597"/>
      <c r="AL65" s="597"/>
      <c r="AM65" s="597"/>
      <c r="AN65" s="597"/>
      <c r="AO65" s="597"/>
      <c r="AP65" s="597"/>
      <c r="AQ65" s="597"/>
      <c r="AR65" s="597"/>
      <c r="AS65" s="597"/>
    </row>
    <row r="66" spans="2:49" ht="15" customHeight="1">
      <c r="B66" s="581" t="s">
        <v>223</v>
      </c>
      <c r="C66" s="1359"/>
      <c r="D66" s="1359"/>
      <c r="E66" s="1359"/>
      <c r="F66" s="1359"/>
      <c r="G66" s="1359"/>
      <c r="H66" s="1274" t="str">
        <f>IF(J66=0,"-","Nivel B")</f>
        <v>-</v>
      </c>
      <c r="I66" s="1274"/>
      <c r="J66" s="589">
        <f>ENERGÍA!L70</f>
        <v>0</v>
      </c>
      <c r="K66" s="589">
        <f>ENERGÍA!M70</f>
        <v>0</v>
      </c>
      <c r="L66" s="589"/>
      <c r="O66" s="176">
        <f>IF(J66=0,0,VLOOKUP(K66,adyacentem,2,FALSE))</f>
        <v>0</v>
      </c>
      <c r="P66" s="590">
        <f>P60</f>
        <v>0.6</v>
      </c>
      <c r="Q66" s="176">
        <f>'Materiales Personalizados'!$AV$38</f>
        <v>1</v>
      </c>
      <c r="R66" s="590">
        <f>Q66*J66</f>
        <v>0</v>
      </c>
      <c r="S66" s="590">
        <f>IF(J66=0,0,(O66*R66))</f>
        <v>0</v>
      </c>
      <c r="T66" s="590">
        <f>Q66</f>
        <v>1</v>
      </c>
      <c r="U66" s="590">
        <f>T66*J66</f>
        <v>0</v>
      </c>
      <c r="V66" s="590">
        <f>IF(J66=0,0,(O66*U66))</f>
        <v>0</v>
      </c>
      <c r="W66" s="590">
        <f>IF(K66=BASE!$DA$7,J66,0)</f>
        <v>0</v>
      </c>
      <c r="X66" s="580">
        <f t="shared" si="8"/>
        <v>0</v>
      </c>
      <c r="Y66" s="599" t="s">
        <v>1183</v>
      </c>
      <c r="Z66" s="148">
        <f>DATOS!C29</f>
        <v>0</v>
      </c>
      <c r="AA66" s="599" t="s">
        <v>1120</v>
      </c>
      <c r="AB66" s="1284">
        <f>ENERGÍA!AC70</f>
        <v>47</v>
      </c>
      <c r="AC66" s="1338"/>
      <c r="AD66" s="1285"/>
      <c r="AE66" s="175">
        <f>AB66*Z66</f>
        <v>0</v>
      </c>
      <c r="AG66" s="597"/>
      <c r="AH66" s="176">
        <f t="shared" ref="AH66:AS66" si="14">IF(AH62&lt;=$AW$59,(AH62-$AW$59)*-1,0)</f>
        <v>18</v>
      </c>
      <c r="AI66" s="176">
        <f t="shared" si="14"/>
        <v>18</v>
      </c>
      <c r="AJ66" s="176">
        <f t="shared" si="14"/>
        <v>18</v>
      </c>
      <c r="AK66" s="176">
        <f t="shared" si="14"/>
        <v>18</v>
      </c>
      <c r="AL66" s="176">
        <f t="shared" si="14"/>
        <v>18</v>
      </c>
      <c r="AM66" s="176">
        <f t="shared" si="14"/>
        <v>18</v>
      </c>
      <c r="AN66" s="176">
        <f t="shared" si="14"/>
        <v>18</v>
      </c>
      <c r="AO66" s="176">
        <f t="shared" si="14"/>
        <v>18</v>
      </c>
      <c r="AP66" s="176">
        <f t="shared" si="14"/>
        <v>18</v>
      </c>
      <c r="AQ66" s="176">
        <f t="shared" si="14"/>
        <v>18</v>
      </c>
      <c r="AR66" s="176">
        <f t="shared" si="14"/>
        <v>18</v>
      </c>
      <c r="AS66" s="176">
        <f t="shared" si="14"/>
        <v>18</v>
      </c>
    </row>
    <row r="67" spans="2:49" ht="15" customHeight="1">
      <c r="B67" s="581" t="s">
        <v>224</v>
      </c>
      <c r="C67" s="1359"/>
      <c r="D67" s="1359"/>
      <c r="E67" s="1359"/>
      <c r="F67" s="1359"/>
      <c r="G67" s="1359"/>
      <c r="H67" s="1274" t="str">
        <f t="shared" ref="H67:H70" si="15">IF(J67=0,"-","Nivel B")</f>
        <v>-</v>
      </c>
      <c r="I67" s="1274"/>
      <c r="J67" s="589">
        <f>ENERGÍA!L71</f>
        <v>0</v>
      </c>
      <c r="K67" s="589">
        <f>ENERGÍA!M71</f>
        <v>0</v>
      </c>
      <c r="L67" s="589"/>
      <c r="O67" s="176">
        <f>IF(J67=0,0,VLOOKUP(K67,adyacentem,2,FALSE))</f>
        <v>0</v>
      </c>
      <c r="P67" s="590">
        <f>P66</f>
        <v>0.6</v>
      </c>
      <c r="Q67" s="176">
        <f>Q66</f>
        <v>1</v>
      </c>
      <c r="R67" s="590">
        <f>Q67*J67</f>
        <v>0</v>
      </c>
      <c r="S67" s="590">
        <f t="shared" ref="S67:S70" si="16">IF(J67=0,0,(O67*R67))</f>
        <v>0</v>
      </c>
      <c r="T67" s="590">
        <f>Q67</f>
        <v>1</v>
      </c>
      <c r="U67" s="590">
        <f>T67*J67</f>
        <v>0</v>
      </c>
      <c r="V67" s="590">
        <f t="shared" ref="V67:V70" si="17">IF(J67=0,0,(O67*U67))</f>
        <v>0</v>
      </c>
      <c r="W67" s="590">
        <f>IF(K67=BASE!$DA$7,J67,0)</f>
        <v>0</v>
      </c>
      <c r="X67" s="580">
        <f t="shared" si="8"/>
        <v>0</v>
      </c>
      <c r="AG67" s="598" t="s">
        <v>1028</v>
      </c>
      <c r="AH67" s="176">
        <f>-(AM67-AI67)/4+AI67</f>
        <v>0</v>
      </c>
      <c r="AI67" s="176">
        <f>ENERGÍA!AK71</f>
        <v>0</v>
      </c>
      <c r="AJ67" s="176">
        <f>(AM67-AI67)/4+AI67</f>
        <v>0</v>
      </c>
      <c r="AK67" s="176">
        <f>(AN67-AI67)*2/4+AI67</f>
        <v>0</v>
      </c>
      <c r="AL67" s="176">
        <f>(AO67-AI67)*3/4+AI67</f>
        <v>0</v>
      </c>
      <c r="AM67" s="176">
        <f>ENERGÍA!AO71</f>
        <v>0</v>
      </c>
      <c r="AN67" s="176">
        <f>(AM67-AI67)/4+AM67</f>
        <v>0</v>
      </c>
      <c r="AO67" s="176">
        <f>AM67</f>
        <v>0</v>
      </c>
      <c r="AP67" s="176">
        <f>AL67</f>
        <v>0</v>
      </c>
      <c r="AQ67" s="176">
        <f>AK67</f>
        <v>0</v>
      </c>
      <c r="AR67" s="176">
        <f>AJ67</f>
        <v>0</v>
      </c>
      <c r="AS67" s="176">
        <f>ENERGÍA!AU71</f>
        <v>0</v>
      </c>
      <c r="AV67" s="582" t="s">
        <v>986</v>
      </c>
      <c r="AW67" s="148">
        <f>ENERGÍA!AY71</f>
        <v>1</v>
      </c>
    </row>
    <row r="68" spans="2:49" ht="15" customHeight="1">
      <c r="B68" s="581" t="s">
        <v>1516</v>
      </c>
      <c r="C68" s="1342"/>
      <c r="D68" s="1340"/>
      <c r="E68" s="1340"/>
      <c r="F68" s="1340"/>
      <c r="G68" s="1340"/>
      <c r="H68" s="1274" t="str">
        <f t="shared" si="15"/>
        <v>-</v>
      </c>
      <c r="I68" s="1274"/>
      <c r="J68" s="589">
        <f>ENERGÍA!L72</f>
        <v>0</v>
      </c>
      <c r="K68" s="589">
        <f>ENERGÍA!M72</f>
        <v>0</v>
      </c>
      <c r="L68" s="589"/>
      <c r="O68" s="176">
        <f>IF(J68=0,0,VLOOKUP(K68,adyacentem,2,FALSE))</f>
        <v>0</v>
      </c>
      <c r="P68" s="590">
        <f t="shared" ref="P68:P70" si="18">P67</f>
        <v>0.6</v>
      </c>
      <c r="Q68" s="176">
        <f t="shared" ref="Q68:Q70" si="19">Q67</f>
        <v>1</v>
      </c>
      <c r="R68" s="590">
        <f>Q68*J68</f>
        <v>0</v>
      </c>
      <c r="S68" s="590">
        <f t="shared" si="16"/>
        <v>0</v>
      </c>
      <c r="T68" s="590">
        <f>Q68</f>
        <v>1</v>
      </c>
      <c r="U68" s="590">
        <f>T68*J68</f>
        <v>0</v>
      </c>
      <c r="V68" s="590">
        <f t="shared" si="17"/>
        <v>0</v>
      </c>
      <c r="W68" s="590">
        <f>IF(K68=BASE!$DA$7,J68,0)</f>
        <v>0</v>
      </c>
      <c r="X68" s="580">
        <f t="shared" si="8"/>
        <v>0</v>
      </c>
      <c r="Y68" s="1350" t="s">
        <v>1101</v>
      </c>
      <c r="Z68" s="1350"/>
      <c r="AA68" s="1350"/>
      <c r="AB68" s="1350"/>
      <c r="AC68" s="1350"/>
      <c r="AD68" s="588" t="s">
        <v>999</v>
      </c>
      <c r="AE68" s="175" t="e">
        <f>AE70</f>
        <v>#N/A</v>
      </c>
      <c r="AG68" s="598" t="s">
        <v>1029</v>
      </c>
      <c r="AH68" s="176">
        <f t="shared" ref="AH68:AS68" si="20">(6.108*EXP((17.27*AH62)/(AH62+237.3)))*AH67/100</f>
        <v>0</v>
      </c>
      <c r="AI68" s="176">
        <f t="shared" si="20"/>
        <v>0</v>
      </c>
      <c r="AJ68" s="176">
        <f t="shared" si="20"/>
        <v>0</v>
      </c>
      <c r="AK68" s="176">
        <f t="shared" si="20"/>
        <v>0</v>
      </c>
      <c r="AL68" s="176">
        <f t="shared" si="20"/>
        <v>0</v>
      </c>
      <c r="AM68" s="176">
        <f t="shared" si="20"/>
        <v>0</v>
      </c>
      <c r="AN68" s="176">
        <f t="shared" si="20"/>
        <v>0</v>
      </c>
      <c r="AO68" s="176">
        <f t="shared" si="20"/>
        <v>0</v>
      </c>
      <c r="AP68" s="176">
        <f t="shared" si="20"/>
        <v>0</v>
      </c>
      <c r="AQ68" s="176">
        <f t="shared" si="20"/>
        <v>0</v>
      </c>
      <c r="AR68" s="176">
        <f t="shared" si="20"/>
        <v>0</v>
      </c>
      <c r="AS68" s="176">
        <f t="shared" si="20"/>
        <v>0</v>
      </c>
    </row>
    <row r="69" spans="2:49" ht="15" customHeight="1">
      <c r="B69" s="581" t="s">
        <v>632</v>
      </c>
      <c r="C69" s="1342"/>
      <c r="D69" s="1340"/>
      <c r="E69" s="1340"/>
      <c r="F69" s="1340"/>
      <c r="G69" s="1340"/>
      <c r="H69" s="1274" t="str">
        <f t="shared" si="15"/>
        <v>-</v>
      </c>
      <c r="I69" s="1274"/>
      <c r="J69" s="589">
        <f>ENERGÍA!L73</f>
        <v>0</v>
      </c>
      <c r="K69" s="589">
        <f>ENERGÍA!M73</f>
        <v>0</v>
      </c>
      <c r="L69" s="589"/>
      <c r="O69" s="176">
        <f>IF(J69=0,0,VLOOKUP(K69,adyacentem,2,FALSE))</f>
        <v>0</v>
      </c>
      <c r="P69" s="590">
        <f t="shared" si="18"/>
        <v>0.6</v>
      </c>
      <c r="Q69" s="176">
        <f t="shared" si="19"/>
        <v>1</v>
      </c>
      <c r="R69" s="590">
        <f>Q69*J69</f>
        <v>0</v>
      </c>
      <c r="S69" s="590">
        <f t="shared" si="16"/>
        <v>0</v>
      </c>
      <c r="T69" s="590">
        <f>Q69</f>
        <v>1</v>
      </c>
      <c r="U69" s="590">
        <f>T69*J69</f>
        <v>0</v>
      </c>
      <c r="V69" s="590">
        <f t="shared" si="17"/>
        <v>0</v>
      </c>
      <c r="W69" s="590">
        <f>IF(K69=BASE!$DA$7,J69,0)</f>
        <v>0</v>
      </c>
      <c r="X69" s="580">
        <f t="shared" si="8"/>
        <v>0</v>
      </c>
      <c r="Y69" s="148" t="s">
        <v>589</v>
      </c>
      <c r="Z69" s="148" t="s">
        <v>1011</v>
      </c>
      <c r="AA69" s="148" t="s">
        <v>897</v>
      </c>
      <c r="AB69" s="1273" t="s">
        <v>1017</v>
      </c>
      <c r="AC69" s="1273"/>
      <c r="AD69" s="148" t="s">
        <v>898</v>
      </c>
      <c r="AE69" s="226" t="s">
        <v>1023</v>
      </c>
      <c r="AG69" s="598" t="s">
        <v>1030</v>
      </c>
      <c r="AH69" s="176">
        <f>622*AH68/('Modelo de Radiación Solar'!$BM$11-0.37804*AH68)</f>
        <v>0</v>
      </c>
      <c r="AI69" s="176">
        <f>622*AI68/('Modelo de Radiación Solar'!$BM$11-0.37804*AI68)</f>
        <v>0</v>
      </c>
      <c r="AJ69" s="176">
        <f>622*AJ68/('Modelo de Radiación Solar'!$BM$11-0.37804*AJ68)</f>
        <v>0</v>
      </c>
      <c r="AK69" s="176">
        <f>622*AK68/('Modelo de Radiación Solar'!$BM$11-0.37804*AK68)</f>
        <v>0</v>
      </c>
      <c r="AL69" s="176">
        <f>622*AL68/('Modelo de Radiación Solar'!$BM$11-0.37804*AL68)</f>
        <v>0</v>
      </c>
      <c r="AM69" s="176">
        <f>622*AM68/('Modelo de Radiación Solar'!$BM$11-0.37804*AM68)</f>
        <v>0</v>
      </c>
      <c r="AN69" s="176">
        <f>622*AN68/('Modelo de Radiación Solar'!$BM$11-0.37804*AN68)</f>
        <v>0</v>
      </c>
      <c r="AO69" s="176">
        <f>622*AO68/('Modelo de Radiación Solar'!$BM$11-0.37804*AO68)</f>
        <v>0</v>
      </c>
      <c r="AP69" s="176">
        <f>622*AP68/('Modelo de Radiación Solar'!$BM$11-0.37804*AP68)</f>
        <v>0</v>
      </c>
      <c r="AQ69" s="176">
        <f>622*AQ68/('Modelo de Radiación Solar'!$BM$11-0.37804*AQ68)</f>
        <v>0</v>
      </c>
      <c r="AR69" s="176">
        <f>622*AR68/('Modelo de Radiación Solar'!$BM$11-0.37804*AR68)</f>
        <v>0</v>
      </c>
      <c r="AS69" s="176">
        <f>622*AS68/('Modelo de Radiación Solar'!$BM$11-0.37804*AS68)</f>
        <v>0</v>
      </c>
      <c r="AV69" s="582" t="s">
        <v>1013</v>
      </c>
      <c r="AW69" s="148">
        <f>ENERGÍA!AY73</f>
        <v>0</v>
      </c>
    </row>
    <row r="70" spans="2:49" ht="15" customHeight="1">
      <c r="B70" s="581" t="s">
        <v>631</v>
      </c>
      <c r="C70" s="1342"/>
      <c r="D70" s="1340"/>
      <c r="E70" s="1340"/>
      <c r="F70" s="1340"/>
      <c r="G70" s="1340"/>
      <c r="H70" s="1274" t="str">
        <f t="shared" si="15"/>
        <v>-</v>
      </c>
      <c r="I70" s="1274"/>
      <c r="J70" s="589">
        <f>ENERGÍA!L74</f>
        <v>0</v>
      </c>
      <c r="K70" s="589">
        <f>ENERGÍA!M74</f>
        <v>0</v>
      </c>
      <c r="L70" s="589"/>
      <c r="M70" s="126" t="s">
        <v>1786</v>
      </c>
      <c r="O70" s="176">
        <f>IF(J70=0,0,VLOOKUP(K70,adyacentem,2,FALSE))</f>
        <v>0</v>
      </c>
      <c r="P70" s="590">
        <f t="shared" si="18"/>
        <v>0.6</v>
      </c>
      <c r="Q70" s="176">
        <f t="shared" si="19"/>
        <v>1</v>
      </c>
      <c r="R70" s="590">
        <f>Q70*J70</f>
        <v>0</v>
      </c>
      <c r="S70" s="590">
        <f t="shared" si="16"/>
        <v>0</v>
      </c>
      <c r="T70" s="590">
        <f>Q70</f>
        <v>1</v>
      </c>
      <c r="U70" s="590">
        <f>T70*J70</f>
        <v>0</v>
      </c>
      <c r="V70" s="590">
        <f t="shared" si="17"/>
        <v>0</v>
      </c>
      <c r="W70" s="590">
        <f>IF(K70=BASE!$DA$7,J70,0)</f>
        <v>0</v>
      </c>
      <c r="X70" s="580">
        <f t="shared" si="8"/>
        <v>0</v>
      </c>
      <c r="Y70" s="148">
        <f>C35</f>
        <v>0</v>
      </c>
      <c r="Z70" s="176" t="e">
        <f>O35</f>
        <v>#N/A</v>
      </c>
      <c r="AA70" s="176" t="e">
        <f>'Modelo de Radiación Solar'!O148*'LINEAS BASE 4'!$AW$67</f>
        <v>#N/A</v>
      </c>
      <c r="AB70" s="1274" t="e">
        <f>1-AE103-O27</f>
        <v>#N/A</v>
      </c>
      <c r="AC70" s="1274"/>
      <c r="AD70" s="176" t="e">
        <f>Z70*AA70</f>
        <v>#N/A</v>
      </c>
      <c r="AE70" s="1282" t="e">
        <f>AD70+AD72+AD74+AD76</f>
        <v>#N/A</v>
      </c>
      <c r="AG70" s="598" t="s">
        <v>1031</v>
      </c>
      <c r="AH70" s="176">
        <f>AH69-'LINEAS BASE 4'!$AW$79</f>
        <v>-9.2098978806022647</v>
      </c>
      <c r="AI70" s="176">
        <f>AI69-'LINEAS BASE 4'!$AW$79</f>
        <v>-9.2098978806022647</v>
      </c>
      <c r="AJ70" s="176">
        <f>AJ69-'LINEAS BASE 4'!$AW$79</f>
        <v>-9.2098978806022647</v>
      </c>
      <c r="AK70" s="176">
        <f>AK69-'LINEAS BASE 4'!$AW$79</f>
        <v>-9.2098978806022647</v>
      </c>
      <c r="AL70" s="176">
        <f>AL69-'LINEAS BASE 4'!$AW$79</f>
        <v>-9.2098978806022647</v>
      </c>
      <c r="AM70" s="176">
        <f>AM69-'LINEAS BASE 4'!$AW$79</f>
        <v>-9.2098978806022647</v>
      </c>
      <c r="AN70" s="176">
        <f>AN69-'LINEAS BASE 4'!$AW$79</f>
        <v>-9.2098978806022647</v>
      </c>
      <c r="AO70" s="176">
        <f>AO69-'LINEAS BASE 4'!$AW$79</f>
        <v>-9.2098978806022647</v>
      </c>
      <c r="AP70" s="176">
        <f>AP69-'LINEAS BASE 4'!$AW$79</f>
        <v>-9.2098978806022647</v>
      </c>
      <c r="AQ70" s="176">
        <f>AQ69-'LINEAS BASE 4'!$AW$79</f>
        <v>-9.2098978806022647</v>
      </c>
      <c r="AR70" s="176">
        <f>AR69-'LINEAS BASE 4'!$AW$79</f>
        <v>-9.2098978806022647</v>
      </c>
      <c r="AS70" s="176">
        <f>AS69-'LINEAS BASE 4'!$AW$79</f>
        <v>-9.2098978806022647</v>
      </c>
      <c r="AV70" s="582" t="s">
        <v>1014</v>
      </c>
      <c r="AW70" s="148">
        <f>ENERGÍA!AY74</f>
        <v>0</v>
      </c>
    </row>
    <row r="71" spans="2:49" ht="6" customHeight="1">
      <c r="L71" s="126"/>
      <c r="O71" s="580"/>
      <c r="P71" s="581"/>
      <c r="Q71" s="597"/>
      <c r="R71" s="597"/>
      <c r="S71" s="597"/>
      <c r="V71" s="126"/>
      <c r="X71" s="580">
        <f t="shared" si="8"/>
        <v>0</v>
      </c>
      <c r="AB71" s="597"/>
      <c r="AC71" s="597"/>
      <c r="AE71" s="1282"/>
      <c r="AG71" s="597"/>
      <c r="AH71" s="597"/>
      <c r="AI71" s="597"/>
      <c r="AJ71" s="597"/>
      <c r="AK71" s="597"/>
      <c r="AL71" s="597"/>
      <c r="AM71" s="597"/>
      <c r="AN71" s="597"/>
      <c r="AO71" s="597"/>
      <c r="AP71" s="597"/>
      <c r="AQ71" s="597"/>
      <c r="AR71" s="597"/>
      <c r="AS71" s="597"/>
    </row>
    <row r="72" spans="2:49" ht="15" customHeight="1">
      <c r="B72" s="1323">
        <f>C37</f>
        <v>0</v>
      </c>
      <c r="C72" s="1323"/>
      <c r="D72" s="1323"/>
      <c r="E72" s="1323"/>
      <c r="F72" s="1323"/>
      <c r="G72" s="1323"/>
      <c r="H72" s="1323"/>
      <c r="I72" s="1323"/>
      <c r="J72" s="1323"/>
      <c r="K72" s="1323"/>
      <c r="L72" s="1323"/>
      <c r="O72" s="1320">
        <f>B72</f>
        <v>0</v>
      </c>
      <c r="P72" s="1321"/>
      <c r="Q72" s="1321"/>
      <c r="R72" s="1321"/>
      <c r="S72" s="1321"/>
      <c r="T72" s="1321"/>
      <c r="U72" s="1321"/>
      <c r="V72" s="1321"/>
      <c r="W72" s="1322"/>
      <c r="X72" s="580">
        <f t="shared" si="8"/>
        <v>0</v>
      </c>
      <c r="Y72" s="148">
        <f>C36</f>
        <v>0</v>
      </c>
      <c r="Z72" s="176" t="e">
        <f>O36</f>
        <v>#N/A</v>
      </c>
      <c r="AA72" s="176" t="e">
        <f>'Modelo de Radiación Solar'!AD148*'LINEAS BASE 4'!$AW$67</f>
        <v>#N/A</v>
      </c>
      <c r="AB72" s="1274" t="e">
        <f>1-AE121-O27</f>
        <v>#N/A</v>
      </c>
      <c r="AC72" s="1274"/>
      <c r="AD72" s="176" t="e">
        <f>Z72*AA72*AB72</f>
        <v>#N/A</v>
      </c>
      <c r="AE72" s="1282"/>
      <c r="AG72" s="598" t="s">
        <v>1121</v>
      </c>
      <c r="AH72" s="176">
        <v>31</v>
      </c>
      <c r="AI72" s="176">
        <v>28</v>
      </c>
      <c r="AJ72" s="176">
        <v>31</v>
      </c>
      <c r="AK72" s="176">
        <v>30</v>
      </c>
      <c r="AL72" s="176">
        <v>31</v>
      </c>
      <c r="AM72" s="176">
        <v>30</v>
      </c>
      <c r="AN72" s="176">
        <v>31</v>
      </c>
      <c r="AO72" s="176">
        <v>31</v>
      </c>
      <c r="AP72" s="176">
        <v>30</v>
      </c>
      <c r="AQ72" s="176">
        <v>31</v>
      </c>
      <c r="AR72" s="176">
        <v>30</v>
      </c>
      <c r="AS72" s="176">
        <v>31</v>
      </c>
      <c r="AV72" s="582" t="s">
        <v>1015</v>
      </c>
      <c r="AW72" s="176">
        <f>AW60</f>
        <v>24</v>
      </c>
    </row>
    <row r="73" spans="2:49" ht="6" customHeight="1">
      <c r="B73" s="584"/>
      <c r="C73" s="584"/>
      <c r="D73" s="584"/>
      <c r="E73" s="126"/>
      <c r="K73" s="126"/>
      <c r="L73" s="126"/>
      <c r="O73" s="580"/>
      <c r="P73" s="581"/>
      <c r="Q73" s="126"/>
      <c r="R73" s="126"/>
      <c r="V73" s="126"/>
      <c r="X73" s="580">
        <f t="shared" si="8"/>
        <v>0</v>
      </c>
      <c r="Y73" s="584"/>
      <c r="Z73" s="584"/>
      <c r="AB73" s="597"/>
      <c r="AC73" s="597"/>
      <c r="AE73" s="1282"/>
      <c r="AG73" s="597"/>
      <c r="AH73" s="597"/>
      <c r="AI73" s="597"/>
      <c r="AJ73" s="597"/>
      <c r="AK73" s="597"/>
      <c r="AL73" s="597"/>
      <c r="AM73" s="597"/>
      <c r="AN73" s="597"/>
      <c r="AO73" s="597"/>
      <c r="AP73" s="597"/>
      <c r="AQ73" s="597"/>
      <c r="AR73" s="597"/>
      <c r="AS73" s="597"/>
      <c r="AT73" s="173"/>
      <c r="AU73" s="173"/>
    </row>
    <row r="74" spans="2:49" ht="15" customHeight="1">
      <c r="B74" s="1360"/>
      <c r="C74" s="1363" t="s">
        <v>222</v>
      </c>
      <c r="D74" s="1364"/>
      <c r="E74" s="1364"/>
      <c r="F74" s="1364"/>
      <c r="G74" s="1365"/>
      <c r="H74" s="1357" t="s">
        <v>1788</v>
      </c>
      <c r="I74" s="1358"/>
      <c r="J74" s="1360" t="s">
        <v>594</v>
      </c>
      <c r="K74" s="1360" t="s">
        <v>1356</v>
      </c>
      <c r="L74" s="1275" t="s">
        <v>644</v>
      </c>
      <c r="O74" s="1360" t="s">
        <v>1354</v>
      </c>
      <c r="P74" s="1360" t="s">
        <v>729</v>
      </c>
      <c r="Q74" s="1360" t="s">
        <v>849</v>
      </c>
      <c r="R74" s="1360" t="s">
        <v>850</v>
      </c>
      <c r="S74" s="1360" t="s">
        <v>1357</v>
      </c>
      <c r="T74" s="1360" t="s">
        <v>851</v>
      </c>
      <c r="U74" s="1360" t="s">
        <v>891</v>
      </c>
      <c r="V74" s="1360" t="s">
        <v>1359</v>
      </c>
      <c r="W74" s="1360" t="s">
        <v>1358</v>
      </c>
      <c r="X74" s="580">
        <f t="shared" si="8"/>
        <v>1</v>
      </c>
      <c r="Y74" s="148">
        <f>C37</f>
        <v>0</v>
      </c>
      <c r="Z74" s="176" t="e">
        <f>O37</f>
        <v>#N/A</v>
      </c>
      <c r="AA74" s="176" t="e">
        <f>'Modelo de Radiación Solar'!AS148*'LINEAS BASE 4'!$AW$67</f>
        <v>#N/A</v>
      </c>
      <c r="AB74" s="1274" t="e">
        <f>1-AE139-O27</f>
        <v>#N/A</v>
      </c>
      <c r="AC74" s="1274"/>
      <c r="AD74" s="176" t="e">
        <f>Z74*AA74*AB74</f>
        <v>#N/A</v>
      </c>
      <c r="AE74" s="1282"/>
      <c r="AG74" s="1274" t="s">
        <v>1485</v>
      </c>
      <c r="AH74" s="1274"/>
      <c r="AI74" s="1274"/>
      <c r="AJ74" s="1274"/>
      <c r="AK74" s="1274"/>
      <c r="AL74" s="1274"/>
      <c r="AM74" s="1274"/>
      <c r="AN74" s="1274"/>
      <c r="AO74" s="1274"/>
      <c r="AP74" s="1274"/>
      <c r="AQ74" s="1274"/>
      <c r="AR74" s="1274"/>
      <c r="AS74" s="1274"/>
      <c r="AV74" s="582" t="s">
        <v>1016</v>
      </c>
      <c r="AW74" s="176">
        <f>AW70-AW72</f>
        <v>-24</v>
      </c>
    </row>
    <row r="75" spans="2:49" ht="15" customHeight="1">
      <c r="B75" s="1361"/>
      <c r="C75" s="1366"/>
      <c r="D75" s="1367"/>
      <c r="E75" s="1367"/>
      <c r="F75" s="1367"/>
      <c r="G75" s="1368"/>
      <c r="H75" s="1357" t="s">
        <v>731</v>
      </c>
      <c r="I75" s="1358"/>
      <c r="J75" s="1361"/>
      <c r="K75" s="1361"/>
      <c r="L75" s="1277"/>
      <c r="O75" s="1361"/>
      <c r="P75" s="1361"/>
      <c r="Q75" s="1361"/>
      <c r="R75" s="1361"/>
      <c r="S75" s="1361"/>
      <c r="T75" s="1361"/>
      <c r="U75" s="1361"/>
      <c r="V75" s="1361"/>
      <c r="W75" s="1361"/>
      <c r="X75" s="580">
        <f t="shared" si="8"/>
        <v>0</v>
      </c>
      <c r="Y75" s="148"/>
      <c r="Z75" s="176"/>
      <c r="AA75" s="176"/>
      <c r="AB75" s="176"/>
      <c r="AC75" s="176"/>
      <c r="AD75" s="176"/>
      <c r="AE75" s="1282"/>
      <c r="AG75" s="176"/>
      <c r="AH75" s="176"/>
      <c r="AI75" s="176"/>
      <c r="AJ75" s="176"/>
      <c r="AK75" s="176"/>
      <c r="AL75" s="176"/>
      <c r="AM75" s="176"/>
      <c r="AN75" s="176"/>
      <c r="AO75" s="176"/>
      <c r="AP75" s="176"/>
      <c r="AQ75" s="176"/>
      <c r="AR75" s="176"/>
      <c r="AS75" s="176"/>
    </row>
    <row r="76" spans="2:49" ht="15" customHeight="1">
      <c r="B76" s="581" t="s">
        <v>223</v>
      </c>
      <c r="C76" s="1359"/>
      <c r="D76" s="1359"/>
      <c r="E76" s="1359"/>
      <c r="F76" s="1359"/>
      <c r="G76" s="1359"/>
      <c r="H76" s="1274" t="str">
        <f>IF(J76=0,"-","Nivel B")</f>
        <v>-</v>
      </c>
      <c r="I76" s="1274"/>
      <c r="J76" s="589">
        <f>ENERGÍA!L80</f>
        <v>0</v>
      </c>
      <c r="K76" s="589">
        <f>ENERGÍA!M80</f>
        <v>0</v>
      </c>
      <c r="L76" s="589"/>
      <c r="O76" s="176">
        <f>IF(J76=0,0,VLOOKUP(K76,adyacentem,2,FALSE))</f>
        <v>0</v>
      </c>
      <c r="P76" s="590">
        <f>P70</f>
        <v>0.6</v>
      </c>
      <c r="Q76" s="176">
        <f>'Materiales Personalizados'!$AV$38</f>
        <v>1</v>
      </c>
      <c r="R76" s="590">
        <f>Q76*J76</f>
        <v>0</v>
      </c>
      <c r="S76" s="590">
        <f>IF(J76=0,0,(O76*R76))</f>
        <v>0</v>
      </c>
      <c r="T76" s="590">
        <f>Q76</f>
        <v>1</v>
      </c>
      <c r="U76" s="590">
        <f>T76*J76</f>
        <v>0</v>
      </c>
      <c r="V76" s="590">
        <f>IF(J76=0,0,(O76*U76))</f>
        <v>0</v>
      </c>
      <c r="W76" s="590">
        <f>IF(K76=BASE!$DA$7,J76,0)</f>
        <v>0</v>
      </c>
      <c r="X76" s="580">
        <f t="shared" si="8"/>
        <v>0</v>
      </c>
      <c r="Y76" s="148">
        <f>C38</f>
        <v>0</v>
      </c>
      <c r="Z76" s="176" t="e">
        <f>O38</f>
        <v>#N/A</v>
      </c>
      <c r="AA76" s="176" t="e">
        <f>'Modelo de Radiación Solar'!BH148*'LINEAS BASE 4'!$AW$67</f>
        <v>#N/A</v>
      </c>
      <c r="AB76" s="1274" t="e">
        <f>1-AE157-O27</f>
        <v>#N/A</v>
      </c>
      <c r="AC76" s="1274"/>
      <c r="AD76" s="176" t="e">
        <f>Z76*AA76*AB76</f>
        <v>#N/A</v>
      </c>
      <c r="AE76" s="1282"/>
      <c r="AG76" s="598">
        <f>'LINEAS BASE 4'!C35</f>
        <v>0</v>
      </c>
      <c r="AH76" s="176" t="e">
        <f>'Modelo de Radiación Solar'!D160*'LINEAS BASE 4'!$Z$70*'LINEAS BASE 4'!$AB$70</f>
        <v>#N/A</v>
      </c>
      <c r="AI76" s="176" t="e">
        <f>'Modelo de Radiación Solar'!E160*'LINEAS BASE 4'!$Z$70*'LINEAS BASE 4'!$AB$70</f>
        <v>#N/A</v>
      </c>
      <c r="AJ76" s="176" t="e">
        <f>'Modelo de Radiación Solar'!F160*'LINEAS BASE 4'!$Z$70*'LINEAS BASE 4'!$AB$70</f>
        <v>#N/A</v>
      </c>
      <c r="AK76" s="176" t="e">
        <f>'Modelo de Radiación Solar'!G160*'LINEAS BASE 4'!$Z$70*'LINEAS BASE 4'!$AB$70</f>
        <v>#N/A</v>
      </c>
      <c r="AL76" s="176" t="e">
        <f>'Modelo de Radiación Solar'!H160*'LINEAS BASE 4'!$Z$70*'LINEAS BASE 4'!$AB$70</f>
        <v>#N/A</v>
      </c>
      <c r="AM76" s="176" t="e">
        <f>'Modelo de Radiación Solar'!I160*'LINEAS BASE 4'!$Z$70*'LINEAS BASE 4'!$AB$70</f>
        <v>#N/A</v>
      </c>
      <c r="AN76" s="176" t="e">
        <f>'Modelo de Radiación Solar'!J160*'LINEAS BASE 4'!$Z$70*'LINEAS BASE 4'!$AB$70</f>
        <v>#N/A</v>
      </c>
      <c r="AO76" s="176" t="e">
        <f>'Modelo de Radiación Solar'!K160*'LINEAS BASE 4'!$Z$70*'LINEAS BASE 4'!$AB$70</f>
        <v>#N/A</v>
      </c>
      <c r="AP76" s="176" t="e">
        <f>'Modelo de Radiación Solar'!L160*'LINEAS BASE 4'!$Z$70*'LINEAS BASE 4'!$AB$70</f>
        <v>#N/A</v>
      </c>
      <c r="AQ76" s="176" t="e">
        <f>'Modelo de Radiación Solar'!M160*'LINEAS BASE 4'!$Z$70*'LINEAS BASE 4'!$AB$70</f>
        <v>#N/A</v>
      </c>
      <c r="AR76" s="176" t="e">
        <f>'Modelo de Radiación Solar'!N160*'LINEAS BASE 4'!$Z$70*'LINEAS BASE 4'!$AB$70</f>
        <v>#N/A</v>
      </c>
      <c r="AS76" s="176" t="e">
        <f>'Modelo de Radiación Solar'!O160*'LINEAS BASE 4'!$Z$70*'LINEAS BASE 4'!$AB$70</f>
        <v>#N/A</v>
      </c>
    </row>
    <row r="77" spans="2:49" ht="15" customHeight="1">
      <c r="B77" s="581" t="s">
        <v>224</v>
      </c>
      <c r="C77" s="1359"/>
      <c r="D77" s="1359"/>
      <c r="E77" s="1359"/>
      <c r="F77" s="1359"/>
      <c r="G77" s="1359"/>
      <c r="H77" s="1274" t="str">
        <f t="shared" ref="H77:H80" si="21">IF(J77=0,"-","Nivel B")</f>
        <v>-</v>
      </c>
      <c r="I77" s="1274"/>
      <c r="J77" s="589">
        <f>ENERGÍA!L81</f>
        <v>0</v>
      </c>
      <c r="K77" s="589">
        <f>ENERGÍA!M81</f>
        <v>0</v>
      </c>
      <c r="L77" s="589"/>
      <c r="O77" s="176">
        <f>IF(J77=0,0,VLOOKUP(K77,adyacentem,2,FALSE))</f>
        <v>0</v>
      </c>
      <c r="P77" s="590">
        <f>P76</f>
        <v>0.6</v>
      </c>
      <c r="Q77" s="176">
        <f>Q76</f>
        <v>1</v>
      </c>
      <c r="R77" s="590">
        <f>Q77*J77</f>
        <v>0</v>
      </c>
      <c r="S77" s="590">
        <f t="shared" ref="S77:S80" si="22">IF(J77=0,0,(O77*R77))</f>
        <v>0</v>
      </c>
      <c r="T77" s="590">
        <f>Q77</f>
        <v>1</v>
      </c>
      <c r="U77" s="590">
        <f>T77*J77</f>
        <v>0</v>
      </c>
      <c r="V77" s="590">
        <f t="shared" ref="V77:V80" si="23">IF(J77=0,0,(O77*U77))</f>
        <v>0</v>
      </c>
      <c r="W77" s="590">
        <f>IF(K77=BASE!$DA$7,J77,0)</f>
        <v>0</v>
      </c>
      <c r="X77" s="580">
        <f t="shared" si="8"/>
        <v>0</v>
      </c>
      <c r="AG77" s="598">
        <f>'LINEAS BASE 4'!C36</f>
        <v>0</v>
      </c>
      <c r="AH77" s="176" t="e">
        <f>'Modelo de Radiación Solar'!S160*'LINEAS BASE 4'!$Z$72*'LINEAS BASE 4'!$AB$72</f>
        <v>#N/A</v>
      </c>
      <c r="AI77" s="176" t="e">
        <f>'Modelo de Radiación Solar'!T160*'LINEAS BASE 4'!$Z$72*'LINEAS BASE 4'!$AB$72</f>
        <v>#N/A</v>
      </c>
      <c r="AJ77" s="176" t="e">
        <f>'Modelo de Radiación Solar'!U160*'LINEAS BASE 4'!$Z$72*'LINEAS BASE 4'!$AB$72</f>
        <v>#N/A</v>
      </c>
      <c r="AK77" s="176" t="e">
        <f>'Modelo de Radiación Solar'!V160*'LINEAS BASE 4'!$Z$72*'LINEAS BASE 4'!$AB$72</f>
        <v>#N/A</v>
      </c>
      <c r="AL77" s="176" t="e">
        <f>'Modelo de Radiación Solar'!W160*'LINEAS BASE 4'!$Z$72*'LINEAS BASE 4'!$AB$72</f>
        <v>#N/A</v>
      </c>
      <c r="AM77" s="176" t="e">
        <f>'Modelo de Radiación Solar'!X160*'LINEAS BASE 4'!$Z$72*'LINEAS BASE 4'!$AB$72</f>
        <v>#N/A</v>
      </c>
      <c r="AN77" s="176" t="e">
        <f>'Modelo de Radiación Solar'!Y160*'LINEAS BASE 4'!$Z$72*'LINEAS BASE 4'!$AB$72</f>
        <v>#N/A</v>
      </c>
      <c r="AO77" s="176" t="e">
        <f>'Modelo de Radiación Solar'!Z160*'LINEAS BASE 4'!$Z$72*'LINEAS BASE 4'!$AB$72</f>
        <v>#N/A</v>
      </c>
      <c r="AP77" s="176" t="e">
        <f>'Modelo de Radiación Solar'!AA160*'LINEAS BASE 4'!$Z$72*'LINEAS BASE 4'!$AB$72</f>
        <v>#N/A</v>
      </c>
      <c r="AQ77" s="176" t="e">
        <f>'Modelo de Radiación Solar'!AB160*'LINEAS BASE 4'!$Z$72*'LINEAS BASE 4'!$AB$72</f>
        <v>#N/A</v>
      </c>
      <c r="AR77" s="176" t="e">
        <f>'Modelo de Radiación Solar'!AC160*'LINEAS BASE 4'!$Z$72*'LINEAS BASE 4'!$AB$72</f>
        <v>#N/A</v>
      </c>
      <c r="AS77" s="176" t="e">
        <f>'Modelo de Radiación Solar'!AD160*'LINEAS BASE 4'!$Z$72*'LINEAS BASE 4'!$AB$72</f>
        <v>#N/A</v>
      </c>
      <c r="AV77" s="582" t="s">
        <v>1019</v>
      </c>
      <c r="AW77" s="148">
        <f>ENERGÍA!AY81</f>
        <v>0</v>
      </c>
    </row>
    <row r="78" spans="2:49" ht="15" customHeight="1">
      <c r="B78" s="581" t="s">
        <v>1516</v>
      </c>
      <c r="C78" s="1342"/>
      <c r="D78" s="1340"/>
      <c r="E78" s="1340"/>
      <c r="F78" s="1340"/>
      <c r="G78" s="1340"/>
      <c r="H78" s="1274" t="str">
        <f t="shared" si="21"/>
        <v>-</v>
      </c>
      <c r="I78" s="1274"/>
      <c r="J78" s="589">
        <f>ENERGÍA!L82</f>
        <v>0</v>
      </c>
      <c r="K78" s="589">
        <f>ENERGÍA!M82</f>
        <v>0</v>
      </c>
      <c r="L78" s="589"/>
      <c r="O78" s="176">
        <f>IF(J78=0,0,VLOOKUP(K78,adyacentem,2,FALSE))</f>
        <v>0</v>
      </c>
      <c r="P78" s="590">
        <f t="shared" ref="P78:P80" si="24">P77</f>
        <v>0.6</v>
      </c>
      <c r="Q78" s="176">
        <f t="shared" ref="Q78:Q80" si="25">Q77</f>
        <v>1</v>
      </c>
      <c r="R78" s="590">
        <f>Q78*J78</f>
        <v>0</v>
      </c>
      <c r="S78" s="590">
        <f t="shared" si="22"/>
        <v>0</v>
      </c>
      <c r="T78" s="590">
        <f>Q78</f>
        <v>1</v>
      </c>
      <c r="U78" s="590">
        <f>T78*J78</f>
        <v>0</v>
      </c>
      <c r="V78" s="590">
        <f t="shared" si="23"/>
        <v>0</v>
      </c>
      <c r="W78" s="590">
        <f>IF(K78=BASE!$DA$7,J78,0)</f>
        <v>0</v>
      </c>
      <c r="X78" s="580">
        <f t="shared" si="8"/>
        <v>0</v>
      </c>
      <c r="Y78" s="1350" t="s">
        <v>1001</v>
      </c>
      <c r="Z78" s="1350"/>
      <c r="AA78" s="1350"/>
      <c r="AB78" s="1350"/>
      <c r="AC78" s="1350"/>
      <c r="AD78" s="588" t="s">
        <v>999</v>
      </c>
      <c r="AE78" s="175">
        <f>AE92+AE82+Z60</f>
        <v>118</v>
      </c>
      <c r="AG78" s="598">
        <f>'LINEAS BASE 4'!C37</f>
        <v>0</v>
      </c>
      <c r="AH78" s="176" t="e">
        <f>'Modelo de Radiación Solar'!AH160*'LINEAS BASE 4'!$Z$74*'LINEAS BASE 4'!$AB$74</f>
        <v>#N/A</v>
      </c>
      <c r="AI78" s="176" t="e">
        <f>'Modelo de Radiación Solar'!AI160*'LINEAS BASE 4'!$Z$74*'LINEAS BASE 4'!$AB$74</f>
        <v>#N/A</v>
      </c>
      <c r="AJ78" s="176" t="e">
        <f>'Modelo de Radiación Solar'!AJ160*'LINEAS BASE 4'!$Z$74*'LINEAS BASE 4'!$AB$74</f>
        <v>#N/A</v>
      </c>
      <c r="AK78" s="176" t="e">
        <f>'Modelo de Radiación Solar'!AK160*'LINEAS BASE 4'!$Z$74*'LINEAS BASE 4'!$AB$74</f>
        <v>#N/A</v>
      </c>
      <c r="AL78" s="176" t="e">
        <f>'Modelo de Radiación Solar'!AL160*'LINEAS BASE 4'!$Z$74*'LINEAS BASE 4'!$AB$74</f>
        <v>#N/A</v>
      </c>
      <c r="AM78" s="176" t="e">
        <f>'Modelo de Radiación Solar'!AM160*'LINEAS BASE 4'!$Z$74*'LINEAS BASE 4'!$AB$74</f>
        <v>#N/A</v>
      </c>
      <c r="AN78" s="176" t="e">
        <f>'Modelo de Radiación Solar'!AN160*'LINEAS BASE 4'!$Z$74*'LINEAS BASE 4'!$AB$74</f>
        <v>#N/A</v>
      </c>
      <c r="AO78" s="176" t="e">
        <f>'Modelo de Radiación Solar'!AO160*'LINEAS BASE 4'!$Z$74*'LINEAS BASE 4'!$AB$74</f>
        <v>#N/A</v>
      </c>
      <c r="AP78" s="176" t="e">
        <f>'Modelo de Radiación Solar'!AP160*'LINEAS BASE 4'!$Z$74*'LINEAS BASE 4'!$AB$74</f>
        <v>#N/A</v>
      </c>
      <c r="AQ78" s="176" t="e">
        <f>'Modelo de Radiación Solar'!AQ160*'LINEAS BASE 4'!$Z$74*'LINEAS BASE 4'!$AB$74</f>
        <v>#N/A</v>
      </c>
      <c r="AR78" s="176" t="e">
        <f>'Modelo de Radiación Solar'!AR160*'LINEAS BASE 4'!$Z$74*'LINEAS BASE 4'!$AB$74</f>
        <v>#N/A</v>
      </c>
      <c r="AS78" s="176" t="e">
        <f>'Modelo de Radiación Solar'!AS160*'LINEAS BASE 4'!$Z$74*'LINEAS BASE 4'!$AB$74</f>
        <v>#N/A</v>
      </c>
      <c r="AV78" s="582" t="s">
        <v>1021</v>
      </c>
      <c r="AW78" s="176">
        <f>'Modelo de Radiación Solar'!BU16</f>
        <v>0</v>
      </c>
    </row>
    <row r="79" spans="2:49" ht="15" customHeight="1">
      <c r="B79" s="581" t="s">
        <v>632</v>
      </c>
      <c r="C79" s="1342"/>
      <c r="D79" s="1340"/>
      <c r="E79" s="1340"/>
      <c r="F79" s="1340"/>
      <c r="G79" s="1340"/>
      <c r="H79" s="1274" t="str">
        <f t="shared" si="21"/>
        <v>-</v>
      </c>
      <c r="I79" s="1274"/>
      <c r="J79" s="589">
        <f>ENERGÍA!L83</f>
        <v>0</v>
      </c>
      <c r="K79" s="589">
        <f>ENERGÍA!M83</f>
        <v>0</v>
      </c>
      <c r="L79" s="589"/>
      <c r="O79" s="176">
        <f>IF(J79=0,0,VLOOKUP(K79,adyacentem,2,FALSE))</f>
        <v>0</v>
      </c>
      <c r="P79" s="590">
        <f t="shared" si="24"/>
        <v>0.6</v>
      </c>
      <c r="Q79" s="176">
        <f t="shared" si="25"/>
        <v>1</v>
      </c>
      <c r="R79" s="590">
        <f>Q79*J79</f>
        <v>0</v>
      </c>
      <c r="S79" s="590">
        <f t="shared" si="22"/>
        <v>0</v>
      </c>
      <c r="T79" s="590">
        <f>Q79</f>
        <v>1</v>
      </c>
      <c r="U79" s="590">
        <f>T79*J79</f>
        <v>0</v>
      </c>
      <c r="V79" s="590">
        <f t="shared" si="23"/>
        <v>0</v>
      </c>
      <c r="W79" s="590">
        <f>IF(K79=BASE!$DA$7,J79,0)</f>
        <v>0</v>
      </c>
      <c r="X79" s="580">
        <f t="shared" si="8"/>
        <v>0</v>
      </c>
      <c r="Y79" s="1350" t="s">
        <v>994</v>
      </c>
      <c r="Z79" s="1350"/>
      <c r="AA79" s="1350"/>
      <c r="AB79" s="1350"/>
      <c r="AC79" s="1350"/>
      <c r="AD79" s="1350"/>
      <c r="AE79" s="1350"/>
      <c r="AG79" s="598">
        <f>'LINEAS BASE 4'!C38</f>
        <v>0</v>
      </c>
      <c r="AH79" s="176" t="e">
        <f>'Modelo de Radiación Solar'!AW160*'LINEAS BASE 4'!$Z$76*'LINEAS BASE 4'!$AB$76</f>
        <v>#N/A</v>
      </c>
      <c r="AI79" s="176" t="e">
        <f>'Modelo de Radiación Solar'!AX160*'LINEAS BASE 4'!$Z$76*'LINEAS BASE 4'!$AB$76</f>
        <v>#N/A</v>
      </c>
      <c r="AJ79" s="176" t="e">
        <f>'Modelo de Radiación Solar'!AY160*'LINEAS BASE 4'!$Z$76*'LINEAS BASE 4'!$AB$76</f>
        <v>#N/A</v>
      </c>
      <c r="AK79" s="176" t="e">
        <f>'Modelo de Radiación Solar'!AZ160*'LINEAS BASE 4'!$Z$76*'LINEAS BASE 4'!$AB$76</f>
        <v>#N/A</v>
      </c>
      <c r="AL79" s="176" t="e">
        <f>'Modelo de Radiación Solar'!BA160*'LINEAS BASE 4'!$Z$76*'LINEAS BASE 4'!$AB$76</f>
        <v>#N/A</v>
      </c>
      <c r="AM79" s="176" t="e">
        <f>'Modelo de Radiación Solar'!BB160*'LINEAS BASE 4'!$Z$76*'LINEAS BASE 4'!$AB$76</f>
        <v>#N/A</v>
      </c>
      <c r="AN79" s="176" t="e">
        <f>'Modelo de Radiación Solar'!BC160*'LINEAS BASE 4'!$Z$76*'LINEAS BASE 4'!$AB$76</f>
        <v>#N/A</v>
      </c>
      <c r="AO79" s="176" t="e">
        <f>'Modelo de Radiación Solar'!BD160*'LINEAS BASE 4'!$Z$76*'LINEAS BASE 4'!$AB$76</f>
        <v>#N/A</v>
      </c>
      <c r="AP79" s="176" t="e">
        <f>'Modelo de Radiación Solar'!BE160*'LINEAS BASE 4'!$Z$76*'LINEAS BASE 4'!$AB$76</f>
        <v>#N/A</v>
      </c>
      <c r="AQ79" s="176" t="e">
        <f>'Modelo de Radiación Solar'!BF160*'LINEAS BASE 4'!$Z$76*'LINEAS BASE 4'!$AB$76</f>
        <v>#N/A</v>
      </c>
      <c r="AR79" s="176" t="e">
        <f>'Modelo de Radiación Solar'!BG160*'LINEAS BASE 4'!$Z$76*'LINEAS BASE 4'!$AB$76</f>
        <v>#N/A</v>
      </c>
      <c r="AS79" s="176" t="e">
        <f>'Modelo de Radiación Solar'!BH160*'LINEAS BASE 4'!$Z$76*'LINEAS BASE 4'!$AB$76</f>
        <v>#N/A</v>
      </c>
      <c r="AV79" s="582" t="s">
        <v>1022</v>
      </c>
      <c r="AW79" s="176">
        <f>'Modelo de Radiación Solar'!BU13</f>
        <v>9.2098978806022647</v>
      </c>
    </row>
    <row r="80" spans="2:49" ht="15" customHeight="1">
      <c r="B80" s="581" t="s">
        <v>631</v>
      </c>
      <c r="C80" s="1342"/>
      <c r="D80" s="1340"/>
      <c r="E80" s="1340"/>
      <c r="F80" s="1340"/>
      <c r="G80" s="1340"/>
      <c r="H80" s="1274" t="str">
        <f t="shared" si="21"/>
        <v>-</v>
      </c>
      <c r="I80" s="1274"/>
      <c r="J80" s="589">
        <f>ENERGÍA!L84</f>
        <v>0</v>
      </c>
      <c r="K80" s="589">
        <f>ENERGÍA!M84</f>
        <v>0</v>
      </c>
      <c r="L80" s="589"/>
      <c r="O80" s="176">
        <f>IF(J80=0,0,VLOOKUP(K80,adyacentem,2,FALSE))</f>
        <v>0</v>
      </c>
      <c r="P80" s="590">
        <f t="shared" si="24"/>
        <v>0.6</v>
      </c>
      <c r="Q80" s="176">
        <f t="shared" si="25"/>
        <v>1</v>
      </c>
      <c r="R80" s="590">
        <f>Q80*J80</f>
        <v>0</v>
      </c>
      <c r="S80" s="590">
        <f t="shared" si="22"/>
        <v>0</v>
      </c>
      <c r="T80" s="590">
        <f>Q80</f>
        <v>1</v>
      </c>
      <c r="U80" s="590">
        <f>T80*J80</f>
        <v>0</v>
      </c>
      <c r="V80" s="590">
        <f t="shared" si="23"/>
        <v>0</v>
      </c>
      <c r="W80" s="590">
        <f>IF(K80=BASE!$DA$7,J80,0)</f>
        <v>0</v>
      </c>
      <c r="X80" s="580">
        <f t="shared" si="8"/>
        <v>0</v>
      </c>
      <c r="Y80" s="148"/>
      <c r="Z80" s="148" t="s">
        <v>995</v>
      </c>
      <c r="AA80" s="148" t="s">
        <v>996</v>
      </c>
      <c r="AB80" s="148" t="s">
        <v>997</v>
      </c>
      <c r="AC80" s="148" t="s">
        <v>998</v>
      </c>
      <c r="AD80" s="148" t="s">
        <v>898</v>
      </c>
      <c r="AE80" s="591" t="s">
        <v>1023</v>
      </c>
      <c r="AG80" s="600" t="s">
        <v>1032</v>
      </c>
      <c r="AH80" s="176" t="e">
        <f t="shared" ref="AH80:AS80" si="26">SUM(AH76:AH79)*$AW$67</f>
        <v>#N/A</v>
      </c>
      <c r="AI80" s="176" t="e">
        <f t="shared" si="26"/>
        <v>#N/A</v>
      </c>
      <c r="AJ80" s="176" t="e">
        <f t="shared" si="26"/>
        <v>#N/A</v>
      </c>
      <c r="AK80" s="176" t="e">
        <f t="shared" si="26"/>
        <v>#N/A</v>
      </c>
      <c r="AL80" s="176" t="e">
        <f t="shared" si="26"/>
        <v>#N/A</v>
      </c>
      <c r="AM80" s="176" t="e">
        <f t="shared" si="26"/>
        <v>#N/A</v>
      </c>
      <c r="AN80" s="176" t="e">
        <f t="shared" si="26"/>
        <v>#N/A</v>
      </c>
      <c r="AO80" s="176" t="e">
        <f t="shared" si="26"/>
        <v>#N/A</v>
      </c>
      <c r="AP80" s="176" t="e">
        <f t="shared" si="26"/>
        <v>#N/A</v>
      </c>
      <c r="AQ80" s="176" t="e">
        <f t="shared" si="26"/>
        <v>#N/A</v>
      </c>
      <c r="AR80" s="176" t="e">
        <f t="shared" si="26"/>
        <v>#N/A</v>
      </c>
      <c r="AS80" s="176" t="e">
        <f t="shared" si="26"/>
        <v>#N/A</v>
      </c>
      <c r="AV80" s="582" t="s">
        <v>1020</v>
      </c>
      <c r="AW80" s="176">
        <f>AW78-AW79</f>
        <v>-9.2098978806022647</v>
      </c>
    </row>
    <row r="81" spans="2:49" ht="6" customHeight="1">
      <c r="L81" s="126"/>
      <c r="O81" s="580"/>
      <c r="P81" s="581"/>
      <c r="Q81" s="597"/>
      <c r="R81" s="597"/>
      <c r="S81" s="597"/>
      <c r="V81" s="126"/>
      <c r="X81" s="580">
        <f t="shared" si="8"/>
        <v>0</v>
      </c>
      <c r="AG81" s="597"/>
      <c r="AH81" s="597"/>
      <c r="AI81" s="597"/>
      <c r="AJ81" s="597"/>
      <c r="AK81" s="597"/>
      <c r="AL81" s="597"/>
      <c r="AM81" s="597"/>
      <c r="AN81" s="597"/>
      <c r="AO81" s="597"/>
      <c r="AP81" s="597"/>
      <c r="AQ81" s="597"/>
      <c r="AR81" s="597"/>
      <c r="AS81" s="597"/>
    </row>
    <row r="82" spans="2:49" ht="15" customHeight="1">
      <c r="B82" s="1323">
        <f>C38</f>
        <v>0</v>
      </c>
      <c r="C82" s="1323"/>
      <c r="D82" s="1323"/>
      <c r="E82" s="1323"/>
      <c r="F82" s="1323"/>
      <c r="G82" s="1323"/>
      <c r="H82" s="1323"/>
      <c r="I82" s="1323"/>
      <c r="J82" s="1323"/>
      <c r="K82" s="1323"/>
      <c r="L82" s="1323"/>
      <c r="O82" s="1320">
        <f>B82</f>
        <v>0</v>
      </c>
      <c r="P82" s="1321"/>
      <c r="Q82" s="1321"/>
      <c r="R82" s="1321"/>
      <c r="S82" s="1321"/>
      <c r="T82" s="1321"/>
      <c r="U82" s="1321"/>
      <c r="V82" s="1321"/>
      <c r="W82" s="1322"/>
      <c r="X82" s="580">
        <f t="shared" si="8"/>
        <v>0</v>
      </c>
      <c r="Y82" s="148" t="s">
        <v>618</v>
      </c>
      <c r="Z82" s="148">
        <f>Z52</f>
        <v>0</v>
      </c>
      <c r="AA82" s="148">
        <f>ENERGÍA!AB86</f>
        <v>450</v>
      </c>
      <c r="AB82" s="148">
        <f>AB52</f>
        <v>25</v>
      </c>
      <c r="AC82" s="148">
        <f>AA82*AB82/100</f>
        <v>112.5</v>
      </c>
      <c r="AD82" s="148">
        <f>AC82*Z82</f>
        <v>0</v>
      </c>
      <c r="AE82" s="1282">
        <f>SUM(AD82:AD87)</f>
        <v>118</v>
      </c>
      <c r="AG82" s="1362" t="s">
        <v>1650</v>
      </c>
      <c r="AH82" s="1362"/>
      <c r="AI82" s="1362"/>
      <c r="AJ82" s="1362"/>
      <c r="AK82" s="1362"/>
      <c r="AL82" s="1362"/>
      <c r="AM82" s="1362"/>
      <c r="AN82" s="1362"/>
      <c r="AO82" s="1362"/>
      <c r="AP82" s="1362"/>
      <c r="AQ82" s="1362"/>
      <c r="AR82" s="1362"/>
      <c r="AS82" s="1362"/>
    </row>
    <row r="83" spans="2:49" ht="6" customHeight="1">
      <c r="B83" s="584"/>
      <c r="C83" s="584"/>
      <c r="D83" s="584"/>
      <c r="E83" s="126"/>
      <c r="K83" s="126"/>
      <c r="L83" s="126"/>
      <c r="O83" s="580"/>
      <c r="P83" s="581"/>
      <c r="Q83" s="126"/>
      <c r="R83" s="126"/>
      <c r="V83" s="126"/>
      <c r="X83" s="580">
        <f t="shared" si="8"/>
        <v>0</v>
      </c>
      <c r="AE83" s="1282"/>
    </row>
    <row r="84" spans="2:49" ht="15" customHeight="1">
      <c r="B84" s="1360"/>
      <c r="C84" s="1363" t="s">
        <v>222</v>
      </c>
      <c r="D84" s="1364"/>
      <c r="E84" s="1364"/>
      <c r="F84" s="1364"/>
      <c r="G84" s="1365"/>
      <c r="H84" s="1357" t="s">
        <v>1788</v>
      </c>
      <c r="I84" s="1358"/>
      <c r="J84" s="1360" t="s">
        <v>594</v>
      </c>
      <c r="K84" s="1360" t="s">
        <v>1356</v>
      </c>
      <c r="L84" s="1275" t="s">
        <v>644</v>
      </c>
      <c r="O84" s="1360" t="s">
        <v>1354</v>
      </c>
      <c r="P84" s="1360" t="s">
        <v>729</v>
      </c>
      <c r="Q84" s="1360" t="s">
        <v>849</v>
      </c>
      <c r="R84" s="1360" t="s">
        <v>850</v>
      </c>
      <c r="S84" s="1360" t="s">
        <v>1357</v>
      </c>
      <c r="T84" s="1360" t="s">
        <v>851</v>
      </c>
      <c r="U84" s="1360" t="s">
        <v>891</v>
      </c>
      <c r="V84" s="1360" t="s">
        <v>1359</v>
      </c>
      <c r="W84" s="1360" t="s">
        <v>1358</v>
      </c>
      <c r="X84" s="580">
        <f t="shared" si="8"/>
        <v>1</v>
      </c>
      <c r="Y84" s="148" t="s">
        <v>572</v>
      </c>
      <c r="Z84" s="148">
        <f>Z54</f>
        <v>1</v>
      </c>
      <c r="AA84" s="148">
        <f>ENERGÍA!AB88</f>
        <v>472</v>
      </c>
      <c r="AB84" s="148">
        <f>AB54</f>
        <v>25</v>
      </c>
      <c r="AC84" s="148">
        <f>AA84*AB84/100</f>
        <v>118</v>
      </c>
      <c r="AD84" s="148">
        <f>AC84*Z84</f>
        <v>118</v>
      </c>
      <c r="AE84" s="1282"/>
      <c r="AG84" s="1339" t="s">
        <v>1521</v>
      </c>
      <c r="AH84" s="1339"/>
      <c r="AI84" s="1339"/>
      <c r="AJ84" s="1339"/>
      <c r="AK84" s="1339"/>
      <c r="AL84" s="1339"/>
      <c r="AM84" s="1339"/>
      <c r="AN84" s="1339"/>
      <c r="AO84" s="1339"/>
      <c r="AP84" s="1339"/>
      <c r="AQ84" s="1339"/>
      <c r="AR84" s="1339"/>
      <c r="AS84" s="1339"/>
      <c r="AV84" s="1351" t="s">
        <v>1024</v>
      </c>
      <c r="AW84" s="1352"/>
    </row>
    <row r="85" spans="2:49" ht="15" customHeight="1">
      <c r="B85" s="1361"/>
      <c r="C85" s="1366"/>
      <c r="D85" s="1367"/>
      <c r="E85" s="1367"/>
      <c r="F85" s="1367"/>
      <c r="G85" s="1368"/>
      <c r="H85" s="1357" t="s">
        <v>731</v>
      </c>
      <c r="I85" s="1358"/>
      <c r="J85" s="1361"/>
      <c r="K85" s="1361"/>
      <c r="L85" s="1277"/>
      <c r="O85" s="1361"/>
      <c r="P85" s="1361"/>
      <c r="Q85" s="1361"/>
      <c r="R85" s="1361"/>
      <c r="S85" s="1361"/>
      <c r="T85" s="1361"/>
      <c r="U85" s="1361"/>
      <c r="V85" s="1361"/>
      <c r="W85" s="1361"/>
      <c r="X85" s="580">
        <f t="shared" si="8"/>
        <v>0</v>
      </c>
      <c r="Y85" s="148"/>
      <c r="Z85" s="148"/>
      <c r="AA85" s="148"/>
      <c r="AB85" s="148"/>
      <c r="AC85" s="148"/>
      <c r="AD85" s="148"/>
      <c r="AE85" s="1282"/>
      <c r="AG85" s="601"/>
      <c r="AH85" s="601"/>
      <c r="AI85" s="601"/>
      <c r="AJ85" s="601"/>
      <c r="AK85" s="601"/>
      <c r="AL85" s="601"/>
      <c r="AM85" s="601"/>
      <c r="AN85" s="601"/>
      <c r="AO85" s="601"/>
      <c r="AP85" s="601"/>
      <c r="AQ85" s="601"/>
      <c r="AR85" s="601"/>
      <c r="AS85" s="601"/>
      <c r="AV85" s="1353"/>
      <c r="AW85" s="1354"/>
    </row>
    <row r="86" spans="2:49" ht="15" customHeight="1">
      <c r="B86" s="581" t="s">
        <v>223</v>
      </c>
      <c r="C86" s="1359"/>
      <c r="D86" s="1359"/>
      <c r="E86" s="1359"/>
      <c r="F86" s="1359"/>
      <c r="G86" s="1359"/>
      <c r="H86" s="1274" t="str">
        <f>IF(J86=0,"-","Nivel B")</f>
        <v>-</v>
      </c>
      <c r="I86" s="1274"/>
      <c r="J86" s="589">
        <f>ENERGÍA!L90</f>
        <v>0</v>
      </c>
      <c r="K86" s="589">
        <f>ENERGÍA!M90</f>
        <v>0</v>
      </c>
      <c r="L86" s="589"/>
      <c r="O86" s="176">
        <f>IF(J86=0,0,VLOOKUP(K86,adyacentem,2,FALSE))</f>
        <v>0</v>
      </c>
      <c r="P86" s="590">
        <f>P80</f>
        <v>0.6</v>
      </c>
      <c r="Q86" s="176">
        <f>'Materiales Personalizados'!$AV$38</f>
        <v>1</v>
      </c>
      <c r="R86" s="590">
        <f>Q86*J86</f>
        <v>0</v>
      </c>
      <c r="S86" s="590">
        <f>IF(J86=0,0,(O86*R86))</f>
        <v>0</v>
      </c>
      <c r="T86" s="590">
        <f>Q86</f>
        <v>1</v>
      </c>
      <c r="U86" s="590">
        <f>T86*J86</f>
        <v>0</v>
      </c>
      <c r="V86" s="590">
        <f>IF(J86=0,0,(O86*U86))</f>
        <v>0</v>
      </c>
      <c r="W86" s="590">
        <f>IF(K86=BASE!$DA$7,J86,0)</f>
        <v>0</v>
      </c>
      <c r="X86" s="580">
        <f t="shared" si="8"/>
        <v>0</v>
      </c>
      <c r="Y86" s="148" t="s">
        <v>620</v>
      </c>
      <c r="Z86" s="148">
        <f>Z56</f>
        <v>1</v>
      </c>
      <c r="AA86" s="148">
        <f>ENERGÍA!AB90</f>
        <v>0</v>
      </c>
      <c r="AB86" s="148">
        <f>AB56</f>
        <v>15</v>
      </c>
      <c r="AC86" s="148">
        <f>AA86*AB86/100</f>
        <v>0</v>
      </c>
      <c r="AD86" s="148">
        <f>AC86*Z86</f>
        <v>0</v>
      </c>
      <c r="AE86" s="1282"/>
      <c r="AG86" s="598" t="s">
        <v>1032</v>
      </c>
      <c r="AH86" s="176" t="e">
        <f>AH80</f>
        <v>#N/A</v>
      </c>
      <c r="AI86" s="176" t="e">
        <f t="shared" ref="AI86:AS86" si="27">AI80</f>
        <v>#N/A</v>
      </c>
      <c r="AJ86" s="176" t="e">
        <f t="shared" si="27"/>
        <v>#N/A</v>
      </c>
      <c r="AK86" s="176" t="e">
        <f t="shared" si="27"/>
        <v>#N/A</v>
      </c>
      <c r="AL86" s="176" t="e">
        <f t="shared" si="27"/>
        <v>#N/A</v>
      </c>
      <c r="AM86" s="176" t="e">
        <f t="shared" si="27"/>
        <v>#N/A</v>
      </c>
      <c r="AN86" s="176" t="e">
        <f t="shared" si="27"/>
        <v>#N/A</v>
      </c>
      <c r="AO86" s="176" t="e">
        <f t="shared" si="27"/>
        <v>#N/A</v>
      </c>
      <c r="AP86" s="176" t="e">
        <f t="shared" si="27"/>
        <v>#N/A</v>
      </c>
      <c r="AQ86" s="176" t="e">
        <f t="shared" si="27"/>
        <v>#N/A</v>
      </c>
      <c r="AR86" s="176" t="e">
        <f t="shared" si="27"/>
        <v>#N/A</v>
      </c>
      <c r="AS86" s="176" t="e">
        <f t="shared" si="27"/>
        <v>#N/A</v>
      </c>
      <c r="AV86" s="1353"/>
      <c r="AW86" s="1354"/>
    </row>
    <row r="87" spans="2:49" ht="15" customHeight="1">
      <c r="B87" s="581" t="s">
        <v>224</v>
      </c>
      <c r="C87" s="1359"/>
      <c r="D87" s="1359"/>
      <c r="E87" s="1359"/>
      <c r="F87" s="1359"/>
      <c r="G87" s="1359"/>
      <c r="H87" s="1274" t="str">
        <f t="shared" ref="H87:H90" si="28">IF(J87=0,"-","Nivel B")</f>
        <v>-</v>
      </c>
      <c r="I87" s="1274"/>
      <c r="J87" s="589">
        <f>ENERGÍA!L91</f>
        <v>0</v>
      </c>
      <c r="K87" s="589">
        <f>ENERGÍA!M91</f>
        <v>0</v>
      </c>
      <c r="L87" s="589"/>
      <c r="O87" s="176">
        <f>IF(J87=0,0,VLOOKUP(K87,adyacentem,2,FALSE))</f>
        <v>0</v>
      </c>
      <c r="P87" s="590">
        <f>P86</f>
        <v>0.6</v>
      </c>
      <c r="Q87" s="176">
        <f>Q86</f>
        <v>1</v>
      </c>
      <c r="R87" s="590">
        <f>Q87*J87</f>
        <v>0</v>
      </c>
      <c r="S87" s="590">
        <f t="shared" ref="S87:S90" si="29">IF(J87=0,0,(O87*R87))</f>
        <v>0</v>
      </c>
      <c r="T87" s="590">
        <f>Q87</f>
        <v>1</v>
      </c>
      <c r="U87" s="590">
        <f>T87*J87</f>
        <v>0</v>
      </c>
      <c r="V87" s="590">
        <f t="shared" ref="V87:V90" si="30">IF(J87=0,0,(O87*U87))</f>
        <v>0</v>
      </c>
      <c r="W87" s="590">
        <f>IF(K87=BASE!$DA$7,J87,0)</f>
        <v>0</v>
      </c>
      <c r="X87" s="580">
        <f t="shared" si="8"/>
        <v>0</v>
      </c>
      <c r="Y87" s="148" t="s">
        <v>619</v>
      </c>
      <c r="Z87" s="148">
        <f>Z57</f>
        <v>1</v>
      </c>
      <c r="AA87" s="148">
        <f>ENERGÍA!AB91</f>
        <v>0</v>
      </c>
      <c r="AB87" s="148">
        <f>AB57</f>
        <v>25</v>
      </c>
      <c r="AC87" s="148">
        <f>AA87*AB87/100</f>
        <v>0</v>
      </c>
      <c r="AD87" s="148">
        <f>AC87*Z87</f>
        <v>0</v>
      </c>
      <c r="AE87" s="1282"/>
      <c r="AG87" s="581" t="s">
        <v>991</v>
      </c>
      <c r="AH87" s="580">
        <f>(AD60+AE92)*12/24</f>
        <v>0</v>
      </c>
      <c r="AI87" s="580">
        <f>AH87</f>
        <v>0</v>
      </c>
      <c r="AJ87" s="580">
        <f t="shared" ref="AJ87:AS87" si="31">AI87</f>
        <v>0</v>
      </c>
      <c r="AK87" s="580">
        <f t="shared" si="31"/>
        <v>0</v>
      </c>
      <c r="AL87" s="580">
        <f t="shared" si="31"/>
        <v>0</v>
      </c>
      <c r="AM87" s="580">
        <f t="shared" si="31"/>
        <v>0</v>
      </c>
      <c r="AN87" s="580">
        <f t="shared" si="31"/>
        <v>0</v>
      </c>
      <c r="AO87" s="580">
        <f t="shared" si="31"/>
        <v>0</v>
      </c>
      <c r="AP87" s="580">
        <f t="shared" si="31"/>
        <v>0</v>
      </c>
      <c r="AQ87" s="580">
        <f t="shared" si="31"/>
        <v>0</v>
      </c>
      <c r="AR87" s="580">
        <f t="shared" si="31"/>
        <v>0</v>
      </c>
      <c r="AS87" s="580">
        <f t="shared" si="31"/>
        <v>0</v>
      </c>
      <c r="AV87" s="1355"/>
      <c r="AW87" s="1356"/>
    </row>
    <row r="88" spans="2:49" ht="15" customHeight="1">
      <c r="B88" s="581" t="s">
        <v>1516</v>
      </c>
      <c r="C88" s="1342"/>
      <c r="D88" s="1340"/>
      <c r="E88" s="1340"/>
      <c r="F88" s="1340"/>
      <c r="G88" s="1340"/>
      <c r="H88" s="1274" t="str">
        <f t="shared" si="28"/>
        <v>-</v>
      </c>
      <c r="I88" s="1274"/>
      <c r="J88" s="589">
        <f>ENERGÍA!L92</f>
        <v>0</v>
      </c>
      <c r="K88" s="589">
        <f>ENERGÍA!M92</f>
        <v>0</v>
      </c>
      <c r="L88" s="589"/>
      <c r="O88" s="176">
        <f>IF(J88=0,0,VLOOKUP(K88,adyacentem,2,FALSE))</f>
        <v>0</v>
      </c>
      <c r="P88" s="590">
        <f t="shared" ref="P88:P90" si="32">P87</f>
        <v>0.6</v>
      </c>
      <c r="Q88" s="176">
        <f t="shared" ref="Q88:Q90" si="33">Q87</f>
        <v>1</v>
      </c>
      <c r="R88" s="590">
        <f>Q88*J88</f>
        <v>0</v>
      </c>
      <c r="S88" s="590">
        <f t="shared" si="29"/>
        <v>0</v>
      </c>
      <c r="T88" s="590">
        <f>Q88</f>
        <v>1</v>
      </c>
      <c r="U88" s="590">
        <f>T88*J88</f>
        <v>0</v>
      </c>
      <c r="V88" s="590">
        <f t="shared" si="30"/>
        <v>0</v>
      </c>
      <c r="W88" s="590">
        <f>IF(K88=BASE!$DA$7,J88,0)</f>
        <v>0</v>
      </c>
      <c r="X88" s="580">
        <f t="shared" si="8"/>
        <v>0</v>
      </c>
      <c r="AG88" s="581" t="s">
        <v>760</v>
      </c>
      <c r="AH88" s="590">
        <f>($AH$120*1000)/24/AH72</f>
        <v>0</v>
      </c>
      <c r="AI88" s="590">
        <f t="shared" ref="AI88:AS88" si="34">($AH$120*1000)/24/AI72</f>
        <v>0</v>
      </c>
      <c r="AJ88" s="590">
        <f t="shared" si="34"/>
        <v>0</v>
      </c>
      <c r="AK88" s="590">
        <f t="shared" si="34"/>
        <v>0</v>
      </c>
      <c r="AL88" s="590">
        <f t="shared" si="34"/>
        <v>0</v>
      </c>
      <c r="AM88" s="590">
        <f t="shared" si="34"/>
        <v>0</v>
      </c>
      <c r="AN88" s="590">
        <f t="shared" si="34"/>
        <v>0</v>
      </c>
      <c r="AO88" s="590">
        <f t="shared" si="34"/>
        <v>0</v>
      </c>
      <c r="AP88" s="590">
        <f t="shared" si="34"/>
        <v>0</v>
      </c>
      <c r="AQ88" s="590">
        <f t="shared" si="34"/>
        <v>0</v>
      </c>
      <c r="AR88" s="590">
        <f t="shared" si="34"/>
        <v>0</v>
      </c>
      <c r="AS88" s="590">
        <f t="shared" si="34"/>
        <v>0</v>
      </c>
      <c r="AV88" s="1280" t="s">
        <v>892</v>
      </c>
      <c r="AW88" s="1282" t="e">
        <f>SUM(S46:S90)+SUM(R95:R96)+SUM(AC104:AC170)</f>
        <v>#N/A</v>
      </c>
    </row>
    <row r="89" spans="2:49" ht="15" customHeight="1">
      <c r="B89" s="581" t="s">
        <v>632</v>
      </c>
      <c r="C89" s="1342"/>
      <c r="D89" s="1340"/>
      <c r="E89" s="1340"/>
      <c r="F89" s="1340"/>
      <c r="G89" s="1340"/>
      <c r="H89" s="1274" t="str">
        <f t="shared" si="28"/>
        <v>-</v>
      </c>
      <c r="I89" s="1274"/>
      <c r="J89" s="589">
        <f>ENERGÍA!L93</f>
        <v>0</v>
      </c>
      <c r="K89" s="589">
        <f>ENERGÍA!M93</f>
        <v>0</v>
      </c>
      <c r="L89" s="589"/>
      <c r="O89" s="176">
        <f>IF(J89=0,0,VLOOKUP(K89,adyacentem,2,FALSE))</f>
        <v>0</v>
      </c>
      <c r="P89" s="590">
        <f t="shared" si="32"/>
        <v>0.6</v>
      </c>
      <c r="Q89" s="176">
        <f t="shared" si="33"/>
        <v>1</v>
      </c>
      <c r="R89" s="590">
        <f>Q89*J89</f>
        <v>0</v>
      </c>
      <c r="S89" s="590">
        <f t="shared" si="29"/>
        <v>0</v>
      </c>
      <c r="T89" s="590">
        <f>Q89</f>
        <v>1</v>
      </c>
      <c r="U89" s="590">
        <f>T89*J89</f>
        <v>0</v>
      </c>
      <c r="V89" s="590">
        <f t="shared" si="30"/>
        <v>0</v>
      </c>
      <c r="W89" s="590">
        <f>IF(K89=BASE!$DA$7,J89,0)</f>
        <v>0</v>
      </c>
      <c r="X89" s="580">
        <f t="shared" si="8"/>
        <v>0</v>
      </c>
      <c r="Y89" s="1350" t="s">
        <v>992</v>
      </c>
      <c r="Z89" s="1350"/>
      <c r="AA89" s="1350"/>
      <c r="AB89" s="1350"/>
      <c r="AC89" s="1350"/>
      <c r="AD89" s="1350"/>
      <c r="AE89" s="1350"/>
      <c r="AG89" s="581" t="s">
        <v>762</v>
      </c>
      <c r="AH89" s="590">
        <f t="shared" ref="AH89:AS89" si="35">($AH$121*1000)/24/AH72</f>
        <v>95.833333333333343</v>
      </c>
      <c r="AI89" s="590">
        <f t="shared" si="35"/>
        <v>106.10119047619048</v>
      </c>
      <c r="AJ89" s="590">
        <f t="shared" si="35"/>
        <v>95.833333333333343</v>
      </c>
      <c r="AK89" s="590">
        <f t="shared" si="35"/>
        <v>99.027777777777786</v>
      </c>
      <c r="AL89" s="590">
        <f t="shared" si="35"/>
        <v>95.833333333333343</v>
      </c>
      <c r="AM89" s="590">
        <f t="shared" si="35"/>
        <v>99.027777777777786</v>
      </c>
      <c r="AN89" s="590">
        <f t="shared" si="35"/>
        <v>95.833333333333343</v>
      </c>
      <c r="AO89" s="590">
        <f t="shared" si="35"/>
        <v>95.833333333333343</v>
      </c>
      <c r="AP89" s="590">
        <f t="shared" si="35"/>
        <v>99.027777777777786</v>
      </c>
      <c r="AQ89" s="590">
        <f t="shared" si="35"/>
        <v>95.833333333333343</v>
      </c>
      <c r="AR89" s="590">
        <f t="shared" si="35"/>
        <v>99.027777777777786</v>
      </c>
      <c r="AS89" s="590">
        <f t="shared" si="35"/>
        <v>95.833333333333343</v>
      </c>
      <c r="AV89" s="1280"/>
      <c r="AW89" s="1282"/>
    </row>
    <row r="90" spans="2:49" ht="15" customHeight="1">
      <c r="B90" s="581" t="s">
        <v>631</v>
      </c>
      <c r="C90" s="1342"/>
      <c r="D90" s="1340"/>
      <c r="E90" s="1340"/>
      <c r="F90" s="1340"/>
      <c r="G90" s="1340"/>
      <c r="H90" s="1274" t="str">
        <f t="shared" si="28"/>
        <v>-</v>
      </c>
      <c r="I90" s="1274"/>
      <c r="J90" s="589">
        <f>ENERGÍA!L94</f>
        <v>0</v>
      </c>
      <c r="K90" s="589">
        <f>ENERGÍA!M94</f>
        <v>0</v>
      </c>
      <c r="L90" s="589"/>
      <c r="O90" s="176">
        <f>IF(J90=0,0,VLOOKUP(K90,adyacentem,2,FALSE))</f>
        <v>0</v>
      </c>
      <c r="P90" s="590">
        <f t="shared" si="32"/>
        <v>0.6</v>
      </c>
      <c r="Q90" s="176">
        <f t="shared" si="33"/>
        <v>1</v>
      </c>
      <c r="R90" s="590">
        <f>Q90*J90</f>
        <v>0</v>
      </c>
      <c r="S90" s="590">
        <f t="shared" si="29"/>
        <v>0</v>
      </c>
      <c r="T90" s="590">
        <f>Q90</f>
        <v>1</v>
      </c>
      <c r="U90" s="590">
        <f>T90*J90</f>
        <v>0</v>
      </c>
      <c r="V90" s="590">
        <f t="shared" si="30"/>
        <v>0</v>
      </c>
      <c r="W90" s="590">
        <f>IF(K90=BASE!$DA$7,J90,0)</f>
        <v>0</v>
      </c>
      <c r="X90" s="580">
        <f t="shared" si="8"/>
        <v>0</v>
      </c>
      <c r="Y90" s="1343" t="s">
        <v>1119</v>
      </c>
      <c r="Z90" s="1343"/>
      <c r="AA90" s="1343"/>
      <c r="AB90" s="1343" t="s">
        <v>1120</v>
      </c>
      <c r="AC90" s="1343"/>
      <c r="AD90" s="1343"/>
      <c r="AE90" s="591" t="s">
        <v>1023</v>
      </c>
      <c r="AG90" s="581" t="s">
        <v>896</v>
      </c>
      <c r="AH90" s="590" t="e">
        <f>SUM(AH86:AH89)</f>
        <v>#N/A</v>
      </c>
      <c r="AI90" s="590" t="e">
        <f t="shared" ref="AI90:AS90" si="36">SUM(AI86:AI89)</f>
        <v>#N/A</v>
      </c>
      <c r="AJ90" s="590" t="e">
        <f t="shared" si="36"/>
        <v>#N/A</v>
      </c>
      <c r="AK90" s="590" t="e">
        <f t="shared" si="36"/>
        <v>#N/A</v>
      </c>
      <c r="AL90" s="590" t="e">
        <f t="shared" si="36"/>
        <v>#N/A</v>
      </c>
      <c r="AM90" s="590" t="e">
        <f t="shared" si="36"/>
        <v>#N/A</v>
      </c>
      <c r="AN90" s="590" t="e">
        <f t="shared" si="36"/>
        <v>#N/A</v>
      </c>
      <c r="AO90" s="590" t="e">
        <f t="shared" si="36"/>
        <v>#N/A</v>
      </c>
      <c r="AP90" s="590" t="e">
        <f t="shared" si="36"/>
        <v>#N/A</v>
      </c>
      <c r="AQ90" s="590" t="e">
        <f t="shared" si="36"/>
        <v>#N/A</v>
      </c>
      <c r="AR90" s="590" t="e">
        <f t="shared" si="36"/>
        <v>#N/A</v>
      </c>
      <c r="AS90" s="590" t="e">
        <f t="shared" si="36"/>
        <v>#N/A</v>
      </c>
      <c r="AV90" s="1280" t="s">
        <v>893</v>
      </c>
      <c r="AW90" s="1282" t="e">
        <f>SUM(V46:V90)+SUM(U95:U96)+SUM(AD104:AD170)</f>
        <v>#N/A</v>
      </c>
    </row>
    <row r="91" spans="2:49" ht="6" customHeight="1">
      <c r="L91" s="126"/>
      <c r="O91" s="148"/>
      <c r="P91" s="581"/>
      <c r="Q91" s="597"/>
      <c r="R91" s="597"/>
      <c r="S91" s="597"/>
      <c r="AV91" s="1280"/>
      <c r="AW91" s="1282"/>
    </row>
    <row r="92" spans="2:49" ht="15" customHeight="1">
      <c r="B92" s="1323" t="s">
        <v>593</v>
      </c>
      <c r="C92" s="1323"/>
      <c r="D92" s="1323"/>
      <c r="E92" s="1323"/>
      <c r="F92" s="1323"/>
      <c r="G92" s="1323"/>
      <c r="H92" s="1323"/>
      <c r="I92" s="1323"/>
      <c r="J92" s="1323"/>
      <c r="K92" s="1323"/>
      <c r="L92" s="1323"/>
      <c r="O92" s="1320" t="s">
        <v>593</v>
      </c>
      <c r="P92" s="1321"/>
      <c r="Q92" s="1321"/>
      <c r="R92" s="1321"/>
      <c r="S92" s="1321"/>
      <c r="T92" s="1321"/>
      <c r="U92" s="1321"/>
      <c r="V92" s="1321"/>
      <c r="W92" s="1322"/>
      <c r="Y92" s="1273">
        <f>Z66</f>
        <v>0</v>
      </c>
      <c r="Z92" s="1273"/>
      <c r="AA92" s="1273"/>
      <c r="AB92" s="1273">
        <f>ENERGÍA!AC96</f>
        <v>39</v>
      </c>
      <c r="AC92" s="1273"/>
      <c r="AD92" s="1273"/>
      <c r="AE92" s="226">
        <f>AB92*Y92</f>
        <v>0</v>
      </c>
      <c r="AG92" s="1339" t="s">
        <v>1487</v>
      </c>
      <c r="AH92" s="1339"/>
      <c r="AI92" s="1339"/>
      <c r="AJ92" s="1339"/>
      <c r="AK92" s="1339"/>
      <c r="AL92" s="1339"/>
      <c r="AM92" s="1339"/>
      <c r="AN92" s="1339"/>
      <c r="AO92" s="1339"/>
      <c r="AP92" s="1339"/>
      <c r="AQ92" s="1339"/>
      <c r="AR92" s="1339"/>
      <c r="AS92" s="1339"/>
    </row>
    <row r="93" spans="2:49" ht="6" customHeight="1">
      <c r="B93" s="584"/>
      <c r="C93" s="584"/>
      <c r="D93" s="584"/>
      <c r="E93" s="126"/>
      <c r="L93" s="126"/>
      <c r="O93" s="148"/>
      <c r="P93" s="581"/>
      <c r="Q93" s="126"/>
      <c r="R93" s="126"/>
    </row>
    <row r="94" spans="2:49" ht="15" customHeight="1">
      <c r="B94" s="584"/>
      <c r="C94" s="1273" t="s">
        <v>222</v>
      </c>
      <c r="D94" s="1273"/>
      <c r="E94" s="1273"/>
      <c r="F94" s="1273"/>
      <c r="G94" s="1273"/>
      <c r="H94" s="1273"/>
      <c r="I94" s="1273"/>
      <c r="J94" s="1273"/>
      <c r="K94" s="148" t="s">
        <v>594</v>
      </c>
      <c r="L94" s="166" t="s">
        <v>1356</v>
      </c>
      <c r="O94" s="166" t="s">
        <v>1354</v>
      </c>
      <c r="P94" s="166" t="s">
        <v>849</v>
      </c>
      <c r="Q94" s="166" t="s">
        <v>850</v>
      </c>
      <c r="R94" s="166" t="s">
        <v>1357</v>
      </c>
      <c r="S94" s="166" t="s">
        <v>851</v>
      </c>
      <c r="T94" s="166" t="s">
        <v>891</v>
      </c>
      <c r="U94" s="166" t="s">
        <v>1359</v>
      </c>
      <c r="V94" s="148"/>
      <c r="Y94" s="1341" t="s">
        <v>1053</v>
      </c>
      <c r="Z94" s="1341"/>
      <c r="AA94" s="1341"/>
      <c r="AB94" s="1341"/>
      <c r="AC94" s="1341"/>
      <c r="AD94" s="1341"/>
      <c r="AE94" s="175" t="e">
        <f>AE78+AE47+AE68+AE42</f>
        <v>#N/A</v>
      </c>
      <c r="AG94" s="581" t="s">
        <v>219</v>
      </c>
      <c r="AH94" s="590" t="e">
        <f>IF(AH62&gt;=18,$AW$90,$AW$88)</f>
        <v>#N/A</v>
      </c>
      <c r="AI94" s="590" t="e">
        <f t="shared" ref="AI94:AS94" si="37">IF(AI62&gt;=18,$AW$90,$AW$88)</f>
        <v>#N/A</v>
      </c>
      <c r="AJ94" s="590" t="e">
        <f t="shared" si="37"/>
        <v>#N/A</v>
      </c>
      <c r="AK94" s="590" t="e">
        <f t="shared" si="37"/>
        <v>#N/A</v>
      </c>
      <c r="AL94" s="590" t="e">
        <f t="shared" si="37"/>
        <v>#N/A</v>
      </c>
      <c r="AM94" s="590" t="e">
        <f t="shared" si="37"/>
        <v>#N/A</v>
      </c>
      <c r="AN94" s="590" t="e">
        <f t="shared" si="37"/>
        <v>#N/A</v>
      </c>
      <c r="AO94" s="590" t="e">
        <f t="shared" si="37"/>
        <v>#N/A</v>
      </c>
      <c r="AP94" s="590" t="e">
        <f t="shared" si="37"/>
        <v>#N/A</v>
      </c>
      <c r="AQ94" s="590" t="e">
        <f t="shared" si="37"/>
        <v>#N/A</v>
      </c>
      <c r="AR94" s="590" t="e">
        <f t="shared" si="37"/>
        <v>#N/A</v>
      </c>
      <c r="AS94" s="590" t="e">
        <f t="shared" si="37"/>
        <v>#N/A</v>
      </c>
      <c r="AV94" s="1273" t="s">
        <v>1025</v>
      </c>
      <c r="AW94" s="1273"/>
    </row>
    <row r="95" spans="2:49" ht="15" customHeight="1">
      <c r="B95" s="581" t="s">
        <v>595</v>
      </c>
      <c r="C95" s="1340"/>
      <c r="D95" s="1340"/>
      <c r="E95" s="1340"/>
      <c r="F95" s="1340"/>
      <c r="G95" s="1340"/>
      <c r="H95" s="1340"/>
      <c r="I95" s="1340"/>
      <c r="J95" s="1340"/>
      <c r="K95" s="589">
        <f>ENERGÍA!M99</f>
        <v>0</v>
      </c>
      <c r="L95" s="589">
        <f>ENERGÍA!N99</f>
        <v>0</v>
      </c>
      <c r="O95" s="176">
        <f>IF(K95=0,0,VLOOKUP(L95,adyacentem,2,FALSE))</f>
        <v>0</v>
      </c>
      <c r="P95" s="176">
        <f>'Materiales Personalizados'!AA6</f>
        <v>1</v>
      </c>
      <c r="Q95" s="590">
        <f>P95*K95</f>
        <v>0</v>
      </c>
      <c r="R95" s="580">
        <f>Q95*O95</f>
        <v>0</v>
      </c>
      <c r="S95" s="590">
        <f>P95</f>
        <v>1</v>
      </c>
      <c r="T95" s="590">
        <f>S95*K95</f>
        <v>0</v>
      </c>
      <c r="U95" s="148">
        <f>T95*O95</f>
        <v>0</v>
      </c>
      <c r="V95" s="148"/>
      <c r="AG95" s="581" t="s">
        <v>1528</v>
      </c>
      <c r="AH95" s="580">
        <f>AJ52</f>
        <v>0</v>
      </c>
      <c r="AI95" s="580">
        <f>AH95</f>
        <v>0</v>
      </c>
      <c r="AJ95" s="580">
        <f t="shared" ref="AJ95:AS96" si="38">AI95</f>
        <v>0</v>
      </c>
      <c r="AK95" s="580">
        <f t="shared" si="38"/>
        <v>0</v>
      </c>
      <c r="AL95" s="580">
        <f t="shared" si="38"/>
        <v>0</v>
      </c>
      <c r="AM95" s="580">
        <f t="shared" si="38"/>
        <v>0</v>
      </c>
      <c r="AN95" s="580">
        <f t="shared" si="38"/>
        <v>0</v>
      </c>
      <c r="AO95" s="580">
        <f t="shared" si="38"/>
        <v>0</v>
      </c>
      <c r="AP95" s="580">
        <f t="shared" si="38"/>
        <v>0</v>
      </c>
      <c r="AQ95" s="580">
        <f t="shared" si="38"/>
        <v>0</v>
      </c>
      <c r="AR95" s="580">
        <f t="shared" si="38"/>
        <v>0</v>
      </c>
      <c r="AS95" s="580">
        <f t="shared" si="38"/>
        <v>0</v>
      </c>
      <c r="AU95" s="580" t="str">
        <f>'BASE DE DATOS'!HA35</f>
        <v>Si</v>
      </c>
      <c r="AV95" s="1273"/>
      <c r="AW95" s="1273"/>
    </row>
    <row r="96" spans="2:49" ht="15" customHeight="1">
      <c r="B96" s="581" t="s">
        <v>1517</v>
      </c>
      <c r="C96" s="1340"/>
      <c r="D96" s="1340"/>
      <c r="E96" s="1340"/>
      <c r="F96" s="1340"/>
      <c r="G96" s="1340"/>
      <c r="H96" s="1340"/>
      <c r="I96" s="1340"/>
      <c r="J96" s="1340"/>
      <c r="K96" s="589">
        <f>ENERGÍA!M102</f>
        <v>0</v>
      </c>
      <c r="L96" s="589">
        <f>ENERGÍA!N102</f>
        <v>0</v>
      </c>
      <c r="O96" s="176">
        <f>IF(K96=0,0,VLOOKUP(L96,adyacentem,2,FALSE))</f>
        <v>0</v>
      </c>
      <c r="P96" s="176">
        <f>P95</f>
        <v>1</v>
      </c>
      <c r="Q96" s="590">
        <f>P96*K96</f>
        <v>0</v>
      </c>
      <c r="R96" s="580">
        <f>Q96*O96</f>
        <v>0</v>
      </c>
      <c r="S96" s="590">
        <f>P96</f>
        <v>1</v>
      </c>
      <c r="T96" s="590">
        <f>S96*K96</f>
        <v>0</v>
      </c>
      <c r="U96" s="148">
        <f>T96*O96</f>
        <v>0</v>
      </c>
      <c r="V96" s="148"/>
      <c r="AG96" s="581" t="s">
        <v>1486</v>
      </c>
      <c r="AH96" s="580" t="e">
        <f>AH54</f>
        <v>#DIV/0!</v>
      </c>
      <c r="AI96" s="580" t="e">
        <f>AH96</f>
        <v>#DIV/0!</v>
      </c>
      <c r="AJ96" s="580" t="e">
        <f t="shared" si="38"/>
        <v>#DIV/0!</v>
      </c>
      <c r="AK96" s="580" t="e">
        <f t="shared" si="38"/>
        <v>#DIV/0!</v>
      </c>
      <c r="AL96" s="580" t="e">
        <f t="shared" si="38"/>
        <v>#DIV/0!</v>
      </c>
      <c r="AM96" s="580" t="e">
        <f t="shared" si="38"/>
        <v>#DIV/0!</v>
      </c>
      <c r="AN96" s="580" t="e">
        <f t="shared" si="38"/>
        <v>#DIV/0!</v>
      </c>
      <c r="AO96" s="580" t="e">
        <f t="shared" si="38"/>
        <v>#DIV/0!</v>
      </c>
      <c r="AP96" s="580" t="e">
        <f t="shared" si="38"/>
        <v>#DIV/0!</v>
      </c>
      <c r="AQ96" s="580" t="e">
        <f t="shared" si="38"/>
        <v>#DIV/0!</v>
      </c>
      <c r="AR96" s="580" t="e">
        <f t="shared" si="38"/>
        <v>#DIV/0!</v>
      </c>
      <c r="AS96" s="580" t="e">
        <f t="shared" si="38"/>
        <v>#DIV/0!</v>
      </c>
      <c r="AU96" s="580" t="s">
        <v>1816</v>
      </c>
      <c r="AV96" s="148" t="s">
        <v>233</v>
      </c>
      <c r="AW96" s="176" t="e">
        <f>IF(AU95="Si",(AW88/AW64)-((AW88/AW64)*0.05),AW88/AW64)</f>
        <v>#N/A</v>
      </c>
    </row>
    <row r="97" spans="2:50" ht="6" customHeight="1">
      <c r="D97" s="126"/>
      <c r="E97" s="126"/>
      <c r="L97" s="126"/>
      <c r="O97" s="148"/>
      <c r="P97" s="581"/>
      <c r="Q97" s="126"/>
      <c r="R97" s="126"/>
      <c r="V97" s="148"/>
      <c r="X97" s="126"/>
    </row>
    <row r="98" spans="2:50" ht="15" customHeight="1">
      <c r="B98" s="1283" t="s">
        <v>645</v>
      </c>
      <c r="C98" s="1283"/>
      <c r="D98" s="1283"/>
      <c r="E98" s="1283"/>
      <c r="F98" s="1283"/>
      <c r="G98" s="1283"/>
      <c r="H98" s="1283"/>
      <c r="I98" s="1283"/>
      <c r="J98" s="1283"/>
      <c r="K98" s="1283"/>
      <c r="L98" s="1283"/>
      <c r="O98" s="1317" t="s">
        <v>645</v>
      </c>
      <c r="P98" s="1318"/>
      <c r="Q98" s="1318"/>
      <c r="R98" s="1318"/>
      <c r="S98" s="1318"/>
      <c r="T98" s="1318"/>
      <c r="U98" s="1318"/>
      <c r="V98" s="1318"/>
      <c r="W98" s="1318"/>
      <c r="X98" s="1318"/>
      <c r="Y98" s="1318"/>
      <c r="Z98" s="1318"/>
      <c r="AA98" s="1318"/>
      <c r="AB98" s="1318"/>
      <c r="AC98" s="1318"/>
      <c r="AD98" s="1318"/>
      <c r="AE98" s="1319"/>
      <c r="AG98" s="581" t="s">
        <v>1524</v>
      </c>
      <c r="AH98" s="590" t="e">
        <f>AH94-(AH94*AH95)+(AH94*AH96)</f>
        <v>#N/A</v>
      </c>
      <c r="AI98" s="590" t="e">
        <f t="shared" ref="AI98:AS98" si="39">AI94-(AI94*AI95)+(AI94*AI96)</f>
        <v>#N/A</v>
      </c>
      <c r="AJ98" s="590" t="e">
        <f t="shared" si="39"/>
        <v>#N/A</v>
      </c>
      <c r="AK98" s="590" t="e">
        <f t="shared" si="39"/>
        <v>#N/A</v>
      </c>
      <c r="AL98" s="590" t="e">
        <f t="shared" si="39"/>
        <v>#N/A</v>
      </c>
      <c r="AM98" s="590" t="e">
        <f t="shared" si="39"/>
        <v>#N/A</v>
      </c>
      <c r="AN98" s="590" t="e">
        <f t="shared" si="39"/>
        <v>#N/A</v>
      </c>
      <c r="AO98" s="590" t="e">
        <f t="shared" si="39"/>
        <v>#N/A</v>
      </c>
      <c r="AP98" s="590" t="e">
        <f t="shared" si="39"/>
        <v>#N/A</v>
      </c>
      <c r="AQ98" s="590" t="e">
        <f t="shared" si="39"/>
        <v>#N/A</v>
      </c>
      <c r="AR98" s="590" t="e">
        <f t="shared" si="39"/>
        <v>#N/A</v>
      </c>
      <c r="AS98" s="590" t="e">
        <f t="shared" si="39"/>
        <v>#N/A</v>
      </c>
      <c r="AT98" s="173"/>
      <c r="AU98" s="173"/>
      <c r="AV98" s="148" t="s">
        <v>235</v>
      </c>
      <c r="AW98" s="176" t="e">
        <f>AE94/AW64</f>
        <v>#N/A</v>
      </c>
    </row>
    <row r="99" spans="2:50" ht="6" customHeight="1">
      <c r="L99" s="126"/>
      <c r="O99" s="148"/>
      <c r="P99" s="581"/>
      <c r="Q99" s="126"/>
      <c r="R99" s="126"/>
      <c r="V99" s="148"/>
      <c r="X99" s="126"/>
      <c r="AG99" s="581"/>
      <c r="AH99" s="580"/>
      <c r="AI99" s="580"/>
      <c r="AJ99" s="580"/>
      <c r="AK99" s="580"/>
      <c r="AL99" s="580"/>
      <c r="AM99" s="580"/>
      <c r="AN99" s="580"/>
      <c r="AO99" s="580"/>
      <c r="AP99" s="580"/>
      <c r="AQ99" s="580"/>
      <c r="AR99" s="580"/>
      <c r="AS99" s="580"/>
    </row>
    <row r="100" spans="2:50" s="159" customFormat="1" ht="15" customHeight="1">
      <c r="B100" s="1273">
        <f>C35</f>
        <v>0</v>
      </c>
      <c r="C100" s="1273"/>
      <c r="D100" s="1273"/>
      <c r="E100" s="1273"/>
      <c r="F100" s="1273"/>
      <c r="G100" s="1273"/>
      <c r="H100" s="1273"/>
      <c r="I100" s="1273"/>
      <c r="J100" s="1273"/>
      <c r="K100" s="1273"/>
      <c r="L100" s="1273"/>
      <c r="M100" s="126"/>
      <c r="N100" s="126"/>
      <c r="O100" s="1284">
        <f>B100</f>
        <v>0</v>
      </c>
      <c r="P100" s="1338"/>
      <c r="Q100" s="1338"/>
      <c r="R100" s="1338"/>
      <c r="S100" s="1338"/>
      <c r="T100" s="1338"/>
      <c r="U100" s="1338"/>
      <c r="V100" s="1338"/>
      <c r="W100" s="1338"/>
      <c r="X100" s="1338"/>
      <c r="Y100" s="1338"/>
      <c r="Z100" s="1338"/>
      <c r="AA100" s="1338"/>
      <c r="AB100" s="1338"/>
      <c r="AC100" s="1338"/>
      <c r="AD100" s="1338"/>
      <c r="AE100" s="1285"/>
      <c r="AG100" s="581" t="s">
        <v>1034</v>
      </c>
      <c r="AH100" s="175">
        <f>Z60</f>
        <v>0</v>
      </c>
      <c r="AI100" s="175">
        <f>AH100</f>
        <v>0</v>
      </c>
      <c r="AJ100" s="175">
        <f t="shared" ref="AJ100:AS100" si="40">AI100</f>
        <v>0</v>
      </c>
      <c r="AK100" s="175">
        <f t="shared" si="40"/>
        <v>0</v>
      </c>
      <c r="AL100" s="175">
        <f t="shared" si="40"/>
        <v>0</v>
      </c>
      <c r="AM100" s="175">
        <f t="shared" si="40"/>
        <v>0</v>
      </c>
      <c r="AN100" s="175">
        <f t="shared" si="40"/>
        <v>0</v>
      </c>
      <c r="AO100" s="175">
        <f t="shared" si="40"/>
        <v>0</v>
      </c>
      <c r="AP100" s="175">
        <f t="shared" si="40"/>
        <v>0</v>
      </c>
      <c r="AQ100" s="175">
        <f t="shared" si="40"/>
        <v>0</v>
      </c>
      <c r="AR100" s="175">
        <f t="shared" si="40"/>
        <v>0</v>
      </c>
      <c r="AS100" s="175">
        <f t="shared" si="40"/>
        <v>0</v>
      </c>
      <c r="AX100" s="126"/>
    </row>
    <row r="101" spans="2:50" ht="6" customHeight="1">
      <c r="L101" s="126"/>
      <c r="V101" s="148"/>
      <c r="AA101" s="580"/>
    </row>
    <row r="102" spans="2:50" ht="15" customHeight="1">
      <c r="B102" s="1273"/>
      <c r="C102" s="1323" t="s">
        <v>1184</v>
      </c>
      <c r="D102" s="1323"/>
      <c r="E102" s="1323"/>
      <c r="F102" s="1323" t="s">
        <v>1188</v>
      </c>
      <c r="G102" s="1323"/>
      <c r="H102" s="1323" t="s">
        <v>1203</v>
      </c>
      <c r="I102" s="1323"/>
      <c r="J102" s="1281" t="s">
        <v>790</v>
      </c>
      <c r="K102" s="1281" t="s">
        <v>1136</v>
      </c>
      <c r="L102" s="1281"/>
      <c r="O102" s="580" t="s">
        <v>1651</v>
      </c>
      <c r="P102" s="1281" t="s">
        <v>1064</v>
      </c>
      <c r="Q102" s="580" t="s">
        <v>1652</v>
      </c>
      <c r="R102" s="1273" t="s">
        <v>1191</v>
      </c>
      <c r="S102" s="580" t="s">
        <v>1190</v>
      </c>
      <c r="T102" s="1273" t="s">
        <v>1192</v>
      </c>
      <c r="U102" s="1323" t="s">
        <v>1653</v>
      </c>
      <c r="V102" s="1323"/>
      <c r="W102" s="580" t="s">
        <v>1654</v>
      </c>
      <c r="X102" s="1273" t="s">
        <v>1403</v>
      </c>
      <c r="Y102" s="1273" t="s">
        <v>1404</v>
      </c>
      <c r="Z102" s="1273" t="s">
        <v>1210</v>
      </c>
      <c r="AA102" s="1273" t="s">
        <v>1201</v>
      </c>
      <c r="AB102" s="1273" t="s">
        <v>1202</v>
      </c>
      <c r="AC102" s="1281" t="s">
        <v>850</v>
      </c>
      <c r="AD102" s="1281" t="str">
        <f>AC102</f>
        <v>W/K Inv</v>
      </c>
      <c r="AE102" s="226" t="s">
        <v>1017</v>
      </c>
      <c r="AG102" s="581" t="s">
        <v>1525</v>
      </c>
      <c r="AH102" s="590" t="e">
        <f>AH98+AH100</f>
        <v>#N/A</v>
      </c>
      <c r="AI102" s="590" t="e">
        <f t="shared" ref="AI102:AS102" si="41">AI98+AI100</f>
        <v>#N/A</v>
      </c>
      <c r="AJ102" s="590" t="e">
        <f t="shared" si="41"/>
        <v>#N/A</v>
      </c>
      <c r="AK102" s="590" t="e">
        <f t="shared" si="41"/>
        <v>#N/A</v>
      </c>
      <c r="AL102" s="590" t="e">
        <f t="shared" si="41"/>
        <v>#N/A</v>
      </c>
      <c r="AM102" s="590" t="e">
        <f t="shared" si="41"/>
        <v>#N/A</v>
      </c>
      <c r="AN102" s="590" t="e">
        <f t="shared" si="41"/>
        <v>#N/A</v>
      </c>
      <c r="AO102" s="590" t="e">
        <f t="shared" si="41"/>
        <v>#N/A</v>
      </c>
      <c r="AP102" s="590" t="e">
        <f t="shared" si="41"/>
        <v>#N/A</v>
      </c>
      <c r="AQ102" s="590" t="e">
        <f t="shared" si="41"/>
        <v>#N/A</v>
      </c>
      <c r="AR102" s="590" t="e">
        <f t="shared" si="41"/>
        <v>#N/A</v>
      </c>
      <c r="AS102" s="590" t="e">
        <f t="shared" si="41"/>
        <v>#N/A</v>
      </c>
    </row>
    <row r="103" spans="2:50" ht="15" customHeight="1">
      <c r="B103" s="1273"/>
      <c r="C103" s="148" t="s">
        <v>623</v>
      </c>
      <c r="D103" s="580" t="s">
        <v>1185</v>
      </c>
      <c r="E103" s="580" t="s">
        <v>1186</v>
      </c>
      <c r="F103" s="580" t="s">
        <v>623</v>
      </c>
      <c r="G103" s="580" t="s">
        <v>1189</v>
      </c>
      <c r="H103" s="580" t="s">
        <v>757</v>
      </c>
      <c r="I103" s="580" t="s">
        <v>650</v>
      </c>
      <c r="J103" s="1281"/>
      <c r="K103" s="166" t="s">
        <v>623</v>
      </c>
      <c r="L103" s="602" t="s">
        <v>1122</v>
      </c>
      <c r="O103" s="580" t="s">
        <v>1187</v>
      </c>
      <c r="P103" s="1281"/>
      <c r="Q103" s="580" t="s">
        <v>1187</v>
      </c>
      <c r="R103" s="1273"/>
      <c r="S103" s="580" t="s">
        <v>18</v>
      </c>
      <c r="T103" s="1273"/>
      <c r="U103" s="580" t="s">
        <v>1199</v>
      </c>
      <c r="V103" s="148" t="s">
        <v>1200</v>
      </c>
      <c r="W103" s="176" t="s">
        <v>1187</v>
      </c>
      <c r="X103" s="1273"/>
      <c r="Y103" s="1273"/>
      <c r="Z103" s="1273"/>
      <c r="AA103" s="1273"/>
      <c r="AB103" s="1273"/>
      <c r="AC103" s="1281"/>
      <c r="AD103" s="1281"/>
      <c r="AE103" s="603" t="e">
        <f>Q35</f>
        <v>#N/A</v>
      </c>
    </row>
    <row r="104" spans="2:50" ht="15" customHeight="1">
      <c r="B104" s="581" t="s">
        <v>225</v>
      </c>
      <c r="C104" s="604"/>
      <c r="D104" s="604"/>
      <c r="E104" s="604"/>
      <c r="F104" s="604"/>
      <c r="G104" s="604"/>
      <c r="H104" s="176" t="e">
        <f t="shared" ref="H104:H112" si="42">IF(W104=0,"-",IF($O$4=6,"No Aplica",HLOOKUP(AA104,ZONA2,2,TRUE)))</f>
        <v>#N/A</v>
      </c>
      <c r="I104" s="176" t="e">
        <f t="shared" ref="I104:I112" si="43">IF(W104=0,"-",IF($O$4=6,HLOOKUP(AB104,ZONA3,2,TRUE),HLOOKUP(AB104,ZONA1,2,TRUE)))</f>
        <v>#N/A</v>
      </c>
      <c r="J104" s="604"/>
      <c r="K104" s="604"/>
      <c r="L104" s="604"/>
      <c r="O104" s="590" t="e">
        <f t="shared" ref="O104:O112" si="44">$W$104-Q104</f>
        <v>#N/A</v>
      </c>
      <c r="P104" s="176">
        <f>IF('BASE DE DATOS'!HC29="B",2.9,IF('BASE DE DATOS'!HC29="D",3.23,6))</f>
        <v>6</v>
      </c>
      <c r="Q104" s="580" t="e">
        <f t="shared" ref="Q104:Q112" si="45">W104*0.02</f>
        <v>#N/A</v>
      </c>
      <c r="R104" s="580">
        <f>IF('BASE DE DATOS'!HC29="B",2.2,IF('BASE DE DATOS'!HC29="D",3.3,5.8))</f>
        <v>5.8</v>
      </c>
      <c r="S104" s="590" t="e">
        <f t="shared" ref="S104:S112" si="46">(W104/2)+2</f>
        <v>#N/A</v>
      </c>
      <c r="T104" s="176" t="e">
        <f t="shared" ref="T104:T112" si="47">((O104*P104)+(Q104*R104)+(S104*0.02))/W104</f>
        <v>#N/A</v>
      </c>
      <c r="U104" s="580">
        <f>IF('BASE DE DATOS'!HC29="B",100,IF('BASE DE DATOS'!HC29="D",200,300))</f>
        <v>300</v>
      </c>
      <c r="V104" s="176" t="e">
        <f t="shared" ref="V104:V112" si="48">IF(W104=0,0,U104*W104)</f>
        <v>#N/A</v>
      </c>
      <c r="W104" s="605" t="e">
        <f>IF($R$35=2,$O$35/2,IF($R$35=4,$O$35/4,IF($R$35=6,$O$35/6,IF($R$35=8,$O$35/8,IF($R$35=9,$O$35/9)))))</f>
        <v>#N/A</v>
      </c>
      <c r="X104" s="606" t="e">
        <f t="shared" ref="X104:X112" si="49">(V104*$AW$112)</f>
        <v>#N/A</v>
      </c>
      <c r="Y104" s="606" t="e">
        <f t="shared" ref="Y104:Y112" si="50">V104*$AW$114</f>
        <v>#N/A</v>
      </c>
      <c r="Z104" s="148">
        <f>IF('BASE DE DATOS'!HC29="B",0.5,IF('BASE DE DATOS'!HC29="D",2,3))</f>
        <v>3</v>
      </c>
      <c r="AA104" s="176" t="e">
        <f t="shared" ref="AA104:AA112" si="51">IF(W104=0,0,(($AW$104*Z104)+X104+(T104*$AW$108))/W104)</f>
        <v>#N/A</v>
      </c>
      <c r="AB104" s="176" t="e">
        <f>IF(W104=0,0,(($AW$106*Z104)-(X104+T104)*$AW$110)/W104)</f>
        <v>#N/A</v>
      </c>
      <c r="AC104" s="590" t="e">
        <f>IF(W104=0,0,(T104*O104))</f>
        <v>#N/A</v>
      </c>
      <c r="AD104" s="590" t="e">
        <f t="shared" ref="AD104:AD112" si="52">AC104</f>
        <v>#N/A</v>
      </c>
      <c r="AG104" s="581" t="s">
        <v>1527</v>
      </c>
      <c r="AH104" s="590" t="e">
        <f>AH90/AH102</f>
        <v>#N/A</v>
      </c>
      <c r="AI104" s="590" t="e">
        <f t="shared" ref="AI104:AS104" si="53">AI90/AI102</f>
        <v>#N/A</v>
      </c>
      <c r="AJ104" s="590" t="e">
        <f t="shared" si="53"/>
        <v>#N/A</v>
      </c>
      <c r="AK104" s="590" t="e">
        <f t="shared" si="53"/>
        <v>#N/A</v>
      </c>
      <c r="AL104" s="590" t="e">
        <f t="shared" si="53"/>
        <v>#N/A</v>
      </c>
      <c r="AM104" s="590" t="e">
        <f t="shared" si="53"/>
        <v>#N/A</v>
      </c>
      <c r="AN104" s="590" t="e">
        <f t="shared" si="53"/>
        <v>#N/A</v>
      </c>
      <c r="AO104" s="590" t="e">
        <f t="shared" si="53"/>
        <v>#N/A</v>
      </c>
      <c r="AP104" s="590" t="e">
        <f t="shared" si="53"/>
        <v>#N/A</v>
      </c>
      <c r="AQ104" s="590" t="e">
        <f t="shared" si="53"/>
        <v>#N/A</v>
      </c>
      <c r="AR104" s="590" t="e">
        <f t="shared" si="53"/>
        <v>#N/A</v>
      </c>
      <c r="AS104" s="590" t="e">
        <f t="shared" si="53"/>
        <v>#N/A</v>
      </c>
      <c r="AV104" s="148" t="s">
        <v>1205</v>
      </c>
      <c r="AW104" s="148">
        <f>ENERGÍA!AY110</f>
        <v>0</v>
      </c>
    </row>
    <row r="105" spans="2:50" ht="15" customHeight="1">
      <c r="B105" s="581" t="s">
        <v>225</v>
      </c>
      <c r="C105" s="604"/>
      <c r="D105" s="604"/>
      <c r="E105" s="604"/>
      <c r="F105" s="604"/>
      <c r="G105" s="604"/>
      <c r="H105" s="176" t="e">
        <f t="shared" si="42"/>
        <v>#N/A</v>
      </c>
      <c r="I105" s="176" t="e">
        <f t="shared" si="43"/>
        <v>#N/A</v>
      </c>
      <c r="J105" s="604"/>
      <c r="K105" s="604"/>
      <c r="L105" s="604"/>
      <c r="O105" s="590" t="e">
        <f t="shared" si="44"/>
        <v>#N/A</v>
      </c>
      <c r="P105" s="176">
        <f>P104</f>
        <v>6</v>
      </c>
      <c r="Q105" s="580" t="e">
        <f t="shared" si="45"/>
        <v>#N/A</v>
      </c>
      <c r="R105" s="580">
        <f>R104</f>
        <v>5.8</v>
      </c>
      <c r="S105" s="590" t="e">
        <f t="shared" si="46"/>
        <v>#N/A</v>
      </c>
      <c r="T105" s="176" t="e">
        <f t="shared" si="47"/>
        <v>#N/A</v>
      </c>
      <c r="U105" s="580">
        <f>U104</f>
        <v>300</v>
      </c>
      <c r="V105" s="176" t="e">
        <f t="shared" si="48"/>
        <v>#N/A</v>
      </c>
      <c r="W105" s="605" t="e">
        <f t="shared" ref="W105" si="54">IF($R$35=2,$O$35/2,IF($R$35=4,$O$35/4,IF($R$35=6,$O$35/6,IF($R$35=8,$O$35/8,IF($R$35=9,$O$35/9)))))</f>
        <v>#N/A</v>
      </c>
      <c r="X105" s="606" t="e">
        <f t="shared" si="49"/>
        <v>#N/A</v>
      </c>
      <c r="Y105" s="606" t="e">
        <f t="shared" si="50"/>
        <v>#N/A</v>
      </c>
      <c r="Z105" s="580">
        <f>Z104</f>
        <v>3</v>
      </c>
      <c r="AA105" s="176" t="e">
        <f t="shared" si="51"/>
        <v>#N/A</v>
      </c>
      <c r="AB105" s="176" t="e">
        <f t="shared" ref="AB105:AB112" si="55">IF(W105=0,0,(($AW$106*Z105)-(X105+T105)*$AW$110)/W105)</f>
        <v>#N/A</v>
      </c>
      <c r="AC105" s="590" t="e">
        <f t="shared" ref="AC105:AC112" si="56">IF(W105=0,0,(T105*O105))</f>
        <v>#N/A</v>
      </c>
      <c r="AD105" s="590" t="e">
        <f t="shared" si="52"/>
        <v>#N/A</v>
      </c>
      <c r="AG105" s="607" t="s">
        <v>1526</v>
      </c>
      <c r="AH105" s="603" t="e">
        <f>AH62+AH104</f>
        <v>#N/A</v>
      </c>
      <c r="AI105" s="603" t="e">
        <f t="shared" ref="AI105:AS105" si="57">AI62+AI104</f>
        <v>#N/A</v>
      </c>
      <c r="AJ105" s="603" t="e">
        <f t="shared" si="57"/>
        <v>#N/A</v>
      </c>
      <c r="AK105" s="603" t="e">
        <f t="shared" si="57"/>
        <v>#N/A</v>
      </c>
      <c r="AL105" s="603" t="e">
        <f t="shared" si="57"/>
        <v>#N/A</v>
      </c>
      <c r="AM105" s="603" t="e">
        <f t="shared" si="57"/>
        <v>#N/A</v>
      </c>
      <c r="AN105" s="603" t="e">
        <f t="shared" si="57"/>
        <v>#N/A</v>
      </c>
      <c r="AO105" s="603" t="e">
        <f t="shared" si="57"/>
        <v>#N/A</v>
      </c>
      <c r="AP105" s="603" t="e">
        <f t="shared" si="57"/>
        <v>#N/A</v>
      </c>
      <c r="AQ105" s="603" t="e">
        <f t="shared" si="57"/>
        <v>#N/A</v>
      </c>
      <c r="AR105" s="603" t="e">
        <f t="shared" si="57"/>
        <v>#N/A</v>
      </c>
      <c r="AS105" s="603" t="e">
        <f t="shared" si="57"/>
        <v>#N/A</v>
      </c>
      <c r="AW105" s="580"/>
    </row>
    <row r="106" spans="2:50" ht="15" customHeight="1">
      <c r="B106" s="581" t="s">
        <v>225</v>
      </c>
      <c r="C106" s="604"/>
      <c r="D106" s="604"/>
      <c r="E106" s="604"/>
      <c r="F106" s="604"/>
      <c r="G106" s="604"/>
      <c r="H106" s="176" t="e">
        <f t="shared" si="42"/>
        <v>#N/A</v>
      </c>
      <c r="I106" s="176" t="e">
        <f t="shared" si="43"/>
        <v>#N/A</v>
      </c>
      <c r="J106" s="604"/>
      <c r="K106" s="604"/>
      <c r="L106" s="604"/>
      <c r="O106" s="590" t="e">
        <f t="shared" si="44"/>
        <v>#N/A</v>
      </c>
      <c r="P106" s="176">
        <f t="shared" ref="P106:P112" si="58">P105</f>
        <v>6</v>
      </c>
      <c r="Q106" s="580" t="e">
        <f t="shared" si="45"/>
        <v>#N/A</v>
      </c>
      <c r="R106" s="580">
        <f t="shared" ref="R106:R112" si="59">R105</f>
        <v>5.8</v>
      </c>
      <c r="S106" s="590" t="e">
        <f t="shared" si="46"/>
        <v>#N/A</v>
      </c>
      <c r="T106" s="176" t="e">
        <f t="shared" si="47"/>
        <v>#N/A</v>
      </c>
      <c r="U106" s="580">
        <f t="shared" ref="U106:U112" si="60">U105</f>
        <v>300</v>
      </c>
      <c r="V106" s="176" t="e">
        <f t="shared" si="48"/>
        <v>#N/A</v>
      </c>
      <c r="W106" s="605" t="e">
        <f>IF($R$35=2,0,IF($R$35=4,$O$35/4,IF($R$35=6,$O$35/6,IF($R$35=8,$O$35/8,IF($R$35=9,$O$35/9)))))</f>
        <v>#N/A</v>
      </c>
      <c r="X106" s="606" t="e">
        <f t="shared" si="49"/>
        <v>#N/A</v>
      </c>
      <c r="Y106" s="606" t="e">
        <f t="shared" si="50"/>
        <v>#N/A</v>
      </c>
      <c r="Z106" s="580">
        <f t="shared" ref="Z106:Z112" si="61">Z105</f>
        <v>3</v>
      </c>
      <c r="AA106" s="176" t="e">
        <f t="shared" si="51"/>
        <v>#N/A</v>
      </c>
      <c r="AB106" s="176" t="e">
        <f t="shared" si="55"/>
        <v>#N/A</v>
      </c>
      <c r="AC106" s="590" t="e">
        <f t="shared" si="56"/>
        <v>#N/A</v>
      </c>
      <c r="AD106" s="590" t="e">
        <f t="shared" si="52"/>
        <v>#N/A</v>
      </c>
      <c r="AG106" s="581" t="s">
        <v>1529</v>
      </c>
      <c r="AH106" s="590" t="e">
        <f>IF((AH105-$AW$60)&lt;0,0,AH105-$AW$60)</f>
        <v>#N/A</v>
      </c>
      <c r="AI106" s="590" t="e">
        <f t="shared" ref="AI106:AS106" si="62">IF((AI105-$AW$60)&lt;0,0,AI105-$AW$60)</f>
        <v>#N/A</v>
      </c>
      <c r="AJ106" s="590" t="e">
        <f t="shared" si="62"/>
        <v>#N/A</v>
      </c>
      <c r="AK106" s="590" t="e">
        <f t="shared" si="62"/>
        <v>#N/A</v>
      </c>
      <c r="AL106" s="590" t="e">
        <f t="shared" si="62"/>
        <v>#N/A</v>
      </c>
      <c r="AM106" s="590" t="e">
        <f t="shared" si="62"/>
        <v>#N/A</v>
      </c>
      <c r="AN106" s="590" t="e">
        <f t="shared" si="62"/>
        <v>#N/A</v>
      </c>
      <c r="AO106" s="590" t="e">
        <f t="shared" si="62"/>
        <v>#N/A</v>
      </c>
      <c r="AP106" s="590" t="e">
        <f t="shared" si="62"/>
        <v>#N/A</v>
      </c>
      <c r="AQ106" s="590" t="e">
        <f t="shared" si="62"/>
        <v>#N/A</v>
      </c>
      <c r="AR106" s="590" t="e">
        <f t="shared" si="62"/>
        <v>#N/A</v>
      </c>
      <c r="AS106" s="590" t="e">
        <f t="shared" si="62"/>
        <v>#N/A</v>
      </c>
      <c r="AV106" s="148" t="s">
        <v>1209</v>
      </c>
      <c r="AW106" s="148">
        <f>ENERGÍA!AY112</f>
        <v>0</v>
      </c>
    </row>
    <row r="107" spans="2:50" ht="15" customHeight="1">
      <c r="B107" s="581" t="s">
        <v>225</v>
      </c>
      <c r="C107" s="604"/>
      <c r="D107" s="604"/>
      <c r="E107" s="604"/>
      <c r="F107" s="604"/>
      <c r="G107" s="604"/>
      <c r="H107" s="176" t="e">
        <f t="shared" si="42"/>
        <v>#N/A</v>
      </c>
      <c r="I107" s="176" t="e">
        <f t="shared" si="43"/>
        <v>#N/A</v>
      </c>
      <c r="J107" s="604"/>
      <c r="K107" s="604"/>
      <c r="L107" s="604"/>
      <c r="O107" s="590" t="e">
        <f t="shared" si="44"/>
        <v>#N/A</v>
      </c>
      <c r="P107" s="176">
        <f t="shared" si="58"/>
        <v>6</v>
      </c>
      <c r="Q107" s="580" t="e">
        <f t="shared" si="45"/>
        <v>#N/A</v>
      </c>
      <c r="R107" s="580">
        <f t="shared" si="59"/>
        <v>5.8</v>
      </c>
      <c r="S107" s="590" t="e">
        <f t="shared" si="46"/>
        <v>#N/A</v>
      </c>
      <c r="T107" s="176" t="e">
        <f t="shared" si="47"/>
        <v>#N/A</v>
      </c>
      <c r="U107" s="580">
        <f t="shared" si="60"/>
        <v>300</v>
      </c>
      <c r="V107" s="176" t="e">
        <f t="shared" si="48"/>
        <v>#N/A</v>
      </c>
      <c r="W107" s="605" t="e">
        <f>IF($R$35=2,0,IF($R$35=4,$O$35/4,IF($R$35=6,$O$35/6,IF($R$35=8,$O$35/8,IF($R$35=9,$O$35/9)))))</f>
        <v>#N/A</v>
      </c>
      <c r="X107" s="606" t="e">
        <f t="shared" si="49"/>
        <v>#N/A</v>
      </c>
      <c r="Y107" s="606" t="e">
        <f t="shared" si="50"/>
        <v>#N/A</v>
      </c>
      <c r="Z107" s="580">
        <f t="shared" si="61"/>
        <v>3</v>
      </c>
      <c r="AA107" s="176" t="e">
        <f t="shared" si="51"/>
        <v>#N/A</v>
      </c>
      <c r="AB107" s="176" t="e">
        <f t="shared" si="55"/>
        <v>#N/A</v>
      </c>
      <c r="AC107" s="590" t="e">
        <f t="shared" si="56"/>
        <v>#N/A</v>
      </c>
      <c r="AD107" s="590" t="e">
        <f t="shared" si="52"/>
        <v>#N/A</v>
      </c>
      <c r="AG107" s="581" t="s">
        <v>1530</v>
      </c>
      <c r="AH107" s="590" t="e">
        <f>IF(AH105&gt;$AW$60,0,IF(AH105&lt;$AW$59,$AW$59-AH105,0))</f>
        <v>#N/A</v>
      </c>
      <c r="AI107" s="590" t="e">
        <f t="shared" ref="AI107:AS107" si="63">IF(AI105&gt;$AW$60,0,IF(AI105&lt;$AW$59,$AW$59-AI105,0))</f>
        <v>#N/A</v>
      </c>
      <c r="AJ107" s="590" t="e">
        <f t="shared" si="63"/>
        <v>#N/A</v>
      </c>
      <c r="AK107" s="590" t="e">
        <f t="shared" si="63"/>
        <v>#N/A</v>
      </c>
      <c r="AL107" s="590" t="e">
        <f t="shared" si="63"/>
        <v>#N/A</v>
      </c>
      <c r="AM107" s="590" t="e">
        <f t="shared" si="63"/>
        <v>#N/A</v>
      </c>
      <c r="AN107" s="590" t="e">
        <f t="shared" si="63"/>
        <v>#N/A</v>
      </c>
      <c r="AO107" s="590" t="e">
        <f t="shared" si="63"/>
        <v>#N/A</v>
      </c>
      <c r="AP107" s="590" t="e">
        <f t="shared" si="63"/>
        <v>#N/A</v>
      </c>
      <c r="AQ107" s="590" t="e">
        <f t="shared" si="63"/>
        <v>#N/A</v>
      </c>
      <c r="AR107" s="590" t="e">
        <f t="shared" si="63"/>
        <v>#N/A</v>
      </c>
      <c r="AS107" s="590" t="e">
        <f t="shared" si="63"/>
        <v>#N/A</v>
      </c>
      <c r="AW107" s="580"/>
    </row>
    <row r="108" spans="2:50" ht="15" customHeight="1">
      <c r="B108" s="581" t="s">
        <v>225</v>
      </c>
      <c r="C108" s="604"/>
      <c r="D108" s="604"/>
      <c r="E108" s="604"/>
      <c r="F108" s="604"/>
      <c r="G108" s="604"/>
      <c r="H108" s="176" t="e">
        <f t="shared" si="42"/>
        <v>#N/A</v>
      </c>
      <c r="I108" s="176" t="e">
        <f t="shared" si="43"/>
        <v>#N/A</v>
      </c>
      <c r="J108" s="604"/>
      <c r="K108" s="604"/>
      <c r="L108" s="604"/>
      <c r="O108" s="590" t="e">
        <f t="shared" si="44"/>
        <v>#N/A</v>
      </c>
      <c r="P108" s="176">
        <f t="shared" si="58"/>
        <v>6</v>
      </c>
      <c r="Q108" s="580" t="e">
        <f t="shared" si="45"/>
        <v>#N/A</v>
      </c>
      <c r="R108" s="580">
        <f t="shared" si="59"/>
        <v>5.8</v>
      </c>
      <c r="S108" s="590" t="e">
        <f t="shared" si="46"/>
        <v>#N/A</v>
      </c>
      <c r="T108" s="176" t="e">
        <f t="shared" si="47"/>
        <v>#N/A</v>
      </c>
      <c r="U108" s="580">
        <f t="shared" si="60"/>
        <v>300</v>
      </c>
      <c r="V108" s="176" t="e">
        <f t="shared" si="48"/>
        <v>#N/A</v>
      </c>
      <c r="W108" s="605" t="e">
        <f>IF($R$35=2,0,IF($R$35=4,0,IF($R$35=6,$O$35/6,IF($R$35=8,$O$35/8,IF($R$35=9,$O$35/9)))))</f>
        <v>#N/A</v>
      </c>
      <c r="X108" s="606" t="e">
        <f t="shared" si="49"/>
        <v>#N/A</v>
      </c>
      <c r="Y108" s="606" t="e">
        <f t="shared" si="50"/>
        <v>#N/A</v>
      </c>
      <c r="Z108" s="580">
        <f t="shared" si="61"/>
        <v>3</v>
      </c>
      <c r="AA108" s="176" t="e">
        <f t="shared" si="51"/>
        <v>#N/A</v>
      </c>
      <c r="AB108" s="176" t="e">
        <f t="shared" si="55"/>
        <v>#N/A</v>
      </c>
      <c r="AC108" s="590" t="e">
        <f t="shared" si="56"/>
        <v>#N/A</v>
      </c>
      <c r="AD108" s="590" t="e">
        <f t="shared" si="52"/>
        <v>#N/A</v>
      </c>
      <c r="AG108" s="581" t="s">
        <v>1540</v>
      </c>
      <c r="AH108" s="590" t="e">
        <f>(AH106+AH107)*24</f>
        <v>#N/A</v>
      </c>
      <c r="AI108" s="590" t="e">
        <f t="shared" ref="AI108:AS108" si="64">(AI106+AI107)*24</f>
        <v>#N/A</v>
      </c>
      <c r="AJ108" s="590" t="e">
        <f t="shared" si="64"/>
        <v>#N/A</v>
      </c>
      <c r="AK108" s="590" t="e">
        <f t="shared" si="64"/>
        <v>#N/A</v>
      </c>
      <c r="AL108" s="590" t="e">
        <f t="shared" si="64"/>
        <v>#N/A</v>
      </c>
      <c r="AM108" s="590" t="e">
        <f t="shared" si="64"/>
        <v>#N/A</v>
      </c>
      <c r="AN108" s="590" t="e">
        <f t="shared" si="64"/>
        <v>#N/A</v>
      </c>
      <c r="AO108" s="590" t="e">
        <f t="shared" si="64"/>
        <v>#N/A</v>
      </c>
      <c r="AP108" s="590" t="e">
        <f t="shared" si="64"/>
        <v>#N/A</v>
      </c>
      <c r="AQ108" s="590" t="e">
        <f t="shared" si="64"/>
        <v>#N/A</v>
      </c>
      <c r="AR108" s="590" t="e">
        <f t="shared" si="64"/>
        <v>#N/A</v>
      </c>
      <c r="AS108" s="590" t="e">
        <f t="shared" si="64"/>
        <v>#N/A</v>
      </c>
      <c r="AV108" s="148" t="s">
        <v>1207</v>
      </c>
      <c r="AW108" s="148">
        <f>ENERGÍA!AY114</f>
        <v>0</v>
      </c>
    </row>
    <row r="109" spans="2:50" ht="15" customHeight="1">
      <c r="B109" s="581" t="s">
        <v>225</v>
      </c>
      <c r="C109" s="604"/>
      <c r="D109" s="604"/>
      <c r="E109" s="604"/>
      <c r="F109" s="604"/>
      <c r="G109" s="604"/>
      <c r="H109" s="176" t="e">
        <f t="shared" si="42"/>
        <v>#N/A</v>
      </c>
      <c r="I109" s="176" t="e">
        <f t="shared" si="43"/>
        <v>#N/A</v>
      </c>
      <c r="J109" s="604"/>
      <c r="K109" s="604"/>
      <c r="L109" s="604"/>
      <c r="O109" s="590" t="e">
        <f t="shared" si="44"/>
        <v>#N/A</v>
      </c>
      <c r="P109" s="176">
        <f t="shared" si="58"/>
        <v>6</v>
      </c>
      <c r="Q109" s="580" t="e">
        <f t="shared" si="45"/>
        <v>#N/A</v>
      </c>
      <c r="R109" s="580">
        <f t="shared" si="59"/>
        <v>5.8</v>
      </c>
      <c r="S109" s="590" t="e">
        <f t="shared" si="46"/>
        <v>#N/A</v>
      </c>
      <c r="T109" s="176" t="e">
        <f t="shared" si="47"/>
        <v>#N/A</v>
      </c>
      <c r="U109" s="580">
        <f t="shared" si="60"/>
        <v>300</v>
      </c>
      <c r="V109" s="176" t="e">
        <f t="shared" si="48"/>
        <v>#N/A</v>
      </c>
      <c r="W109" s="605" t="e">
        <f>IF($R$35=2,0,IF($R$35=4,0,IF($R$35=6,$O$35/6,IF($R$35=8,$O$35/8,IF($R$35=9,$O$35/9)))))</f>
        <v>#N/A</v>
      </c>
      <c r="X109" s="606" t="e">
        <f t="shared" si="49"/>
        <v>#N/A</v>
      </c>
      <c r="Y109" s="606" t="e">
        <f t="shared" si="50"/>
        <v>#N/A</v>
      </c>
      <c r="Z109" s="580">
        <f t="shared" si="61"/>
        <v>3</v>
      </c>
      <c r="AA109" s="176" t="e">
        <f t="shared" si="51"/>
        <v>#N/A</v>
      </c>
      <c r="AB109" s="176" t="e">
        <f t="shared" si="55"/>
        <v>#N/A</v>
      </c>
      <c r="AC109" s="590" t="e">
        <f t="shared" si="56"/>
        <v>#N/A</v>
      </c>
      <c r="AD109" s="590" t="e">
        <f t="shared" si="52"/>
        <v>#N/A</v>
      </c>
      <c r="AW109" s="580"/>
    </row>
    <row r="110" spans="2:50" ht="15" customHeight="1">
      <c r="B110" s="581" t="s">
        <v>225</v>
      </c>
      <c r="C110" s="604"/>
      <c r="D110" s="604"/>
      <c r="E110" s="604"/>
      <c r="F110" s="604"/>
      <c r="G110" s="604"/>
      <c r="H110" s="176" t="e">
        <f t="shared" si="42"/>
        <v>#N/A</v>
      </c>
      <c r="I110" s="176" t="e">
        <f t="shared" si="43"/>
        <v>#N/A</v>
      </c>
      <c r="J110" s="604"/>
      <c r="K110" s="604"/>
      <c r="L110" s="604"/>
      <c r="O110" s="590" t="e">
        <f t="shared" si="44"/>
        <v>#N/A</v>
      </c>
      <c r="P110" s="176">
        <f t="shared" si="58"/>
        <v>6</v>
      </c>
      <c r="Q110" s="580" t="e">
        <f t="shared" si="45"/>
        <v>#N/A</v>
      </c>
      <c r="R110" s="580">
        <f t="shared" si="59"/>
        <v>5.8</v>
      </c>
      <c r="S110" s="590" t="e">
        <f t="shared" si="46"/>
        <v>#N/A</v>
      </c>
      <c r="T110" s="176" t="e">
        <f t="shared" si="47"/>
        <v>#N/A</v>
      </c>
      <c r="U110" s="580">
        <f t="shared" si="60"/>
        <v>300</v>
      </c>
      <c r="V110" s="176" t="e">
        <f t="shared" si="48"/>
        <v>#N/A</v>
      </c>
      <c r="W110" s="605" t="e">
        <f>IF($R$35=2,0,IF($R$35=4,0,IF($R$35=6,0,IF($R$35=8,$O$35/8,IF($R$35=9,$O$35/9)))))</f>
        <v>#N/A</v>
      </c>
      <c r="X110" s="606" t="e">
        <f t="shared" si="49"/>
        <v>#N/A</v>
      </c>
      <c r="Y110" s="606" t="e">
        <f t="shared" si="50"/>
        <v>#N/A</v>
      </c>
      <c r="Z110" s="580">
        <f t="shared" si="61"/>
        <v>3</v>
      </c>
      <c r="AA110" s="176" t="e">
        <f t="shared" si="51"/>
        <v>#N/A</v>
      </c>
      <c r="AB110" s="176" t="e">
        <f t="shared" si="55"/>
        <v>#N/A</v>
      </c>
      <c r="AC110" s="590" t="e">
        <f t="shared" si="56"/>
        <v>#N/A</v>
      </c>
      <c r="AD110" s="590" t="e">
        <f t="shared" si="52"/>
        <v>#N/A</v>
      </c>
      <c r="AV110" s="148" t="s">
        <v>1206</v>
      </c>
      <c r="AW110" s="148">
        <f>ENERGÍA!AY116</f>
        <v>0</v>
      </c>
    </row>
    <row r="111" spans="2:50" ht="15" customHeight="1">
      <c r="B111" s="581" t="s">
        <v>225</v>
      </c>
      <c r="C111" s="604"/>
      <c r="D111" s="604"/>
      <c r="E111" s="604"/>
      <c r="F111" s="604"/>
      <c r="G111" s="604"/>
      <c r="H111" s="176" t="e">
        <f t="shared" si="42"/>
        <v>#N/A</v>
      </c>
      <c r="I111" s="176" t="e">
        <f t="shared" si="43"/>
        <v>#N/A</v>
      </c>
      <c r="J111" s="604"/>
      <c r="K111" s="604"/>
      <c r="L111" s="604"/>
      <c r="O111" s="590" t="e">
        <f t="shared" si="44"/>
        <v>#N/A</v>
      </c>
      <c r="P111" s="176">
        <f t="shared" si="58"/>
        <v>6</v>
      </c>
      <c r="Q111" s="580" t="e">
        <f t="shared" si="45"/>
        <v>#N/A</v>
      </c>
      <c r="R111" s="580">
        <f t="shared" si="59"/>
        <v>5.8</v>
      </c>
      <c r="S111" s="590" t="e">
        <f t="shared" si="46"/>
        <v>#N/A</v>
      </c>
      <c r="T111" s="176" t="e">
        <f t="shared" si="47"/>
        <v>#N/A</v>
      </c>
      <c r="U111" s="580">
        <f t="shared" si="60"/>
        <v>300</v>
      </c>
      <c r="V111" s="176" t="e">
        <f t="shared" si="48"/>
        <v>#N/A</v>
      </c>
      <c r="W111" s="605" t="e">
        <f>IF($R$35=2,0,IF($R$35=4,0,IF($R$35=6,0,IF($R$35=8,$O$35/8,IF($R$35=9,$O$35/9)))))</f>
        <v>#N/A</v>
      </c>
      <c r="X111" s="606" t="e">
        <f t="shared" si="49"/>
        <v>#N/A</v>
      </c>
      <c r="Y111" s="606" t="e">
        <f t="shared" si="50"/>
        <v>#N/A</v>
      </c>
      <c r="Z111" s="580">
        <f t="shared" si="61"/>
        <v>3</v>
      </c>
      <c r="AA111" s="176" t="e">
        <f t="shared" si="51"/>
        <v>#N/A</v>
      </c>
      <c r="AB111" s="176" t="e">
        <f t="shared" si="55"/>
        <v>#N/A</v>
      </c>
      <c r="AC111" s="590" t="e">
        <f t="shared" si="56"/>
        <v>#N/A</v>
      </c>
      <c r="AD111" s="590" t="e">
        <f t="shared" si="52"/>
        <v>#N/A</v>
      </c>
      <c r="AG111" s="581" t="s">
        <v>1541</v>
      </c>
      <c r="AH111" s="580">
        <f t="shared" ref="AH111:AS111" si="65">AH64*24</f>
        <v>0</v>
      </c>
      <c r="AI111" s="580">
        <f t="shared" si="65"/>
        <v>0</v>
      </c>
      <c r="AJ111" s="580">
        <f t="shared" si="65"/>
        <v>0</v>
      </c>
      <c r="AK111" s="580">
        <f t="shared" si="65"/>
        <v>0</v>
      </c>
      <c r="AL111" s="580">
        <f t="shared" si="65"/>
        <v>0</v>
      </c>
      <c r="AM111" s="580">
        <f t="shared" si="65"/>
        <v>0</v>
      </c>
      <c r="AN111" s="580">
        <f t="shared" si="65"/>
        <v>0</v>
      </c>
      <c r="AO111" s="580">
        <f t="shared" si="65"/>
        <v>0</v>
      </c>
      <c r="AP111" s="580">
        <f t="shared" si="65"/>
        <v>0</v>
      </c>
      <c r="AQ111" s="580">
        <f t="shared" si="65"/>
        <v>0</v>
      </c>
      <c r="AR111" s="580">
        <f t="shared" si="65"/>
        <v>0</v>
      </c>
      <c r="AS111" s="580">
        <f t="shared" si="65"/>
        <v>0</v>
      </c>
      <c r="AW111" s="580"/>
    </row>
    <row r="112" spans="2:50" ht="15" customHeight="1">
      <c r="B112" s="581" t="s">
        <v>225</v>
      </c>
      <c r="C112" s="604"/>
      <c r="D112" s="604"/>
      <c r="E112" s="604"/>
      <c r="F112" s="604"/>
      <c r="G112" s="604"/>
      <c r="H112" s="176" t="e">
        <f t="shared" si="42"/>
        <v>#N/A</v>
      </c>
      <c r="I112" s="176" t="e">
        <f t="shared" si="43"/>
        <v>#N/A</v>
      </c>
      <c r="J112" s="604"/>
      <c r="K112" s="604"/>
      <c r="L112" s="604"/>
      <c r="O112" s="590" t="e">
        <f t="shared" si="44"/>
        <v>#N/A</v>
      </c>
      <c r="P112" s="176">
        <f t="shared" si="58"/>
        <v>6</v>
      </c>
      <c r="Q112" s="580" t="e">
        <f t="shared" si="45"/>
        <v>#N/A</v>
      </c>
      <c r="R112" s="580">
        <f t="shared" si="59"/>
        <v>5.8</v>
      </c>
      <c r="S112" s="590" t="e">
        <f t="shared" si="46"/>
        <v>#N/A</v>
      </c>
      <c r="T112" s="176" t="e">
        <f t="shared" si="47"/>
        <v>#N/A</v>
      </c>
      <c r="U112" s="580">
        <f t="shared" si="60"/>
        <v>300</v>
      </c>
      <c r="V112" s="176" t="e">
        <f t="shared" si="48"/>
        <v>#N/A</v>
      </c>
      <c r="W112" s="605" t="e">
        <f>IF($R$35=2,0,IF($R$35=4,0,IF($R$35=6,0,IF($R$35=8,0,IF($R$35=9,$O$35/9)))))</f>
        <v>#N/A</v>
      </c>
      <c r="X112" s="606" t="e">
        <f t="shared" si="49"/>
        <v>#N/A</v>
      </c>
      <c r="Y112" s="606" t="e">
        <f t="shared" si="50"/>
        <v>#N/A</v>
      </c>
      <c r="Z112" s="580">
        <f t="shared" si="61"/>
        <v>3</v>
      </c>
      <c r="AA112" s="176" t="e">
        <f t="shared" si="51"/>
        <v>#N/A</v>
      </c>
      <c r="AB112" s="176" t="e">
        <f t="shared" si="55"/>
        <v>#N/A</v>
      </c>
      <c r="AC112" s="590" t="e">
        <f t="shared" si="56"/>
        <v>#N/A</v>
      </c>
      <c r="AD112" s="590" t="e">
        <f t="shared" si="52"/>
        <v>#N/A</v>
      </c>
      <c r="AG112" s="581" t="s">
        <v>1545</v>
      </c>
      <c r="AH112" s="580">
        <f>(AH66*24/100)</f>
        <v>4.32</v>
      </c>
      <c r="AI112" s="580">
        <f t="shared" ref="AI112:AS112" si="66">(AI66*24/100)</f>
        <v>4.32</v>
      </c>
      <c r="AJ112" s="580">
        <f t="shared" si="66"/>
        <v>4.32</v>
      </c>
      <c r="AK112" s="580">
        <f t="shared" si="66"/>
        <v>4.32</v>
      </c>
      <c r="AL112" s="580">
        <f t="shared" si="66"/>
        <v>4.32</v>
      </c>
      <c r="AM112" s="580">
        <f t="shared" si="66"/>
        <v>4.32</v>
      </c>
      <c r="AN112" s="580">
        <f t="shared" si="66"/>
        <v>4.32</v>
      </c>
      <c r="AO112" s="580">
        <f t="shared" si="66"/>
        <v>4.32</v>
      </c>
      <c r="AP112" s="580">
        <f t="shared" si="66"/>
        <v>4.32</v>
      </c>
      <c r="AQ112" s="580">
        <f t="shared" si="66"/>
        <v>4.32</v>
      </c>
      <c r="AR112" s="580">
        <f t="shared" si="66"/>
        <v>4.32</v>
      </c>
      <c r="AS112" s="580">
        <f t="shared" si="66"/>
        <v>4.32</v>
      </c>
      <c r="AV112" s="580" t="s">
        <v>1405</v>
      </c>
      <c r="AW112" s="148">
        <f>ENERGÍA!AY118</f>
        <v>0</v>
      </c>
    </row>
    <row r="113" spans="1:50" ht="15" customHeight="1">
      <c r="D113" s="126"/>
      <c r="E113" s="126"/>
      <c r="K113" s="126"/>
      <c r="L113" s="126"/>
      <c r="Q113" s="126"/>
      <c r="R113" s="126"/>
      <c r="V113" s="126"/>
      <c r="X113" s="126"/>
      <c r="AV113" s="580"/>
      <c r="AW113" s="580"/>
    </row>
    <row r="114" spans="1:50" ht="15" customHeight="1">
      <c r="D114" s="126"/>
      <c r="E114" s="126"/>
      <c r="K114" s="126"/>
      <c r="L114" s="126"/>
      <c r="Q114" s="126"/>
      <c r="R114" s="126"/>
      <c r="V114" s="126"/>
      <c r="X114" s="126"/>
      <c r="AG114" s="581" t="s">
        <v>1544</v>
      </c>
      <c r="AH114" s="590" t="e">
        <f>IF(($AW$59-AH62)&lt;0,0,(($AW$59-AH62)*24)*AH112-AH108)</f>
        <v>#N/A</v>
      </c>
      <c r="AI114" s="590" t="e">
        <f t="shared" ref="AI114:AS114" si="67">IF(($AW$59-AI62)&lt;0,0,(($AW$59-AI62)*24)*AI112-AI108)</f>
        <v>#N/A</v>
      </c>
      <c r="AJ114" s="590" t="e">
        <f t="shared" si="67"/>
        <v>#N/A</v>
      </c>
      <c r="AK114" s="590" t="e">
        <f t="shared" si="67"/>
        <v>#N/A</v>
      </c>
      <c r="AL114" s="590" t="e">
        <f t="shared" si="67"/>
        <v>#N/A</v>
      </c>
      <c r="AM114" s="590" t="e">
        <f t="shared" si="67"/>
        <v>#N/A</v>
      </c>
      <c r="AN114" s="590" t="e">
        <f t="shared" si="67"/>
        <v>#N/A</v>
      </c>
      <c r="AO114" s="590" t="e">
        <f t="shared" si="67"/>
        <v>#N/A</v>
      </c>
      <c r="AP114" s="590" t="e">
        <f t="shared" si="67"/>
        <v>#N/A</v>
      </c>
      <c r="AQ114" s="590" t="e">
        <f t="shared" si="67"/>
        <v>#N/A</v>
      </c>
      <c r="AR114" s="590" t="e">
        <f t="shared" si="67"/>
        <v>#N/A</v>
      </c>
      <c r="AS114" s="590" t="e">
        <f t="shared" si="67"/>
        <v>#N/A</v>
      </c>
      <c r="AV114" s="580" t="s">
        <v>1406</v>
      </c>
      <c r="AW114" s="148">
        <f>ENERGÍA!AY120</f>
        <v>0</v>
      </c>
    </row>
    <row r="115" spans="1:50" ht="15" customHeight="1">
      <c r="C115" s="1323" t="s">
        <v>1204</v>
      </c>
      <c r="D115" s="1323"/>
      <c r="E115" s="580" t="s">
        <v>1185</v>
      </c>
      <c r="F115" s="580" t="s">
        <v>1186</v>
      </c>
      <c r="G115" s="580" t="s">
        <v>227</v>
      </c>
      <c r="K115" s="126"/>
      <c r="L115" s="126"/>
      <c r="Q115" s="126"/>
      <c r="R115" s="126"/>
      <c r="V115" s="126"/>
      <c r="X115" s="126"/>
      <c r="AH115" s="590" t="e">
        <f>IF(AH114&lt;0,0,AH114)</f>
        <v>#N/A</v>
      </c>
      <c r="AI115" s="590" t="e">
        <f t="shared" ref="AI115:AS115" si="68">IF(AI114&lt;0,0,AI114)</f>
        <v>#N/A</v>
      </c>
      <c r="AJ115" s="590" t="e">
        <f t="shared" si="68"/>
        <v>#N/A</v>
      </c>
      <c r="AK115" s="590" t="e">
        <f t="shared" si="68"/>
        <v>#N/A</v>
      </c>
      <c r="AL115" s="590" t="e">
        <f t="shared" si="68"/>
        <v>#N/A</v>
      </c>
      <c r="AM115" s="590" t="e">
        <f t="shared" si="68"/>
        <v>#N/A</v>
      </c>
      <c r="AN115" s="590" t="e">
        <f t="shared" si="68"/>
        <v>#N/A</v>
      </c>
      <c r="AO115" s="590" t="e">
        <f t="shared" si="68"/>
        <v>#N/A</v>
      </c>
      <c r="AP115" s="590" t="e">
        <f t="shared" si="68"/>
        <v>#N/A</v>
      </c>
      <c r="AQ115" s="590" t="e">
        <f t="shared" si="68"/>
        <v>#N/A</v>
      </c>
      <c r="AR115" s="590" t="e">
        <f t="shared" si="68"/>
        <v>#N/A</v>
      </c>
      <c r="AS115" s="590" t="e">
        <f t="shared" si="68"/>
        <v>#N/A</v>
      </c>
      <c r="AW115" s="580"/>
    </row>
    <row r="116" spans="1:50" ht="15" customHeight="1">
      <c r="B116" s="581" t="s">
        <v>768</v>
      </c>
      <c r="C116" s="1324"/>
      <c r="D116" s="1324"/>
      <c r="E116" s="589">
        <f>ENERGÍA!F122</f>
        <v>0</v>
      </c>
      <c r="F116" s="589">
        <f>ENERGÍA!G122</f>
        <v>0</v>
      </c>
      <c r="G116" s="589">
        <f>ENERGÍA!H122</f>
        <v>0</v>
      </c>
      <c r="K116" s="126"/>
      <c r="L116" s="126"/>
      <c r="T116" s="590">
        <f>ENERGÍA!U122</f>
        <v>0</v>
      </c>
      <c r="V116" s="126"/>
      <c r="X116" s="126"/>
      <c r="AC116" s="590">
        <f>T116*E116*F116</f>
        <v>0</v>
      </c>
      <c r="AD116" s="590">
        <f>AC116</f>
        <v>0</v>
      </c>
      <c r="AG116" s="1339" t="s">
        <v>1542</v>
      </c>
      <c r="AH116" s="1339"/>
      <c r="AI116" s="1339"/>
      <c r="AJ116" s="1339"/>
      <c r="AK116" s="1339"/>
      <c r="AL116" s="1339"/>
      <c r="AM116" s="1339"/>
      <c r="AN116" s="1339"/>
      <c r="AO116" s="1339"/>
      <c r="AP116" s="1339"/>
      <c r="AQ116" s="1339"/>
      <c r="AR116" s="1339"/>
      <c r="AS116" s="1339"/>
      <c r="AW116" s="580"/>
    </row>
    <row r="117" spans="1:50" ht="6" customHeight="1">
      <c r="J117" s="580"/>
      <c r="L117" s="126"/>
      <c r="V117" s="148"/>
      <c r="Z117" s="580"/>
      <c r="AA117" s="580"/>
      <c r="AW117" s="580"/>
    </row>
    <row r="118" spans="1:50" ht="15" customHeight="1">
      <c r="B118" s="1323">
        <f>C36</f>
        <v>0</v>
      </c>
      <c r="C118" s="1323"/>
      <c r="D118" s="1323"/>
      <c r="E118" s="1323"/>
      <c r="F118" s="1323"/>
      <c r="G118" s="1323"/>
      <c r="H118" s="1323"/>
      <c r="I118" s="1323"/>
      <c r="J118" s="1323"/>
      <c r="K118" s="1323"/>
      <c r="L118" s="1323"/>
      <c r="O118" s="1284">
        <f>B118</f>
        <v>0</v>
      </c>
      <c r="P118" s="1338"/>
      <c r="Q118" s="1338"/>
      <c r="R118" s="1338"/>
      <c r="S118" s="1338"/>
      <c r="T118" s="1338"/>
      <c r="U118" s="1338"/>
      <c r="V118" s="1338"/>
      <c r="W118" s="1338"/>
      <c r="X118" s="1338"/>
      <c r="Y118" s="1338"/>
      <c r="Z118" s="1338"/>
      <c r="AA118" s="1338"/>
      <c r="AB118" s="1338"/>
      <c r="AC118" s="1338"/>
      <c r="AD118" s="1338"/>
      <c r="AE118" s="1285"/>
      <c r="AG118" s="581" t="s">
        <v>1656</v>
      </c>
      <c r="AH118" s="590" t="e">
        <f>AH98*AH108*24/500</f>
        <v>#N/A</v>
      </c>
      <c r="AI118" s="590" t="e">
        <f t="shared" ref="AI118:AS118" si="69">AI98*AI108*24/500</f>
        <v>#N/A</v>
      </c>
      <c r="AJ118" s="590" t="e">
        <f t="shared" si="69"/>
        <v>#N/A</v>
      </c>
      <c r="AK118" s="590" t="e">
        <f t="shared" si="69"/>
        <v>#N/A</v>
      </c>
      <c r="AL118" s="590" t="e">
        <f t="shared" si="69"/>
        <v>#N/A</v>
      </c>
      <c r="AM118" s="590" t="e">
        <f t="shared" si="69"/>
        <v>#N/A</v>
      </c>
      <c r="AN118" s="590" t="e">
        <f t="shared" si="69"/>
        <v>#N/A</v>
      </c>
      <c r="AO118" s="590" t="e">
        <f t="shared" si="69"/>
        <v>#N/A</v>
      </c>
      <c r="AP118" s="590" t="e">
        <f t="shared" si="69"/>
        <v>#N/A</v>
      </c>
      <c r="AQ118" s="590" t="e">
        <f t="shared" si="69"/>
        <v>#N/A</v>
      </c>
      <c r="AR118" s="590" t="e">
        <f t="shared" si="69"/>
        <v>#N/A</v>
      </c>
      <c r="AS118" s="590" t="e">
        <f t="shared" si="69"/>
        <v>#N/A</v>
      </c>
      <c r="AW118" s="580"/>
    </row>
    <row r="119" spans="1:50" ht="6" customHeight="1">
      <c r="L119" s="126"/>
      <c r="V119" s="148"/>
      <c r="Z119" s="580"/>
      <c r="AA119" s="580"/>
      <c r="AF119" s="597"/>
      <c r="AW119" s="580"/>
    </row>
    <row r="120" spans="1:50" ht="15" customHeight="1">
      <c r="B120" s="1273"/>
      <c r="C120" s="1323" t="s">
        <v>1184</v>
      </c>
      <c r="D120" s="1323"/>
      <c r="E120" s="1323"/>
      <c r="F120" s="1323" t="s">
        <v>1188</v>
      </c>
      <c r="G120" s="1323"/>
      <c r="H120" s="1323" t="s">
        <v>1203</v>
      </c>
      <c r="I120" s="1323"/>
      <c r="J120" s="1281" t="s">
        <v>790</v>
      </c>
      <c r="K120" s="1281" t="s">
        <v>1136</v>
      </c>
      <c r="L120" s="1281"/>
      <c r="O120" s="580" t="s">
        <v>1651</v>
      </c>
      <c r="P120" s="1281" t="s">
        <v>1064</v>
      </c>
      <c r="Q120" s="580" t="s">
        <v>1652</v>
      </c>
      <c r="R120" s="1273" t="s">
        <v>1191</v>
      </c>
      <c r="S120" s="580" t="s">
        <v>1190</v>
      </c>
      <c r="T120" s="1273" t="s">
        <v>1192</v>
      </c>
      <c r="U120" s="1323" t="s">
        <v>1653</v>
      </c>
      <c r="V120" s="1323"/>
      <c r="W120" s="580" t="s">
        <v>1654</v>
      </c>
      <c r="X120" s="1273" t="s">
        <v>1403</v>
      </c>
      <c r="Y120" s="1273" t="s">
        <v>1404</v>
      </c>
      <c r="Z120" s="1273" t="s">
        <v>1210</v>
      </c>
      <c r="AA120" s="1273" t="s">
        <v>1201</v>
      </c>
      <c r="AB120" s="1273" t="s">
        <v>1202</v>
      </c>
      <c r="AC120" s="1281" t="s">
        <v>850</v>
      </c>
      <c r="AD120" s="1281" t="str">
        <f>AC120</f>
        <v>W/K Inv</v>
      </c>
      <c r="AE120" s="226" t="s">
        <v>1017</v>
      </c>
      <c r="AF120" s="597"/>
      <c r="AG120" s="581" t="s">
        <v>760</v>
      </c>
      <c r="AH120" s="590">
        <f>(AD60/0.2)*31/1000*(6.1/6)</f>
        <v>0</v>
      </c>
      <c r="AI120" s="590">
        <f>AH120</f>
        <v>0</v>
      </c>
      <c r="AJ120" s="590">
        <f t="shared" ref="AJ120:AS120" si="70">AI120</f>
        <v>0</v>
      </c>
      <c r="AK120" s="590">
        <f t="shared" si="70"/>
        <v>0</v>
      </c>
      <c r="AL120" s="590">
        <f t="shared" si="70"/>
        <v>0</v>
      </c>
      <c r="AM120" s="590">
        <f t="shared" si="70"/>
        <v>0</v>
      </c>
      <c r="AN120" s="590">
        <f t="shared" si="70"/>
        <v>0</v>
      </c>
      <c r="AO120" s="590">
        <f t="shared" si="70"/>
        <v>0</v>
      </c>
      <c r="AP120" s="590">
        <f t="shared" si="70"/>
        <v>0</v>
      </c>
      <c r="AQ120" s="590">
        <f t="shared" si="70"/>
        <v>0</v>
      </c>
      <c r="AR120" s="590">
        <f t="shared" si="70"/>
        <v>0</v>
      </c>
      <c r="AS120" s="590">
        <f t="shared" si="70"/>
        <v>0</v>
      </c>
    </row>
    <row r="121" spans="1:50" ht="15" customHeight="1">
      <c r="B121" s="1273"/>
      <c r="C121" s="148" t="s">
        <v>623</v>
      </c>
      <c r="D121" s="580" t="s">
        <v>1185</v>
      </c>
      <c r="E121" s="580" t="s">
        <v>1186</v>
      </c>
      <c r="F121" s="580" t="s">
        <v>623</v>
      </c>
      <c r="G121" s="580" t="s">
        <v>1189</v>
      </c>
      <c r="H121" s="580" t="s">
        <v>757</v>
      </c>
      <c r="I121" s="580" t="s">
        <v>650</v>
      </c>
      <c r="J121" s="1281"/>
      <c r="K121" s="166" t="s">
        <v>623</v>
      </c>
      <c r="L121" s="602" t="s">
        <v>1122</v>
      </c>
      <c r="O121" s="580" t="s">
        <v>1187</v>
      </c>
      <c r="P121" s="1281"/>
      <c r="Q121" s="580" t="s">
        <v>1187</v>
      </c>
      <c r="R121" s="1273"/>
      <c r="S121" s="580" t="s">
        <v>18</v>
      </c>
      <c r="T121" s="1273"/>
      <c r="U121" s="580" t="s">
        <v>1199</v>
      </c>
      <c r="V121" s="148" t="s">
        <v>1200</v>
      </c>
      <c r="W121" s="176" t="s">
        <v>1187</v>
      </c>
      <c r="X121" s="1273"/>
      <c r="Y121" s="1273"/>
      <c r="Z121" s="1273"/>
      <c r="AA121" s="1273"/>
      <c r="AB121" s="1273"/>
      <c r="AC121" s="1281"/>
      <c r="AD121" s="1281"/>
      <c r="AE121" s="603" t="e">
        <f>Q36</f>
        <v>#N/A</v>
      </c>
      <c r="AF121" s="597"/>
      <c r="AG121" s="608" t="s">
        <v>762</v>
      </c>
      <c r="AH121" s="590">
        <f>AK121*AH72/30</f>
        <v>71.3</v>
      </c>
      <c r="AI121" s="590">
        <f>AK121*AI72/30</f>
        <v>64.400000000000006</v>
      </c>
      <c r="AJ121" s="590">
        <f>AH121</f>
        <v>71.3</v>
      </c>
      <c r="AK121" s="590">
        <f>AJ50</f>
        <v>69</v>
      </c>
      <c r="AL121" s="590">
        <f>AJ121</f>
        <v>71.3</v>
      </c>
      <c r="AM121" s="590">
        <f>AK121</f>
        <v>69</v>
      </c>
      <c r="AN121" s="590">
        <f>AJ121</f>
        <v>71.3</v>
      </c>
      <c r="AO121" s="590">
        <f>AJ121</f>
        <v>71.3</v>
      </c>
      <c r="AP121" s="590">
        <f>AK121</f>
        <v>69</v>
      </c>
      <c r="AQ121" s="590">
        <f>AJ121</f>
        <v>71.3</v>
      </c>
      <c r="AR121" s="590">
        <f>AK121</f>
        <v>69</v>
      </c>
      <c r="AS121" s="590">
        <f>AJ121</f>
        <v>71.3</v>
      </c>
    </row>
    <row r="122" spans="1:50" s="173" customFormat="1" ht="15" customHeight="1">
      <c r="A122" s="126"/>
      <c r="B122" s="581" t="s">
        <v>225</v>
      </c>
      <c r="C122" s="604"/>
      <c r="D122" s="604"/>
      <c r="E122" s="604"/>
      <c r="F122" s="604"/>
      <c r="G122" s="604"/>
      <c r="H122" s="176" t="e">
        <f t="shared" ref="H122:H130" si="71">IF(W122=0,"-",IF($O$4=6,"No Aplica",HLOOKUP(AA122,ZONA2,2,TRUE)))</f>
        <v>#N/A</v>
      </c>
      <c r="I122" s="176" t="e">
        <f t="shared" ref="I122:I130" si="72">IF(W122=0,"-",IF($O$4=6,HLOOKUP(AB122,ZONA3,2,TRUE),HLOOKUP(AB122,ZONA1,2,TRUE)))</f>
        <v>#N/A</v>
      </c>
      <c r="J122" s="604"/>
      <c r="K122" s="604"/>
      <c r="L122" s="604"/>
      <c r="M122" s="126"/>
      <c r="N122" s="126"/>
      <c r="O122" s="590" t="e">
        <f t="shared" ref="O122:O130" si="73">$W$104-Q122</f>
        <v>#N/A</v>
      </c>
      <c r="P122" s="176">
        <f>P104</f>
        <v>6</v>
      </c>
      <c r="Q122" s="580" t="e">
        <f t="shared" ref="Q122:Q130" si="74">W122*0.02</f>
        <v>#N/A</v>
      </c>
      <c r="R122" s="176">
        <f>R104</f>
        <v>5.8</v>
      </c>
      <c r="S122" s="590" t="e">
        <f t="shared" ref="S122:S130" si="75">(W122/2)+2</f>
        <v>#N/A</v>
      </c>
      <c r="T122" s="176" t="e">
        <f t="shared" ref="T122:T130" si="76">((O122*P122)+(Q122*R122)+(S122*0.02))/W122</f>
        <v>#N/A</v>
      </c>
      <c r="U122" s="176">
        <f>U104</f>
        <v>300</v>
      </c>
      <c r="V122" s="176" t="e">
        <f t="shared" ref="V122:V130" si="77">IF(W122=0,0,U122*W122)</f>
        <v>#N/A</v>
      </c>
      <c r="W122" s="605" t="e">
        <f t="shared" ref="W122:W123" si="78">IF($R$36=2,$O$36/2,IF($R$36=4,$O$36/4,IF($R$36=6,$O$36/6,IF($R$36=8,$O$36/8,IF($R$36=9,$O$36/9)))))</f>
        <v>#N/A</v>
      </c>
      <c r="X122" s="606" t="e">
        <f t="shared" ref="X122:X130" si="79">(V122*$AW$112)</f>
        <v>#N/A</v>
      </c>
      <c r="Y122" s="606" t="e">
        <f t="shared" ref="Y122:Y130" si="80">V122*$AW$114</f>
        <v>#N/A</v>
      </c>
      <c r="Z122" s="176">
        <f>Z104</f>
        <v>3</v>
      </c>
      <c r="AA122" s="176" t="e">
        <f t="shared" ref="AA122:AA130" si="81">IF(W122=0,0,(($AW$104*Z122)+X122+(T122*$AW$108))/W122)</f>
        <v>#N/A</v>
      </c>
      <c r="AB122" s="176" t="e">
        <f t="shared" ref="AB122:AB130" si="82">IF(W122=0,0,(($AW$106*Z122)-(X122+T122)*$AW$110)/W122)</f>
        <v>#N/A</v>
      </c>
      <c r="AC122" s="590" t="e">
        <f t="shared" ref="AC122:AC130" si="83">IF(W122=0,0,(T122*O122))</f>
        <v>#N/A</v>
      </c>
      <c r="AD122" s="590" t="e">
        <f t="shared" ref="AD122:AD130" si="84">AC122</f>
        <v>#N/A</v>
      </c>
      <c r="AE122" s="126"/>
      <c r="AF122" s="126"/>
      <c r="AG122" s="581" t="s">
        <v>1033</v>
      </c>
      <c r="AH122" s="590" t="e">
        <f t="shared" ref="AH122:AS122" si="85">AH80*23*AH72/1000</f>
        <v>#N/A</v>
      </c>
      <c r="AI122" s="590" t="e">
        <f t="shared" si="85"/>
        <v>#N/A</v>
      </c>
      <c r="AJ122" s="590" t="e">
        <f t="shared" si="85"/>
        <v>#N/A</v>
      </c>
      <c r="AK122" s="590" t="e">
        <f t="shared" si="85"/>
        <v>#N/A</v>
      </c>
      <c r="AL122" s="590" t="e">
        <f t="shared" si="85"/>
        <v>#N/A</v>
      </c>
      <c r="AM122" s="590" t="e">
        <f t="shared" si="85"/>
        <v>#N/A</v>
      </c>
      <c r="AN122" s="590" t="e">
        <f t="shared" si="85"/>
        <v>#N/A</v>
      </c>
      <c r="AO122" s="590" t="e">
        <f t="shared" si="85"/>
        <v>#N/A</v>
      </c>
      <c r="AP122" s="590" t="e">
        <f t="shared" si="85"/>
        <v>#N/A</v>
      </c>
      <c r="AQ122" s="590" t="e">
        <f t="shared" si="85"/>
        <v>#N/A</v>
      </c>
      <c r="AR122" s="590" t="e">
        <f t="shared" si="85"/>
        <v>#N/A</v>
      </c>
      <c r="AS122" s="590" t="e">
        <f t="shared" si="85"/>
        <v>#N/A</v>
      </c>
      <c r="AX122" s="126"/>
    </row>
    <row r="123" spans="1:50" ht="15" customHeight="1">
      <c r="B123" s="581" t="s">
        <v>225</v>
      </c>
      <c r="C123" s="604"/>
      <c r="D123" s="604"/>
      <c r="E123" s="604"/>
      <c r="F123" s="604"/>
      <c r="G123" s="604"/>
      <c r="H123" s="176" t="e">
        <f t="shared" si="71"/>
        <v>#N/A</v>
      </c>
      <c r="I123" s="176" t="e">
        <f t="shared" si="72"/>
        <v>#N/A</v>
      </c>
      <c r="J123" s="604"/>
      <c r="K123" s="604"/>
      <c r="L123" s="604"/>
      <c r="O123" s="590" t="e">
        <f t="shared" si="73"/>
        <v>#N/A</v>
      </c>
      <c r="P123" s="176">
        <f>P122</f>
        <v>6</v>
      </c>
      <c r="Q123" s="580" t="e">
        <f t="shared" si="74"/>
        <v>#N/A</v>
      </c>
      <c r="R123" s="176">
        <f>R122</f>
        <v>5.8</v>
      </c>
      <c r="S123" s="590" t="e">
        <f t="shared" si="75"/>
        <v>#N/A</v>
      </c>
      <c r="T123" s="176" t="e">
        <f t="shared" si="76"/>
        <v>#N/A</v>
      </c>
      <c r="U123" s="176">
        <f>U122</f>
        <v>300</v>
      </c>
      <c r="V123" s="176" t="e">
        <f t="shared" si="77"/>
        <v>#N/A</v>
      </c>
      <c r="W123" s="605" t="e">
        <f t="shared" si="78"/>
        <v>#N/A</v>
      </c>
      <c r="X123" s="606" t="e">
        <f t="shared" si="79"/>
        <v>#N/A</v>
      </c>
      <c r="Y123" s="606" t="e">
        <f t="shared" si="80"/>
        <v>#N/A</v>
      </c>
      <c r="Z123" s="176">
        <f>Z122</f>
        <v>3</v>
      </c>
      <c r="AA123" s="176" t="e">
        <f t="shared" si="81"/>
        <v>#N/A</v>
      </c>
      <c r="AB123" s="176" t="e">
        <f t="shared" si="82"/>
        <v>#N/A</v>
      </c>
      <c r="AC123" s="590" t="e">
        <f t="shared" si="83"/>
        <v>#N/A</v>
      </c>
      <c r="AD123" s="590" t="e">
        <f t="shared" si="84"/>
        <v>#N/A</v>
      </c>
      <c r="AF123" s="597"/>
      <c r="AG123" s="581" t="s">
        <v>991</v>
      </c>
      <c r="AH123" s="590">
        <f t="shared" ref="AH123:AS123" si="86">AH87*31*24/1000</f>
        <v>0</v>
      </c>
      <c r="AI123" s="590">
        <f t="shared" si="86"/>
        <v>0</v>
      </c>
      <c r="AJ123" s="590">
        <f t="shared" si="86"/>
        <v>0</v>
      </c>
      <c r="AK123" s="590">
        <f t="shared" si="86"/>
        <v>0</v>
      </c>
      <c r="AL123" s="590">
        <f t="shared" si="86"/>
        <v>0</v>
      </c>
      <c r="AM123" s="590">
        <f t="shared" si="86"/>
        <v>0</v>
      </c>
      <c r="AN123" s="590">
        <f t="shared" si="86"/>
        <v>0</v>
      </c>
      <c r="AO123" s="590">
        <f t="shared" si="86"/>
        <v>0</v>
      </c>
      <c r="AP123" s="590">
        <f t="shared" si="86"/>
        <v>0</v>
      </c>
      <c r="AQ123" s="590">
        <f t="shared" si="86"/>
        <v>0</v>
      </c>
      <c r="AR123" s="590">
        <f t="shared" si="86"/>
        <v>0</v>
      </c>
      <c r="AS123" s="590">
        <f t="shared" si="86"/>
        <v>0</v>
      </c>
    </row>
    <row r="124" spans="1:50" ht="15" customHeight="1">
      <c r="B124" s="581" t="s">
        <v>225</v>
      </c>
      <c r="C124" s="604"/>
      <c r="D124" s="604"/>
      <c r="E124" s="604"/>
      <c r="F124" s="604"/>
      <c r="G124" s="604"/>
      <c r="H124" s="176" t="e">
        <f t="shared" si="71"/>
        <v>#N/A</v>
      </c>
      <c r="I124" s="176" t="e">
        <f t="shared" si="72"/>
        <v>#N/A</v>
      </c>
      <c r="J124" s="604"/>
      <c r="K124" s="604"/>
      <c r="L124" s="604"/>
      <c r="O124" s="590" t="e">
        <f t="shared" si="73"/>
        <v>#N/A</v>
      </c>
      <c r="P124" s="176">
        <f t="shared" ref="P124:R130" si="87">P123</f>
        <v>6</v>
      </c>
      <c r="Q124" s="580" t="e">
        <f t="shared" si="74"/>
        <v>#N/A</v>
      </c>
      <c r="R124" s="176">
        <f t="shared" si="87"/>
        <v>5.8</v>
      </c>
      <c r="S124" s="590" t="e">
        <f t="shared" si="75"/>
        <v>#N/A</v>
      </c>
      <c r="T124" s="176" t="e">
        <f t="shared" si="76"/>
        <v>#N/A</v>
      </c>
      <c r="U124" s="176">
        <f t="shared" ref="U124:U130" si="88">U123</f>
        <v>300</v>
      </c>
      <c r="V124" s="176" t="e">
        <f t="shared" si="77"/>
        <v>#N/A</v>
      </c>
      <c r="W124" s="605" t="e">
        <f>IF($R$36=2,0,IF($R$36=4,$O$36/4,IF($R$36=6,$O$36/6,IF($R$36=8,$O$36/8,IF($R$36=9,$O$36/9)))))</f>
        <v>#N/A</v>
      </c>
      <c r="X124" s="606" t="e">
        <f t="shared" si="79"/>
        <v>#N/A</v>
      </c>
      <c r="Y124" s="606" t="e">
        <f t="shared" si="80"/>
        <v>#N/A</v>
      </c>
      <c r="Z124" s="176">
        <f t="shared" ref="Z124:Z130" si="89">Z123</f>
        <v>3</v>
      </c>
      <c r="AA124" s="176" t="e">
        <f t="shared" si="81"/>
        <v>#N/A</v>
      </c>
      <c r="AB124" s="176" t="e">
        <f t="shared" si="82"/>
        <v>#N/A</v>
      </c>
      <c r="AC124" s="590" t="e">
        <f t="shared" si="83"/>
        <v>#N/A</v>
      </c>
      <c r="AD124" s="590" t="e">
        <f t="shared" si="84"/>
        <v>#N/A</v>
      </c>
    </row>
    <row r="125" spans="1:50" ht="15" customHeight="1">
      <c r="B125" s="581" t="s">
        <v>225</v>
      </c>
      <c r="C125" s="604"/>
      <c r="D125" s="604"/>
      <c r="E125" s="604"/>
      <c r="F125" s="604"/>
      <c r="G125" s="604"/>
      <c r="H125" s="176" t="e">
        <f t="shared" si="71"/>
        <v>#N/A</v>
      </c>
      <c r="I125" s="176" t="e">
        <f t="shared" si="72"/>
        <v>#N/A</v>
      </c>
      <c r="J125" s="604"/>
      <c r="K125" s="604"/>
      <c r="L125" s="604"/>
      <c r="O125" s="590" t="e">
        <f t="shared" si="73"/>
        <v>#N/A</v>
      </c>
      <c r="P125" s="176">
        <f t="shared" si="87"/>
        <v>6</v>
      </c>
      <c r="Q125" s="580" t="e">
        <f t="shared" si="74"/>
        <v>#N/A</v>
      </c>
      <c r="R125" s="176">
        <f t="shared" si="87"/>
        <v>5.8</v>
      </c>
      <c r="S125" s="590" t="e">
        <f t="shared" si="75"/>
        <v>#N/A</v>
      </c>
      <c r="T125" s="176" t="e">
        <f t="shared" si="76"/>
        <v>#N/A</v>
      </c>
      <c r="U125" s="176">
        <f t="shared" si="88"/>
        <v>300</v>
      </c>
      <c r="V125" s="176" t="e">
        <f t="shared" si="77"/>
        <v>#N/A</v>
      </c>
      <c r="W125" s="605" t="e">
        <f t="shared" ref="W125" si="90">IF($R$36=2,0,IF($R$36=4,$O$36/4,IF($R$36=6,$O$36/6,IF($R$36=8,$O$36/8,IF($R$36=9,$O$36/9)))))</f>
        <v>#N/A</v>
      </c>
      <c r="X125" s="606" t="e">
        <f t="shared" si="79"/>
        <v>#N/A</v>
      </c>
      <c r="Y125" s="606" t="e">
        <f t="shared" si="80"/>
        <v>#N/A</v>
      </c>
      <c r="Z125" s="176">
        <f t="shared" si="89"/>
        <v>3</v>
      </c>
      <c r="AA125" s="176" t="e">
        <f t="shared" si="81"/>
        <v>#N/A</v>
      </c>
      <c r="AB125" s="176" t="e">
        <f t="shared" si="82"/>
        <v>#N/A</v>
      </c>
      <c r="AC125" s="590" t="e">
        <f t="shared" si="83"/>
        <v>#N/A</v>
      </c>
      <c r="AD125" s="590" t="e">
        <f t="shared" si="84"/>
        <v>#N/A</v>
      </c>
      <c r="AF125" s="597"/>
      <c r="AG125" s="581" t="s">
        <v>1620</v>
      </c>
      <c r="AH125" s="590">
        <v>0</v>
      </c>
      <c r="AI125" s="590">
        <v>0</v>
      </c>
      <c r="AJ125" s="590">
        <v>0</v>
      </c>
      <c r="AK125" s="590">
        <v>0</v>
      </c>
      <c r="AL125" s="590">
        <v>0</v>
      </c>
      <c r="AM125" s="590">
        <v>0</v>
      </c>
      <c r="AN125" s="590">
        <v>0</v>
      </c>
      <c r="AO125" s="590">
        <v>0</v>
      </c>
      <c r="AP125" s="590">
        <v>0</v>
      </c>
      <c r="AQ125" s="590">
        <v>0</v>
      </c>
      <c r="AR125" s="590">
        <v>0</v>
      </c>
      <c r="AS125" s="590">
        <v>0</v>
      </c>
    </row>
    <row r="126" spans="1:50" ht="15" customHeight="1">
      <c r="B126" s="581" t="s">
        <v>225</v>
      </c>
      <c r="C126" s="604"/>
      <c r="D126" s="604"/>
      <c r="E126" s="604"/>
      <c r="F126" s="604"/>
      <c r="G126" s="604"/>
      <c r="H126" s="176" t="e">
        <f t="shared" si="71"/>
        <v>#N/A</v>
      </c>
      <c r="I126" s="176" t="e">
        <f t="shared" si="72"/>
        <v>#N/A</v>
      </c>
      <c r="J126" s="604"/>
      <c r="K126" s="604"/>
      <c r="L126" s="604"/>
      <c r="O126" s="590" t="e">
        <f t="shared" si="73"/>
        <v>#N/A</v>
      </c>
      <c r="P126" s="176">
        <f t="shared" si="87"/>
        <v>6</v>
      </c>
      <c r="Q126" s="580" t="e">
        <f t="shared" si="74"/>
        <v>#N/A</v>
      </c>
      <c r="R126" s="176">
        <f t="shared" si="87"/>
        <v>5.8</v>
      </c>
      <c r="S126" s="590" t="e">
        <f t="shared" si="75"/>
        <v>#N/A</v>
      </c>
      <c r="T126" s="176" t="e">
        <f t="shared" si="76"/>
        <v>#N/A</v>
      </c>
      <c r="U126" s="176">
        <f t="shared" si="88"/>
        <v>300</v>
      </c>
      <c r="V126" s="176" t="e">
        <f t="shared" si="77"/>
        <v>#N/A</v>
      </c>
      <c r="W126" s="605" t="e">
        <f>IF($R$36=2,0,IF($R$36=4,0,IF($R$36=6,$O$36/6,IF($R$36=8,$O$36/8,IF($R$36=9,$O$36/9)))))</f>
        <v>#N/A</v>
      </c>
      <c r="X126" s="606" t="e">
        <f t="shared" si="79"/>
        <v>#N/A</v>
      </c>
      <c r="Y126" s="606" t="e">
        <f t="shared" si="80"/>
        <v>#N/A</v>
      </c>
      <c r="Z126" s="176">
        <f t="shared" si="89"/>
        <v>3</v>
      </c>
      <c r="AA126" s="176" t="e">
        <f t="shared" si="81"/>
        <v>#N/A</v>
      </c>
      <c r="AB126" s="176" t="e">
        <f t="shared" si="82"/>
        <v>#N/A</v>
      </c>
      <c r="AC126" s="590" t="e">
        <f t="shared" si="83"/>
        <v>#N/A</v>
      </c>
      <c r="AD126" s="590" t="e">
        <f t="shared" si="84"/>
        <v>#N/A</v>
      </c>
    </row>
    <row r="127" spans="1:50" ht="15" customHeight="1">
      <c r="B127" s="581" t="s">
        <v>225</v>
      </c>
      <c r="C127" s="604"/>
      <c r="D127" s="604"/>
      <c r="E127" s="604"/>
      <c r="F127" s="604"/>
      <c r="G127" s="604"/>
      <c r="H127" s="176" t="e">
        <f t="shared" si="71"/>
        <v>#N/A</v>
      </c>
      <c r="I127" s="176" t="e">
        <f t="shared" si="72"/>
        <v>#N/A</v>
      </c>
      <c r="J127" s="604"/>
      <c r="K127" s="604"/>
      <c r="L127" s="604"/>
      <c r="O127" s="590" t="e">
        <f t="shared" si="73"/>
        <v>#N/A</v>
      </c>
      <c r="P127" s="176">
        <f t="shared" si="87"/>
        <v>6</v>
      </c>
      <c r="Q127" s="580" t="e">
        <f t="shared" si="74"/>
        <v>#N/A</v>
      </c>
      <c r="R127" s="176">
        <f t="shared" si="87"/>
        <v>5.8</v>
      </c>
      <c r="S127" s="590" t="e">
        <f t="shared" si="75"/>
        <v>#N/A</v>
      </c>
      <c r="T127" s="176" t="e">
        <f t="shared" si="76"/>
        <v>#N/A</v>
      </c>
      <c r="U127" s="176">
        <f t="shared" si="88"/>
        <v>300</v>
      </c>
      <c r="V127" s="176" t="e">
        <f t="shared" si="77"/>
        <v>#N/A</v>
      </c>
      <c r="W127" s="605" t="e">
        <f>IF($R$36=2,0,IF($R$36=4,0,IF($R$36=6,$O$36/6,IF($R$36=8,$O$36/8,IF($R$36=9,$O$36/9)))))</f>
        <v>#N/A</v>
      </c>
      <c r="X127" s="606" t="e">
        <f t="shared" si="79"/>
        <v>#N/A</v>
      </c>
      <c r="Y127" s="606" t="e">
        <f t="shared" si="80"/>
        <v>#N/A</v>
      </c>
      <c r="Z127" s="176">
        <f t="shared" si="89"/>
        <v>3</v>
      </c>
      <c r="AA127" s="176" t="e">
        <f t="shared" si="81"/>
        <v>#N/A</v>
      </c>
      <c r="AB127" s="176" t="e">
        <f t="shared" si="82"/>
        <v>#N/A</v>
      </c>
      <c r="AC127" s="590" t="e">
        <f t="shared" si="83"/>
        <v>#N/A</v>
      </c>
      <c r="AD127" s="590" t="e">
        <f t="shared" si="84"/>
        <v>#N/A</v>
      </c>
      <c r="AF127" s="597"/>
    </row>
    <row r="128" spans="1:50" ht="15" customHeight="1">
      <c r="B128" s="581" t="s">
        <v>225</v>
      </c>
      <c r="C128" s="604"/>
      <c r="D128" s="604"/>
      <c r="E128" s="604"/>
      <c r="F128" s="604"/>
      <c r="G128" s="604"/>
      <c r="H128" s="176" t="e">
        <f t="shared" si="71"/>
        <v>#N/A</v>
      </c>
      <c r="I128" s="176" t="e">
        <f t="shared" si="72"/>
        <v>#N/A</v>
      </c>
      <c r="J128" s="604"/>
      <c r="K128" s="604"/>
      <c r="L128" s="604"/>
      <c r="O128" s="590" t="e">
        <f t="shared" si="73"/>
        <v>#N/A</v>
      </c>
      <c r="P128" s="176">
        <f t="shared" si="87"/>
        <v>6</v>
      </c>
      <c r="Q128" s="580" t="e">
        <f t="shared" si="74"/>
        <v>#N/A</v>
      </c>
      <c r="R128" s="176">
        <f t="shared" si="87"/>
        <v>5.8</v>
      </c>
      <c r="S128" s="590" t="e">
        <f t="shared" si="75"/>
        <v>#N/A</v>
      </c>
      <c r="T128" s="176" t="e">
        <f t="shared" si="76"/>
        <v>#N/A</v>
      </c>
      <c r="U128" s="176">
        <f t="shared" si="88"/>
        <v>300</v>
      </c>
      <c r="V128" s="176" t="e">
        <f t="shared" si="77"/>
        <v>#N/A</v>
      </c>
      <c r="W128" s="605" t="e">
        <f>IF($R$36=2,0,IF($R$36=4,0,IF($R$36=6,0,IF($R$36=8,$O$36/8,IF($R$36=9,$O$36/9)))))</f>
        <v>#N/A</v>
      </c>
      <c r="X128" s="606" t="e">
        <f t="shared" si="79"/>
        <v>#N/A</v>
      </c>
      <c r="Y128" s="606" t="e">
        <f t="shared" si="80"/>
        <v>#N/A</v>
      </c>
      <c r="Z128" s="176">
        <f t="shared" si="89"/>
        <v>3</v>
      </c>
      <c r="AA128" s="176" t="e">
        <f t="shared" si="81"/>
        <v>#N/A</v>
      </c>
      <c r="AB128" s="176" t="e">
        <f t="shared" si="82"/>
        <v>#N/A</v>
      </c>
      <c r="AC128" s="590" t="e">
        <f t="shared" si="83"/>
        <v>#N/A</v>
      </c>
      <c r="AD128" s="590" t="e">
        <f t="shared" si="84"/>
        <v>#N/A</v>
      </c>
      <c r="AG128" s="581" t="s">
        <v>1784</v>
      </c>
      <c r="AH128" s="590">
        <f>IF(AH62&lt;=$AW$59,(($AF$175*AH70*24*($Q$175*0.5)*AH72/(2.5*1000))*-1),0)</f>
        <v>0</v>
      </c>
      <c r="AI128" s="590">
        <f t="shared" ref="AI128:AS128" si="91">IF(AI62&lt;=$AW$59,(($AF$175*AI70*24*($Q$175*0.5)*AI72/(2.5*1000))*-1),0)</f>
        <v>0</v>
      </c>
      <c r="AJ128" s="590">
        <f t="shared" si="91"/>
        <v>0</v>
      </c>
      <c r="AK128" s="590">
        <f t="shared" si="91"/>
        <v>0</v>
      </c>
      <c r="AL128" s="590">
        <f t="shared" si="91"/>
        <v>0</v>
      </c>
      <c r="AM128" s="590">
        <f t="shared" si="91"/>
        <v>0</v>
      </c>
      <c r="AN128" s="590">
        <f t="shared" si="91"/>
        <v>0</v>
      </c>
      <c r="AO128" s="590">
        <f t="shared" si="91"/>
        <v>0</v>
      </c>
      <c r="AP128" s="590">
        <f t="shared" si="91"/>
        <v>0</v>
      </c>
      <c r="AQ128" s="590">
        <f t="shared" si="91"/>
        <v>0</v>
      </c>
      <c r="AR128" s="590">
        <f t="shared" si="91"/>
        <v>0</v>
      </c>
      <c r="AS128" s="590">
        <f t="shared" si="91"/>
        <v>0</v>
      </c>
    </row>
    <row r="129" spans="1:46" ht="15" customHeight="1">
      <c r="B129" s="581" t="s">
        <v>225</v>
      </c>
      <c r="C129" s="604"/>
      <c r="D129" s="604"/>
      <c r="E129" s="604"/>
      <c r="F129" s="604"/>
      <c r="G129" s="604"/>
      <c r="H129" s="176" t="e">
        <f t="shared" si="71"/>
        <v>#N/A</v>
      </c>
      <c r="I129" s="176" t="e">
        <f t="shared" si="72"/>
        <v>#N/A</v>
      </c>
      <c r="J129" s="604"/>
      <c r="K129" s="604"/>
      <c r="L129" s="604"/>
      <c r="O129" s="590" t="e">
        <f t="shared" si="73"/>
        <v>#N/A</v>
      </c>
      <c r="P129" s="176">
        <f t="shared" si="87"/>
        <v>6</v>
      </c>
      <c r="Q129" s="580" t="e">
        <f t="shared" si="74"/>
        <v>#N/A</v>
      </c>
      <c r="R129" s="176">
        <f t="shared" si="87"/>
        <v>5.8</v>
      </c>
      <c r="S129" s="590" t="e">
        <f t="shared" si="75"/>
        <v>#N/A</v>
      </c>
      <c r="T129" s="176" t="e">
        <f t="shared" si="76"/>
        <v>#N/A</v>
      </c>
      <c r="U129" s="176">
        <f t="shared" si="88"/>
        <v>300</v>
      </c>
      <c r="V129" s="176" t="e">
        <f t="shared" si="77"/>
        <v>#N/A</v>
      </c>
      <c r="W129" s="605" t="e">
        <f t="shared" ref="W129" si="92">IF($R$36=2,0,IF($R$36=4,0,IF($R$36=6,0,IF($R$36=8,$O$36/8,IF($R$36=9,$O$36/9)))))</f>
        <v>#N/A</v>
      </c>
      <c r="X129" s="606" t="e">
        <f t="shared" si="79"/>
        <v>#N/A</v>
      </c>
      <c r="Y129" s="606" t="e">
        <f t="shared" si="80"/>
        <v>#N/A</v>
      </c>
      <c r="Z129" s="176">
        <f t="shared" si="89"/>
        <v>3</v>
      </c>
      <c r="AA129" s="176" t="e">
        <f t="shared" si="81"/>
        <v>#N/A</v>
      </c>
      <c r="AB129" s="176" t="e">
        <f t="shared" si="82"/>
        <v>#N/A</v>
      </c>
      <c r="AC129" s="590" t="e">
        <f t="shared" si="83"/>
        <v>#N/A</v>
      </c>
      <c r="AD129" s="590" t="e">
        <f t="shared" si="84"/>
        <v>#N/A</v>
      </c>
      <c r="AF129" s="597"/>
      <c r="AG129" s="176"/>
      <c r="AH129" s="176"/>
      <c r="AI129" s="176"/>
      <c r="AJ129" s="176"/>
      <c r="AK129" s="176"/>
      <c r="AL129" s="176"/>
      <c r="AM129" s="176"/>
      <c r="AN129" s="176"/>
      <c r="AO129" s="176"/>
      <c r="AP129" s="176"/>
      <c r="AQ129" s="176"/>
      <c r="AR129" s="176"/>
      <c r="AS129" s="176"/>
    </row>
    <row r="130" spans="1:46" ht="15" customHeight="1">
      <c r="B130" s="581" t="s">
        <v>225</v>
      </c>
      <c r="C130" s="604"/>
      <c r="D130" s="604"/>
      <c r="E130" s="604"/>
      <c r="F130" s="604"/>
      <c r="G130" s="604"/>
      <c r="H130" s="176" t="e">
        <f t="shared" si="71"/>
        <v>#N/A</v>
      </c>
      <c r="I130" s="176" t="e">
        <f t="shared" si="72"/>
        <v>#N/A</v>
      </c>
      <c r="J130" s="604"/>
      <c r="K130" s="604"/>
      <c r="L130" s="604"/>
      <c r="O130" s="590" t="e">
        <f t="shared" si="73"/>
        <v>#N/A</v>
      </c>
      <c r="P130" s="176">
        <f t="shared" si="87"/>
        <v>6</v>
      </c>
      <c r="Q130" s="580" t="e">
        <f t="shared" si="74"/>
        <v>#N/A</v>
      </c>
      <c r="R130" s="176">
        <f t="shared" si="87"/>
        <v>5.8</v>
      </c>
      <c r="S130" s="590" t="e">
        <f t="shared" si="75"/>
        <v>#N/A</v>
      </c>
      <c r="T130" s="176" t="e">
        <f t="shared" si="76"/>
        <v>#N/A</v>
      </c>
      <c r="U130" s="176">
        <f t="shared" si="88"/>
        <v>300</v>
      </c>
      <c r="V130" s="176" t="e">
        <f t="shared" si="77"/>
        <v>#N/A</v>
      </c>
      <c r="W130" s="605" t="e">
        <f>IF($R$36=2,0,IF($R$36=4,0,IF($R$36=6,0,IF($R$36=8,0,IF($R$36=9,$O$36/9)))))</f>
        <v>#N/A</v>
      </c>
      <c r="X130" s="606" t="e">
        <f t="shared" si="79"/>
        <v>#N/A</v>
      </c>
      <c r="Y130" s="606" t="e">
        <f t="shared" si="80"/>
        <v>#N/A</v>
      </c>
      <c r="Z130" s="176">
        <f t="shared" si="89"/>
        <v>3</v>
      </c>
      <c r="AA130" s="176" t="e">
        <f t="shared" si="81"/>
        <v>#N/A</v>
      </c>
      <c r="AB130" s="176" t="e">
        <f t="shared" si="82"/>
        <v>#N/A</v>
      </c>
      <c r="AC130" s="590" t="e">
        <f t="shared" si="83"/>
        <v>#N/A</v>
      </c>
      <c r="AD130" s="590" t="e">
        <f t="shared" si="84"/>
        <v>#N/A</v>
      </c>
      <c r="AG130" s="581" t="s">
        <v>1785</v>
      </c>
      <c r="AH130" s="590">
        <f>IF(($Z$60*AH70*24*AH72/(2.5*1000))&lt;0,0,$Z$60*AH70*24*AH72/(2.5*1000))</f>
        <v>0</v>
      </c>
      <c r="AI130" s="590">
        <f t="shared" ref="AI130:AS130" si="93">IF(($Z$60*AI70*24*AI72/(2.5*1000))&lt;0,0,$Z$60*AI70*24*AI72/(2.5*1000))</f>
        <v>0</v>
      </c>
      <c r="AJ130" s="590">
        <f t="shared" si="93"/>
        <v>0</v>
      </c>
      <c r="AK130" s="590">
        <f t="shared" si="93"/>
        <v>0</v>
      </c>
      <c r="AL130" s="590">
        <f t="shared" si="93"/>
        <v>0</v>
      </c>
      <c r="AM130" s="590">
        <f t="shared" si="93"/>
        <v>0</v>
      </c>
      <c r="AN130" s="590">
        <f t="shared" si="93"/>
        <v>0</v>
      </c>
      <c r="AO130" s="590">
        <f t="shared" si="93"/>
        <v>0</v>
      </c>
      <c r="AP130" s="590">
        <f t="shared" si="93"/>
        <v>0</v>
      </c>
      <c r="AQ130" s="590">
        <f t="shared" si="93"/>
        <v>0</v>
      </c>
      <c r="AR130" s="590">
        <f t="shared" si="93"/>
        <v>0</v>
      </c>
      <c r="AS130" s="590">
        <f t="shared" si="93"/>
        <v>0</v>
      </c>
    </row>
    <row r="131" spans="1:46" ht="15" customHeight="1">
      <c r="D131" s="126"/>
      <c r="E131" s="126"/>
      <c r="K131" s="126"/>
      <c r="L131" s="126"/>
      <c r="Q131" s="126"/>
      <c r="R131" s="126"/>
      <c r="V131" s="126"/>
      <c r="X131" s="126"/>
      <c r="AF131" s="597"/>
    </row>
    <row r="132" spans="1:46" ht="15" customHeight="1">
      <c r="D132" s="126"/>
      <c r="E132" s="126"/>
      <c r="K132" s="126"/>
      <c r="L132" s="126"/>
      <c r="Q132" s="126"/>
      <c r="R132" s="126"/>
      <c r="V132" s="126"/>
      <c r="X132" s="126"/>
      <c r="AF132" s="597"/>
      <c r="AG132" s="581" t="s">
        <v>1543</v>
      </c>
      <c r="AH132" s="590" t="e">
        <f>($AW$98*AH111*24/1000)+(AH118*0.05)</f>
        <v>#N/A</v>
      </c>
      <c r="AI132" s="590" t="e">
        <f t="shared" ref="AI132:AS132" si="94">($AW$98*AI111*24/1000)+(AI118*0.05)</f>
        <v>#N/A</v>
      </c>
      <c r="AJ132" s="590" t="e">
        <f t="shared" si="94"/>
        <v>#N/A</v>
      </c>
      <c r="AK132" s="590" t="e">
        <f t="shared" si="94"/>
        <v>#N/A</v>
      </c>
      <c r="AL132" s="590" t="e">
        <f t="shared" si="94"/>
        <v>#N/A</v>
      </c>
      <c r="AM132" s="590" t="e">
        <f t="shared" si="94"/>
        <v>#N/A</v>
      </c>
      <c r="AN132" s="590" t="e">
        <f t="shared" si="94"/>
        <v>#N/A</v>
      </c>
      <c r="AO132" s="590" t="e">
        <f t="shared" si="94"/>
        <v>#N/A</v>
      </c>
      <c r="AP132" s="590" t="e">
        <f t="shared" si="94"/>
        <v>#N/A</v>
      </c>
      <c r="AQ132" s="590" t="e">
        <f t="shared" si="94"/>
        <v>#N/A</v>
      </c>
      <c r="AR132" s="590" t="e">
        <f t="shared" si="94"/>
        <v>#N/A</v>
      </c>
      <c r="AS132" s="590" t="e">
        <f t="shared" si="94"/>
        <v>#N/A</v>
      </c>
    </row>
    <row r="133" spans="1:46" ht="15" customHeight="1">
      <c r="C133" s="1323" t="s">
        <v>1204</v>
      </c>
      <c r="D133" s="1323"/>
      <c r="E133" s="580" t="s">
        <v>1185</v>
      </c>
      <c r="F133" s="580" t="s">
        <v>1186</v>
      </c>
      <c r="G133" s="580" t="s">
        <v>227</v>
      </c>
      <c r="K133" s="126"/>
      <c r="L133" s="126"/>
      <c r="Q133" s="126"/>
      <c r="R133" s="126"/>
      <c r="V133" s="126"/>
      <c r="X133" s="126"/>
      <c r="AF133" s="597"/>
      <c r="AG133" s="580" t="s">
        <v>1816</v>
      </c>
      <c r="AH133" s="590">
        <f>$Z$60*AH111*24/(7.2*1000)</f>
        <v>0</v>
      </c>
      <c r="AI133" s="590">
        <f t="shared" ref="AI133:AS133" si="95">$Z$60*AI111*24/(7.2*1000)</f>
        <v>0</v>
      </c>
      <c r="AJ133" s="590">
        <f t="shared" si="95"/>
        <v>0</v>
      </c>
      <c r="AK133" s="590">
        <f t="shared" si="95"/>
        <v>0</v>
      </c>
      <c r="AL133" s="590">
        <f t="shared" si="95"/>
        <v>0</v>
      </c>
      <c r="AM133" s="590">
        <f t="shared" si="95"/>
        <v>0</v>
      </c>
      <c r="AN133" s="590">
        <f t="shared" si="95"/>
        <v>0</v>
      </c>
      <c r="AO133" s="590">
        <f t="shared" si="95"/>
        <v>0</v>
      </c>
      <c r="AP133" s="590">
        <f t="shared" si="95"/>
        <v>0</v>
      </c>
      <c r="AQ133" s="590">
        <f t="shared" si="95"/>
        <v>0</v>
      </c>
      <c r="AR133" s="590">
        <f t="shared" si="95"/>
        <v>0</v>
      </c>
      <c r="AS133" s="590">
        <f t="shared" si="95"/>
        <v>0</v>
      </c>
    </row>
    <row r="134" spans="1:46" ht="15" customHeight="1">
      <c r="B134" s="581" t="s">
        <v>768</v>
      </c>
      <c r="C134" s="1324"/>
      <c r="D134" s="1324"/>
      <c r="E134" s="589">
        <f>ENERGÍA!F140</f>
        <v>0</v>
      </c>
      <c r="F134" s="589">
        <f>ENERGÍA!G140</f>
        <v>0</v>
      </c>
      <c r="G134" s="589">
        <f>ENERGÍA!H140</f>
        <v>0</v>
      </c>
      <c r="K134" s="126"/>
      <c r="L134" s="126"/>
      <c r="T134" s="590">
        <f>ENERGÍA!U140</f>
        <v>0</v>
      </c>
      <c r="V134" s="126"/>
      <c r="X134" s="126"/>
      <c r="AC134" s="590">
        <f>T134*E134*F134</f>
        <v>0</v>
      </c>
      <c r="AD134" s="590">
        <f>AC134</f>
        <v>0</v>
      </c>
    </row>
    <row r="135" spans="1:46" ht="6" customHeight="1">
      <c r="L135" s="126"/>
      <c r="V135" s="148"/>
      <c r="Z135" s="580"/>
      <c r="AA135" s="580"/>
    </row>
    <row r="136" spans="1:46" ht="15" customHeight="1">
      <c r="B136" s="1323">
        <f>C37</f>
        <v>0</v>
      </c>
      <c r="C136" s="1323"/>
      <c r="D136" s="1323"/>
      <c r="E136" s="1323"/>
      <c r="F136" s="1323"/>
      <c r="G136" s="1323"/>
      <c r="H136" s="1323"/>
      <c r="I136" s="1323"/>
      <c r="J136" s="1323"/>
      <c r="K136" s="1323"/>
      <c r="L136" s="1323"/>
      <c r="O136" s="1320">
        <f>B136</f>
        <v>0</v>
      </c>
      <c r="P136" s="1321"/>
      <c r="Q136" s="1321"/>
      <c r="R136" s="1321"/>
      <c r="S136" s="1321"/>
      <c r="T136" s="1321"/>
      <c r="U136" s="1321"/>
      <c r="V136" s="1321"/>
      <c r="W136" s="1321"/>
      <c r="X136" s="1321"/>
      <c r="Y136" s="1321"/>
      <c r="Z136" s="1321"/>
      <c r="AA136" s="1321"/>
      <c r="AB136" s="1321"/>
      <c r="AC136" s="1321"/>
      <c r="AD136" s="1321"/>
      <c r="AE136" s="1322"/>
      <c r="AG136" s="581" t="s">
        <v>1621</v>
      </c>
      <c r="AH136" s="590" t="e">
        <f>IF(AH62&gt;$AW$59,0,($AW$96*$AW$64*(24/1000)*AH112*AH115)-AH125-(AH128*0.15))</f>
        <v>#N/A</v>
      </c>
      <c r="AI136" s="590" t="e">
        <f t="shared" ref="AI136:AS136" si="96">IF(AI62&gt;$AW$59,0,($AW$96*$AW$64*(24/1000)*AI112*AI115)-AI125-(AI128*0.15))</f>
        <v>#N/A</v>
      </c>
      <c r="AJ136" s="590" t="e">
        <f t="shared" si="96"/>
        <v>#N/A</v>
      </c>
      <c r="AK136" s="590" t="e">
        <f t="shared" si="96"/>
        <v>#N/A</v>
      </c>
      <c r="AL136" s="590" t="e">
        <f t="shared" si="96"/>
        <v>#N/A</v>
      </c>
      <c r="AM136" s="590" t="e">
        <f>IF(AM62&gt;$AW$59,0,($AW$96*$AW$64*(24/1000)*AM112*AM115)-AM125-(AM128*0.15))</f>
        <v>#N/A</v>
      </c>
      <c r="AN136" s="590" t="e">
        <f t="shared" si="96"/>
        <v>#N/A</v>
      </c>
      <c r="AO136" s="590" t="e">
        <f t="shared" si="96"/>
        <v>#N/A</v>
      </c>
      <c r="AP136" s="590" t="e">
        <f t="shared" si="96"/>
        <v>#N/A</v>
      </c>
      <c r="AQ136" s="590" t="e">
        <f t="shared" si="96"/>
        <v>#N/A</v>
      </c>
      <c r="AR136" s="590" t="e">
        <f t="shared" si="96"/>
        <v>#N/A</v>
      </c>
      <c r="AS136" s="590" t="e">
        <f t="shared" si="96"/>
        <v>#N/A</v>
      </c>
    </row>
    <row r="137" spans="1:46" ht="6" customHeight="1">
      <c r="L137" s="126"/>
      <c r="V137" s="148"/>
      <c r="Z137" s="580"/>
      <c r="AA137" s="580"/>
    </row>
    <row r="138" spans="1:46" ht="15" customHeight="1">
      <c r="B138" s="1273"/>
      <c r="C138" s="1323" t="s">
        <v>1184</v>
      </c>
      <c r="D138" s="1323"/>
      <c r="E138" s="1323"/>
      <c r="F138" s="1323" t="s">
        <v>1188</v>
      </c>
      <c r="G138" s="1323"/>
      <c r="H138" s="1323" t="s">
        <v>1203</v>
      </c>
      <c r="I138" s="1323"/>
      <c r="J138" s="1281" t="s">
        <v>790</v>
      </c>
      <c r="K138" s="1281" t="s">
        <v>1136</v>
      </c>
      <c r="L138" s="1281"/>
      <c r="O138" s="580" t="s">
        <v>1651</v>
      </c>
      <c r="P138" s="1281" t="s">
        <v>1064</v>
      </c>
      <c r="Q138" s="580" t="s">
        <v>1652</v>
      </c>
      <c r="R138" s="1273" t="s">
        <v>1191</v>
      </c>
      <c r="S138" s="580" t="s">
        <v>1190</v>
      </c>
      <c r="T138" s="1273" t="s">
        <v>1192</v>
      </c>
      <c r="U138" s="1323" t="s">
        <v>1653</v>
      </c>
      <c r="V138" s="1323"/>
      <c r="W138" s="580" t="s">
        <v>1654</v>
      </c>
      <c r="X138" s="1273" t="s">
        <v>1403</v>
      </c>
      <c r="Y138" s="1273" t="s">
        <v>1404</v>
      </c>
      <c r="Z138" s="1273" t="s">
        <v>1210</v>
      </c>
      <c r="AA138" s="1273" t="s">
        <v>1201</v>
      </c>
      <c r="AB138" s="1273" t="s">
        <v>1202</v>
      </c>
      <c r="AC138" s="1281" t="s">
        <v>850</v>
      </c>
      <c r="AD138" s="1281" t="str">
        <f>AC138</f>
        <v>W/K Inv</v>
      </c>
      <c r="AE138" s="226" t="s">
        <v>1017</v>
      </c>
    </row>
    <row r="139" spans="1:46" ht="15" customHeight="1">
      <c r="B139" s="1273"/>
      <c r="C139" s="148" t="s">
        <v>623</v>
      </c>
      <c r="D139" s="580" t="s">
        <v>1185</v>
      </c>
      <c r="E139" s="580" t="s">
        <v>1186</v>
      </c>
      <c r="F139" s="580" t="s">
        <v>623</v>
      </c>
      <c r="G139" s="580" t="s">
        <v>1189</v>
      </c>
      <c r="H139" s="580" t="s">
        <v>757</v>
      </c>
      <c r="I139" s="580" t="s">
        <v>650</v>
      </c>
      <c r="J139" s="1281"/>
      <c r="K139" s="166" t="s">
        <v>623</v>
      </c>
      <c r="L139" s="602" t="s">
        <v>1122</v>
      </c>
      <c r="O139" s="580" t="s">
        <v>1187</v>
      </c>
      <c r="P139" s="1281"/>
      <c r="Q139" s="580" t="s">
        <v>1187</v>
      </c>
      <c r="R139" s="1273"/>
      <c r="S139" s="580" t="s">
        <v>18</v>
      </c>
      <c r="T139" s="1273"/>
      <c r="U139" s="580" t="s">
        <v>1199</v>
      </c>
      <c r="V139" s="148" t="s">
        <v>1200</v>
      </c>
      <c r="W139" s="176" t="s">
        <v>1187</v>
      </c>
      <c r="X139" s="1273"/>
      <c r="Y139" s="1273"/>
      <c r="Z139" s="1273"/>
      <c r="AA139" s="1273"/>
      <c r="AB139" s="1273"/>
      <c r="AC139" s="1281"/>
      <c r="AD139" s="1281"/>
      <c r="AE139" s="603" t="e">
        <f>Q37</f>
        <v>#N/A</v>
      </c>
      <c r="AG139" s="1329" t="s">
        <v>1065</v>
      </c>
      <c r="AH139" s="1330"/>
      <c r="AI139" s="1330"/>
      <c r="AJ139" s="1330"/>
      <c r="AK139" s="1330"/>
      <c r="AL139" s="1330"/>
      <c r="AM139" s="1330"/>
      <c r="AN139" s="1330"/>
      <c r="AO139" s="1330"/>
      <c r="AP139" s="1330"/>
      <c r="AQ139" s="1330"/>
      <c r="AR139" s="1330"/>
      <c r="AS139" s="1331"/>
    </row>
    <row r="140" spans="1:46" s="173" customFormat="1" ht="15" customHeight="1">
      <c r="A140" s="126"/>
      <c r="B140" s="581" t="s">
        <v>225</v>
      </c>
      <c r="C140" s="604"/>
      <c r="D140" s="604"/>
      <c r="E140" s="604"/>
      <c r="F140" s="604"/>
      <c r="G140" s="604"/>
      <c r="H140" s="176" t="e">
        <f t="shared" ref="H140:H148" si="97">IF(W140=0,"-",IF($O$4=6,"No Aplica",HLOOKUP(AA140,ZONA2,2,TRUE)))</f>
        <v>#N/A</v>
      </c>
      <c r="I140" s="176" t="e">
        <f t="shared" ref="I140:I148" si="98">IF(W140=0,"-",IF($O$4=6,HLOOKUP(AB140,ZONA3,2,TRUE),HLOOKUP(AB140,ZONA1,2,TRUE)))</f>
        <v>#N/A</v>
      </c>
      <c r="J140" s="604"/>
      <c r="K140" s="604"/>
      <c r="L140" s="604"/>
      <c r="M140" s="126"/>
      <c r="N140" s="126"/>
      <c r="O140" s="590" t="e">
        <f t="shared" ref="O140:O148" si="99">$W$104-Q140</f>
        <v>#N/A</v>
      </c>
      <c r="P140" s="176">
        <f>P122</f>
        <v>6</v>
      </c>
      <c r="Q140" s="580" t="e">
        <f t="shared" ref="Q140:Q148" si="100">W140*0.02</f>
        <v>#N/A</v>
      </c>
      <c r="R140" s="176">
        <f>R122</f>
        <v>5.8</v>
      </c>
      <c r="S140" s="590" t="e">
        <f t="shared" ref="S140:S148" si="101">(W140/2)+2</f>
        <v>#N/A</v>
      </c>
      <c r="T140" s="176" t="e">
        <f t="shared" ref="T140:T148" si="102">((O140*P140)+(Q140*R140)+(S140*0.02))/W140</f>
        <v>#N/A</v>
      </c>
      <c r="U140" s="176">
        <f>U122</f>
        <v>300</v>
      </c>
      <c r="V140" s="176" t="e">
        <f t="shared" ref="V140:V148" si="103">IF(W140=0,0,U140*W140)</f>
        <v>#N/A</v>
      </c>
      <c r="W140" s="605" t="e">
        <f t="shared" ref="W140:W141" si="104">IF($R$36=2,$O$36/2,IF($R$36=4,$O$36/4,IF($R$36=6,$O$36/6,IF($R$36=8,$O$36/8,IF($R$36=9,$O$36/9)))))</f>
        <v>#N/A</v>
      </c>
      <c r="X140" s="606" t="e">
        <f t="shared" ref="X140:X148" si="105">(V140*$AW$112)</f>
        <v>#N/A</v>
      </c>
      <c r="Y140" s="606" t="e">
        <f t="shared" ref="Y140:Y148" si="106">V140*$AW$114</f>
        <v>#N/A</v>
      </c>
      <c r="Z140" s="176">
        <f>Z122</f>
        <v>3</v>
      </c>
      <c r="AA140" s="176" t="e">
        <f t="shared" ref="AA140:AA148" si="107">IF(W140=0,0,(($AW$104*Z140)+X140+(T140*$AW$108))/W140)</f>
        <v>#N/A</v>
      </c>
      <c r="AB140" s="176" t="e">
        <f t="shared" ref="AB140:AB148" si="108">IF(W140=0,0,(($AW$106*Z140)-(X140+T140)*$AW$110)/W140)</f>
        <v>#N/A</v>
      </c>
      <c r="AC140" s="590" t="e">
        <f t="shared" ref="AC140:AC148" si="109">IF(W140=0,0,(T140*O140))</f>
        <v>#N/A</v>
      </c>
      <c r="AD140" s="590" t="e">
        <f t="shared" ref="AD140:AD148" si="110">AC140</f>
        <v>#N/A</v>
      </c>
      <c r="AE140" s="126"/>
      <c r="AG140" s="1332"/>
      <c r="AH140" s="1333"/>
      <c r="AI140" s="1333"/>
      <c r="AJ140" s="1333"/>
      <c r="AK140" s="1333"/>
      <c r="AL140" s="1333"/>
      <c r="AM140" s="1333"/>
      <c r="AN140" s="1333"/>
      <c r="AO140" s="1333"/>
      <c r="AP140" s="1333"/>
      <c r="AQ140" s="1333"/>
      <c r="AR140" s="1333"/>
      <c r="AS140" s="1334"/>
    </row>
    <row r="141" spans="1:46" s="173" customFormat="1" ht="15" customHeight="1">
      <c r="A141" s="126"/>
      <c r="B141" s="581" t="s">
        <v>225</v>
      </c>
      <c r="C141" s="604"/>
      <c r="D141" s="604"/>
      <c r="E141" s="604"/>
      <c r="F141" s="604"/>
      <c r="G141" s="604"/>
      <c r="H141" s="176" t="e">
        <f t="shared" si="97"/>
        <v>#N/A</v>
      </c>
      <c r="I141" s="176" t="e">
        <f t="shared" si="98"/>
        <v>#N/A</v>
      </c>
      <c r="J141" s="604"/>
      <c r="K141" s="604"/>
      <c r="L141" s="604"/>
      <c r="M141" s="126"/>
      <c r="N141" s="126"/>
      <c r="O141" s="590" t="e">
        <f t="shared" si="99"/>
        <v>#N/A</v>
      </c>
      <c r="P141" s="176">
        <f>P140</f>
        <v>6</v>
      </c>
      <c r="Q141" s="580" t="e">
        <f t="shared" si="100"/>
        <v>#N/A</v>
      </c>
      <c r="R141" s="176">
        <f>R140</f>
        <v>5.8</v>
      </c>
      <c r="S141" s="590" t="e">
        <f t="shared" si="101"/>
        <v>#N/A</v>
      </c>
      <c r="T141" s="176" t="e">
        <f t="shared" si="102"/>
        <v>#N/A</v>
      </c>
      <c r="U141" s="176">
        <f>U140</f>
        <v>300</v>
      </c>
      <c r="V141" s="176" t="e">
        <f t="shared" si="103"/>
        <v>#N/A</v>
      </c>
      <c r="W141" s="605" t="e">
        <f t="shared" si="104"/>
        <v>#N/A</v>
      </c>
      <c r="X141" s="606" t="e">
        <f t="shared" si="105"/>
        <v>#N/A</v>
      </c>
      <c r="Y141" s="606" t="e">
        <f t="shared" si="106"/>
        <v>#N/A</v>
      </c>
      <c r="Z141" s="176">
        <f>Z140</f>
        <v>3</v>
      </c>
      <c r="AA141" s="176" t="e">
        <f t="shared" si="107"/>
        <v>#N/A</v>
      </c>
      <c r="AB141" s="176" t="e">
        <f t="shared" si="108"/>
        <v>#N/A</v>
      </c>
      <c r="AC141" s="590" t="e">
        <f t="shared" si="109"/>
        <v>#N/A</v>
      </c>
      <c r="AD141" s="590" t="e">
        <f t="shared" si="110"/>
        <v>#N/A</v>
      </c>
      <c r="AE141" s="126"/>
      <c r="AG141" s="1335"/>
      <c r="AH141" s="1336"/>
      <c r="AI141" s="1336"/>
      <c r="AJ141" s="1336"/>
      <c r="AK141" s="1336"/>
      <c r="AL141" s="1336"/>
      <c r="AM141" s="1336"/>
      <c r="AN141" s="1336"/>
      <c r="AO141" s="1336"/>
      <c r="AP141" s="1336"/>
      <c r="AQ141" s="1336"/>
      <c r="AR141" s="1336"/>
      <c r="AS141" s="1337"/>
    </row>
    <row r="142" spans="1:46" s="173" customFormat="1" ht="15" customHeight="1">
      <c r="A142" s="126"/>
      <c r="B142" s="581" t="s">
        <v>225</v>
      </c>
      <c r="C142" s="604"/>
      <c r="D142" s="604"/>
      <c r="E142" s="604"/>
      <c r="F142" s="604"/>
      <c r="G142" s="604"/>
      <c r="H142" s="176" t="e">
        <f t="shared" si="97"/>
        <v>#N/A</v>
      </c>
      <c r="I142" s="176" t="e">
        <f t="shared" si="98"/>
        <v>#N/A</v>
      </c>
      <c r="J142" s="604"/>
      <c r="K142" s="604"/>
      <c r="L142" s="604"/>
      <c r="M142" s="126"/>
      <c r="N142" s="126"/>
      <c r="O142" s="590" t="e">
        <f t="shared" si="99"/>
        <v>#N/A</v>
      </c>
      <c r="P142" s="176">
        <f t="shared" ref="P142:R148" si="111">P141</f>
        <v>6</v>
      </c>
      <c r="Q142" s="580" t="e">
        <f t="shared" si="100"/>
        <v>#N/A</v>
      </c>
      <c r="R142" s="176">
        <f t="shared" si="111"/>
        <v>5.8</v>
      </c>
      <c r="S142" s="590" t="e">
        <f t="shared" si="101"/>
        <v>#N/A</v>
      </c>
      <c r="T142" s="176" t="e">
        <f t="shared" si="102"/>
        <v>#N/A</v>
      </c>
      <c r="U142" s="176">
        <f t="shared" ref="U142:U148" si="112">U141</f>
        <v>300</v>
      </c>
      <c r="V142" s="176" t="e">
        <f t="shared" si="103"/>
        <v>#N/A</v>
      </c>
      <c r="W142" s="605" t="e">
        <f>IF($R$36=2,0,IF($R$36=4,$O$36/4,IF($R$36=6,$O$36/6,IF($R$36=8,$O$36/8,IF($R$36=9,$O$36/9)))))</f>
        <v>#N/A</v>
      </c>
      <c r="X142" s="606" t="e">
        <f t="shared" si="105"/>
        <v>#N/A</v>
      </c>
      <c r="Y142" s="606" t="e">
        <f t="shared" si="106"/>
        <v>#N/A</v>
      </c>
      <c r="Z142" s="176">
        <f t="shared" ref="Z142:Z148" si="113">Z141</f>
        <v>3</v>
      </c>
      <c r="AA142" s="176" t="e">
        <f t="shared" si="107"/>
        <v>#N/A</v>
      </c>
      <c r="AB142" s="176" t="e">
        <f t="shared" si="108"/>
        <v>#N/A</v>
      </c>
      <c r="AC142" s="590" t="e">
        <f t="shared" si="109"/>
        <v>#N/A</v>
      </c>
      <c r="AD142" s="590" t="e">
        <f t="shared" si="110"/>
        <v>#N/A</v>
      </c>
      <c r="AE142" s="126"/>
      <c r="AG142" s="126"/>
      <c r="AH142" s="126"/>
      <c r="AI142" s="126"/>
      <c r="AJ142" s="126"/>
      <c r="AK142" s="126"/>
      <c r="AL142" s="126"/>
      <c r="AM142" s="126"/>
      <c r="AN142" s="126"/>
      <c r="AO142" s="126"/>
      <c r="AP142" s="126"/>
      <c r="AQ142" s="126"/>
      <c r="AR142" s="126"/>
      <c r="AS142" s="126"/>
    </row>
    <row r="143" spans="1:46" ht="15" customHeight="1">
      <c r="B143" s="581" t="s">
        <v>225</v>
      </c>
      <c r="C143" s="604"/>
      <c r="D143" s="604"/>
      <c r="E143" s="604"/>
      <c r="F143" s="604"/>
      <c r="G143" s="604"/>
      <c r="H143" s="176" t="e">
        <f t="shared" si="97"/>
        <v>#N/A</v>
      </c>
      <c r="I143" s="176" t="e">
        <f t="shared" si="98"/>
        <v>#N/A</v>
      </c>
      <c r="J143" s="604"/>
      <c r="K143" s="604"/>
      <c r="L143" s="604"/>
      <c r="O143" s="590" t="e">
        <f t="shared" si="99"/>
        <v>#N/A</v>
      </c>
      <c r="P143" s="176">
        <f t="shared" si="111"/>
        <v>6</v>
      </c>
      <c r="Q143" s="580" t="e">
        <f t="shared" si="100"/>
        <v>#N/A</v>
      </c>
      <c r="R143" s="176">
        <f t="shared" si="111"/>
        <v>5.8</v>
      </c>
      <c r="S143" s="590" t="e">
        <f t="shared" si="101"/>
        <v>#N/A</v>
      </c>
      <c r="T143" s="176" t="e">
        <f t="shared" si="102"/>
        <v>#N/A</v>
      </c>
      <c r="U143" s="176">
        <f t="shared" si="112"/>
        <v>300</v>
      </c>
      <c r="V143" s="176" t="e">
        <f t="shared" si="103"/>
        <v>#N/A</v>
      </c>
      <c r="W143" s="605" t="e">
        <f t="shared" ref="W143" si="114">IF($R$36=2,0,IF($R$36=4,$O$36/4,IF($R$36=6,$O$36/6,IF($R$36=8,$O$36/8,IF($R$36=9,$O$36/9)))))</f>
        <v>#N/A</v>
      </c>
      <c r="X143" s="606" t="e">
        <f t="shared" si="105"/>
        <v>#N/A</v>
      </c>
      <c r="Y143" s="606" t="e">
        <f t="shared" si="106"/>
        <v>#N/A</v>
      </c>
      <c r="Z143" s="176">
        <f t="shared" si="113"/>
        <v>3</v>
      </c>
      <c r="AA143" s="176" t="e">
        <f t="shared" si="107"/>
        <v>#N/A</v>
      </c>
      <c r="AB143" s="176" t="e">
        <f t="shared" si="108"/>
        <v>#N/A</v>
      </c>
      <c r="AC143" s="590" t="e">
        <f t="shared" si="109"/>
        <v>#N/A</v>
      </c>
      <c r="AD143" s="590" t="e">
        <f t="shared" si="110"/>
        <v>#N/A</v>
      </c>
      <c r="AG143" s="174" t="s">
        <v>1026</v>
      </c>
      <c r="AH143" s="175" t="e">
        <f>IF(AH136&lt;0,0,AH136)</f>
        <v>#N/A</v>
      </c>
      <c r="AI143" s="175" t="e">
        <f t="shared" ref="AI143:AS143" si="115">IF(AI136&lt;0,0,AI136)</f>
        <v>#N/A</v>
      </c>
      <c r="AJ143" s="175" t="e">
        <f t="shared" si="115"/>
        <v>#N/A</v>
      </c>
      <c r="AK143" s="175" t="e">
        <f t="shared" si="115"/>
        <v>#N/A</v>
      </c>
      <c r="AL143" s="175" t="e">
        <f t="shared" si="115"/>
        <v>#N/A</v>
      </c>
      <c r="AM143" s="175" t="e">
        <f t="shared" si="115"/>
        <v>#N/A</v>
      </c>
      <c r="AN143" s="175" t="e">
        <f t="shared" si="115"/>
        <v>#N/A</v>
      </c>
      <c r="AO143" s="175" t="e">
        <f t="shared" si="115"/>
        <v>#N/A</v>
      </c>
      <c r="AP143" s="175" t="e">
        <f t="shared" si="115"/>
        <v>#N/A</v>
      </c>
      <c r="AQ143" s="175" t="e">
        <f t="shared" si="115"/>
        <v>#N/A</v>
      </c>
      <c r="AR143" s="175" t="e">
        <f t="shared" si="115"/>
        <v>#N/A</v>
      </c>
      <c r="AS143" s="175" t="e">
        <f t="shared" si="115"/>
        <v>#N/A</v>
      </c>
      <c r="AT143" s="590" t="e">
        <f>SUM(AH143:AS143)</f>
        <v>#N/A</v>
      </c>
    </row>
    <row r="144" spans="1:46" ht="15" customHeight="1">
      <c r="B144" s="581" t="s">
        <v>225</v>
      </c>
      <c r="C144" s="604"/>
      <c r="D144" s="604"/>
      <c r="E144" s="604"/>
      <c r="F144" s="604"/>
      <c r="G144" s="604"/>
      <c r="H144" s="176" t="e">
        <f t="shared" si="97"/>
        <v>#N/A</v>
      </c>
      <c r="I144" s="176" t="e">
        <f t="shared" si="98"/>
        <v>#N/A</v>
      </c>
      <c r="J144" s="604"/>
      <c r="K144" s="604"/>
      <c r="L144" s="604"/>
      <c r="O144" s="590" t="e">
        <f t="shared" si="99"/>
        <v>#N/A</v>
      </c>
      <c r="P144" s="176">
        <f t="shared" si="111"/>
        <v>6</v>
      </c>
      <c r="Q144" s="580" t="e">
        <f t="shared" si="100"/>
        <v>#N/A</v>
      </c>
      <c r="R144" s="176">
        <f t="shared" si="111"/>
        <v>5.8</v>
      </c>
      <c r="S144" s="590" t="e">
        <f t="shared" si="101"/>
        <v>#N/A</v>
      </c>
      <c r="T144" s="176" t="e">
        <f t="shared" si="102"/>
        <v>#N/A</v>
      </c>
      <c r="U144" s="176">
        <f t="shared" si="112"/>
        <v>300</v>
      </c>
      <c r="V144" s="176" t="e">
        <f t="shared" si="103"/>
        <v>#N/A</v>
      </c>
      <c r="W144" s="605" t="e">
        <f>IF($R$36=2,0,IF($R$36=4,0,IF($R$36=6,$O$36/6,IF($R$36=8,$O$36/8,IF($R$36=9,$O$36/9)))))</f>
        <v>#N/A</v>
      </c>
      <c r="X144" s="606" t="e">
        <f t="shared" si="105"/>
        <v>#N/A</v>
      </c>
      <c r="Y144" s="606" t="e">
        <f t="shared" si="106"/>
        <v>#N/A</v>
      </c>
      <c r="Z144" s="176">
        <f t="shared" si="113"/>
        <v>3</v>
      </c>
      <c r="AA144" s="176" t="e">
        <f t="shared" si="107"/>
        <v>#N/A</v>
      </c>
      <c r="AB144" s="176" t="e">
        <f t="shared" si="108"/>
        <v>#N/A</v>
      </c>
      <c r="AC144" s="590" t="e">
        <f t="shared" si="109"/>
        <v>#N/A</v>
      </c>
      <c r="AD144" s="590" t="e">
        <f t="shared" si="110"/>
        <v>#N/A</v>
      </c>
      <c r="AG144" s="176"/>
      <c r="AH144" s="176"/>
      <c r="AI144" s="176"/>
      <c r="AJ144" s="176"/>
      <c r="AK144" s="176"/>
      <c r="AL144" s="176"/>
      <c r="AM144" s="176"/>
      <c r="AN144" s="176"/>
      <c r="AO144" s="176"/>
      <c r="AP144" s="176"/>
      <c r="AQ144" s="176"/>
      <c r="AR144" s="176"/>
      <c r="AS144" s="176"/>
    </row>
    <row r="145" spans="1:46" ht="15" customHeight="1">
      <c r="B145" s="581" t="s">
        <v>225</v>
      </c>
      <c r="C145" s="604"/>
      <c r="D145" s="604"/>
      <c r="E145" s="604"/>
      <c r="F145" s="604"/>
      <c r="G145" s="604"/>
      <c r="H145" s="176" t="e">
        <f t="shared" si="97"/>
        <v>#N/A</v>
      </c>
      <c r="I145" s="176" t="e">
        <f t="shared" si="98"/>
        <v>#N/A</v>
      </c>
      <c r="J145" s="604"/>
      <c r="K145" s="604"/>
      <c r="L145" s="604"/>
      <c r="O145" s="590" t="e">
        <f t="shared" si="99"/>
        <v>#N/A</v>
      </c>
      <c r="P145" s="176">
        <f t="shared" si="111"/>
        <v>6</v>
      </c>
      <c r="Q145" s="580" t="e">
        <f t="shared" si="100"/>
        <v>#N/A</v>
      </c>
      <c r="R145" s="176">
        <f t="shared" si="111"/>
        <v>5.8</v>
      </c>
      <c r="S145" s="590" t="e">
        <f t="shared" si="101"/>
        <v>#N/A</v>
      </c>
      <c r="T145" s="176" t="e">
        <f t="shared" si="102"/>
        <v>#N/A</v>
      </c>
      <c r="U145" s="176">
        <f t="shared" si="112"/>
        <v>300</v>
      </c>
      <c r="V145" s="176" t="e">
        <f t="shared" si="103"/>
        <v>#N/A</v>
      </c>
      <c r="W145" s="605" t="e">
        <f>IF($R$36=2,0,IF($R$36=4,0,IF($R$36=6,$O$36/6,IF($R$36=8,$O$36/8,IF($R$36=9,$O$36/9)))))</f>
        <v>#N/A</v>
      </c>
      <c r="X145" s="606" t="e">
        <f t="shared" si="105"/>
        <v>#N/A</v>
      </c>
      <c r="Y145" s="606" t="e">
        <f t="shared" si="106"/>
        <v>#N/A</v>
      </c>
      <c r="Z145" s="176">
        <f t="shared" si="113"/>
        <v>3</v>
      </c>
      <c r="AA145" s="176" t="e">
        <f t="shared" si="107"/>
        <v>#N/A</v>
      </c>
      <c r="AB145" s="176" t="e">
        <f t="shared" si="108"/>
        <v>#N/A</v>
      </c>
      <c r="AC145" s="590" t="e">
        <f t="shared" si="109"/>
        <v>#N/A</v>
      </c>
      <c r="AD145" s="590" t="e">
        <f t="shared" si="110"/>
        <v>#N/A</v>
      </c>
      <c r="AG145" s="174" t="s">
        <v>1027</v>
      </c>
      <c r="AH145" s="175" t="e">
        <f>IF(AH105&gt;$AW$60,SUM(AH118:AH123)+SUM(AH132:AH133)+AH108-(AH130*0.01),0)</f>
        <v>#N/A</v>
      </c>
      <c r="AI145" s="175" t="e">
        <f t="shared" ref="AI145:AS145" si="116">IF(AI105&gt;$AW$60,SUM(AI118:AI123)+SUM(AI132:AI133)+AI108-(AI130*0.01),0)</f>
        <v>#N/A</v>
      </c>
      <c r="AJ145" s="175" t="e">
        <f t="shared" si="116"/>
        <v>#N/A</v>
      </c>
      <c r="AK145" s="175" t="e">
        <f t="shared" si="116"/>
        <v>#N/A</v>
      </c>
      <c r="AL145" s="175" t="e">
        <f t="shared" si="116"/>
        <v>#N/A</v>
      </c>
      <c r="AM145" s="175" t="e">
        <f t="shared" si="116"/>
        <v>#N/A</v>
      </c>
      <c r="AN145" s="175" t="e">
        <f t="shared" si="116"/>
        <v>#N/A</v>
      </c>
      <c r="AO145" s="175" t="e">
        <f t="shared" si="116"/>
        <v>#N/A</v>
      </c>
      <c r="AP145" s="175" t="e">
        <f t="shared" si="116"/>
        <v>#N/A</v>
      </c>
      <c r="AQ145" s="175" t="e">
        <f t="shared" si="116"/>
        <v>#N/A</v>
      </c>
      <c r="AR145" s="175" t="e">
        <f t="shared" si="116"/>
        <v>#N/A</v>
      </c>
      <c r="AS145" s="175" t="e">
        <f t="shared" si="116"/>
        <v>#N/A</v>
      </c>
      <c r="AT145" s="590" t="e">
        <f>SUM(AH145:AS145)</f>
        <v>#N/A</v>
      </c>
    </row>
    <row r="146" spans="1:46" ht="15" customHeight="1">
      <c r="B146" s="581" t="s">
        <v>225</v>
      </c>
      <c r="C146" s="604"/>
      <c r="D146" s="604"/>
      <c r="E146" s="604"/>
      <c r="F146" s="604"/>
      <c r="G146" s="604"/>
      <c r="H146" s="176" t="e">
        <f t="shared" si="97"/>
        <v>#N/A</v>
      </c>
      <c r="I146" s="176" t="e">
        <f t="shared" si="98"/>
        <v>#N/A</v>
      </c>
      <c r="J146" s="604"/>
      <c r="K146" s="604"/>
      <c r="L146" s="604"/>
      <c r="O146" s="590" t="e">
        <f t="shared" si="99"/>
        <v>#N/A</v>
      </c>
      <c r="P146" s="176">
        <f t="shared" si="111"/>
        <v>6</v>
      </c>
      <c r="Q146" s="580" t="e">
        <f t="shared" si="100"/>
        <v>#N/A</v>
      </c>
      <c r="R146" s="176">
        <f t="shared" si="111"/>
        <v>5.8</v>
      </c>
      <c r="S146" s="590" t="e">
        <f t="shared" si="101"/>
        <v>#N/A</v>
      </c>
      <c r="T146" s="176" t="e">
        <f t="shared" si="102"/>
        <v>#N/A</v>
      </c>
      <c r="U146" s="176">
        <f t="shared" si="112"/>
        <v>300</v>
      </c>
      <c r="V146" s="176" t="e">
        <f t="shared" si="103"/>
        <v>#N/A</v>
      </c>
      <c r="W146" s="605" t="e">
        <f>IF($R$36=2,0,IF($R$36=4,0,IF($R$36=6,0,IF($R$36=8,$O$36/8,IF($R$36=9,$O$36/9)))))</f>
        <v>#N/A</v>
      </c>
      <c r="X146" s="606" t="e">
        <f t="shared" si="105"/>
        <v>#N/A</v>
      </c>
      <c r="Y146" s="606" t="e">
        <f t="shared" si="106"/>
        <v>#N/A</v>
      </c>
      <c r="Z146" s="176">
        <f t="shared" si="113"/>
        <v>3</v>
      </c>
      <c r="AA146" s="176" t="e">
        <f t="shared" si="107"/>
        <v>#N/A</v>
      </c>
      <c r="AB146" s="176" t="e">
        <f t="shared" si="108"/>
        <v>#N/A</v>
      </c>
      <c r="AC146" s="590" t="e">
        <f t="shared" si="109"/>
        <v>#N/A</v>
      </c>
      <c r="AD146" s="590" t="e">
        <f t="shared" si="110"/>
        <v>#N/A</v>
      </c>
    </row>
    <row r="147" spans="1:46" ht="15" customHeight="1">
      <c r="B147" s="581" t="s">
        <v>225</v>
      </c>
      <c r="C147" s="604"/>
      <c r="D147" s="604"/>
      <c r="E147" s="604"/>
      <c r="F147" s="604"/>
      <c r="G147" s="604"/>
      <c r="H147" s="176" t="e">
        <f t="shared" si="97"/>
        <v>#N/A</v>
      </c>
      <c r="I147" s="176" t="e">
        <f t="shared" si="98"/>
        <v>#N/A</v>
      </c>
      <c r="J147" s="604"/>
      <c r="K147" s="604"/>
      <c r="L147" s="604"/>
      <c r="O147" s="590" t="e">
        <f t="shared" si="99"/>
        <v>#N/A</v>
      </c>
      <c r="P147" s="176">
        <f t="shared" si="111"/>
        <v>6</v>
      </c>
      <c r="Q147" s="580" t="e">
        <f t="shared" si="100"/>
        <v>#N/A</v>
      </c>
      <c r="R147" s="176">
        <f t="shared" si="111"/>
        <v>5.8</v>
      </c>
      <c r="S147" s="590" t="e">
        <f t="shared" si="101"/>
        <v>#N/A</v>
      </c>
      <c r="T147" s="176" t="e">
        <f t="shared" si="102"/>
        <v>#N/A</v>
      </c>
      <c r="U147" s="176">
        <f t="shared" si="112"/>
        <v>300</v>
      </c>
      <c r="V147" s="176" t="e">
        <f t="shared" si="103"/>
        <v>#N/A</v>
      </c>
      <c r="W147" s="605" t="e">
        <f t="shared" ref="W147" si="117">IF($R$36=2,0,IF($R$36=4,0,IF($R$36=6,0,IF($R$36=8,$O$36/8,IF($R$36=9,$O$36/9)))))</f>
        <v>#N/A</v>
      </c>
      <c r="X147" s="606" t="e">
        <f t="shared" si="105"/>
        <v>#N/A</v>
      </c>
      <c r="Y147" s="606" t="e">
        <f t="shared" si="106"/>
        <v>#N/A</v>
      </c>
      <c r="Z147" s="176">
        <f t="shared" si="113"/>
        <v>3</v>
      </c>
      <c r="AA147" s="176" t="e">
        <f t="shared" si="107"/>
        <v>#N/A</v>
      </c>
      <c r="AB147" s="176" t="e">
        <f t="shared" si="108"/>
        <v>#N/A</v>
      </c>
      <c r="AC147" s="590" t="e">
        <f t="shared" si="109"/>
        <v>#N/A</v>
      </c>
      <c r="AD147" s="590" t="e">
        <f t="shared" si="110"/>
        <v>#N/A</v>
      </c>
    </row>
    <row r="148" spans="1:46" s="173" customFormat="1" ht="15" customHeight="1">
      <c r="A148" s="126"/>
      <c r="B148" s="581" t="s">
        <v>225</v>
      </c>
      <c r="C148" s="604"/>
      <c r="D148" s="604"/>
      <c r="E148" s="604"/>
      <c r="F148" s="604"/>
      <c r="G148" s="604"/>
      <c r="H148" s="176" t="e">
        <f t="shared" si="97"/>
        <v>#N/A</v>
      </c>
      <c r="I148" s="176" t="e">
        <f t="shared" si="98"/>
        <v>#N/A</v>
      </c>
      <c r="J148" s="604"/>
      <c r="K148" s="604"/>
      <c r="L148" s="604"/>
      <c r="M148" s="126"/>
      <c r="N148" s="126"/>
      <c r="O148" s="590" t="e">
        <f t="shared" si="99"/>
        <v>#N/A</v>
      </c>
      <c r="P148" s="176">
        <f t="shared" si="111"/>
        <v>6</v>
      </c>
      <c r="Q148" s="580" t="e">
        <f t="shared" si="100"/>
        <v>#N/A</v>
      </c>
      <c r="R148" s="176">
        <f t="shared" si="111"/>
        <v>5.8</v>
      </c>
      <c r="S148" s="590" t="e">
        <f t="shared" si="101"/>
        <v>#N/A</v>
      </c>
      <c r="T148" s="176" t="e">
        <f t="shared" si="102"/>
        <v>#N/A</v>
      </c>
      <c r="U148" s="176">
        <f t="shared" si="112"/>
        <v>300</v>
      </c>
      <c r="V148" s="176" t="e">
        <f t="shared" si="103"/>
        <v>#N/A</v>
      </c>
      <c r="W148" s="605" t="e">
        <f>IF($R$36=2,0,IF($R$36=4,0,IF($R$36=6,0,IF($R$36=8,0,IF($R$36=9,$O$36/9)))))</f>
        <v>#N/A</v>
      </c>
      <c r="X148" s="606" t="e">
        <f t="shared" si="105"/>
        <v>#N/A</v>
      </c>
      <c r="Y148" s="606" t="e">
        <f t="shared" si="106"/>
        <v>#N/A</v>
      </c>
      <c r="Z148" s="176">
        <f t="shared" si="113"/>
        <v>3</v>
      </c>
      <c r="AA148" s="176" t="e">
        <f t="shared" si="107"/>
        <v>#N/A</v>
      </c>
      <c r="AB148" s="176" t="e">
        <f t="shared" si="108"/>
        <v>#N/A</v>
      </c>
      <c r="AC148" s="590" t="e">
        <f t="shared" si="109"/>
        <v>#N/A</v>
      </c>
      <c r="AD148" s="590" t="e">
        <f t="shared" si="110"/>
        <v>#N/A</v>
      </c>
      <c r="AE148" s="126"/>
    </row>
    <row r="149" spans="1:46" ht="15" customHeight="1">
      <c r="D149" s="126"/>
      <c r="E149" s="126"/>
      <c r="K149" s="126"/>
      <c r="L149" s="126"/>
      <c r="Q149" s="126"/>
      <c r="R149" s="126"/>
      <c r="V149" s="126"/>
      <c r="X149" s="126"/>
    </row>
    <row r="150" spans="1:46" ht="15" customHeight="1">
      <c r="D150" s="126"/>
      <c r="E150" s="126"/>
      <c r="K150" s="126"/>
      <c r="L150" s="126"/>
      <c r="Q150" s="126"/>
      <c r="R150" s="126"/>
      <c r="V150" s="126"/>
      <c r="X150" s="126"/>
    </row>
    <row r="151" spans="1:46" ht="15" customHeight="1">
      <c r="C151" s="1323" t="s">
        <v>1204</v>
      </c>
      <c r="D151" s="1323"/>
      <c r="E151" s="580" t="s">
        <v>1185</v>
      </c>
      <c r="F151" s="580" t="s">
        <v>1186</v>
      </c>
      <c r="G151" s="580" t="s">
        <v>227</v>
      </c>
      <c r="K151" s="126"/>
      <c r="L151" s="126"/>
      <c r="Q151" s="126"/>
      <c r="R151" s="126"/>
      <c r="V151" s="126"/>
      <c r="X151" s="126"/>
    </row>
    <row r="152" spans="1:46" ht="15" customHeight="1">
      <c r="B152" s="581" t="s">
        <v>768</v>
      </c>
      <c r="C152" s="1324"/>
      <c r="D152" s="1324"/>
      <c r="E152" s="589">
        <f>ENERGÍA!F158</f>
        <v>0</v>
      </c>
      <c r="F152" s="589">
        <f>ENERGÍA!G158</f>
        <v>0</v>
      </c>
      <c r="G152" s="589">
        <f>ENERGÍA!H158</f>
        <v>0</v>
      </c>
      <c r="K152" s="126"/>
      <c r="L152" s="126"/>
      <c r="T152" s="590">
        <f>ENERGÍA!U158</f>
        <v>0</v>
      </c>
      <c r="V152" s="126"/>
      <c r="X152" s="126"/>
      <c r="AC152" s="590">
        <f>T152*E152*F152</f>
        <v>0</v>
      </c>
      <c r="AD152" s="590">
        <f>AC152</f>
        <v>0</v>
      </c>
    </row>
    <row r="153" spans="1:46" ht="6" customHeight="1">
      <c r="L153" s="126"/>
      <c r="V153" s="148"/>
      <c r="Z153" s="580"/>
      <c r="AA153" s="580"/>
    </row>
    <row r="154" spans="1:46" ht="15" customHeight="1">
      <c r="B154" s="1323">
        <f>C38</f>
        <v>0</v>
      </c>
      <c r="C154" s="1323"/>
      <c r="D154" s="1323"/>
      <c r="E154" s="1323"/>
      <c r="F154" s="1323"/>
      <c r="G154" s="1323"/>
      <c r="H154" s="1323"/>
      <c r="I154" s="1323"/>
      <c r="J154" s="1323"/>
      <c r="K154" s="1323"/>
      <c r="L154" s="1323"/>
      <c r="O154" s="1320">
        <f>B154</f>
        <v>0</v>
      </c>
      <c r="P154" s="1321"/>
      <c r="Q154" s="1321"/>
      <c r="R154" s="1321"/>
      <c r="S154" s="1321"/>
      <c r="T154" s="1321"/>
      <c r="U154" s="1321"/>
      <c r="V154" s="1321"/>
      <c r="W154" s="1321"/>
      <c r="X154" s="1321"/>
      <c r="Y154" s="1321"/>
      <c r="Z154" s="1321"/>
      <c r="AA154" s="1321"/>
      <c r="AB154" s="1321"/>
      <c r="AC154" s="1321"/>
      <c r="AD154" s="1321"/>
      <c r="AE154" s="1322"/>
    </row>
    <row r="155" spans="1:46" ht="6" customHeight="1">
      <c r="L155" s="126"/>
      <c r="V155" s="148"/>
      <c r="Z155" s="580"/>
      <c r="AA155" s="580"/>
    </row>
    <row r="156" spans="1:46" ht="15" customHeight="1">
      <c r="B156" s="1273"/>
      <c r="C156" s="1323" t="s">
        <v>1184</v>
      </c>
      <c r="D156" s="1323"/>
      <c r="E156" s="1323"/>
      <c r="F156" s="1323" t="s">
        <v>1188</v>
      </c>
      <c r="G156" s="1323"/>
      <c r="H156" s="1323" t="s">
        <v>1203</v>
      </c>
      <c r="I156" s="1323"/>
      <c r="J156" s="1281" t="s">
        <v>790</v>
      </c>
      <c r="K156" s="1281" t="s">
        <v>1136</v>
      </c>
      <c r="L156" s="1281"/>
      <c r="O156" s="580" t="s">
        <v>1651</v>
      </c>
      <c r="P156" s="1281" t="s">
        <v>1064</v>
      </c>
      <c r="Q156" s="580" t="s">
        <v>1652</v>
      </c>
      <c r="R156" s="1273" t="s">
        <v>1191</v>
      </c>
      <c r="S156" s="580" t="s">
        <v>1190</v>
      </c>
      <c r="T156" s="1273" t="s">
        <v>1192</v>
      </c>
      <c r="U156" s="1323" t="s">
        <v>1653</v>
      </c>
      <c r="V156" s="1323"/>
      <c r="W156" s="580" t="s">
        <v>1654</v>
      </c>
      <c r="X156" s="1273" t="s">
        <v>1403</v>
      </c>
      <c r="Y156" s="1273" t="s">
        <v>1404</v>
      </c>
      <c r="Z156" s="1273" t="s">
        <v>1210</v>
      </c>
      <c r="AA156" s="1273" t="s">
        <v>1201</v>
      </c>
      <c r="AB156" s="1273" t="s">
        <v>1202</v>
      </c>
      <c r="AC156" s="1281" t="s">
        <v>850</v>
      </c>
      <c r="AD156" s="1281" t="str">
        <f>AC156</f>
        <v>W/K Inv</v>
      </c>
      <c r="AE156" s="226" t="s">
        <v>1017</v>
      </c>
    </row>
    <row r="157" spans="1:46" ht="15" customHeight="1">
      <c r="B157" s="1273"/>
      <c r="C157" s="148" t="s">
        <v>623</v>
      </c>
      <c r="D157" s="580" t="s">
        <v>1185</v>
      </c>
      <c r="E157" s="580" t="s">
        <v>1186</v>
      </c>
      <c r="F157" s="580" t="s">
        <v>623</v>
      </c>
      <c r="G157" s="580" t="s">
        <v>1189</v>
      </c>
      <c r="H157" s="580" t="s">
        <v>757</v>
      </c>
      <c r="I157" s="580" t="s">
        <v>650</v>
      </c>
      <c r="J157" s="1281"/>
      <c r="K157" s="166" t="s">
        <v>623</v>
      </c>
      <c r="L157" s="602" t="s">
        <v>1122</v>
      </c>
      <c r="O157" s="580" t="s">
        <v>1187</v>
      </c>
      <c r="P157" s="1281"/>
      <c r="Q157" s="580" t="s">
        <v>1187</v>
      </c>
      <c r="R157" s="1273"/>
      <c r="S157" s="580" t="s">
        <v>18</v>
      </c>
      <c r="T157" s="1273"/>
      <c r="U157" s="580" t="s">
        <v>1199</v>
      </c>
      <c r="V157" s="148" t="s">
        <v>1200</v>
      </c>
      <c r="W157" s="176" t="s">
        <v>1187</v>
      </c>
      <c r="X157" s="1273"/>
      <c r="Y157" s="1273"/>
      <c r="Z157" s="1273"/>
      <c r="AA157" s="1273"/>
      <c r="AB157" s="1273"/>
      <c r="AC157" s="1281"/>
      <c r="AD157" s="1281"/>
      <c r="AE157" s="603" t="e">
        <f>Q38</f>
        <v>#N/A</v>
      </c>
    </row>
    <row r="158" spans="1:46" ht="15" customHeight="1">
      <c r="B158" s="581" t="s">
        <v>225</v>
      </c>
      <c r="C158" s="604"/>
      <c r="D158" s="604"/>
      <c r="E158" s="604"/>
      <c r="F158" s="604"/>
      <c r="G158" s="604"/>
      <c r="H158" s="176" t="e">
        <f t="shared" ref="H158:H166" si="118">IF(W158=0,"-",IF($O$4=6,"No Aplica",HLOOKUP(AA158,ZONA2,2,TRUE)))</f>
        <v>#N/A</v>
      </c>
      <c r="I158" s="176" t="e">
        <f t="shared" ref="I158:I166" si="119">IF(W158=0,"-",IF($O$4=6,HLOOKUP(AB158,ZONA3,2,TRUE),HLOOKUP(AB158,ZONA1,2,TRUE)))</f>
        <v>#N/A</v>
      </c>
      <c r="J158" s="604"/>
      <c r="K158" s="604"/>
      <c r="L158" s="604"/>
      <c r="O158" s="590" t="e">
        <f t="shared" ref="O158:O166" si="120">$W$104-Q158</f>
        <v>#N/A</v>
      </c>
      <c r="P158" s="176">
        <f>P140</f>
        <v>6</v>
      </c>
      <c r="Q158" s="580" t="e">
        <f t="shared" ref="Q158:Q166" si="121">W158*0.02</f>
        <v>#N/A</v>
      </c>
      <c r="R158" s="176">
        <f>R140</f>
        <v>5.8</v>
      </c>
      <c r="S158" s="590" t="e">
        <f t="shared" ref="S158:S166" si="122">(W158/2)+2</f>
        <v>#N/A</v>
      </c>
      <c r="T158" s="176" t="e">
        <f t="shared" ref="T158:T166" si="123">((O158*P158)+(Q158*R158)+(S158*0.02))/W158</f>
        <v>#N/A</v>
      </c>
      <c r="U158" s="176">
        <f>U140</f>
        <v>300</v>
      </c>
      <c r="V158" s="176" t="e">
        <f t="shared" ref="V158:V166" si="124">IF(W158=0,0,U158*W158)</f>
        <v>#N/A</v>
      </c>
      <c r="W158" s="605" t="e">
        <f t="shared" ref="W158:W159" si="125">IF($R$36=2,$O$36/2,IF($R$36=4,$O$36/4,IF($R$36=6,$O$36/6,IF($R$36=8,$O$36/8,IF($R$36=9,$O$36/9)))))</f>
        <v>#N/A</v>
      </c>
      <c r="X158" s="606" t="e">
        <f t="shared" ref="X158:X166" si="126">(V158*$AW$112)</f>
        <v>#N/A</v>
      </c>
      <c r="Y158" s="606" t="e">
        <f t="shared" ref="Y158:Y166" si="127">V158*$AW$114</f>
        <v>#N/A</v>
      </c>
      <c r="Z158" s="176">
        <f>Z140</f>
        <v>3</v>
      </c>
      <c r="AA158" s="176" t="e">
        <f t="shared" ref="AA158:AA166" si="128">IF(W158=0,0,(($AW$104*Z158)+X158+(T158*$AW$108))/W158)</f>
        <v>#N/A</v>
      </c>
      <c r="AB158" s="176" t="e">
        <f>IF(W158=0,0,(($AW$106*Z158)-(X158+T158)*$AW$110)/W158)</f>
        <v>#N/A</v>
      </c>
      <c r="AC158" s="590" t="e">
        <f>IF(W158=0,0,(T158*O158))</f>
        <v>#N/A</v>
      </c>
      <c r="AD158" s="590" t="e">
        <f t="shared" ref="AD158:AD166" si="129">AC158</f>
        <v>#N/A</v>
      </c>
    </row>
    <row r="159" spans="1:46" ht="15" customHeight="1">
      <c r="B159" s="581" t="s">
        <v>225</v>
      </c>
      <c r="C159" s="604"/>
      <c r="D159" s="604"/>
      <c r="E159" s="604"/>
      <c r="F159" s="604"/>
      <c r="G159" s="604"/>
      <c r="H159" s="176" t="e">
        <f t="shared" si="118"/>
        <v>#N/A</v>
      </c>
      <c r="I159" s="176" t="e">
        <f t="shared" si="119"/>
        <v>#N/A</v>
      </c>
      <c r="J159" s="604"/>
      <c r="K159" s="604"/>
      <c r="L159" s="604"/>
      <c r="O159" s="590" t="e">
        <f t="shared" si="120"/>
        <v>#N/A</v>
      </c>
      <c r="P159" s="176">
        <f>P158</f>
        <v>6</v>
      </c>
      <c r="Q159" s="580" t="e">
        <f t="shared" si="121"/>
        <v>#N/A</v>
      </c>
      <c r="R159" s="176">
        <f>R158</f>
        <v>5.8</v>
      </c>
      <c r="S159" s="590" t="e">
        <f t="shared" si="122"/>
        <v>#N/A</v>
      </c>
      <c r="T159" s="176" t="e">
        <f t="shared" si="123"/>
        <v>#N/A</v>
      </c>
      <c r="U159" s="176">
        <f>U158</f>
        <v>300</v>
      </c>
      <c r="V159" s="176" t="e">
        <f t="shared" si="124"/>
        <v>#N/A</v>
      </c>
      <c r="W159" s="605" t="e">
        <f t="shared" si="125"/>
        <v>#N/A</v>
      </c>
      <c r="X159" s="606" t="e">
        <f t="shared" si="126"/>
        <v>#N/A</v>
      </c>
      <c r="Y159" s="606" t="e">
        <f t="shared" si="127"/>
        <v>#N/A</v>
      </c>
      <c r="Z159" s="176">
        <f>Z158</f>
        <v>3</v>
      </c>
      <c r="AA159" s="176" t="e">
        <f t="shared" si="128"/>
        <v>#N/A</v>
      </c>
      <c r="AB159" s="176" t="e">
        <f t="shared" ref="AB159:AB166" si="130">IF(W159=0,0,(($AW$106*Z159)-(X159+T159)*$AW$110)/W159)</f>
        <v>#N/A</v>
      </c>
      <c r="AC159" s="590" t="e">
        <f t="shared" ref="AC159:AC166" si="131">IF(W159=0,0,(T159*O159))</f>
        <v>#N/A</v>
      </c>
      <c r="AD159" s="590" t="e">
        <f t="shared" si="129"/>
        <v>#N/A</v>
      </c>
    </row>
    <row r="160" spans="1:46" ht="15" customHeight="1">
      <c r="B160" s="581" t="s">
        <v>225</v>
      </c>
      <c r="C160" s="604"/>
      <c r="D160" s="604"/>
      <c r="E160" s="604"/>
      <c r="F160" s="604"/>
      <c r="G160" s="604"/>
      <c r="H160" s="176" t="e">
        <f t="shared" si="118"/>
        <v>#N/A</v>
      </c>
      <c r="I160" s="176" t="e">
        <f t="shared" si="119"/>
        <v>#N/A</v>
      </c>
      <c r="J160" s="604"/>
      <c r="K160" s="604"/>
      <c r="L160" s="604"/>
      <c r="O160" s="590" t="e">
        <f t="shared" si="120"/>
        <v>#N/A</v>
      </c>
      <c r="P160" s="176">
        <f t="shared" ref="P160:R166" si="132">P159</f>
        <v>6</v>
      </c>
      <c r="Q160" s="580" t="e">
        <f t="shared" si="121"/>
        <v>#N/A</v>
      </c>
      <c r="R160" s="176">
        <f t="shared" si="132"/>
        <v>5.8</v>
      </c>
      <c r="S160" s="590" t="e">
        <f t="shared" si="122"/>
        <v>#N/A</v>
      </c>
      <c r="T160" s="176" t="e">
        <f t="shared" si="123"/>
        <v>#N/A</v>
      </c>
      <c r="U160" s="176">
        <f t="shared" ref="U160:U166" si="133">U159</f>
        <v>300</v>
      </c>
      <c r="V160" s="176" t="e">
        <f t="shared" si="124"/>
        <v>#N/A</v>
      </c>
      <c r="W160" s="605" t="e">
        <f>IF($R$36=2,0,IF($R$36=4,$O$36/4,IF($R$36=6,$O$36/6,IF($R$36=8,$O$36/8,IF($R$36=9,$O$36/9)))))</f>
        <v>#N/A</v>
      </c>
      <c r="X160" s="606" t="e">
        <f t="shared" si="126"/>
        <v>#N/A</v>
      </c>
      <c r="Y160" s="606" t="e">
        <f t="shared" si="127"/>
        <v>#N/A</v>
      </c>
      <c r="Z160" s="176">
        <f t="shared" ref="Z160:Z166" si="134">Z159</f>
        <v>3</v>
      </c>
      <c r="AA160" s="176" t="e">
        <f t="shared" si="128"/>
        <v>#N/A</v>
      </c>
      <c r="AB160" s="176" t="e">
        <f t="shared" si="130"/>
        <v>#N/A</v>
      </c>
      <c r="AC160" s="590" t="e">
        <f t="shared" si="131"/>
        <v>#N/A</v>
      </c>
      <c r="AD160" s="590" t="e">
        <f t="shared" si="129"/>
        <v>#N/A</v>
      </c>
    </row>
    <row r="161" spans="1:32" ht="15" customHeight="1">
      <c r="B161" s="581" t="s">
        <v>225</v>
      </c>
      <c r="C161" s="604"/>
      <c r="D161" s="604"/>
      <c r="E161" s="604"/>
      <c r="F161" s="604"/>
      <c r="G161" s="604"/>
      <c r="H161" s="176" t="e">
        <f t="shared" si="118"/>
        <v>#N/A</v>
      </c>
      <c r="I161" s="176" t="e">
        <f t="shared" si="119"/>
        <v>#N/A</v>
      </c>
      <c r="J161" s="604"/>
      <c r="K161" s="604"/>
      <c r="L161" s="604"/>
      <c r="O161" s="590" t="e">
        <f t="shared" si="120"/>
        <v>#N/A</v>
      </c>
      <c r="P161" s="176">
        <f t="shared" si="132"/>
        <v>6</v>
      </c>
      <c r="Q161" s="580" t="e">
        <f t="shared" si="121"/>
        <v>#N/A</v>
      </c>
      <c r="R161" s="176">
        <f t="shared" si="132"/>
        <v>5.8</v>
      </c>
      <c r="S161" s="590" t="e">
        <f t="shared" si="122"/>
        <v>#N/A</v>
      </c>
      <c r="T161" s="176" t="e">
        <f t="shared" si="123"/>
        <v>#N/A</v>
      </c>
      <c r="U161" s="176">
        <f t="shared" si="133"/>
        <v>300</v>
      </c>
      <c r="V161" s="176" t="e">
        <f t="shared" si="124"/>
        <v>#N/A</v>
      </c>
      <c r="W161" s="605" t="e">
        <f t="shared" ref="W161" si="135">IF($R$36=2,0,IF($R$36=4,$O$36/4,IF($R$36=6,$O$36/6,IF($R$36=8,$O$36/8,IF($R$36=9,$O$36/9)))))</f>
        <v>#N/A</v>
      </c>
      <c r="X161" s="606" t="e">
        <f t="shared" si="126"/>
        <v>#N/A</v>
      </c>
      <c r="Y161" s="606" t="e">
        <f t="shared" si="127"/>
        <v>#N/A</v>
      </c>
      <c r="Z161" s="176">
        <f t="shared" si="134"/>
        <v>3</v>
      </c>
      <c r="AA161" s="176" t="e">
        <f t="shared" si="128"/>
        <v>#N/A</v>
      </c>
      <c r="AB161" s="176" t="e">
        <f t="shared" si="130"/>
        <v>#N/A</v>
      </c>
      <c r="AC161" s="590" t="e">
        <f t="shared" si="131"/>
        <v>#N/A</v>
      </c>
      <c r="AD161" s="590" t="e">
        <f t="shared" si="129"/>
        <v>#N/A</v>
      </c>
    </row>
    <row r="162" spans="1:32" ht="15" customHeight="1">
      <c r="B162" s="581" t="s">
        <v>225</v>
      </c>
      <c r="C162" s="604"/>
      <c r="D162" s="604"/>
      <c r="E162" s="604"/>
      <c r="F162" s="604"/>
      <c r="G162" s="604"/>
      <c r="H162" s="176" t="e">
        <f t="shared" si="118"/>
        <v>#N/A</v>
      </c>
      <c r="I162" s="176" t="e">
        <f t="shared" si="119"/>
        <v>#N/A</v>
      </c>
      <c r="J162" s="604"/>
      <c r="K162" s="604"/>
      <c r="L162" s="604"/>
      <c r="O162" s="590" t="e">
        <f t="shared" si="120"/>
        <v>#N/A</v>
      </c>
      <c r="P162" s="176">
        <f t="shared" si="132"/>
        <v>6</v>
      </c>
      <c r="Q162" s="580" t="e">
        <f t="shared" si="121"/>
        <v>#N/A</v>
      </c>
      <c r="R162" s="176">
        <f t="shared" si="132"/>
        <v>5.8</v>
      </c>
      <c r="S162" s="590" t="e">
        <f t="shared" si="122"/>
        <v>#N/A</v>
      </c>
      <c r="T162" s="176" t="e">
        <f t="shared" si="123"/>
        <v>#N/A</v>
      </c>
      <c r="U162" s="176">
        <f t="shared" si="133"/>
        <v>300</v>
      </c>
      <c r="V162" s="176" t="e">
        <f t="shared" si="124"/>
        <v>#N/A</v>
      </c>
      <c r="W162" s="605" t="e">
        <f>IF($R$36=2,0,IF($R$36=4,0,IF($R$36=6,$O$36/6,IF($R$36=8,$O$36/8,IF($R$36=9,$O$36/9)))))</f>
        <v>#N/A</v>
      </c>
      <c r="X162" s="606" t="e">
        <f t="shared" si="126"/>
        <v>#N/A</v>
      </c>
      <c r="Y162" s="606" t="e">
        <f t="shared" si="127"/>
        <v>#N/A</v>
      </c>
      <c r="Z162" s="176">
        <f t="shared" si="134"/>
        <v>3</v>
      </c>
      <c r="AA162" s="176" t="e">
        <f t="shared" si="128"/>
        <v>#N/A</v>
      </c>
      <c r="AB162" s="176" t="e">
        <f t="shared" si="130"/>
        <v>#N/A</v>
      </c>
      <c r="AC162" s="590" t="e">
        <f t="shared" si="131"/>
        <v>#N/A</v>
      </c>
      <c r="AD162" s="590" t="e">
        <f t="shared" si="129"/>
        <v>#N/A</v>
      </c>
    </row>
    <row r="163" spans="1:32" ht="15" customHeight="1">
      <c r="B163" s="581" t="s">
        <v>225</v>
      </c>
      <c r="C163" s="604"/>
      <c r="D163" s="604"/>
      <c r="E163" s="604"/>
      <c r="F163" s="604"/>
      <c r="G163" s="604"/>
      <c r="H163" s="176" t="e">
        <f t="shared" si="118"/>
        <v>#N/A</v>
      </c>
      <c r="I163" s="176" t="e">
        <f t="shared" si="119"/>
        <v>#N/A</v>
      </c>
      <c r="J163" s="604"/>
      <c r="K163" s="604"/>
      <c r="L163" s="604"/>
      <c r="O163" s="590" t="e">
        <f t="shared" si="120"/>
        <v>#N/A</v>
      </c>
      <c r="P163" s="176">
        <f t="shared" si="132"/>
        <v>6</v>
      </c>
      <c r="Q163" s="580" t="e">
        <f t="shared" si="121"/>
        <v>#N/A</v>
      </c>
      <c r="R163" s="176">
        <f t="shared" si="132"/>
        <v>5.8</v>
      </c>
      <c r="S163" s="590" t="e">
        <f t="shared" si="122"/>
        <v>#N/A</v>
      </c>
      <c r="T163" s="176" t="e">
        <f t="shared" si="123"/>
        <v>#N/A</v>
      </c>
      <c r="U163" s="176">
        <f t="shared" si="133"/>
        <v>300</v>
      </c>
      <c r="V163" s="176" t="e">
        <f t="shared" si="124"/>
        <v>#N/A</v>
      </c>
      <c r="W163" s="605" t="e">
        <f>IF($R$36=2,0,IF($R$36=4,0,IF($R$36=6,$O$36/6,IF($R$36=8,$O$36/8,IF($R$36=9,$O$36/9)))))</f>
        <v>#N/A</v>
      </c>
      <c r="X163" s="606" t="e">
        <f t="shared" si="126"/>
        <v>#N/A</v>
      </c>
      <c r="Y163" s="606" t="e">
        <f t="shared" si="127"/>
        <v>#N/A</v>
      </c>
      <c r="Z163" s="176">
        <f t="shared" si="134"/>
        <v>3</v>
      </c>
      <c r="AA163" s="176" t="e">
        <f t="shared" si="128"/>
        <v>#N/A</v>
      </c>
      <c r="AB163" s="176" t="e">
        <f t="shared" si="130"/>
        <v>#N/A</v>
      </c>
      <c r="AC163" s="590" t="e">
        <f t="shared" si="131"/>
        <v>#N/A</v>
      </c>
      <c r="AD163" s="590" t="e">
        <f t="shared" si="129"/>
        <v>#N/A</v>
      </c>
    </row>
    <row r="164" spans="1:32" ht="15" customHeight="1">
      <c r="B164" s="581" t="s">
        <v>225</v>
      </c>
      <c r="C164" s="604"/>
      <c r="D164" s="604"/>
      <c r="E164" s="604"/>
      <c r="F164" s="604"/>
      <c r="G164" s="604"/>
      <c r="H164" s="176" t="e">
        <f t="shared" si="118"/>
        <v>#N/A</v>
      </c>
      <c r="I164" s="176" t="e">
        <f t="shared" si="119"/>
        <v>#N/A</v>
      </c>
      <c r="J164" s="604"/>
      <c r="K164" s="604"/>
      <c r="L164" s="604"/>
      <c r="O164" s="590" t="e">
        <f t="shared" si="120"/>
        <v>#N/A</v>
      </c>
      <c r="P164" s="176">
        <f t="shared" si="132"/>
        <v>6</v>
      </c>
      <c r="Q164" s="580" t="e">
        <f t="shared" si="121"/>
        <v>#N/A</v>
      </c>
      <c r="R164" s="176">
        <f t="shared" si="132"/>
        <v>5.8</v>
      </c>
      <c r="S164" s="590" t="e">
        <f t="shared" si="122"/>
        <v>#N/A</v>
      </c>
      <c r="T164" s="176" t="e">
        <f t="shared" si="123"/>
        <v>#N/A</v>
      </c>
      <c r="U164" s="176">
        <f t="shared" si="133"/>
        <v>300</v>
      </c>
      <c r="V164" s="176" t="e">
        <f t="shared" si="124"/>
        <v>#N/A</v>
      </c>
      <c r="W164" s="605" t="e">
        <f>IF($R$36=2,0,IF($R$36=4,0,IF($R$36=6,0,IF($R$36=8,$O$36/8,IF($R$36=9,$O$36/9)))))</f>
        <v>#N/A</v>
      </c>
      <c r="X164" s="606" t="e">
        <f t="shared" si="126"/>
        <v>#N/A</v>
      </c>
      <c r="Y164" s="606" t="e">
        <f t="shared" si="127"/>
        <v>#N/A</v>
      </c>
      <c r="Z164" s="176">
        <f t="shared" si="134"/>
        <v>3</v>
      </c>
      <c r="AA164" s="176" t="e">
        <f t="shared" si="128"/>
        <v>#N/A</v>
      </c>
      <c r="AB164" s="176" t="e">
        <f t="shared" si="130"/>
        <v>#N/A</v>
      </c>
      <c r="AC164" s="590" t="e">
        <f t="shared" si="131"/>
        <v>#N/A</v>
      </c>
      <c r="AD164" s="590" t="e">
        <f t="shared" si="129"/>
        <v>#N/A</v>
      </c>
    </row>
    <row r="165" spans="1:32" ht="15" customHeight="1">
      <c r="B165" s="581" t="s">
        <v>225</v>
      </c>
      <c r="C165" s="604"/>
      <c r="D165" s="604"/>
      <c r="E165" s="604"/>
      <c r="F165" s="604"/>
      <c r="G165" s="604"/>
      <c r="H165" s="176" t="e">
        <f t="shared" si="118"/>
        <v>#N/A</v>
      </c>
      <c r="I165" s="176" t="e">
        <f t="shared" si="119"/>
        <v>#N/A</v>
      </c>
      <c r="J165" s="604"/>
      <c r="K165" s="604"/>
      <c r="L165" s="604"/>
      <c r="O165" s="590" t="e">
        <f t="shared" si="120"/>
        <v>#N/A</v>
      </c>
      <c r="P165" s="176">
        <f t="shared" si="132"/>
        <v>6</v>
      </c>
      <c r="Q165" s="580" t="e">
        <f t="shared" si="121"/>
        <v>#N/A</v>
      </c>
      <c r="R165" s="176">
        <f t="shared" si="132"/>
        <v>5.8</v>
      </c>
      <c r="S165" s="590" t="e">
        <f t="shared" si="122"/>
        <v>#N/A</v>
      </c>
      <c r="T165" s="176" t="e">
        <f t="shared" si="123"/>
        <v>#N/A</v>
      </c>
      <c r="U165" s="176">
        <f t="shared" si="133"/>
        <v>300</v>
      </c>
      <c r="V165" s="176" t="e">
        <f t="shared" si="124"/>
        <v>#N/A</v>
      </c>
      <c r="W165" s="605" t="e">
        <f t="shared" ref="W165" si="136">IF($R$36=2,0,IF($R$36=4,0,IF($R$36=6,0,IF($R$36=8,$O$36/8,IF($R$36=9,$O$36/9)))))</f>
        <v>#N/A</v>
      </c>
      <c r="X165" s="606" t="e">
        <f t="shared" si="126"/>
        <v>#N/A</v>
      </c>
      <c r="Y165" s="606" t="e">
        <f t="shared" si="127"/>
        <v>#N/A</v>
      </c>
      <c r="Z165" s="176">
        <f t="shared" si="134"/>
        <v>3</v>
      </c>
      <c r="AA165" s="176" t="e">
        <f t="shared" si="128"/>
        <v>#N/A</v>
      </c>
      <c r="AB165" s="176" t="e">
        <f t="shared" si="130"/>
        <v>#N/A</v>
      </c>
      <c r="AC165" s="590" t="e">
        <f t="shared" si="131"/>
        <v>#N/A</v>
      </c>
      <c r="AD165" s="590" t="e">
        <f t="shared" si="129"/>
        <v>#N/A</v>
      </c>
    </row>
    <row r="166" spans="1:32" s="173" customFormat="1" ht="15" customHeight="1">
      <c r="A166" s="126"/>
      <c r="B166" s="581" t="s">
        <v>225</v>
      </c>
      <c r="C166" s="604"/>
      <c r="D166" s="604"/>
      <c r="E166" s="604"/>
      <c r="F166" s="604"/>
      <c r="G166" s="604"/>
      <c r="H166" s="176" t="e">
        <f t="shared" si="118"/>
        <v>#N/A</v>
      </c>
      <c r="I166" s="176" t="e">
        <f t="shared" si="119"/>
        <v>#N/A</v>
      </c>
      <c r="J166" s="604"/>
      <c r="K166" s="604"/>
      <c r="L166" s="604"/>
      <c r="M166" s="126"/>
      <c r="N166" s="126"/>
      <c r="O166" s="590" t="e">
        <f t="shared" si="120"/>
        <v>#N/A</v>
      </c>
      <c r="P166" s="176">
        <f t="shared" si="132"/>
        <v>6</v>
      </c>
      <c r="Q166" s="580" t="e">
        <f t="shared" si="121"/>
        <v>#N/A</v>
      </c>
      <c r="R166" s="176">
        <f t="shared" si="132"/>
        <v>5.8</v>
      </c>
      <c r="S166" s="590" t="e">
        <f t="shared" si="122"/>
        <v>#N/A</v>
      </c>
      <c r="T166" s="176" t="e">
        <f t="shared" si="123"/>
        <v>#N/A</v>
      </c>
      <c r="U166" s="176">
        <f t="shared" si="133"/>
        <v>300</v>
      </c>
      <c r="V166" s="176" t="e">
        <f t="shared" si="124"/>
        <v>#N/A</v>
      </c>
      <c r="W166" s="605" t="e">
        <f>IF($R$36=2,0,IF($R$36=4,0,IF($R$36=6,0,IF($R$36=8,0,IF($R$36=9,$O$36/9)))))</f>
        <v>#N/A</v>
      </c>
      <c r="X166" s="606" t="e">
        <f t="shared" si="126"/>
        <v>#N/A</v>
      </c>
      <c r="Y166" s="606" t="e">
        <f t="shared" si="127"/>
        <v>#N/A</v>
      </c>
      <c r="Z166" s="176">
        <f t="shared" si="134"/>
        <v>3</v>
      </c>
      <c r="AA166" s="176" t="e">
        <f t="shared" si="128"/>
        <v>#N/A</v>
      </c>
      <c r="AB166" s="176" t="e">
        <f t="shared" si="130"/>
        <v>#N/A</v>
      </c>
      <c r="AC166" s="590" t="e">
        <f t="shared" si="131"/>
        <v>#N/A</v>
      </c>
      <c r="AD166" s="590" t="e">
        <f t="shared" si="129"/>
        <v>#N/A</v>
      </c>
      <c r="AE166" s="126"/>
    </row>
    <row r="167" spans="1:32" ht="15" customHeight="1">
      <c r="D167" s="126"/>
      <c r="E167" s="126"/>
      <c r="K167" s="126"/>
      <c r="L167" s="126"/>
      <c r="Q167" s="126"/>
      <c r="R167" s="126"/>
      <c r="V167" s="126"/>
      <c r="X167" s="126"/>
    </row>
    <row r="168" spans="1:32" ht="15" customHeight="1">
      <c r="D168" s="126"/>
      <c r="E168" s="126"/>
      <c r="K168" s="126"/>
      <c r="L168" s="126"/>
      <c r="Q168" s="126"/>
      <c r="R168" s="126"/>
      <c r="V168" s="126"/>
      <c r="X168" s="126"/>
    </row>
    <row r="169" spans="1:32" ht="15" customHeight="1">
      <c r="C169" s="1323" t="s">
        <v>1204</v>
      </c>
      <c r="D169" s="1323"/>
      <c r="E169" s="580" t="s">
        <v>1185</v>
      </c>
      <c r="F169" s="580" t="s">
        <v>1186</v>
      </c>
      <c r="G169" s="580" t="s">
        <v>227</v>
      </c>
      <c r="K169" s="126"/>
      <c r="L169" s="126"/>
      <c r="Q169" s="126"/>
      <c r="R169" s="126"/>
      <c r="V169" s="126"/>
      <c r="X169" s="126"/>
    </row>
    <row r="170" spans="1:32" ht="15" customHeight="1">
      <c r="B170" s="581" t="s">
        <v>768</v>
      </c>
      <c r="C170" s="1324"/>
      <c r="D170" s="1324"/>
      <c r="E170" s="589">
        <f>ENERGÍA!F176</f>
        <v>0</v>
      </c>
      <c r="F170" s="589">
        <f>ENERGÍA!G176</f>
        <v>0</v>
      </c>
      <c r="G170" s="589">
        <f>ENERGÍA!H176</f>
        <v>0</v>
      </c>
      <c r="K170" s="126"/>
      <c r="L170" s="126"/>
      <c r="T170" s="590">
        <f>ENERGÍA!U176</f>
        <v>0</v>
      </c>
      <c r="V170" s="126"/>
      <c r="X170" s="126"/>
      <c r="AC170" s="590">
        <f>T170*E170*F170</f>
        <v>0</v>
      </c>
      <c r="AD170" s="590">
        <f>AC170</f>
        <v>0</v>
      </c>
    </row>
    <row r="171" spans="1:32" ht="6" customHeight="1">
      <c r="D171" s="126"/>
      <c r="E171" s="126"/>
      <c r="O171" s="148"/>
      <c r="P171" s="581"/>
      <c r="Q171" s="126"/>
      <c r="R171" s="126"/>
      <c r="V171" s="148"/>
    </row>
    <row r="172" spans="1:32" ht="15" customHeight="1">
      <c r="B172" s="1280" t="s">
        <v>601</v>
      </c>
      <c r="C172" s="1280"/>
      <c r="D172" s="1280"/>
      <c r="E172" s="1280"/>
      <c r="F172" s="1280"/>
      <c r="G172" s="1280"/>
      <c r="H172" s="1280"/>
      <c r="I172" s="1280"/>
      <c r="J172" s="1280"/>
      <c r="K172" s="1280"/>
      <c r="L172" s="1280"/>
      <c r="O172" s="1317" t="s">
        <v>601</v>
      </c>
      <c r="P172" s="1318"/>
      <c r="Q172" s="1318"/>
      <c r="R172" s="1318"/>
      <c r="S172" s="1318"/>
      <c r="T172" s="1318"/>
      <c r="U172" s="1318"/>
      <c r="V172" s="1318"/>
      <c r="W172" s="1318"/>
      <c r="X172" s="1318"/>
      <c r="Y172" s="1318"/>
      <c r="Z172" s="1318"/>
      <c r="AA172" s="1318"/>
      <c r="AB172" s="1318"/>
      <c r="AC172" s="1318"/>
      <c r="AD172" s="1318"/>
      <c r="AE172" s="1318"/>
      <c r="AF172" s="1319"/>
    </row>
    <row r="173" spans="1:32" ht="6" customHeight="1">
      <c r="O173" s="148"/>
      <c r="Q173" s="126"/>
      <c r="R173" s="126"/>
      <c r="V173" s="148"/>
    </row>
    <row r="174" spans="1:32" ht="15" customHeight="1">
      <c r="B174" s="580" t="s">
        <v>598</v>
      </c>
      <c r="C174" s="1320" t="s">
        <v>1034</v>
      </c>
      <c r="D174" s="1321"/>
      <c r="E174" s="1321"/>
      <c r="F174" s="1321"/>
      <c r="G174" s="1321"/>
      <c r="H174" s="1321"/>
      <c r="I174" s="1321"/>
      <c r="J174" s="1321"/>
      <c r="K174" s="1321"/>
      <c r="L174" s="1322"/>
      <c r="P174" s="580" t="s">
        <v>1388</v>
      </c>
      <c r="Q174" s="148" t="s">
        <v>1389</v>
      </c>
      <c r="X174" s="580" t="s">
        <v>1392</v>
      </c>
      <c r="Z174" s="148" t="s">
        <v>1393</v>
      </c>
      <c r="AA174" s="580" t="s">
        <v>1391</v>
      </c>
      <c r="AB174" s="148" t="s">
        <v>1390</v>
      </c>
      <c r="AD174" s="148" t="s">
        <v>1393</v>
      </c>
      <c r="AE174" s="580" t="s">
        <v>1391</v>
      </c>
      <c r="AF174" s="148" t="s">
        <v>1394</v>
      </c>
    </row>
    <row r="175" spans="1:32" ht="15" customHeight="1">
      <c r="B175" s="581" t="s">
        <v>574</v>
      </c>
      <c r="C175" s="1326" t="str">
        <f>'BASE DE DATOS'!GW35</f>
        <v>Ventilación Selectiva</v>
      </c>
      <c r="D175" s="1327"/>
      <c r="E175" s="1327"/>
      <c r="F175" s="1327"/>
      <c r="G175" s="1327"/>
      <c r="H175" s="1327"/>
      <c r="I175" s="1327"/>
      <c r="J175" s="1327"/>
      <c r="K175" s="1327"/>
      <c r="L175" s="1328"/>
      <c r="O175" s="580">
        <f>ENERGÍA!P181</f>
        <v>0</v>
      </c>
      <c r="P175" s="148">
        <f>IF(O175=0,0,IF(C175='Materiales Personalizados'!$AG$30,55,IF(C175='Materiales Personalizados'!$AG$31,25,IF(C175='Materiales Personalizados'!$AG$32,55,0))))</f>
        <v>0</v>
      </c>
      <c r="Q175" s="1286">
        <f>IF(SUM(P175:P184)=0,0,SUM(P175:P184))</f>
        <v>0</v>
      </c>
      <c r="X175" s="1286">
        <f>((Q175*AW64)/3600)*0.33</f>
        <v>0</v>
      </c>
      <c r="Z175" s="1275">
        <v>0.3</v>
      </c>
      <c r="AA175" s="1286">
        <f>(X175+Z175)*1200</f>
        <v>360</v>
      </c>
      <c r="AB175" s="1286">
        <f>(1/1000)*AA175*(AH64)</f>
        <v>0</v>
      </c>
      <c r="AD175" s="1275">
        <v>0.3</v>
      </c>
      <c r="AE175" s="1286">
        <f>(AD175)*1200</f>
        <v>360</v>
      </c>
      <c r="AF175" s="1286">
        <f>(1/1000)*AE175*(AN66)</f>
        <v>6.4799999999999995</v>
      </c>
    </row>
    <row r="176" spans="1:32" ht="15" customHeight="1">
      <c r="B176" s="581" t="s">
        <v>575</v>
      </c>
      <c r="C176" s="1326" t="str">
        <f>C175</f>
        <v>Ventilación Selectiva</v>
      </c>
      <c r="D176" s="1327"/>
      <c r="E176" s="1327"/>
      <c r="F176" s="1327"/>
      <c r="G176" s="1327"/>
      <c r="H176" s="1327"/>
      <c r="I176" s="1327"/>
      <c r="J176" s="1327"/>
      <c r="K176" s="1327"/>
      <c r="L176" s="1328"/>
      <c r="O176" s="580">
        <f>ENERGÍA!P182</f>
        <v>0</v>
      </c>
      <c r="P176" s="148">
        <f>IF(O176=0,0,IF(C176='Materiales Personalizados'!$AG$30,55,IF(C176='Materiales Personalizados'!$AG$31,25,IF(C176='Materiales Personalizados'!$AG$32,55,0))))</f>
        <v>0</v>
      </c>
      <c r="Q176" s="1287"/>
      <c r="X176" s="1287"/>
      <c r="Z176" s="1276"/>
      <c r="AA176" s="1287"/>
      <c r="AB176" s="1287"/>
      <c r="AD176" s="1276"/>
      <c r="AE176" s="1287"/>
      <c r="AF176" s="1287"/>
    </row>
    <row r="177" spans="2:50" ht="15" customHeight="1">
      <c r="B177" s="581" t="s">
        <v>576</v>
      </c>
      <c r="C177" s="1326" t="str">
        <f t="shared" ref="C177:C184" si="137">C176</f>
        <v>Ventilación Selectiva</v>
      </c>
      <c r="D177" s="1327"/>
      <c r="E177" s="1327"/>
      <c r="F177" s="1327"/>
      <c r="G177" s="1327"/>
      <c r="H177" s="1327"/>
      <c r="I177" s="1327"/>
      <c r="J177" s="1327"/>
      <c r="K177" s="1327"/>
      <c r="L177" s="1328"/>
      <c r="O177" s="580">
        <f>ENERGÍA!P183</f>
        <v>0</v>
      </c>
      <c r="P177" s="148">
        <f>IF(O177=0,0,IF(C177='Materiales Personalizados'!$AG$30,55,IF(C177='Materiales Personalizados'!$AG$31,25,IF(C177='Materiales Personalizados'!$AG$32,55,0))))</f>
        <v>0</v>
      </c>
      <c r="Q177" s="1287"/>
      <c r="S177" s="597"/>
      <c r="X177" s="1287"/>
      <c r="Z177" s="1276"/>
      <c r="AA177" s="1287"/>
      <c r="AB177" s="1287"/>
      <c r="AD177" s="1276"/>
      <c r="AE177" s="1287"/>
      <c r="AF177" s="1287"/>
    </row>
    <row r="178" spans="2:50" ht="15" customHeight="1">
      <c r="B178" s="581" t="s">
        <v>577</v>
      </c>
      <c r="C178" s="1326" t="str">
        <f t="shared" si="137"/>
        <v>Ventilación Selectiva</v>
      </c>
      <c r="D178" s="1327"/>
      <c r="E178" s="1327"/>
      <c r="F178" s="1327"/>
      <c r="G178" s="1327"/>
      <c r="H178" s="1327"/>
      <c r="I178" s="1327"/>
      <c r="J178" s="1327"/>
      <c r="K178" s="1327"/>
      <c r="L178" s="1328"/>
      <c r="O178" s="580">
        <f>ENERGÍA!P184</f>
        <v>0</v>
      </c>
      <c r="P178" s="148">
        <f>IF(O178=0,0,IF(C178='Materiales Personalizados'!$AG$30,55,IF(C178='Materiales Personalizados'!$AG$31,25,IF(C178='Materiales Personalizados'!$AG$32,55,0))))</f>
        <v>0</v>
      </c>
      <c r="Q178" s="1287"/>
      <c r="S178" s="597"/>
      <c r="X178" s="1287"/>
      <c r="Z178" s="1276"/>
      <c r="AA178" s="1287"/>
      <c r="AB178" s="1287"/>
      <c r="AD178" s="1276"/>
      <c r="AE178" s="1287"/>
      <c r="AF178" s="1287"/>
    </row>
    <row r="179" spans="2:50" ht="15" customHeight="1">
      <c r="B179" s="581" t="s">
        <v>578</v>
      </c>
      <c r="C179" s="1326" t="str">
        <f t="shared" si="137"/>
        <v>Ventilación Selectiva</v>
      </c>
      <c r="D179" s="1327"/>
      <c r="E179" s="1327"/>
      <c r="F179" s="1327"/>
      <c r="G179" s="1327"/>
      <c r="H179" s="1327"/>
      <c r="I179" s="1327"/>
      <c r="J179" s="1327"/>
      <c r="K179" s="1327"/>
      <c r="L179" s="1328"/>
      <c r="O179" s="580">
        <f>ENERGÍA!P185</f>
        <v>0</v>
      </c>
      <c r="P179" s="148">
        <f>IF(O179=0,0,IF(C179='Materiales Personalizados'!$AG$30,55,IF(C179='Materiales Personalizados'!$AG$31,25,IF(C179='Materiales Personalizados'!$AG$32,55,0))))</f>
        <v>0</v>
      </c>
      <c r="Q179" s="1287"/>
      <c r="X179" s="1287"/>
      <c r="Z179" s="1276"/>
      <c r="AA179" s="1287"/>
      <c r="AB179" s="1287"/>
      <c r="AD179" s="1276"/>
      <c r="AE179" s="1287"/>
      <c r="AF179" s="1287"/>
    </row>
    <row r="180" spans="2:50" ht="15" customHeight="1">
      <c r="B180" s="581" t="s">
        <v>579</v>
      </c>
      <c r="C180" s="1326" t="str">
        <f t="shared" si="137"/>
        <v>Ventilación Selectiva</v>
      </c>
      <c r="D180" s="1327"/>
      <c r="E180" s="1327"/>
      <c r="F180" s="1327"/>
      <c r="G180" s="1327"/>
      <c r="H180" s="1327"/>
      <c r="I180" s="1327"/>
      <c r="J180" s="1327"/>
      <c r="K180" s="1327"/>
      <c r="L180" s="1328"/>
      <c r="O180" s="580">
        <f>ENERGÍA!P186</f>
        <v>0</v>
      </c>
      <c r="P180" s="148">
        <f>IF(O180=0,0,IF(C180='Materiales Personalizados'!$AG$30,55,IF(C180='Materiales Personalizados'!$AG$31,25,IF(C180='Materiales Personalizados'!$AG$32,55,0))))</f>
        <v>0</v>
      </c>
      <c r="Q180" s="1287"/>
      <c r="T180" s="597"/>
      <c r="X180" s="1287"/>
      <c r="Z180" s="1276"/>
      <c r="AA180" s="1287"/>
      <c r="AB180" s="1287"/>
      <c r="AD180" s="1276"/>
      <c r="AE180" s="1287"/>
      <c r="AF180" s="1287"/>
    </row>
    <row r="181" spans="2:50" ht="15" customHeight="1">
      <c r="B181" s="581" t="s">
        <v>636</v>
      </c>
      <c r="C181" s="1326" t="str">
        <f t="shared" si="137"/>
        <v>Ventilación Selectiva</v>
      </c>
      <c r="D181" s="1327"/>
      <c r="E181" s="1327"/>
      <c r="F181" s="1327"/>
      <c r="G181" s="1327"/>
      <c r="H181" s="1327"/>
      <c r="I181" s="1327"/>
      <c r="J181" s="1327"/>
      <c r="K181" s="1327"/>
      <c r="L181" s="1328"/>
      <c r="O181" s="580">
        <f>ENERGÍA!P187</f>
        <v>0</v>
      </c>
      <c r="P181" s="148">
        <f>IF(O181=0,0,IF(C181='Materiales Personalizados'!$AG$30,55,IF(C181='Materiales Personalizados'!$AG$31,25,IF(C181='Materiales Personalizados'!$AG$32,55,0))))</f>
        <v>0</v>
      </c>
      <c r="Q181" s="1287"/>
      <c r="X181" s="1287"/>
      <c r="Z181" s="1276"/>
      <c r="AA181" s="1287"/>
      <c r="AB181" s="1287"/>
      <c r="AD181" s="1276"/>
      <c r="AE181" s="1287"/>
      <c r="AF181" s="1287"/>
    </row>
    <row r="182" spans="2:50" ht="15" customHeight="1">
      <c r="B182" s="581" t="s">
        <v>582</v>
      </c>
      <c r="C182" s="1326" t="str">
        <f t="shared" si="137"/>
        <v>Ventilación Selectiva</v>
      </c>
      <c r="D182" s="1327"/>
      <c r="E182" s="1327"/>
      <c r="F182" s="1327"/>
      <c r="G182" s="1327"/>
      <c r="H182" s="1327"/>
      <c r="I182" s="1327"/>
      <c r="J182" s="1327"/>
      <c r="K182" s="1327"/>
      <c r="L182" s="1328"/>
      <c r="O182" s="580">
        <f>ENERGÍA!P188</f>
        <v>0</v>
      </c>
      <c r="P182" s="148">
        <f>IF(O182=0,0,IF(C182='Materiales Personalizados'!$AG$30,55,IF(C182='Materiales Personalizados'!$AG$31,25,IF(C182='Materiales Personalizados'!$AG$32,55,0))))</f>
        <v>0</v>
      </c>
      <c r="Q182" s="1287"/>
      <c r="X182" s="1287"/>
      <c r="Z182" s="1276"/>
      <c r="AA182" s="1287"/>
      <c r="AB182" s="1287"/>
      <c r="AD182" s="1276"/>
      <c r="AE182" s="1287"/>
      <c r="AF182" s="1287"/>
    </row>
    <row r="183" spans="2:50" ht="15" customHeight="1">
      <c r="B183" s="581" t="s">
        <v>566</v>
      </c>
      <c r="C183" s="1326" t="str">
        <f t="shared" si="137"/>
        <v>Ventilación Selectiva</v>
      </c>
      <c r="D183" s="1327"/>
      <c r="E183" s="1327"/>
      <c r="F183" s="1327"/>
      <c r="G183" s="1327"/>
      <c r="H183" s="1327"/>
      <c r="I183" s="1327"/>
      <c r="J183" s="1327"/>
      <c r="K183" s="1327"/>
      <c r="L183" s="1328"/>
      <c r="O183" s="580">
        <f>ENERGÍA!P189</f>
        <v>0</v>
      </c>
      <c r="P183" s="148">
        <f>IF(O183=0,0,IF(C183='Materiales Personalizados'!$AG$30,55,IF(C183='Materiales Personalizados'!$AG$31,25,IF(C183='Materiales Personalizados'!$AG$32,55,0))))</f>
        <v>0</v>
      </c>
      <c r="Q183" s="1287"/>
      <c r="X183" s="1287"/>
      <c r="Z183" s="1276"/>
      <c r="AA183" s="1287"/>
      <c r="AB183" s="1287"/>
      <c r="AD183" s="1276"/>
      <c r="AE183" s="1287"/>
      <c r="AF183" s="1287"/>
    </row>
    <row r="184" spans="2:50" ht="15" customHeight="1">
      <c r="B184" s="581" t="s">
        <v>572</v>
      </c>
      <c r="C184" s="1326" t="str">
        <f t="shared" si="137"/>
        <v>Ventilación Selectiva</v>
      </c>
      <c r="D184" s="1327"/>
      <c r="E184" s="1327"/>
      <c r="F184" s="1327"/>
      <c r="G184" s="1327"/>
      <c r="H184" s="1327"/>
      <c r="I184" s="1327"/>
      <c r="J184" s="1327"/>
      <c r="K184" s="1327"/>
      <c r="L184" s="1328"/>
      <c r="O184" s="580">
        <f>ENERGÍA!P190</f>
        <v>0</v>
      </c>
      <c r="P184" s="148">
        <f>IF(O184=0,0,IF(C184='Materiales Personalizados'!$AG$30,55,IF(C184='Materiales Personalizados'!$AG$31,25,IF(C184='Materiales Personalizados'!$AG$32,55,0))))</f>
        <v>0</v>
      </c>
      <c r="Q184" s="1288"/>
      <c r="X184" s="1288"/>
      <c r="Z184" s="1277"/>
      <c r="AA184" s="1288"/>
      <c r="AB184" s="1288"/>
      <c r="AD184" s="1277"/>
      <c r="AE184" s="1288"/>
      <c r="AF184" s="1288"/>
    </row>
    <row r="185" spans="2:50" ht="6" customHeight="1">
      <c r="D185" s="126"/>
      <c r="E185" s="126"/>
      <c r="Q185" s="126"/>
      <c r="R185" s="126"/>
      <c r="V185" s="126"/>
      <c r="AV185" s="582"/>
      <c r="AW185" s="148"/>
      <c r="AX185" s="148"/>
    </row>
    <row r="186" spans="2:50" ht="15" customHeight="1">
      <c r="O186" s="148"/>
      <c r="P186" s="148"/>
      <c r="Q186" s="148"/>
      <c r="R186" s="148"/>
      <c r="S186" s="148"/>
      <c r="T186" s="148"/>
      <c r="U186" s="148"/>
      <c r="V186" s="148"/>
    </row>
    <row r="187" spans="2:50" ht="15" customHeight="1">
      <c r="O187" s="148"/>
      <c r="P187" s="148"/>
      <c r="Q187" s="148"/>
      <c r="R187" s="148"/>
      <c r="S187" s="148"/>
      <c r="T187" s="148"/>
      <c r="U187" s="148"/>
      <c r="V187" s="148"/>
    </row>
    <row r="188" spans="2:50" ht="15" customHeight="1">
      <c r="B188" s="98"/>
      <c r="C188" s="98"/>
      <c r="O188" s="148"/>
      <c r="P188" s="148"/>
      <c r="Q188" s="148"/>
      <c r="R188" s="148"/>
      <c r="S188" s="148"/>
      <c r="T188" s="148"/>
      <c r="U188" s="148"/>
      <c r="V188" s="148"/>
    </row>
    <row r="189" spans="2:50" ht="15" customHeight="1">
      <c r="O189" s="148"/>
      <c r="P189" s="148"/>
      <c r="Q189" s="148"/>
      <c r="R189" s="148"/>
      <c r="S189" s="148"/>
      <c r="T189" s="148"/>
      <c r="U189" s="148"/>
      <c r="V189" s="148"/>
    </row>
    <row r="190" spans="2:50" ht="15" customHeight="1">
      <c r="K190" s="126"/>
      <c r="L190" s="126"/>
    </row>
    <row r="191" spans="2:50" ht="15" customHeight="1">
      <c r="J191" s="148"/>
      <c r="K191" s="148"/>
      <c r="L191" s="148"/>
    </row>
  </sheetData>
  <sheetProtection algorithmName="SHA-512" hashValue="q3O8Yc8sj9DsjaZ3jzU1SFT4zpBIl0HiU9l4vllZ2MHrotWbSKHdlK7RysTkeerOXs+ZZHDuCxIqCaxRAGIPeg==" saltValue="U47Oz53fnbH+/o2oUXde3A==" spinCount="100000" sheet="1" objects="1" scenarios="1" selectLockedCells="1"/>
  <mergeCells count="349">
    <mergeCell ref="B7:L7"/>
    <mergeCell ref="O7:AW7"/>
    <mergeCell ref="C9:K9"/>
    <mergeCell ref="C10:K10"/>
    <mergeCell ref="C11:K11"/>
    <mergeCell ref="C12:K12"/>
    <mergeCell ref="B4:J5"/>
    <mergeCell ref="K4:L5"/>
    <mergeCell ref="O4:T5"/>
    <mergeCell ref="U4:U5"/>
    <mergeCell ref="V4:V5"/>
    <mergeCell ref="X4:AW5"/>
    <mergeCell ref="B18:B20"/>
    <mergeCell ref="C18:K20"/>
    <mergeCell ref="L18:L20"/>
    <mergeCell ref="B21:B23"/>
    <mergeCell ref="C21:K23"/>
    <mergeCell ref="L21:L23"/>
    <mergeCell ref="C13:K13"/>
    <mergeCell ref="B14:B15"/>
    <mergeCell ref="C14:K15"/>
    <mergeCell ref="L14:L15"/>
    <mergeCell ref="B16:B17"/>
    <mergeCell ref="C16:K17"/>
    <mergeCell ref="L16:L17"/>
    <mergeCell ref="C29:K29"/>
    <mergeCell ref="B30:L30"/>
    <mergeCell ref="B32:L32"/>
    <mergeCell ref="B34:C34"/>
    <mergeCell ref="D34:F34"/>
    <mergeCell ref="G34:J34"/>
    <mergeCell ref="K34:L34"/>
    <mergeCell ref="B24:B26"/>
    <mergeCell ref="C24:K26"/>
    <mergeCell ref="L24:L26"/>
    <mergeCell ref="B27:B28"/>
    <mergeCell ref="C27:K28"/>
    <mergeCell ref="L27:L28"/>
    <mergeCell ref="O34:P34"/>
    <mergeCell ref="D35:F35"/>
    <mergeCell ref="G35:J35"/>
    <mergeCell ref="K35:L35"/>
    <mergeCell ref="O35:P35"/>
    <mergeCell ref="D36:F36"/>
    <mergeCell ref="G36:J36"/>
    <mergeCell ref="K36:L36"/>
    <mergeCell ref="O36:P36"/>
    <mergeCell ref="AG40:AJ40"/>
    <mergeCell ref="B42:L42"/>
    <mergeCell ref="O42:W42"/>
    <mergeCell ref="Y42:AC42"/>
    <mergeCell ref="D37:F37"/>
    <mergeCell ref="G37:J37"/>
    <mergeCell ref="K37:L37"/>
    <mergeCell ref="O37:P37"/>
    <mergeCell ref="D38:F38"/>
    <mergeCell ref="G38:J38"/>
    <mergeCell ref="K38:L38"/>
    <mergeCell ref="O38:P38"/>
    <mergeCell ref="B44:B45"/>
    <mergeCell ref="C44:G45"/>
    <mergeCell ref="H44:I44"/>
    <mergeCell ref="J44:J45"/>
    <mergeCell ref="K44:K45"/>
    <mergeCell ref="L44:L45"/>
    <mergeCell ref="B40:L40"/>
    <mergeCell ref="O40:W40"/>
    <mergeCell ref="Y40:AE40"/>
    <mergeCell ref="AD44:AD45"/>
    <mergeCell ref="AE44:AE45"/>
    <mergeCell ref="C46:G46"/>
    <mergeCell ref="C47:G47"/>
    <mergeCell ref="Y47:AC47"/>
    <mergeCell ref="C48:G48"/>
    <mergeCell ref="Y48:AE48"/>
    <mergeCell ref="U44:U45"/>
    <mergeCell ref="V44:V45"/>
    <mergeCell ref="Y44:Y45"/>
    <mergeCell ref="Z44:AA45"/>
    <mergeCell ref="AB44:AB45"/>
    <mergeCell ref="AC44:AC45"/>
    <mergeCell ref="O44:O45"/>
    <mergeCell ref="P44:P45"/>
    <mergeCell ref="Q44:Q45"/>
    <mergeCell ref="R44:R45"/>
    <mergeCell ref="S44:S45"/>
    <mergeCell ref="T44:T45"/>
    <mergeCell ref="B50:L50"/>
    <mergeCell ref="O50:W50"/>
    <mergeCell ref="B52:L52"/>
    <mergeCell ref="O52:W52"/>
    <mergeCell ref="AE52:AE57"/>
    <mergeCell ref="B54:B55"/>
    <mergeCell ref="C54:G55"/>
    <mergeCell ref="H54:I54"/>
    <mergeCell ref="J54:J55"/>
    <mergeCell ref="K54:K55"/>
    <mergeCell ref="T54:T55"/>
    <mergeCell ref="U54:U55"/>
    <mergeCell ref="V54:V55"/>
    <mergeCell ref="W54:W55"/>
    <mergeCell ref="AH54:AJ54"/>
    <mergeCell ref="H55:I55"/>
    <mergeCell ref="L54:L55"/>
    <mergeCell ref="O54:O55"/>
    <mergeCell ref="P54:P55"/>
    <mergeCell ref="Q54:Q55"/>
    <mergeCell ref="R54:R55"/>
    <mergeCell ref="S54:S55"/>
    <mergeCell ref="C59:G59"/>
    <mergeCell ref="H59:I59"/>
    <mergeCell ref="Y59:Z59"/>
    <mergeCell ref="AC59:AD59"/>
    <mergeCell ref="AG59:AS59"/>
    <mergeCell ref="C60:G60"/>
    <mergeCell ref="H60:I60"/>
    <mergeCell ref="C56:G56"/>
    <mergeCell ref="H56:I56"/>
    <mergeCell ref="C57:G57"/>
    <mergeCell ref="H57:I57"/>
    <mergeCell ref="C58:G58"/>
    <mergeCell ref="H58:I58"/>
    <mergeCell ref="B62:L62"/>
    <mergeCell ref="O62:W62"/>
    <mergeCell ref="B64:B65"/>
    <mergeCell ref="C64:G65"/>
    <mergeCell ref="H64:I64"/>
    <mergeCell ref="J64:J65"/>
    <mergeCell ref="K64:K65"/>
    <mergeCell ref="L64:L65"/>
    <mergeCell ref="O64:O65"/>
    <mergeCell ref="P64:P65"/>
    <mergeCell ref="AE64:AE65"/>
    <mergeCell ref="H65:I65"/>
    <mergeCell ref="C66:G66"/>
    <mergeCell ref="H66:I66"/>
    <mergeCell ref="AB66:AD66"/>
    <mergeCell ref="Q64:Q65"/>
    <mergeCell ref="R64:R65"/>
    <mergeCell ref="S64:S65"/>
    <mergeCell ref="T64:T65"/>
    <mergeCell ref="U64:U65"/>
    <mergeCell ref="V64:V65"/>
    <mergeCell ref="C67:G67"/>
    <mergeCell ref="H67:I67"/>
    <mergeCell ref="C68:G68"/>
    <mergeCell ref="H68:I68"/>
    <mergeCell ref="Y68:AC68"/>
    <mergeCell ref="C69:G69"/>
    <mergeCell ref="H69:I69"/>
    <mergeCell ref="AB69:AC69"/>
    <mergeCell ref="W64:W65"/>
    <mergeCell ref="Y64:AD65"/>
    <mergeCell ref="C70:G70"/>
    <mergeCell ref="H70:I70"/>
    <mergeCell ref="AB70:AC70"/>
    <mergeCell ref="AE70:AE76"/>
    <mergeCell ref="B72:L72"/>
    <mergeCell ref="O72:W72"/>
    <mergeCell ref="AB72:AC72"/>
    <mergeCell ref="B74:B75"/>
    <mergeCell ref="C74:G75"/>
    <mergeCell ref="H74:I74"/>
    <mergeCell ref="AG74:AS74"/>
    <mergeCell ref="H75:I75"/>
    <mergeCell ref="C76:G76"/>
    <mergeCell ref="H76:I76"/>
    <mergeCell ref="AB76:AC76"/>
    <mergeCell ref="R74:R75"/>
    <mergeCell ref="S74:S75"/>
    <mergeCell ref="T74:T75"/>
    <mergeCell ref="U74:U75"/>
    <mergeCell ref="V74:V75"/>
    <mergeCell ref="W74:W75"/>
    <mergeCell ref="J74:J75"/>
    <mergeCell ref="K74:K75"/>
    <mergeCell ref="L74:L75"/>
    <mergeCell ref="O74:O75"/>
    <mergeCell ref="P74:P75"/>
    <mergeCell ref="Q74:Q75"/>
    <mergeCell ref="C77:G77"/>
    <mergeCell ref="H77:I77"/>
    <mergeCell ref="C78:G78"/>
    <mergeCell ref="H78:I78"/>
    <mergeCell ref="Y78:AC78"/>
    <mergeCell ref="C79:G79"/>
    <mergeCell ref="H79:I79"/>
    <mergeCell ref="Y79:AE79"/>
    <mergeCell ref="AB74:AC74"/>
    <mergeCell ref="C80:G80"/>
    <mergeCell ref="H80:I80"/>
    <mergeCell ref="B82:L82"/>
    <mergeCell ref="O82:W82"/>
    <mergeCell ref="AE82:AE87"/>
    <mergeCell ref="AG82:AS82"/>
    <mergeCell ref="B84:B85"/>
    <mergeCell ref="C84:G85"/>
    <mergeCell ref="H84:I84"/>
    <mergeCell ref="J84:J85"/>
    <mergeCell ref="AV84:AW87"/>
    <mergeCell ref="H85:I85"/>
    <mergeCell ref="C86:G86"/>
    <mergeCell ref="H86:I86"/>
    <mergeCell ref="C87:G87"/>
    <mergeCell ref="H87:I87"/>
    <mergeCell ref="S84:S85"/>
    <mergeCell ref="T84:T85"/>
    <mergeCell ref="U84:U85"/>
    <mergeCell ref="V84:V85"/>
    <mergeCell ref="W84:W85"/>
    <mergeCell ref="AG84:AS84"/>
    <mergeCell ref="K84:K85"/>
    <mergeCell ref="L84:L85"/>
    <mergeCell ref="O84:O85"/>
    <mergeCell ref="P84:P85"/>
    <mergeCell ref="Q84:Q85"/>
    <mergeCell ref="R84:R85"/>
    <mergeCell ref="AV90:AV91"/>
    <mergeCell ref="AW90:AW91"/>
    <mergeCell ref="C88:G88"/>
    <mergeCell ref="H88:I88"/>
    <mergeCell ref="AV88:AV89"/>
    <mergeCell ref="AW88:AW89"/>
    <mergeCell ref="C89:G89"/>
    <mergeCell ref="H89:I89"/>
    <mergeCell ref="Y89:AE89"/>
    <mergeCell ref="B92:L92"/>
    <mergeCell ref="O92:W92"/>
    <mergeCell ref="Y92:AA92"/>
    <mergeCell ref="AB92:AD92"/>
    <mergeCell ref="AG92:AS92"/>
    <mergeCell ref="C94:J94"/>
    <mergeCell ref="Y94:AD94"/>
    <mergeCell ref="C90:G90"/>
    <mergeCell ref="H90:I90"/>
    <mergeCell ref="Y90:AA90"/>
    <mergeCell ref="AB90:AD90"/>
    <mergeCell ref="B102:B103"/>
    <mergeCell ref="C102:E102"/>
    <mergeCell ref="F102:G102"/>
    <mergeCell ref="H102:I102"/>
    <mergeCell ref="J102:J103"/>
    <mergeCell ref="K102:L102"/>
    <mergeCell ref="AV94:AW95"/>
    <mergeCell ref="C95:J95"/>
    <mergeCell ref="C96:J96"/>
    <mergeCell ref="B98:L98"/>
    <mergeCell ref="O98:AE98"/>
    <mergeCell ref="B100:L100"/>
    <mergeCell ref="O100:AE100"/>
    <mergeCell ref="Z102:Z103"/>
    <mergeCell ref="AA102:AA103"/>
    <mergeCell ref="AB102:AB103"/>
    <mergeCell ref="AC102:AC103"/>
    <mergeCell ref="AD102:AD103"/>
    <mergeCell ref="C115:D115"/>
    <mergeCell ref="P102:P103"/>
    <mergeCell ref="R102:R103"/>
    <mergeCell ref="T102:T103"/>
    <mergeCell ref="U102:V102"/>
    <mergeCell ref="X102:X103"/>
    <mergeCell ref="Y102:Y103"/>
    <mergeCell ref="C116:D116"/>
    <mergeCell ref="AG116:AS116"/>
    <mergeCell ref="B118:L118"/>
    <mergeCell ref="O118:AE118"/>
    <mergeCell ref="B120:B121"/>
    <mergeCell ref="C120:E120"/>
    <mergeCell ref="F120:G120"/>
    <mergeCell ref="H120:I120"/>
    <mergeCell ref="J120:J121"/>
    <mergeCell ref="K120:L120"/>
    <mergeCell ref="Z120:Z121"/>
    <mergeCell ref="AA120:AA121"/>
    <mergeCell ref="AB120:AB121"/>
    <mergeCell ref="AC120:AC121"/>
    <mergeCell ref="AD120:AD121"/>
    <mergeCell ref="C133:D133"/>
    <mergeCell ref="P120:P121"/>
    <mergeCell ref="R120:R121"/>
    <mergeCell ref="T120:T121"/>
    <mergeCell ref="U120:V120"/>
    <mergeCell ref="X120:X121"/>
    <mergeCell ref="Y120:Y121"/>
    <mergeCell ref="C134:D134"/>
    <mergeCell ref="B136:L136"/>
    <mergeCell ref="O136:AE136"/>
    <mergeCell ref="B138:B139"/>
    <mergeCell ref="C138:E138"/>
    <mergeCell ref="F138:G138"/>
    <mergeCell ref="H138:I138"/>
    <mergeCell ref="J138:J139"/>
    <mergeCell ref="K138:L138"/>
    <mergeCell ref="P138:P139"/>
    <mergeCell ref="AA138:AA139"/>
    <mergeCell ref="AB138:AB139"/>
    <mergeCell ref="AC138:AC139"/>
    <mergeCell ref="AD138:AD139"/>
    <mergeCell ref="AG139:AS141"/>
    <mergeCell ref="C151:D151"/>
    <mergeCell ref="R138:R139"/>
    <mergeCell ref="T138:T139"/>
    <mergeCell ref="U138:V138"/>
    <mergeCell ref="X138:X139"/>
    <mergeCell ref="Y138:Y139"/>
    <mergeCell ref="Z138:Z139"/>
    <mergeCell ref="C152:D152"/>
    <mergeCell ref="B154:L154"/>
    <mergeCell ref="O154:AE154"/>
    <mergeCell ref="B156:B157"/>
    <mergeCell ref="C156:E156"/>
    <mergeCell ref="F156:G156"/>
    <mergeCell ref="H156:I156"/>
    <mergeCell ref="J156:J157"/>
    <mergeCell ref="K156:L156"/>
    <mergeCell ref="P156:P157"/>
    <mergeCell ref="AA156:AA157"/>
    <mergeCell ref="AB156:AB157"/>
    <mergeCell ref="AC156:AC157"/>
    <mergeCell ref="AD156:AD157"/>
    <mergeCell ref="C169:D169"/>
    <mergeCell ref="C170:D170"/>
    <mergeCell ref="R156:R157"/>
    <mergeCell ref="T156:T157"/>
    <mergeCell ref="U156:V156"/>
    <mergeCell ref="X156:X157"/>
    <mergeCell ref="Y156:Y157"/>
    <mergeCell ref="Z156:Z157"/>
    <mergeCell ref="B172:L172"/>
    <mergeCell ref="O172:AF172"/>
    <mergeCell ref="C174:L174"/>
    <mergeCell ref="C175:L175"/>
    <mergeCell ref="Q175:Q184"/>
    <mergeCell ref="X175:X184"/>
    <mergeCell ref="Z175:Z184"/>
    <mergeCell ref="AA175:AA184"/>
    <mergeCell ref="AB175:AB184"/>
    <mergeCell ref="AD175:AD184"/>
    <mergeCell ref="C184:L184"/>
    <mergeCell ref="AE175:AE184"/>
    <mergeCell ref="AF175:AF184"/>
    <mergeCell ref="C176:L176"/>
    <mergeCell ref="C177:L177"/>
    <mergeCell ref="C178:L178"/>
    <mergeCell ref="C179:L179"/>
    <mergeCell ref="C180:L180"/>
    <mergeCell ref="C181:L181"/>
    <mergeCell ref="C182:L182"/>
    <mergeCell ref="C183:L183"/>
  </mergeCells>
  <conditionalFormatting sqref="H46:I48 H56:I60">
    <cfRule type="containsText" dxfId="1401" priority="6" operator="containsText" text="No Cumple">
      <formula>NOT(ISERROR(SEARCH("No Cumple",H46)))</formula>
    </cfRule>
  </conditionalFormatting>
  <conditionalFormatting sqref="H66:I70">
    <cfRule type="containsText" dxfId="1400" priority="4" operator="containsText" text="No Cumple">
      <formula>NOT(ISERROR(SEARCH("No Cumple",H66)))</formula>
    </cfRule>
  </conditionalFormatting>
  <conditionalFormatting sqref="H76:I80">
    <cfRule type="containsText" dxfId="1399" priority="3" operator="containsText" text="No Cumple">
      <formula>NOT(ISERROR(SEARCH("No Cumple",H76)))</formula>
    </cfRule>
  </conditionalFormatting>
  <conditionalFormatting sqref="H86:I90">
    <cfRule type="containsText" dxfId="1398" priority="2" operator="containsText" text="No Cumple">
      <formula>NOT(ISERROR(SEARCH("No Cumple",H86)))</formula>
    </cfRule>
  </conditionalFormatting>
  <conditionalFormatting sqref="C175:L184">
    <cfRule type="expression" dxfId="1397" priority="1">
      <formula>O175=0</formula>
    </cfRule>
  </conditionalFormatting>
  <dataValidations count="2">
    <dataValidation type="list" allowBlank="1" showInputMessage="1" showErrorMessage="1" sqref="C185:D185" xr:uid="{00000000-0002-0000-0C00-000000000000}">
      <formula1>$AL$3:$AL$6</formula1>
    </dataValidation>
    <dataValidation type="list" allowBlank="1" showInputMessage="1" showErrorMessage="1" sqref="C39" xr:uid="{00000000-0002-0000-0C00-000001000000}">
      <formula1>ORIENTACIONES</formula1>
    </dataValidation>
  </dataValidations>
  <printOptions gridLines="1"/>
  <pageMargins left="0.23622047244094491" right="0.23622047244094491" top="0.74803149606299213" bottom="0.74803149606299213" header="0.31496062992125984" footer="0.31496062992125984"/>
  <pageSetup paperSize="9" scale="10" fitToWidth="0"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iconSet" priority="7" id="{603602A4-78F1-D04D-8D8F-343CF6F31A7F}">
            <x14:iconSet iconSet="3Symbols" showValue="0" custom="1">
              <x14:cfvo type="percent">
                <xm:f>0</xm:f>
              </x14:cfvo>
              <x14:cfvo type="num">
                <xm:f>2</xm:f>
              </x14:cfvo>
              <x14:cfvo type="num">
                <xm:f>4</xm:f>
              </x14:cfvo>
              <x14:cfIcon iconSet="3Symbols2" iconId="0"/>
              <x14:cfIcon iconSet="3Symbols2" iconId="1"/>
              <x14:cfIcon iconSet="3Symbols2" iconId="2"/>
            </x14:iconSet>
          </x14:cfRule>
          <xm:sqref>L9:L29</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AX191"/>
  <sheetViews>
    <sheetView topLeftCell="C1" zoomScale="70" zoomScaleNormal="70" zoomScalePageLayoutView="90" workbookViewId="0">
      <pane ySplit="6" topLeftCell="A35" activePane="bottomLeft" state="frozen"/>
      <selection pane="bottomLeft" activeCell="C35" sqref="C35"/>
    </sheetView>
  </sheetViews>
  <sheetFormatPr baseColWidth="10" defaultColWidth="11.5" defaultRowHeight="15" customHeight="1"/>
  <cols>
    <col min="1" max="1" width="2.6640625" style="126" customWidth="1"/>
    <col min="2" max="2" width="26.83203125" style="126" customWidth="1"/>
    <col min="3" max="3" width="16.6640625" style="126" customWidth="1"/>
    <col min="4" max="5" width="10" style="580" customWidth="1"/>
    <col min="6" max="6" width="12.5" style="126" customWidth="1"/>
    <col min="7" max="7" width="11.1640625" style="126" customWidth="1"/>
    <col min="8" max="8" width="13.6640625" style="126" customWidth="1"/>
    <col min="9" max="9" width="12.33203125" style="126" bestFit="1" customWidth="1"/>
    <col min="10" max="10" width="14.1640625" style="126" customWidth="1"/>
    <col min="11" max="11" width="19" style="580" customWidth="1"/>
    <col min="12" max="12" width="11.83203125" style="580" customWidth="1"/>
    <col min="13" max="14" width="2.83203125" style="126" customWidth="1"/>
    <col min="15" max="15" width="28.1640625" style="126" customWidth="1"/>
    <col min="16" max="16" width="24.5" style="126" customWidth="1"/>
    <col min="17" max="17" width="14" style="580" customWidth="1"/>
    <col min="18" max="18" width="10.83203125" style="580" customWidth="1"/>
    <col min="19" max="19" width="19.1640625" style="126" customWidth="1"/>
    <col min="20" max="20" width="41.5" style="126" customWidth="1"/>
    <col min="21" max="21" width="19.5" style="126" customWidth="1"/>
    <col min="22" max="22" width="19.5" style="580" customWidth="1"/>
    <col min="23" max="23" width="20.6640625" style="126" customWidth="1"/>
    <col min="24" max="24" width="20.1640625" style="581" customWidth="1"/>
    <col min="25" max="25" width="24.33203125" style="126" customWidth="1"/>
    <col min="26" max="26" width="16.6640625" style="126" customWidth="1"/>
    <col min="27" max="27" width="20" style="126" customWidth="1"/>
    <col min="28" max="28" width="25.33203125" style="126" customWidth="1"/>
    <col min="29" max="29" width="31.5" style="126" customWidth="1"/>
    <col min="30" max="30" width="32.33203125" style="126" customWidth="1"/>
    <col min="31" max="31" width="31.6640625" style="126" customWidth="1"/>
    <col min="32" max="32" width="13.6640625" style="126" customWidth="1"/>
    <col min="33" max="33" width="29.1640625" style="126" customWidth="1"/>
    <col min="34" max="34" width="24" style="126" customWidth="1"/>
    <col min="35" max="35" width="15" style="126" customWidth="1"/>
    <col min="36" max="36" width="25" style="126" customWidth="1"/>
    <col min="37" max="37" width="20.1640625" style="126" customWidth="1"/>
    <col min="38" max="38" width="20" style="126" customWidth="1"/>
    <col min="39" max="39" width="31.5" style="126" customWidth="1"/>
    <col min="40" max="40" width="14.33203125" style="126" customWidth="1"/>
    <col min="41" max="41" width="24.5" style="126" customWidth="1"/>
    <col min="42" max="42" width="22.33203125" style="126" customWidth="1"/>
    <col min="43" max="43" width="31" style="126" customWidth="1"/>
    <col min="44" max="44" width="31.83203125" style="126" customWidth="1"/>
    <col min="45" max="45" width="27.6640625" style="126" customWidth="1"/>
    <col min="46" max="46" width="26.6640625" style="126" customWidth="1"/>
    <col min="47" max="47" width="25.33203125" style="126" customWidth="1"/>
    <col min="48" max="48" width="32.33203125" style="126" customWidth="1"/>
    <col min="49" max="49" width="31.6640625" style="126" customWidth="1"/>
    <col min="50" max="50" width="11.5" style="126" customWidth="1"/>
    <col min="51" max="16384" width="11.5" style="126"/>
  </cols>
  <sheetData>
    <row r="1" spans="2:50" ht="15" customHeight="1">
      <c r="Y1" s="148"/>
      <c r="Z1" s="148"/>
      <c r="AA1" s="148"/>
    </row>
    <row r="2" spans="2:50" s="102" customFormat="1" ht="25" customHeight="1">
      <c r="B2" s="159" t="s">
        <v>220</v>
      </c>
      <c r="D2" s="148"/>
      <c r="E2" s="148"/>
      <c r="K2" s="148"/>
      <c r="L2" s="148"/>
      <c r="M2" s="102">
        <v>5</v>
      </c>
      <c r="O2" s="159" t="s">
        <v>220</v>
      </c>
      <c r="Q2" s="148"/>
      <c r="R2" s="148"/>
      <c r="V2" s="148"/>
      <c r="X2" s="582"/>
      <c r="Y2" s="148"/>
      <c r="Z2" s="148"/>
      <c r="AA2" s="148"/>
      <c r="AX2" s="136"/>
    </row>
    <row r="3" spans="2:50" ht="6" customHeight="1">
      <c r="Y3" s="148"/>
      <c r="Z3" s="148"/>
      <c r="AA3" s="148"/>
    </row>
    <row r="4" spans="2:50" s="148" customFormat="1" ht="20" customHeight="1">
      <c r="B4" s="1392" t="s">
        <v>1817</v>
      </c>
      <c r="C4" s="1393"/>
      <c r="D4" s="1393"/>
      <c r="E4" s="1393"/>
      <c r="F4" s="1393"/>
      <c r="G4" s="1393"/>
      <c r="H4" s="1393"/>
      <c r="I4" s="1393"/>
      <c r="J4" s="1394"/>
      <c r="K4" s="1392" t="s">
        <v>1818</v>
      </c>
      <c r="L4" s="1394"/>
      <c r="M4" s="629"/>
      <c r="N4" s="629"/>
      <c r="O4" s="1392">
        <v>5</v>
      </c>
      <c r="P4" s="1393"/>
      <c r="Q4" s="1393"/>
      <c r="R4" s="1393"/>
      <c r="S4" s="1393"/>
      <c r="T4" s="1394"/>
      <c r="U4" s="1273" t="s">
        <v>12</v>
      </c>
      <c r="V4" s="1273">
        <v>5</v>
      </c>
      <c r="X4" s="1392" t="s">
        <v>779</v>
      </c>
      <c r="Y4" s="1393"/>
      <c r="Z4" s="1393"/>
      <c r="AA4" s="1393"/>
      <c r="AB4" s="1393"/>
      <c r="AC4" s="1393"/>
      <c r="AD4" s="1393"/>
      <c r="AE4" s="1393"/>
      <c r="AF4" s="1393"/>
      <c r="AG4" s="1393"/>
      <c r="AH4" s="1393"/>
      <c r="AI4" s="1393"/>
      <c r="AJ4" s="1393"/>
      <c r="AK4" s="1393"/>
      <c r="AL4" s="1393"/>
      <c r="AM4" s="1393"/>
      <c r="AN4" s="1393"/>
      <c r="AO4" s="1393"/>
      <c r="AP4" s="1393"/>
      <c r="AQ4" s="1393"/>
      <c r="AR4" s="1393"/>
      <c r="AS4" s="1393"/>
      <c r="AT4" s="1393"/>
      <c r="AU4" s="1393"/>
      <c r="AV4" s="1393"/>
      <c r="AW4" s="1394"/>
    </row>
    <row r="5" spans="2:50" s="148" customFormat="1" ht="20" customHeight="1">
      <c r="B5" s="1395"/>
      <c r="C5" s="1396"/>
      <c r="D5" s="1396"/>
      <c r="E5" s="1396"/>
      <c r="F5" s="1396"/>
      <c r="G5" s="1396"/>
      <c r="H5" s="1396"/>
      <c r="I5" s="1396"/>
      <c r="J5" s="1397"/>
      <c r="K5" s="1395"/>
      <c r="L5" s="1397"/>
      <c r="M5" s="176"/>
      <c r="N5" s="629"/>
      <c r="O5" s="1395"/>
      <c r="P5" s="1396"/>
      <c r="Q5" s="1396"/>
      <c r="R5" s="1396"/>
      <c r="S5" s="1396"/>
      <c r="T5" s="1397"/>
      <c r="U5" s="1273"/>
      <c r="V5" s="1273"/>
      <c r="X5" s="1395"/>
      <c r="Y5" s="1396"/>
      <c r="Z5" s="1396"/>
      <c r="AA5" s="1396"/>
      <c r="AB5" s="1396"/>
      <c r="AC5" s="1396"/>
      <c r="AD5" s="1396"/>
      <c r="AE5" s="1396"/>
      <c r="AF5" s="1396"/>
      <c r="AG5" s="1396"/>
      <c r="AH5" s="1396"/>
      <c r="AI5" s="1396"/>
      <c r="AJ5" s="1396"/>
      <c r="AK5" s="1396"/>
      <c r="AL5" s="1396"/>
      <c r="AM5" s="1396"/>
      <c r="AN5" s="1396"/>
      <c r="AO5" s="1396"/>
      <c r="AP5" s="1396"/>
      <c r="AQ5" s="1396"/>
      <c r="AR5" s="1396"/>
      <c r="AS5" s="1396"/>
      <c r="AT5" s="1396"/>
      <c r="AU5" s="1396"/>
      <c r="AV5" s="1396"/>
      <c r="AW5" s="1397"/>
    </row>
    <row r="6" spans="2:50" ht="6" customHeight="1">
      <c r="Y6" s="148"/>
      <c r="Z6" s="148"/>
      <c r="AA6" s="148"/>
      <c r="AI6" s="148"/>
      <c r="AJ6" s="148"/>
      <c r="AK6" s="148"/>
    </row>
    <row r="7" spans="2:50" ht="15" customHeight="1">
      <c r="B7" s="1280" t="s">
        <v>1130</v>
      </c>
      <c r="C7" s="1280"/>
      <c r="D7" s="1280"/>
      <c r="E7" s="1280"/>
      <c r="F7" s="1280"/>
      <c r="G7" s="1280"/>
      <c r="H7" s="1280"/>
      <c r="I7" s="1280"/>
      <c r="J7" s="1280"/>
      <c r="K7" s="1280"/>
      <c r="L7" s="1280"/>
      <c r="O7" s="1323" t="s">
        <v>1083</v>
      </c>
      <c r="P7" s="1323"/>
      <c r="Q7" s="1323"/>
      <c r="R7" s="1323"/>
      <c r="S7" s="1323"/>
      <c r="T7" s="1323"/>
      <c r="U7" s="1323"/>
      <c r="V7" s="1323"/>
      <c r="W7" s="1323"/>
      <c r="X7" s="1323"/>
      <c r="Y7" s="1323"/>
      <c r="Z7" s="1323"/>
      <c r="AA7" s="1323"/>
      <c r="AB7" s="1323"/>
      <c r="AC7" s="1323"/>
      <c r="AD7" s="1323"/>
      <c r="AE7" s="1323"/>
      <c r="AF7" s="1323"/>
      <c r="AG7" s="1323"/>
      <c r="AH7" s="1323"/>
      <c r="AI7" s="1323"/>
      <c r="AJ7" s="1323"/>
      <c r="AK7" s="1323"/>
      <c r="AL7" s="1323"/>
      <c r="AM7" s="1323"/>
      <c r="AN7" s="1323"/>
      <c r="AO7" s="1323"/>
      <c r="AP7" s="1323"/>
      <c r="AQ7" s="1323"/>
      <c r="AR7" s="1323"/>
      <c r="AS7" s="1323"/>
      <c r="AT7" s="1323"/>
      <c r="AU7" s="1323"/>
      <c r="AV7" s="1323"/>
      <c r="AW7" s="1323"/>
    </row>
    <row r="8" spans="2:50" ht="6" customHeight="1">
      <c r="X8" s="173"/>
    </row>
    <row r="9" spans="2:50" s="153" customFormat="1" ht="45" customHeight="1">
      <c r="B9" s="630" t="str">
        <f>ENERGÍA!B9</f>
        <v>Lineamiento 1: Reflectividad en el Techo</v>
      </c>
      <c r="C9" s="1424" t="str">
        <f>HLOOKUP($M$2,lineamientos,3,FALSE)</f>
        <v>La Zona Bioambiental no especifica lineamiento.</v>
      </c>
      <c r="D9" s="1424"/>
      <c r="E9" s="1424"/>
      <c r="F9" s="1424"/>
      <c r="G9" s="1424"/>
      <c r="H9" s="1424"/>
      <c r="I9" s="1424"/>
      <c r="J9" s="1424"/>
      <c r="K9" s="1424"/>
      <c r="L9" s="631"/>
      <c r="O9" s="584"/>
      <c r="P9" s="584"/>
      <c r="Q9" s="584"/>
      <c r="R9" s="584"/>
      <c r="S9" s="584"/>
      <c r="T9" s="584"/>
      <c r="U9" s="584"/>
      <c r="V9" s="584"/>
      <c r="W9" s="584"/>
    </row>
    <row r="10" spans="2:50" s="153" customFormat="1" ht="45" customHeight="1">
      <c r="B10" s="630" t="s">
        <v>1115</v>
      </c>
      <c r="C10" s="1424" t="str">
        <f>HLOOKUP($M$2,lineamientos,4,FALSE)</f>
        <v>La Zona Bioambiental no especifica lineamiento.</v>
      </c>
      <c r="D10" s="1424"/>
      <c r="E10" s="1424"/>
      <c r="F10" s="1424"/>
      <c r="G10" s="1424"/>
      <c r="H10" s="1424"/>
      <c r="I10" s="1424"/>
      <c r="J10" s="1424"/>
      <c r="K10" s="1424"/>
      <c r="L10" s="631"/>
    </row>
    <row r="11" spans="2:50" s="153" customFormat="1" ht="45" customHeight="1">
      <c r="B11" s="630" t="s">
        <v>1132</v>
      </c>
      <c r="C11" s="1424" t="str">
        <f>HLOOKUP($M$2,lineamientos,5,FALSE)</f>
        <v>Controlar el tamaño de las aberturas para reducir pérdidas de calor, excepto en orientaciones al Norte.</v>
      </c>
      <c r="D11" s="1424"/>
      <c r="E11" s="1424"/>
      <c r="F11" s="1424"/>
      <c r="G11" s="1424"/>
      <c r="H11" s="1424"/>
      <c r="I11" s="1424"/>
      <c r="J11" s="1424"/>
      <c r="K11" s="1424"/>
      <c r="L11" s="631">
        <v>5</v>
      </c>
    </row>
    <row r="12" spans="2:50" s="153" customFormat="1" ht="45" customHeight="1">
      <c r="B12" s="630" t="s">
        <v>1116</v>
      </c>
      <c r="C12" s="1424" t="str">
        <f>HLOOKUP($M$2,lineamientos,6,FALSE)</f>
        <v>Incorporar aberturas: EFICIENCIA NIVEL G SEGÚN IRAM 11.507-6</v>
      </c>
      <c r="D12" s="1424"/>
      <c r="E12" s="1424"/>
      <c r="F12" s="1424"/>
      <c r="G12" s="1424"/>
      <c r="H12" s="1424"/>
      <c r="I12" s="1424"/>
      <c r="J12" s="1424"/>
      <c r="K12" s="1424"/>
      <c r="L12" s="631">
        <v>5</v>
      </c>
    </row>
    <row r="13" spans="2:50" s="153" customFormat="1" ht="45" customHeight="1">
      <c r="B13" s="630" t="s">
        <v>1117</v>
      </c>
      <c r="C13" s="1424" t="str">
        <f>HLOOKUP($M$2,lineamientos,7,FALSE)</f>
        <v>Incorporar aberturas: EFICIENCIA NIVEL C SEGÚN IRAM 11.507-6</v>
      </c>
      <c r="D13" s="1424"/>
      <c r="E13" s="1424"/>
      <c r="F13" s="1424"/>
      <c r="G13" s="1424"/>
      <c r="H13" s="1424"/>
      <c r="I13" s="1424"/>
      <c r="J13" s="1424"/>
      <c r="K13" s="1424"/>
      <c r="L13" s="631"/>
    </row>
    <row r="14" spans="2:50" s="153" customFormat="1" ht="25" customHeight="1">
      <c r="B14" s="1424" t="s">
        <v>1118</v>
      </c>
      <c r="C14" s="1424" t="str">
        <f>HLOOKUP($M$2,lineamientos,8,FALSE)</f>
        <v>La Zona Bioambiental no especifica lineamiento.</v>
      </c>
      <c r="D14" s="1424"/>
      <c r="E14" s="1424"/>
      <c r="F14" s="1424"/>
      <c r="G14" s="1424"/>
      <c r="H14" s="1424"/>
      <c r="I14" s="1424"/>
      <c r="J14" s="1424"/>
      <c r="K14" s="1424"/>
      <c r="L14" s="1428"/>
    </row>
    <row r="15" spans="2:50" s="153" customFormat="1" ht="25" customHeight="1">
      <c r="B15" s="1424"/>
      <c r="C15" s="1424"/>
      <c r="D15" s="1424"/>
      <c r="E15" s="1424"/>
      <c r="F15" s="1424"/>
      <c r="G15" s="1424"/>
      <c r="H15" s="1424"/>
      <c r="I15" s="1424"/>
      <c r="J15" s="1424"/>
      <c r="K15" s="1424"/>
      <c r="L15" s="1429"/>
    </row>
    <row r="16" spans="2:50" s="153" customFormat="1" ht="25" customHeight="1">
      <c r="B16" s="1424" t="s">
        <v>1135</v>
      </c>
      <c r="C16" s="1424" t="str">
        <f>HLOOKUP($M$2,lineamientos,9,FALSE)</f>
        <v>La Zona Bioambiental no especifica lineamiento.</v>
      </c>
      <c r="D16" s="1424"/>
      <c r="E16" s="1424"/>
      <c r="F16" s="1424"/>
      <c r="G16" s="1424"/>
      <c r="H16" s="1424"/>
      <c r="I16" s="1424"/>
      <c r="J16" s="1424"/>
      <c r="K16" s="1424"/>
      <c r="L16" s="1428"/>
    </row>
    <row r="17" spans="2:24" s="153" customFormat="1" ht="25" customHeight="1">
      <c r="B17" s="1424"/>
      <c r="C17" s="1424"/>
      <c r="D17" s="1424"/>
      <c r="E17" s="1424"/>
      <c r="F17" s="1424"/>
      <c r="G17" s="1424"/>
      <c r="H17" s="1424"/>
      <c r="I17" s="1424"/>
      <c r="J17" s="1424"/>
      <c r="K17" s="1424"/>
      <c r="L17" s="1429"/>
    </row>
    <row r="18" spans="2:24" ht="15" customHeight="1">
      <c r="B18" s="1424" t="s">
        <v>1794</v>
      </c>
      <c r="C18" s="1424" t="str">
        <f>HLOOKUP($M$2,lineamientos,10,FALSE)</f>
        <v>La Zona Bioambiental no especifica lineamiento.</v>
      </c>
      <c r="D18" s="1424"/>
      <c r="E18" s="1424"/>
      <c r="F18" s="1424"/>
      <c r="G18" s="1424"/>
      <c r="H18" s="1424"/>
      <c r="I18" s="1424"/>
      <c r="J18" s="1424"/>
      <c r="K18" s="1424"/>
      <c r="L18" s="1425"/>
      <c r="Q18" s="126"/>
      <c r="R18" s="126"/>
      <c r="V18" s="126"/>
      <c r="X18" s="126"/>
    </row>
    <row r="19" spans="2:24" ht="15" customHeight="1">
      <c r="B19" s="1424"/>
      <c r="C19" s="1424"/>
      <c r="D19" s="1424"/>
      <c r="E19" s="1424"/>
      <c r="F19" s="1424"/>
      <c r="G19" s="1424"/>
      <c r="H19" s="1424"/>
      <c r="I19" s="1424"/>
      <c r="J19" s="1424"/>
      <c r="K19" s="1424"/>
      <c r="L19" s="1426"/>
      <c r="Q19" s="126"/>
      <c r="R19" s="126"/>
      <c r="V19" s="126"/>
      <c r="X19" s="126"/>
    </row>
    <row r="20" spans="2:24" ht="15" customHeight="1">
      <c r="B20" s="1424"/>
      <c r="C20" s="1424"/>
      <c r="D20" s="1424"/>
      <c r="E20" s="1424"/>
      <c r="F20" s="1424"/>
      <c r="G20" s="1424"/>
      <c r="H20" s="1424"/>
      <c r="I20" s="1424"/>
      <c r="J20" s="1424"/>
      <c r="K20" s="1424"/>
      <c r="L20" s="1427"/>
      <c r="Q20" s="126"/>
      <c r="R20" s="126"/>
      <c r="V20" s="126"/>
      <c r="X20" s="126"/>
    </row>
    <row r="21" spans="2:24" ht="15" customHeight="1">
      <c r="B21" s="1424" t="s">
        <v>1803</v>
      </c>
      <c r="C21" s="1424" t="str">
        <f>HLOOKUP($M$2,lineamientos,12,FALSE)</f>
        <v>Plantear formas y agrupamientos compactos, que posibiliten un correcto asoleamiento y protección de los vientos característicos de la región.</v>
      </c>
      <c r="D21" s="1424"/>
      <c r="E21" s="1424"/>
      <c r="F21" s="1424"/>
      <c r="G21" s="1424"/>
      <c r="H21" s="1424"/>
      <c r="I21" s="1424"/>
      <c r="J21" s="1424"/>
      <c r="K21" s="1424"/>
      <c r="L21" s="1425">
        <v>5</v>
      </c>
      <c r="Q21" s="126"/>
      <c r="R21" s="126"/>
      <c r="V21" s="126"/>
      <c r="X21" s="126"/>
    </row>
    <row r="22" spans="2:24" ht="15" customHeight="1">
      <c r="B22" s="1424"/>
      <c r="C22" s="1424"/>
      <c r="D22" s="1424"/>
      <c r="E22" s="1424"/>
      <c r="F22" s="1424"/>
      <c r="G22" s="1424"/>
      <c r="H22" s="1424"/>
      <c r="I22" s="1424"/>
      <c r="J22" s="1424"/>
      <c r="K22" s="1424"/>
      <c r="L22" s="1426"/>
      <c r="Q22" s="126"/>
      <c r="R22" s="126"/>
      <c r="V22" s="126"/>
      <c r="X22" s="126"/>
    </row>
    <row r="23" spans="2:24" ht="15" customHeight="1">
      <c r="B23" s="1424"/>
      <c r="C23" s="1424"/>
      <c r="D23" s="1424"/>
      <c r="E23" s="1424"/>
      <c r="F23" s="1424"/>
      <c r="G23" s="1424"/>
      <c r="H23" s="1424"/>
      <c r="I23" s="1424"/>
      <c r="J23" s="1424"/>
      <c r="K23" s="1424"/>
      <c r="L23" s="1427"/>
      <c r="Q23" s="126"/>
      <c r="R23" s="126"/>
      <c r="V23" s="126"/>
      <c r="X23" s="126"/>
    </row>
    <row r="24" spans="2:24" ht="15" customHeight="1">
      <c r="B24" s="1424" t="s">
        <v>1804</v>
      </c>
      <c r="C24" s="1424" t="str">
        <f>HLOOKUP($M$2,lineamientos,13,FALSE)</f>
        <v>HALL INTERMEDIO: Incorporar “hall frío” como instancia de transición entre el exterior y el interior de la vivienda.</v>
      </c>
      <c r="D24" s="1424"/>
      <c r="E24" s="1424"/>
      <c r="F24" s="1424"/>
      <c r="G24" s="1424"/>
      <c r="H24" s="1424"/>
      <c r="I24" s="1424"/>
      <c r="J24" s="1424"/>
      <c r="K24" s="1424"/>
      <c r="L24" s="1425"/>
      <c r="Q24" s="126"/>
      <c r="R24" s="126"/>
      <c r="V24" s="126"/>
      <c r="X24" s="126"/>
    </row>
    <row r="25" spans="2:24" ht="15" customHeight="1">
      <c r="B25" s="1424"/>
      <c r="C25" s="1424"/>
      <c r="D25" s="1424"/>
      <c r="E25" s="1424"/>
      <c r="F25" s="1424"/>
      <c r="G25" s="1424"/>
      <c r="H25" s="1424"/>
      <c r="I25" s="1424"/>
      <c r="J25" s="1424"/>
      <c r="K25" s="1424"/>
      <c r="L25" s="1426"/>
      <c r="Q25" s="126"/>
      <c r="R25" s="126"/>
      <c r="V25" s="126"/>
      <c r="X25" s="126"/>
    </row>
    <row r="26" spans="2:24" ht="15" customHeight="1">
      <c r="B26" s="1424"/>
      <c r="C26" s="1424"/>
      <c r="D26" s="1424"/>
      <c r="E26" s="1424"/>
      <c r="F26" s="1424"/>
      <c r="G26" s="1424"/>
      <c r="H26" s="1424"/>
      <c r="I26" s="1424"/>
      <c r="J26" s="1424"/>
      <c r="K26" s="1424"/>
      <c r="L26" s="1427"/>
      <c r="Q26" s="126"/>
      <c r="R26" s="126"/>
      <c r="V26" s="126"/>
      <c r="X26" s="126"/>
    </row>
    <row r="27" spans="2:24" ht="20" customHeight="1">
      <c r="B27" s="1424" t="s">
        <v>1805</v>
      </c>
      <c r="C27" s="1424" t="str">
        <f>HLOOKUP($M$2,lineamientos,14,FALSE)</f>
        <v>La Zona Bioambiental no especifica lineamiento.</v>
      </c>
      <c r="D27" s="1424"/>
      <c r="E27" s="1424"/>
      <c r="F27" s="1424"/>
      <c r="G27" s="1424"/>
      <c r="H27" s="1424"/>
      <c r="I27" s="1424"/>
      <c r="J27" s="1424"/>
      <c r="K27" s="1424"/>
      <c r="L27" s="1428"/>
      <c r="Q27" s="126"/>
      <c r="R27" s="126"/>
      <c r="V27" s="126"/>
      <c r="X27" s="126"/>
    </row>
    <row r="28" spans="2:24" ht="20" customHeight="1">
      <c r="B28" s="1424"/>
      <c r="C28" s="1424"/>
      <c r="D28" s="1424"/>
      <c r="E28" s="1424"/>
      <c r="F28" s="1424"/>
      <c r="G28" s="1424"/>
      <c r="H28" s="1424"/>
      <c r="I28" s="1424"/>
      <c r="J28" s="1424"/>
      <c r="K28" s="1424"/>
      <c r="L28" s="1429"/>
      <c r="Q28" s="126"/>
      <c r="R28" s="126"/>
      <c r="V28" s="126"/>
      <c r="X28" s="126"/>
    </row>
    <row r="29" spans="2:24" ht="40" customHeight="1">
      <c r="B29" s="630" t="s">
        <v>1806</v>
      </c>
      <c r="C29" s="1424" t="str">
        <f>HLOOKUP($M$2,lineamientos,15,FALSE)</f>
        <v>INERCIA TERMICA: Incorporar materiales con gran inercia térmica.</v>
      </c>
      <c r="D29" s="1424"/>
      <c r="E29" s="1424"/>
      <c r="F29" s="1424"/>
      <c r="G29" s="1424"/>
      <c r="H29" s="1424"/>
      <c r="I29" s="1424"/>
      <c r="J29" s="1424"/>
      <c r="K29" s="1424"/>
      <c r="L29" s="631">
        <v>5</v>
      </c>
      <c r="Q29" s="126"/>
      <c r="R29" s="126"/>
      <c r="V29" s="126"/>
      <c r="X29" s="126"/>
    </row>
    <row r="30" spans="2:24" ht="15" customHeight="1">
      <c r="B30" s="1378"/>
      <c r="C30" s="1378"/>
      <c r="D30" s="1378"/>
      <c r="E30" s="1378"/>
      <c r="F30" s="1378"/>
      <c r="G30" s="1378"/>
      <c r="H30" s="1378"/>
      <c r="I30" s="1378"/>
      <c r="J30" s="1378"/>
      <c r="K30" s="1378"/>
      <c r="L30" s="1378"/>
      <c r="Q30" s="126"/>
      <c r="R30" s="126"/>
      <c r="V30" s="126"/>
      <c r="X30" s="126"/>
    </row>
    <row r="31" spans="2:24" ht="6" customHeight="1">
      <c r="K31" s="148"/>
      <c r="L31" s="148"/>
      <c r="M31" s="148"/>
      <c r="N31" s="148"/>
      <c r="Q31" s="126"/>
      <c r="R31" s="126"/>
      <c r="V31" s="126"/>
      <c r="X31" s="126"/>
    </row>
    <row r="32" spans="2:24" s="159" customFormat="1" ht="15" customHeight="1">
      <c r="B32" s="1280" t="s">
        <v>585</v>
      </c>
      <c r="C32" s="1280"/>
      <c r="D32" s="1280"/>
      <c r="E32" s="1280"/>
      <c r="F32" s="1280"/>
      <c r="G32" s="1280"/>
      <c r="H32" s="1280"/>
      <c r="I32" s="1280"/>
      <c r="J32" s="1280"/>
      <c r="K32" s="1280"/>
      <c r="L32" s="1280"/>
      <c r="M32" s="148"/>
      <c r="N32" s="148"/>
      <c r="O32" s="126"/>
      <c r="P32" s="126"/>
      <c r="Q32" s="126"/>
      <c r="R32" s="126"/>
      <c r="S32" s="126"/>
      <c r="T32" s="126"/>
      <c r="U32" s="126"/>
      <c r="V32" s="126"/>
      <c r="W32" s="126"/>
    </row>
    <row r="33" spans="2:50" ht="6" customHeight="1">
      <c r="M33" s="148"/>
      <c r="N33" s="148"/>
      <c r="O33" s="159"/>
      <c r="P33" s="159"/>
      <c r="Q33" s="159"/>
      <c r="R33" s="159"/>
      <c r="S33" s="159"/>
      <c r="T33" s="159"/>
      <c r="U33" s="159"/>
      <c r="V33" s="159"/>
      <c r="W33" s="159"/>
      <c r="X33" s="126"/>
    </row>
    <row r="34" spans="2:50" ht="30" customHeight="1">
      <c r="B34" s="1273" t="s">
        <v>589</v>
      </c>
      <c r="C34" s="1273"/>
      <c r="D34" s="1357" t="s">
        <v>1181</v>
      </c>
      <c r="E34" s="1391"/>
      <c r="F34" s="1358"/>
      <c r="G34" s="1357" t="s">
        <v>596</v>
      </c>
      <c r="H34" s="1391"/>
      <c r="I34" s="1391"/>
      <c r="J34" s="1358"/>
      <c r="K34" s="1357" t="s">
        <v>1793</v>
      </c>
      <c r="L34" s="1358"/>
      <c r="M34" s="148"/>
      <c r="N34" s="148"/>
      <c r="O34" s="1357" t="s">
        <v>591</v>
      </c>
      <c r="P34" s="1358"/>
      <c r="Q34" s="148" t="s">
        <v>1017</v>
      </c>
      <c r="R34" s="126"/>
      <c r="V34" s="126"/>
      <c r="X34" s="126"/>
    </row>
    <row r="35" spans="2:50" ht="15" customHeight="1">
      <c r="B35" s="582" t="s">
        <v>590</v>
      </c>
      <c r="C35" s="586">
        <f>ENERGÍA!C37</f>
        <v>0</v>
      </c>
      <c r="D35" s="1385" t="e">
        <f>O35/G35</f>
        <v>#N/A</v>
      </c>
      <c r="E35" s="1386"/>
      <c r="F35" s="1387"/>
      <c r="G35" s="1388">
        <f>ENERGÍA!H37+ENERGÍA!L37</f>
        <v>0</v>
      </c>
      <c r="H35" s="1389"/>
      <c r="I35" s="1389"/>
      <c r="J35" s="1390"/>
      <c r="K35" s="1388" t="e">
        <f>VLOOKUP(C35,BASE!$ER$5:$FE$20,9,FALSE)</f>
        <v>#N/A</v>
      </c>
      <c r="L35" s="1390"/>
      <c r="M35" s="148"/>
      <c r="N35" s="148"/>
      <c r="O35" s="1383" t="e">
        <f>G35*(K35)</f>
        <v>#N/A</v>
      </c>
      <c r="P35" s="1384"/>
      <c r="Q35" s="580" t="e">
        <f>VLOOKUP(C35,BASE!$ER$5:$FE$20,10,FALSE)</f>
        <v>#N/A</v>
      </c>
      <c r="R35" s="580" t="e">
        <f>IF(O35&lt;=5,2,IF(O35&lt;10,4,IF(O35&lt;15,6,IF(O35&lt;20,8,9))))</f>
        <v>#N/A</v>
      </c>
      <c r="V35" s="126"/>
      <c r="X35" s="126"/>
      <c r="AR35" s="126">
        <f t="shared" ref="AR35:AW38" si="0">IF(A35=0,1,0)</f>
        <v>1</v>
      </c>
      <c r="AS35" s="126">
        <f t="shared" si="0"/>
        <v>0</v>
      </c>
      <c r="AT35" s="126">
        <f t="shared" si="0"/>
        <v>1</v>
      </c>
      <c r="AU35" s="126" t="e">
        <f t="shared" si="0"/>
        <v>#N/A</v>
      </c>
      <c r="AV35" s="126">
        <f t="shared" si="0"/>
        <v>1</v>
      </c>
      <c r="AW35" s="126">
        <f t="shared" si="0"/>
        <v>1</v>
      </c>
      <c r="AX35" s="126">
        <f>IF(G35=0,1,0)</f>
        <v>1</v>
      </c>
    </row>
    <row r="36" spans="2:50" ht="15" customHeight="1">
      <c r="B36" s="582" t="s">
        <v>586</v>
      </c>
      <c r="C36" s="586">
        <f>ENERGÍA!C38</f>
        <v>0</v>
      </c>
      <c r="D36" s="1385" t="e">
        <f t="shared" ref="D36:D38" si="1">O36/G36</f>
        <v>#N/A</v>
      </c>
      <c r="E36" s="1386"/>
      <c r="F36" s="1387"/>
      <c r="G36" s="1388">
        <f>ENERGÍA!H38+ENERGÍA!L38</f>
        <v>0</v>
      </c>
      <c r="H36" s="1389"/>
      <c r="I36" s="1389"/>
      <c r="J36" s="1390"/>
      <c r="K36" s="1388" t="e">
        <f>VLOOKUP(C36,BASE!$ER$5:$FE$20,9,FALSE)</f>
        <v>#N/A</v>
      </c>
      <c r="L36" s="1390"/>
      <c r="M36" s="148"/>
      <c r="N36" s="148"/>
      <c r="O36" s="1383" t="e">
        <f t="shared" ref="O36:O38" si="2">G36*(K36)</f>
        <v>#N/A</v>
      </c>
      <c r="P36" s="1384"/>
      <c r="Q36" s="580" t="e">
        <f>VLOOKUP(C36,BASE!$ER$5:$FE$20,10,FALSE)</f>
        <v>#N/A</v>
      </c>
      <c r="R36" s="580" t="e">
        <f t="shared" ref="R36:R38" si="3">IF(O36&lt;=5,2,IF(O36&lt;10,4,IF(O36&lt;15,6,IF(O36&lt;20,8,9))))</f>
        <v>#N/A</v>
      </c>
      <c r="V36" s="126"/>
      <c r="X36" s="126"/>
      <c r="AR36" s="126">
        <f t="shared" si="0"/>
        <v>1</v>
      </c>
      <c r="AS36" s="126">
        <f t="shared" si="0"/>
        <v>0</v>
      </c>
      <c r="AT36" s="126">
        <f t="shared" si="0"/>
        <v>1</v>
      </c>
      <c r="AU36" s="126" t="e">
        <f t="shared" si="0"/>
        <v>#N/A</v>
      </c>
      <c r="AV36" s="126">
        <f t="shared" si="0"/>
        <v>1</v>
      </c>
      <c r="AW36" s="126">
        <f t="shared" si="0"/>
        <v>1</v>
      </c>
      <c r="AX36" s="126">
        <f>IF(G36=0,1,0)</f>
        <v>1</v>
      </c>
    </row>
    <row r="37" spans="2:50" ht="15" customHeight="1">
      <c r="B37" s="582" t="s">
        <v>587</v>
      </c>
      <c r="C37" s="586">
        <f>ENERGÍA!C39</f>
        <v>0</v>
      </c>
      <c r="D37" s="1385" t="e">
        <f t="shared" si="1"/>
        <v>#N/A</v>
      </c>
      <c r="E37" s="1386"/>
      <c r="F37" s="1387"/>
      <c r="G37" s="1388">
        <f>ENERGÍA!H39+ENERGÍA!L39</f>
        <v>0</v>
      </c>
      <c r="H37" s="1389"/>
      <c r="I37" s="1389"/>
      <c r="J37" s="1390"/>
      <c r="K37" s="1388" t="e">
        <f>VLOOKUP(C37,BASE!$ER$5:$FE$20,9,FALSE)</f>
        <v>#N/A</v>
      </c>
      <c r="L37" s="1390"/>
      <c r="M37" s="148"/>
      <c r="N37" s="148"/>
      <c r="O37" s="1383" t="e">
        <f t="shared" si="2"/>
        <v>#N/A</v>
      </c>
      <c r="P37" s="1384"/>
      <c r="Q37" s="580" t="e">
        <f>VLOOKUP(C37,BASE!$ER$5:$FE$20,10,FALSE)</f>
        <v>#N/A</v>
      </c>
      <c r="R37" s="580" t="e">
        <f t="shared" si="3"/>
        <v>#N/A</v>
      </c>
      <c r="V37" s="126"/>
      <c r="X37" s="126"/>
      <c r="AR37" s="126">
        <f t="shared" si="0"/>
        <v>1</v>
      </c>
      <c r="AS37" s="126">
        <f t="shared" si="0"/>
        <v>0</v>
      </c>
      <c r="AT37" s="126">
        <f t="shared" si="0"/>
        <v>1</v>
      </c>
      <c r="AU37" s="126" t="e">
        <f t="shared" si="0"/>
        <v>#N/A</v>
      </c>
      <c r="AV37" s="126">
        <f t="shared" si="0"/>
        <v>1</v>
      </c>
      <c r="AW37" s="126">
        <f t="shared" si="0"/>
        <v>1</v>
      </c>
      <c r="AX37" s="126">
        <f>IF(G37=0,1,0)</f>
        <v>1</v>
      </c>
    </row>
    <row r="38" spans="2:50" ht="15" customHeight="1">
      <c r="B38" s="582" t="s">
        <v>588</v>
      </c>
      <c r="C38" s="586">
        <f>ENERGÍA!C40</f>
        <v>0</v>
      </c>
      <c r="D38" s="1385" t="e">
        <f t="shared" si="1"/>
        <v>#N/A</v>
      </c>
      <c r="E38" s="1386"/>
      <c r="F38" s="1387"/>
      <c r="G38" s="1388">
        <f>ENERGÍA!H40+ENERGÍA!L40</f>
        <v>0</v>
      </c>
      <c r="H38" s="1389"/>
      <c r="I38" s="1389"/>
      <c r="J38" s="1390"/>
      <c r="K38" s="1388" t="e">
        <f>VLOOKUP(C38,BASE!$ER$5:$FE$20,9,FALSE)</f>
        <v>#N/A</v>
      </c>
      <c r="L38" s="1390"/>
      <c r="M38" s="148"/>
      <c r="N38" s="148"/>
      <c r="O38" s="1383" t="e">
        <f t="shared" si="2"/>
        <v>#N/A</v>
      </c>
      <c r="P38" s="1384"/>
      <c r="Q38" s="580" t="e">
        <f>VLOOKUP(C38,BASE!$ER$5:$FE$20,10,FALSE)</f>
        <v>#N/A</v>
      </c>
      <c r="R38" s="580" t="e">
        <f t="shared" si="3"/>
        <v>#N/A</v>
      </c>
      <c r="V38" s="126"/>
      <c r="X38" s="126"/>
      <c r="AR38" s="126">
        <f t="shared" si="0"/>
        <v>1</v>
      </c>
      <c r="AS38" s="126">
        <f t="shared" si="0"/>
        <v>0</v>
      </c>
      <c r="AT38" s="126">
        <f t="shared" si="0"/>
        <v>1</v>
      </c>
      <c r="AU38" s="126" t="e">
        <f t="shared" si="0"/>
        <v>#N/A</v>
      </c>
      <c r="AV38" s="126">
        <f t="shared" si="0"/>
        <v>1</v>
      </c>
      <c r="AW38" s="126">
        <f t="shared" si="0"/>
        <v>1</v>
      </c>
      <c r="AX38" s="126">
        <f>IF(G38=0,1,0)</f>
        <v>1</v>
      </c>
    </row>
    <row r="39" spans="2:50" ht="6" customHeight="1">
      <c r="B39" s="582"/>
      <c r="C39" s="148"/>
      <c r="D39" s="176"/>
      <c r="E39" s="176"/>
      <c r="F39" s="176"/>
      <c r="G39" s="176"/>
      <c r="H39" s="176"/>
      <c r="I39" s="176"/>
      <c r="J39" s="587"/>
      <c r="K39" s="587"/>
      <c r="L39" s="587"/>
      <c r="M39" s="148"/>
      <c r="N39" s="148"/>
      <c r="X39" s="126"/>
    </row>
    <row r="40" spans="2:50" s="159" customFormat="1" ht="15" customHeight="1">
      <c r="B40" s="1280" t="s">
        <v>592</v>
      </c>
      <c r="C40" s="1280"/>
      <c r="D40" s="1280"/>
      <c r="E40" s="1280"/>
      <c r="F40" s="1280"/>
      <c r="G40" s="1280"/>
      <c r="H40" s="1280"/>
      <c r="I40" s="1280"/>
      <c r="J40" s="1280"/>
      <c r="K40" s="1280"/>
      <c r="L40" s="1280"/>
      <c r="M40" s="148"/>
      <c r="N40" s="148"/>
      <c r="O40" s="1317" t="s">
        <v>592</v>
      </c>
      <c r="P40" s="1318"/>
      <c r="Q40" s="1318"/>
      <c r="R40" s="1318"/>
      <c r="S40" s="1318"/>
      <c r="T40" s="1318"/>
      <c r="U40" s="1318"/>
      <c r="V40" s="1318"/>
      <c r="W40" s="1319"/>
      <c r="Y40" s="1280" t="s">
        <v>894</v>
      </c>
      <c r="Z40" s="1280"/>
      <c r="AA40" s="1280"/>
      <c r="AB40" s="1280"/>
      <c r="AC40" s="1280"/>
      <c r="AD40" s="1280"/>
      <c r="AE40" s="1280"/>
      <c r="AG40" s="1357" t="s">
        <v>762</v>
      </c>
      <c r="AH40" s="1391"/>
      <c r="AI40" s="1391"/>
      <c r="AJ40" s="1358"/>
    </row>
    <row r="41" spans="2:50" ht="6" customHeight="1">
      <c r="O41" s="148"/>
      <c r="P41" s="581"/>
      <c r="Q41" s="126"/>
      <c r="R41" s="126"/>
      <c r="V41" s="148"/>
    </row>
    <row r="42" spans="2:50" ht="15" customHeight="1">
      <c r="B42" s="1323" t="s">
        <v>218</v>
      </c>
      <c r="C42" s="1323"/>
      <c r="D42" s="1323"/>
      <c r="E42" s="1323"/>
      <c r="F42" s="1323"/>
      <c r="G42" s="1323"/>
      <c r="H42" s="1323"/>
      <c r="I42" s="1323"/>
      <c r="J42" s="1323"/>
      <c r="K42" s="1323"/>
      <c r="L42" s="1323"/>
      <c r="O42" s="1320" t="s">
        <v>218</v>
      </c>
      <c r="P42" s="1321"/>
      <c r="Q42" s="1321"/>
      <c r="R42" s="1321"/>
      <c r="S42" s="1321"/>
      <c r="T42" s="1321"/>
      <c r="U42" s="1321"/>
      <c r="V42" s="1321"/>
      <c r="W42" s="1322"/>
      <c r="Y42" s="1350" t="s">
        <v>1139</v>
      </c>
      <c r="Z42" s="1350"/>
      <c r="AA42" s="1350"/>
      <c r="AB42" s="1350"/>
      <c r="AC42" s="1350"/>
      <c r="AD42" s="588" t="s">
        <v>999</v>
      </c>
      <c r="AE42" s="175" t="e">
        <f>AE44</f>
        <v>#N/A</v>
      </c>
      <c r="AG42" s="166"/>
      <c r="AH42" s="166" t="s">
        <v>996</v>
      </c>
      <c r="AI42" s="166" t="s">
        <v>1519</v>
      </c>
      <c r="AJ42" s="166" t="s">
        <v>1520</v>
      </c>
    </row>
    <row r="43" spans="2:50" ht="6" customHeight="1">
      <c r="B43" s="584"/>
      <c r="C43" s="584"/>
      <c r="D43" s="584"/>
      <c r="E43" s="126"/>
      <c r="O43" s="148"/>
      <c r="P43" s="581"/>
      <c r="Q43" s="584"/>
      <c r="R43" s="584"/>
      <c r="AG43" s="148"/>
      <c r="AH43" s="148"/>
      <c r="AI43" s="148"/>
      <c r="AJ43" s="148"/>
    </row>
    <row r="44" spans="2:50" s="166" customFormat="1" ht="15" customHeight="1">
      <c r="B44" s="1360"/>
      <c r="C44" s="1363" t="s">
        <v>222</v>
      </c>
      <c r="D44" s="1364"/>
      <c r="E44" s="1364"/>
      <c r="F44" s="1364"/>
      <c r="G44" s="1365"/>
      <c r="H44" s="1357" t="s">
        <v>1788</v>
      </c>
      <c r="I44" s="1358"/>
      <c r="J44" s="1360" t="s">
        <v>594</v>
      </c>
      <c r="K44" s="1360" t="s">
        <v>1356</v>
      </c>
      <c r="L44" s="1275" t="s">
        <v>644</v>
      </c>
      <c r="O44" s="1360" t="s">
        <v>1354</v>
      </c>
      <c r="P44" s="1360" t="s">
        <v>729</v>
      </c>
      <c r="Q44" s="1360" t="s">
        <v>849</v>
      </c>
      <c r="R44" s="1360" t="s">
        <v>850</v>
      </c>
      <c r="S44" s="1360" t="s">
        <v>1357</v>
      </c>
      <c r="T44" s="1360" t="s">
        <v>851</v>
      </c>
      <c r="U44" s="1360" t="s">
        <v>891</v>
      </c>
      <c r="V44" s="1360" t="s">
        <v>1359</v>
      </c>
      <c r="Y44" s="1275" t="s">
        <v>1140</v>
      </c>
      <c r="Z44" s="1344" t="e">
        <f>AW90</f>
        <v>#N/A</v>
      </c>
      <c r="AA44" s="1345"/>
      <c r="AB44" s="1275" t="s">
        <v>895</v>
      </c>
      <c r="AC44" s="1286">
        <f>AW74</f>
        <v>-24</v>
      </c>
      <c r="AD44" s="1379" t="s">
        <v>1023</v>
      </c>
      <c r="AE44" s="1381" t="e">
        <f>Z44*AC44</f>
        <v>#N/A</v>
      </c>
      <c r="AG44" s="148" t="str">
        <f>Y52</f>
        <v>Agua Caliente</v>
      </c>
      <c r="AH44" s="148">
        <v>933</v>
      </c>
      <c r="AI44" s="148">
        <v>450</v>
      </c>
      <c r="AJ44" s="148">
        <f>IF(Z52=1,15,0)</f>
        <v>0</v>
      </c>
    </row>
    <row r="45" spans="2:50" s="166" customFormat="1" ht="15" customHeight="1">
      <c r="B45" s="1361"/>
      <c r="C45" s="1366"/>
      <c r="D45" s="1367"/>
      <c r="E45" s="1367"/>
      <c r="F45" s="1367"/>
      <c r="G45" s="1368"/>
      <c r="H45" s="166" t="s">
        <v>749</v>
      </c>
      <c r="I45" s="166" t="s">
        <v>750</v>
      </c>
      <c r="J45" s="1361"/>
      <c r="K45" s="1361"/>
      <c r="L45" s="1277"/>
      <c r="O45" s="1361"/>
      <c r="P45" s="1361"/>
      <c r="Q45" s="1361"/>
      <c r="R45" s="1361"/>
      <c r="S45" s="1361"/>
      <c r="T45" s="1361"/>
      <c r="U45" s="1361"/>
      <c r="V45" s="1361"/>
      <c r="Y45" s="1277"/>
      <c r="Z45" s="1348"/>
      <c r="AA45" s="1349"/>
      <c r="AB45" s="1277"/>
      <c r="AC45" s="1288"/>
      <c r="AD45" s="1380"/>
      <c r="AE45" s="1382"/>
    </row>
    <row r="46" spans="2:50" ht="15" customHeight="1">
      <c r="B46" s="581" t="s">
        <v>228</v>
      </c>
      <c r="C46" s="1359"/>
      <c r="D46" s="1359"/>
      <c r="E46" s="1359"/>
      <c r="F46" s="1359"/>
      <c r="G46" s="1359"/>
      <c r="H46" s="176" t="str">
        <f>IF(J46=0,"-","Nivel B")</f>
        <v>-</v>
      </c>
      <c r="I46" s="176" t="str">
        <f>IF(J46=0,"-","Nivel B")</f>
        <v>-</v>
      </c>
      <c r="J46" s="589">
        <f>ENERGÍA!L50</f>
        <v>0</v>
      </c>
      <c r="K46" s="589">
        <f>ENERGÍA!M50</f>
        <v>0</v>
      </c>
      <c r="L46" s="589"/>
      <c r="O46" s="176">
        <f>IF(J46=0,0,VLOOKUP(K46,adyacentem,2,FALSE))</f>
        <v>0</v>
      </c>
      <c r="P46" s="590">
        <f>VLOOKUP('BASE DE DATOS'!GY42,COLORESEXT,2,FALSE)</f>
        <v>0.9</v>
      </c>
      <c r="Q46" s="176">
        <f>IF('BASE DE DATOS'!GX42="A",'Materiales Personalizados'!BA37,IF('BASE DE DATOS'!GX42="B",'Materiales Personalizados'!BA38,'Materiales Personalizados'!$BA$39))</f>
        <v>0.83</v>
      </c>
      <c r="R46" s="590">
        <f>Q46*J46</f>
        <v>0</v>
      </c>
      <c r="S46" s="590">
        <f>IF(J46=0,0,(O46*R46))</f>
        <v>0</v>
      </c>
      <c r="T46" s="590" t="e">
        <f>IF('BASE DE DATOS'!GX42="A",'Materiales Personalizados'!BA43,IF('BASE DE DATOS'!GX42="B",'Materiales Personalizados'!BA44,'Materiales Personalizados'!BA45))</f>
        <v>#N/A</v>
      </c>
      <c r="U46" s="590" t="e">
        <f>T46*J46</f>
        <v>#N/A</v>
      </c>
      <c r="V46" s="590">
        <f>IF(J46=0,0,U46*O46)</f>
        <v>0</v>
      </c>
      <c r="W46" s="581"/>
      <c r="X46" s="580">
        <f>IF(J46&gt;0,1,0)</f>
        <v>0</v>
      </c>
      <c r="AG46" s="148" t="str">
        <f>Y54</f>
        <v>Cocina</v>
      </c>
      <c r="AH46" s="148">
        <v>977</v>
      </c>
      <c r="AI46" s="148">
        <v>472</v>
      </c>
      <c r="AJ46" s="148">
        <f>IF(Z54=1,15,0)</f>
        <v>15</v>
      </c>
    </row>
    <row r="47" spans="2:50" ht="15" customHeight="1">
      <c r="B47" s="581" t="s">
        <v>229</v>
      </c>
      <c r="C47" s="1359"/>
      <c r="D47" s="1359"/>
      <c r="E47" s="1359"/>
      <c r="F47" s="1359"/>
      <c r="G47" s="1359"/>
      <c r="H47" s="176" t="str">
        <f t="shared" ref="H47:H48" si="4">IF(J47=0,"-","Nivel B")</f>
        <v>-</v>
      </c>
      <c r="I47" s="176" t="str">
        <f t="shared" ref="I47:I48" si="5">IF(J47=0,"-","Nivel B")</f>
        <v>-</v>
      </c>
      <c r="J47" s="589">
        <f>ENERGÍA!L51</f>
        <v>0</v>
      </c>
      <c r="K47" s="589">
        <f>ENERGÍA!M51</f>
        <v>0</v>
      </c>
      <c r="L47" s="589"/>
      <c r="O47" s="176">
        <f>IF(J47=0,0,VLOOKUP(K47,adyacentem,2,FALSE))</f>
        <v>0</v>
      </c>
      <c r="P47" s="590">
        <f>P46</f>
        <v>0.9</v>
      </c>
      <c r="Q47" s="176">
        <f>Q46</f>
        <v>0.83</v>
      </c>
      <c r="R47" s="590">
        <f>Q47*J47</f>
        <v>0</v>
      </c>
      <c r="S47" s="590">
        <f t="shared" ref="S47:S48" si="6">IF(J47=0,0,(O47*R47))</f>
        <v>0</v>
      </c>
      <c r="T47" s="590" t="e">
        <f>T46</f>
        <v>#N/A</v>
      </c>
      <c r="U47" s="590" t="e">
        <f>T47*J47</f>
        <v>#N/A</v>
      </c>
      <c r="V47" s="590">
        <f t="shared" ref="V47:V48" si="7">IF(J47=0,0,U47*O47)</f>
        <v>0</v>
      </c>
      <c r="W47" s="581"/>
      <c r="X47" s="580">
        <f t="shared" ref="X47:X90" si="8">IF(J47&gt;0,1,0)</f>
        <v>0</v>
      </c>
      <c r="Y47" s="1350" t="s">
        <v>1000</v>
      </c>
      <c r="Z47" s="1350"/>
      <c r="AA47" s="1350"/>
      <c r="AB47" s="1350"/>
      <c r="AC47" s="1350"/>
      <c r="AD47" s="588" t="s">
        <v>999</v>
      </c>
      <c r="AE47" s="175">
        <f>AE66+AD60+AE52+Z60</f>
        <v>366.75</v>
      </c>
      <c r="AG47" s="148" t="str">
        <f>Y56</f>
        <v>Lavarropa</v>
      </c>
      <c r="AH47" s="148">
        <v>300</v>
      </c>
      <c r="AI47" s="148">
        <v>0</v>
      </c>
      <c r="AJ47" s="148">
        <f>IF(Z56=1,9,0)</f>
        <v>9</v>
      </c>
    </row>
    <row r="48" spans="2:50" ht="15" customHeight="1">
      <c r="B48" s="581" t="s">
        <v>631</v>
      </c>
      <c r="C48" s="1342"/>
      <c r="D48" s="1340"/>
      <c r="E48" s="1340"/>
      <c r="F48" s="1340"/>
      <c r="G48" s="1340"/>
      <c r="H48" s="176" t="str">
        <f t="shared" si="4"/>
        <v>-</v>
      </c>
      <c r="I48" s="176" t="str">
        <f t="shared" si="5"/>
        <v>-</v>
      </c>
      <c r="J48" s="589">
        <f>ENERGÍA!L52</f>
        <v>0</v>
      </c>
      <c r="K48" s="589">
        <f>ENERGÍA!M52</f>
        <v>0</v>
      </c>
      <c r="L48" s="589"/>
      <c r="O48" s="176">
        <f>IF(J48=0,0,VLOOKUP(K48,adyacentem,2,FALSE))</f>
        <v>0</v>
      </c>
      <c r="P48" s="590">
        <f>P47</f>
        <v>0.9</v>
      </c>
      <c r="Q48" s="176">
        <f>Q47</f>
        <v>0.83</v>
      </c>
      <c r="R48" s="590">
        <f>Q48*J48</f>
        <v>0</v>
      </c>
      <c r="S48" s="590">
        <f t="shared" si="6"/>
        <v>0</v>
      </c>
      <c r="T48" s="590" t="e">
        <f>T47</f>
        <v>#N/A</v>
      </c>
      <c r="U48" s="590" t="e">
        <f>T48*J48</f>
        <v>#N/A</v>
      </c>
      <c r="V48" s="590">
        <f t="shared" si="7"/>
        <v>0</v>
      </c>
      <c r="W48" s="581"/>
      <c r="X48" s="580">
        <f t="shared" si="8"/>
        <v>0</v>
      </c>
      <c r="Y48" s="1350" t="s">
        <v>994</v>
      </c>
      <c r="Z48" s="1350"/>
      <c r="AA48" s="1350"/>
      <c r="AB48" s="1350"/>
      <c r="AC48" s="1350"/>
      <c r="AD48" s="1350"/>
      <c r="AE48" s="1350"/>
      <c r="AG48" s="148" t="str">
        <f>Y57</f>
        <v>Heladera</v>
      </c>
      <c r="AH48" s="148">
        <v>310</v>
      </c>
      <c r="AI48" s="148">
        <v>0</v>
      </c>
      <c r="AJ48" s="148">
        <f>IF(Z57=1,45,0)</f>
        <v>45</v>
      </c>
    </row>
    <row r="49" spans="2:49" ht="6" customHeight="1">
      <c r="O49" s="148"/>
      <c r="P49" s="581"/>
      <c r="Q49" s="126"/>
      <c r="R49" s="126"/>
      <c r="V49" s="126"/>
      <c r="X49" s="580">
        <f t="shared" si="8"/>
        <v>0</v>
      </c>
      <c r="AG49" s="148"/>
      <c r="AH49" s="148"/>
      <c r="AI49" s="148"/>
      <c r="AJ49" s="148"/>
    </row>
    <row r="50" spans="2:49" ht="15" customHeight="1">
      <c r="B50" s="1320" t="s">
        <v>219</v>
      </c>
      <c r="C50" s="1321"/>
      <c r="D50" s="1321"/>
      <c r="E50" s="1321"/>
      <c r="F50" s="1321"/>
      <c r="G50" s="1321"/>
      <c r="H50" s="1321"/>
      <c r="I50" s="1321"/>
      <c r="J50" s="1321"/>
      <c r="K50" s="1321"/>
      <c r="L50" s="1322"/>
      <c r="O50" s="1320" t="s">
        <v>219</v>
      </c>
      <c r="P50" s="1321"/>
      <c r="Q50" s="1321"/>
      <c r="R50" s="1321"/>
      <c r="S50" s="1321"/>
      <c r="T50" s="1321"/>
      <c r="U50" s="1321"/>
      <c r="V50" s="1321"/>
      <c r="W50" s="1322"/>
      <c r="X50" s="580">
        <f t="shared" si="8"/>
        <v>0</v>
      </c>
      <c r="Y50" s="148"/>
      <c r="Z50" s="148" t="s">
        <v>995</v>
      </c>
      <c r="AA50" s="148" t="s">
        <v>996</v>
      </c>
      <c r="AB50" s="148" t="s">
        <v>997</v>
      </c>
      <c r="AC50" s="148" t="s">
        <v>998</v>
      </c>
      <c r="AD50" s="148" t="s">
        <v>898</v>
      </c>
      <c r="AE50" s="591" t="s">
        <v>1023</v>
      </c>
      <c r="AJ50" s="148">
        <f>SUM(AJ44:AJ49)</f>
        <v>69</v>
      </c>
    </row>
    <row r="51" spans="2:49" ht="6" customHeight="1">
      <c r="D51" s="126"/>
      <c r="E51" s="126"/>
      <c r="K51" s="126"/>
      <c r="L51" s="126"/>
      <c r="O51" s="148"/>
      <c r="Q51" s="126"/>
      <c r="R51" s="126"/>
      <c r="V51" s="126"/>
      <c r="X51" s="580">
        <f t="shared" si="8"/>
        <v>0</v>
      </c>
      <c r="AG51" s="148"/>
      <c r="AH51" s="148"/>
      <c r="AI51" s="148"/>
      <c r="AJ51" s="148"/>
    </row>
    <row r="52" spans="2:49" ht="15" customHeight="1">
      <c r="B52" s="1323">
        <f>C35</f>
        <v>0</v>
      </c>
      <c r="C52" s="1323"/>
      <c r="D52" s="1323"/>
      <c r="E52" s="1323"/>
      <c r="F52" s="1323"/>
      <c r="G52" s="1323"/>
      <c r="H52" s="1323"/>
      <c r="I52" s="1323"/>
      <c r="J52" s="1323"/>
      <c r="K52" s="1323"/>
      <c r="L52" s="1323"/>
      <c r="O52" s="1320">
        <f>B52</f>
        <v>0</v>
      </c>
      <c r="P52" s="1321"/>
      <c r="Q52" s="1321"/>
      <c r="R52" s="1321"/>
      <c r="S52" s="1321"/>
      <c r="T52" s="1321"/>
      <c r="U52" s="1321"/>
      <c r="V52" s="1321"/>
      <c r="W52" s="1322"/>
      <c r="X52" s="580">
        <f t="shared" si="8"/>
        <v>0</v>
      </c>
      <c r="Y52" s="148" t="s">
        <v>618</v>
      </c>
      <c r="Z52" s="148">
        <f>ENERGÍA!AA56</f>
        <v>0</v>
      </c>
      <c r="AA52" s="148">
        <f>ENERGÍA!AB56</f>
        <v>933</v>
      </c>
      <c r="AB52" s="148">
        <f>ENERGÍA!AC56</f>
        <v>25</v>
      </c>
      <c r="AC52" s="148">
        <f>AA52*AB52/100</f>
        <v>233.25</v>
      </c>
      <c r="AD52" s="148">
        <f>AC52*Z52</f>
        <v>0</v>
      </c>
      <c r="AE52" s="1282">
        <f>SUM(AD52:AD57)</f>
        <v>366.75</v>
      </c>
      <c r="AG52" s="580" t="s">
        <v>1522</v>
      </c>
      <c r="AH52" s="590">
        <f>SUM(G35:J38)</f>
        <v>0</v>
      </c>
      <c r="AI52" s="590">
        <f>SUM(W56:W90)</f>
        <v>0</v>
      </c>
      <c r="AJ52" s="580">
        <f>IF(AH52=AI52,0,((AI52*100)/AH52)/1000)</f>
        <v>0</v>
      </c>
    </row>
    <row r="53" spans="2:49" ht="6" customHeight="1">
      <c r="B53" s="584"/>
      <c r="C53" s="584"/>
      <c r="D53" s="584"/>
      <c r="E53" s="126"/>
      <c r="L53" s="126"/>
      <c r="O53" s="148"/>
      <c r="P53" s="581"/>
      <c r="Q53" s="126"/>
      <c r="R53" s="126"/>
      <c r="V53" s="126"/>
      <c r="X53" s="580">
        <f t="shared" si="8"/>
        <v>0</v>
      </c>
      <c r="AE53" s="1282"/>
    </row>
    <row r="54" spans="2:49" ht="15" customHeight="1">
      <c r="B54" s="1360"/>
      <c r="C54" s="1363" t="s">
        <v>222</v>
      </c>
      <c r="D54" s="1364"/>
      <c r="E54" s="1364"/>
      <c r="F54" s="1364"/>
      <c r="G54" s="1365"/>
      <c r="H54" s="1357" t="s">
        <v>1788</v>
      </c>
      <c r="I54" s="1358"/>
      <c r="J54" s="1360" t="s">
        <v>594</v>
      </c>
      <c r="K54" s="1360" t="s">
        <v>1356</v>
      </c>
      <c r="L54" s="1275" t="s">
        <v>644</v>
      </c>
      <c r="O54" s="1360" t="s">
        <v>1354</v>
      </c>
      <c r="P54" s="1360" t="s">
        <v>729</v>
      </c>
      <c r="Q54" s="1360" t="s">
        <v>849</v>
      </c>
      <c r="R54" s="1360" t="s">
        <v>850</v>
      </c>
      <c r="S54" s="1360" t="s">
        <v>1357</v>
      </c>
      <c r="T54" s="1360" t="s">
        <v>851</v>
      </c>
      <c r="U54" s="1360" t="s">
        <v>891</v>
      </c>
      <c r="V54" s="1360" t="s">
        <v>1359</v>
      </c>
      <c r="W54" s="1360" t="s">
        <v>1358</v>
      </c>
      <c r="X54" s="580">
        <f t="shared" si="8"/>
        <v>1</v>
      </c>
      <c r="Y54" s="148" t="s">
        <v>572</v>
      </c>
      <c r="Z54" s="148">
        <f>ENERGÍA!AA58</f>
        <v>1</v>
      </c>
      <c r="AA54" s="148">
        <f>ENERGÍA!AB58</f>
        <v>977</v>
      </c>
      <c r="AB54" s="148">
        <f>ENERGÍA!AC58</f>
        <v>25</v>
      </c>
      <c r="AC54" s="148">
        <f>AA54*AB54/100</f>
        <v>244.25</v>
      </c>
      <c r="AD54" s="148">
        <f>AC54*Z54</f>
        <v>244.25</v>
      </c>
      <c r="AE54" s="1282"/>
      <c r="AG54" s="580" t="s">
        <v>1523</v>
      </c>
      <c r="AH54" s="1320" t="e">
        <f>(AVERAGEIF(X46:X90,1,P46:P90))/5</f>
        <v>#DIV/0!</v>
      </c>
      <c r="AI54" s="1321"/>
      <c r="AJ54" s="1322"/>
    </row>
    <row r="55" spans="2:49" ht="15" customHeight="1">
      <c r="B55" s="1361"/>
      <c r="C55" s="1366"/>
      <c r="D55" s="1367"/>
      <c r="E55" s="1367"/>
      <c r="F55" s="1367"/>
      <c r="G55" s="1368"/>
      <c r="H55" s="1357" t="s">
        <v>731</v>
      </c>
      <c r="I55" s="1358"/>
      <c r="J55" s="1361"/>
      <c r="K55" s="1361"/>
      <c r="L55" s="1277"/>
      <c r="O55" s="1361"/>
      <c r="P55" s="1361"/>
      <c r="Q55" s="1361"/>
      <c r="R55" s="1361"/>
      <c r="S55" s="1361"/>
      <c r="T55" s="1361"/>
      <c r="U55" s="1361"/>
      <c r="V55" s="1361"/>
      <c r="W55" s="1361"/>
      <c r="X55" s="580">
        <f t="shared" si="8"/>
        <v>0</v>
      </c>
      <c r="Y55" s="580"/>
      <c r="Z55" s="580"/>
      <c r="AA55" s="580"/>
      <c r="AB55" s="580"/>
      <c r="AC55" s="580"/>
      <c r="AD55" s="580"/>
      <c r="AE55" s="1282"/>
      <c r="AG55" s="580"/>
      <c r="AH55" s="592"/>
      <c r="AI55" s="593"/>
      <c r="AJ55" s="594"/>
    </row>
    <row r="56" spans="2:49" ht="15" customHeight="1">
      <c r="B56" s="581" t="s">
        <v>223</v>
      </c>
      <c r="C56" s="1359"/>
      <c r="D56" s="1359"/>
      <c r="E56" s="1359"/>
      <c r="F56" s="1359"/>
      <c r="G56" s="1359"/>
      <c r="H56" s="1274" t="str">
        <f>IF(J56=0,"-","Nivel B")</f>
        <v>-</v>
      </c>
      <c r="I56" s="1274"/>
      <c r="J56" s="589">
        <f>ENERGÍA!L60</f>
        <v>0</v>
      </c>
      <c r="K56" s="589">
        <f>ENERGÍA!M60</f>
        <v>0</v>
      </c>
      <c r="L56" s="589"/>
      <c r="O56" s="176">
        <f>IF(J56=0,0,VLOOKUP(K56,adyacentem,2,FALSE))</f>
        <v>0</v>
      </c>
      <c r="P56" s="590">
        <f>VLOOKUP('BASE DE DATOS'!GY43,COLORESEXT,2,FALSE)</f>
        <v>0.9</v>
      </c>
      <c r="Q56" s="176">
        <f>IF('BASE DE DATOS'!GX43="A",'Materiales Personalizados'!AV37,IF('BASE DE DATOS'!GX43="B",'Materiales Personalizados'!AV38,'Materiales Personalizados'!$AV$39))</f>
        <v>1</v>
      </c>
      <c r="R56" s="590">
        <f>Q56*J56</f>
        <v>0</v>
      </c>
      <c r="S56" s="590">
        <f>IF(J56=0,0,(O56*R56))</f>
        <v>0</v>
      </c>
      <c r="T56" s="590">
        <f>Q56</f>
        <v>1</v>
      </c>
      <c r="U56" s="590">
        <f>T56*J56</f>
        <v>0</v>
      </c>
      <c r="V56" s="590">
        <f>IF(J56=0,0,(O56*U56))</f>
        <v>0</v>
      </c>
      <c r="W56" s="590">
        <f>IF(K56=BASE!$DA$7,J56,0)</f>
        <v>0</v>
      </c>
      <c r="X56" s="580">
        <f t="shared" si="8"/>
        <v>0</v>
      </c>
      <c r="Y56" s="148" t="s">
        <v>620</v>
      </c>
      <c r="Z56" s="148">
        <f>ENERGÍA!AA60</f>
        <v>1</v>
      </c>
      <c r="AA56" s="148">
        <f>ENERGÍA!AB60</f>
        <v>300</v>
      </c>
      <c r="AB56" s="148">
        <f>ENERGÍA!AC60</f>
        <v>15</v>
      </c>
      <c r="AC56" s="148">
        <f>AA56*AB56/100</f>
        <v>45</v>
      </c>
      <c r="AD56" s="148">
        <f>AC56*Z56</f>
        <v>45</v>
      </c>
      <c r="AE56" s="1282"/>
    </row>
    <row r="57" spans="2:49" ht="15" customHeight="1">
      <c r="B57" s="581" t="s">
        <v>224</v>
      </c>
      <c r="C57" s="1359"/>
      <c r="D57" s="1359"/>
      <c r="E57" s="1359"/>
      <c r="F57" s="1359"/>
      <c r="G57" s="1359"/>
      <c r="H57" s="1274" t="str">
        <f t="shared" ref="H57:H60" si="9">IF(J57=0,"-","Nivel B")</f>
        <v>-</v>
      </c>
      <c r="I57" s="1274"/>
      <c r="J57" s="589">
        <f>ENERGÍA!L61</f>
        <v>0</v>
      </c>
      <c r="K57" s="589">
        <f>ENERGÍA!M61</f>
        <v>0</v>
      </c>
      <c r="L57" s="589"/>
      <c r="O57" s="176">
        <f>IF(J57=0,0,VLOOKUP(K57,adyacentem,2,FALSE))</f>
        <v>0</v>
      </c>
      <c r="P57" s="590">
        <f>P56</f>
        <v>0.9</v>
      </c>
      <c r="Q57" s="176">
        <f>Q56</f>
        <v>1</v>
      </c>
      <c r="R57" s="590">
        <f>Q57*J57</f>
        <v>0</v>
      </c>
      <c r="S57" s="590">
        <f t="shared" ref="S57:S60" si="10">IF(J57=0,0,(O57*R57))</f>
        <v>0</v>
      </c>
      <c r="T57" s="590">
        <f>Q57</f>
        <v>1</v>
      </c>
      <c r="U57" s="590">
        <f>T57*J57</f>
        <v>0</v>
      </c>
      <c r="V57" s="590">
        <f t="shared" ref="V57:V60" si="11">IF(J57=0,0,(O57*U57))</f>
        <v>0</v>
      </c>
      <c r="W57" s="590">
        <f>IF(K57=BASE!$DA$7,J57,0)</f>
        <v>0</v>
      </c>
      <c r="X57" s="580">
        <f t="shared" si="8"/>
        <v>0</v>
      </c>
      <c r="Y57" s="148" t="s">
        <v>619</v>
      </c>
      <c r="Z57" s="148">
        <f>ENERGÍA!AA61</f>
        <v>1</v>
      </c>
      <c r="AA57" s="148">
        <f>ENERGÍA!AB61</f>
        <v>310</v>
      </c>
      <c r="AB57" s="148">
        <f>ENERGÍA!AC61</f>
        <v>25</v>
      </c>
      <c r="AC57" s="148">
        <f>AA57*AB57/100</f>
        <v>77.5</v>
      </c>
      <c r="AD57" s="148">
        <f>AC57*Z57</f>
        <v>77.5</v>
      </c>
      <c r="AE57" s="1282"/>
    </row>
    <row r="58" spans="2:49" ht="15" customHeight="1">
      <c r="B58" s="581" t="s">
        <v>1516</v>
      </c>
      <c r="C58" s="1342"/>
      <c r="D58" s="1340"/>
      <c r="E58" s="1340"/>
      <c r="F58" s="1340"/>
      <c r="G58" s="1340"/>
      <c r="H58" s="1274" t="str">
        <f t="shared" si="9"/>
        <v>-</v>
      </c>
      <c r="I58" s="1274"/>
      <c r="J58" s="589">
        <f>ENERGÍA!L62</f>
        <v>0</v>
      </c>
      <c r="K58" s="589">
        <f>ENERGÍA!M62</f>
        <v>0</v>
      </c>
      <c r="L58" s="589"/>
      <c r="O58" s="176">
        <f>IF(J58=0,0,VLOOKUP(K58,adyacentem,2,FALSE))</f>
        <v>0</v>
      </c>
      <c r="P58" s="590">
        <f t="shared" ref="P58:Q60" si="12">P57</f>
        <v>0.9</v>
      </c>
      <c r="Q58" s="176">
        <f t="shared" si="12"/>
        <v>1</v>
      </c>
      <c r="R58" s="590">
        <f>Q58*J58</f>
        <v>0</v>
      </c>
      <c r="S58" s="590">
        <f t="shared" si="10"/>
        <v>0</v>
      </c>
      <c r="T58" s="590">
        <f>Q58</f>
        <v>1</v>
      </c>
      <c r="U58" s="590">
        <f>T58*J58</f>
        <v>0</v>
      </c>
      <c r="V58" s="590">
        <f t="shared" si="11"/>
        <v>0</v>
      </c>
      <c r="W58" s="590">
        <f>IF(K58=BASE!$DA$7,J58,0)</f>
        <v>0</v>
      </c>
      <c r="X58" s="580">
        <f t="shared" si="8"/>
        <v>0</v>
      </c>
      <c r="Y58" s="581"/>
    </row>
    <row r="59" spans="2:49" ht="15" customHeight="1">
      <c r="B59" s="581" t="s">
        <v>632</v>
      </c>
      <c r="C59" s="1342"/>
      <c r="D59" s="1340"/>
      <c r="E59" s="1340"/>
      <c r="F59" s="1340"/>
      <c r="G59" s="1340"/>
      <c r="H59" s="1274" t="str">
        <f t="shared" si="9"/>
        <v>-</v>
      </c>
      <c r="I59" s="1274"/>
      <c r="J59" s="589">
        <f>ENERGÍA!L63</f>
        <v>0</v>
      </c>
      <c r="K59" s="589">
        <f>ENERGÍA!M63</f>
        <v>0</v>
      </c>
      <c r="L59" s="589"/>
      <c r="O59" s="176">
        <f>IF(J59=0,0,VLOOKUP(K59,adyacentem,2,FALSE))</f>
        <v>0</v>
      </c>
      <c r="P59" s="590">
        <f t="shared" si="12"/>
        <v>0.9</v>
      </c>
      <c r="Q59" s="176">
        <f t="shared" si="12"/>
        <v>1</v>
      </c>
      <c r="R59" s="590">
        <f>Q59*J59</f>
        <v>0</v>
      </c>
      <c r="S59" s="590">
        <f t="shared" si="10"/>
        <v>0</v>
      </c>
      <c r="T59" s="590">
        <f>Q59</f>
        <v>1</v>
      </c>
      <c r="U59" s="590">
        <f>T59*J59</f>
        <v>0</v>
      </c>
      <c r="V59" s="590">
        <f t="shared" si="11"/>
        <v>0</v>
      </c>
      <c r="W59" s="590">
        <f>IF(K59=BASE!$DA$7,J59,0)</f>
        <v>0</v>
      </c>
      <c r="X59" s="580">
        <f t="shared" si="8"/>
        <v>0</v>
      </c>
      <c r="Y59" s="1377" t="s">
        <v>601</v>
      </c>
      <c r="Z59" s="1377"/>
      <c r="AA59" s="581"/>
      <c r="AB59" s="581"/>
      <c r="AC59" s="1377" t="s">
        <v>602</v>
      </c>
      <c r="AD59" s="1377"/>
      <c r="AE59" s="581"/>
      <c r="AG59" s="1378" t="s">
        <v>1054</v>
      </c>
      <c r="AH59" s="1378"/>
      <c r="AI59" s="1378"/>
      <c r="AJ59" s="1378"/>
      <c r="AK59" s="1378"/>
      <c r="AL59" s="1378"/>
      <c r="AM59" s="1378"/>
      <c r="AN59" s="1378"/>
      <c r="AO59" s="1378"/>
      <c r="AP59" s="1378"/>
      <c r="AQ59" s="1378"/>
      <c r="AR59" s="1378"/>
      <c r="AS59" s="1378"/>
      <c r="AV59" s="595" t="s">
        <v>888</v>
      </c>
      <c r="AW59" s="166">
        <v>18</v>
      </c>
    </row>
    <row r="60" spans="2:49" ht="15" customHeight="1">
      <c r="B60" s="581" t="s">
        <v>631</v>
      </c>
      <c r="C60" s="1342"/>
      <c r="D60" s="1340"/>
      <c r="E60" s="1340"/>
      <c r="F60" s="1340"/>
      <c r="G60" s="1340"/>
      <c r="H60" s="1274" t="str">
        <f t="shared" si="9"/>
        <v>-</v>
      </c>
      <c r="I60" s="1274"/>
      <c r="J60" s="589">
        <f>ENERGÍA!L64</f>
        <v>0</v>
      </c>
      <c r="K60" s="589">
        <f>ENERGÍA!M64</f>
        <v>0</v>
      </c>
      <c r="L60" s="589"/>
      <c r="O60" s="176">
        <f>IF(J60=0,0,VLOOKUP(K60,adyacentem,2,FALSE))</f>
        <v>0</v>
      </c>
      <c r="P60" s="590">
        <f t="shared" si="12"/>
        <v>0.9</v>
      </c>
      <c r="Q60" s="176">
        <f t="shared" si="12"/>
        <v>1</v>
      </c>
      <c r="R60" s="590">
        <f>Q60*J60</f>
        <v>0</v>
      </c>
      <c r="S60" s="590">
        <f t="shared" si="10"/>
        <v>0</v>
      </c>
      <c r="T60" s="590">
        <f>Q60</f>
        <v>1</v>
      </c>
      <c r="U60" s="590">
        <f>T60*J60</f>
        <v>0</v>
      </c>
      <c r="V60" s="590">
        <f t="shared" si="11"/>
        <v>0</v>
      </c>
      <c r="W60" s="590">
        <f>IF(K60=BASE!$DA$7,J60,0)</f>
        <v>0</v>
      </c>
      <c r="X60" s="580">
        <f t="shared" si="8"/>
        <v>0</v>
      </c>
      <c r="Y60" s="588" t="s">
        <v>1023</v>
      </c>
      <c r="Z60" s="175">
        <f>(AB175*365)*0.55</f>
        <v>0</v>
      </c>
      <c r="AA60" s="581"/>
      <c r="AB60" s="581"/>
      <c r="AC60" s="588" t="s">
        <v>1023</v>
      </c>
      <c r="AD60" s="175">
        <f>ENERGÍA!AE64</f>
        <v>0</v>
      </c>
      <c r="AE60" s="581"/>
      <c r="AG60" s="580" t="s">
        <v>848</v>
      </c>
      <c r="AH60" s="596" t="s">
        <v>823</v>
      </c>
      <c r="AI60" s="596" t="s">
        <v>824</v>
      </c>
      <c r="AJ60" s="596" t="s">
        <v>825</v>
      </c>
      <c r="AK60" s="226" t="s">
        <v>826</v>
      </c>
      <c r="AL60" s="226" t="s">
        <v>827</v>
      </c>
      <c r="AM60" s="226" t="s">
        <v>828</v>
      </c>
      <c r="AN60" s="226" t="s">
        <v>829</v>
      </c>
      <c r="AO60" s="226" t="s">
        <v>830</v>
      </c>
      <c r="AP60" s="226" t="s">
        <v>831</v>
      </c>
      <c r="AQ60" s="226" t="s">
        <v>832</v>
      </c>
      <c r="AR60" s="226" t="s">
        <v>833</v>
      </c>
      <c r="AS60" s="226" t="s">
        <v>834</v>
      </c>
      <c r="AV60" s="595" t="s">
        <v>889</v>
      </c>
      <c r="AW60" s="166">
        <v>24</v>
      </c>
    </row>
    <row r="61" spans="2:49" ht="6" customHeight="1">
      <c r="L61" s="126"/>
      <c r="O61" s="148"/>
      <c r="P61" s="581"/>
      <c r="Q61" s="597"/>
      <c r="R61" s="597"/>
      <c r="S61" s="597"/>
      <c r="X61" s="580">
        <f t="shared" si="8"/>
        <v>0</v>
      </c>
      <c r="Y61" s="581"/>
      <c r="Z61" s="581"/>
      <c r="AA61" s="581"/>
      <c r="AB61" s="581"/>
      <c r="AC61" s="581"/>
      <c r="AD61" s="581"/>
      <c r="AE61" s="581"/>
    </row>
    <row r="62" spans="2:49" ht="15" customHeight="1">
      <c r="B62" s="1323">
        <f>C36</f>
        <v>0</v>
      </c>
      <c r="C62" s="1323"/>
      <c r="D62" s="1323"/>
      <c r="E62" s="1323"/>
      <c r="F62" s="1323"/>
      <c r="G62" s="1323"/>
      <c r="H62" s="1323"/>
      <c r="I62" s="1323"/>
      <c r="J62" s="1323"/>
      <c r="K62" s="1323"/>
      <c r="L62" s="1323"/>
      <c r="O62" s="1320">
        <f>B62</f>
        <v>0</v>
      </c>
      <c r="P62" s="1321"/>
      <c r="Q62" s="1321"/>
      <c r="R62" s="1321"/>
      <c r="S62" s="1321"/>
      <c r="T62" s="1321"/>
      <c r="U62" s="1321"/>
      <c r="V62" s="1321"/>
      <c r="W62" s="1322"/>
      <c r="X62" s="580">
        <f t="shared" si="8"/>
        <v>0</v>
      </c>
      <c r="Y62" s="581"/>
      <c r="Z62" s="581"/>
      <c r="AA62" s="581"/>
      <c r="AB62" s="581"/>
      <c r="AC62" s="581"/>
      <c r="AD62" s="581"/>
      <c r="AE62" s="581"/>
      <c r="AG62" s="598" t="s">
        <v>1035</v>
      </c>
      <c r="AH62" s="176">
        <f>ENERGÍA!AJ66</f>
        <v>0</v>
      </c>
      <c r="AI62" s="176">
        <f>ENERGÍA!AK66</f>
        <v>0</v>
      </c>
      <c r="AJ62" s="176">
        <f>ENERGÍA!AL66</f>
        <v>0</v>
      </c>
      <c r="AK62" s="176">
        <f>ENERGÍA!AM66</f>
        <v>0</v>
      </c>
      <c r="AL62" s="176">
        <f>ENERGÍA!AN66</f>
        <v>0</v>
      </c>
      <c r="AM62" s="176">
        <f>ENERGÍA!AO66</f>
        <v>0</v>
      </c>
      <c r="AN62" s="176">
        <f>ENERGÍA!AP66</f>
        <v>0</v>
      </c>
      <c r="AO62" s="176">
        <f>ENERGÍA!AQ66</f>
        <v>0</v>
      </c>
      <c r="AP62" s="176">
        <f>ENERGÍA!AR66</f>
        <v>0</v>
      </c>
      <c r="AQ62" s="176">
        <f>ENERGÍA!AS66</f>
        <v>0</v>
      </c>
      <c r="AR62" s="176">
        <f>ENERGÍA!AT66</f>
        <v>0</v>
      </c>
      <c r="AS62" s="176">
        <f>ENERGÍA!AU66</f>
        <v>0</v>
      </c>
      <c r="AV62" s="582" t="s">
        <v>1018</v>
      </c>
      <c r="AW62" s="176">
        <v>50</v>
      </c>
    </row>
    <row r="63" spans="2:49" ht="6" customHeight="1">
      <c r="B63" s="584"/>
      <c r="C63" s="584"/>
      <c r="D63" s="584"/>
      <c r="E63" s="126"/>
      <c r="K63" s="126"/>
      <c r="L63" s="126"/>
      <c r="O63" s="580"/>
      <c r="P63" s="581"/>
      <c r="Q63" s="126"/>
      <c r="R63" s="126"/>
      <c r="V63" s="126"/>
      <c r="X63" s="580">
        <f t="shared" si="8"/>
        <v>0</v>
      </c>
      <c r="AG63" s="597"/>
      <c r="AH63" s="597"/>
      <c r="AI63" s="597"/>
      <c r="AJ63" s="597"/>
      <c r="AK63" s="597"/>
      <c r="AL63" s="597"/>
      <c r="AM63" s="597"/>
      <c r="AN63" s="597"/>
      <c r="AO63" s="597"/>
      <c r="AP63" s="597"/>
      <c r="AQ63" s="597"/>
      <c r="AR63" s="597"/>
      <c r="AS63" s="597"/>
    </row>
    <row r="64" spans="2:49" ht="15" customHeight="1">
      <c r="B64" s="1360"/>
      <c r="C64" s="1363" t="s">
        <v>222</v>
      </c>
      <c r="D64" s="1364"/>
      <c r="E64" s="1364"/>
      <c r="F64" s="1364"/>
      <c r="G64" s="1365"/>
      <c r="H64" s="1357" t="s">
        <v>1788</v>
      </c>
      <c r="I64" s="1358"/>
      <c r="J64" s="1360" t="s">
        <v>594</v>
      </c>
      <c r="K64" s="1360" t="s">
        <v>1356</v>
      </c>
      <c r="L64" s="1275" t="s">
        <v>644</v>
      </c>
      <c r="O64" s="1360" t="s">
        <v>1354</v>
      </c>
      <c r="P64" s="1360" t="s">
        <v>729</v>
      </c>
      <c r="Q64" s="1360" t="s">
        <v>849</v>
      </c>
      <c r="R64" s="1360" t="s">
        <v>850</v>
      </c>
      <c r="S64" s="1360" t="s">
        <v>1357</v>
      </c>
      <c r="T64" s="1360" t="s">
        <v>851</v>
      </c>
      <c r="U64" s="1360" t="s">
        <v>891</v>
      </c>
      <c r="V64" s="1360" t="s">
        <v>1359</v>
      </c>
      <c r="W64" s="1360" t="s">
        <v>1358</v>
      </c>
      <c r="X64" s="580">
        <f t="shared" si="8"/>
        <v>1</v>
      </c>
      <c r="Y64" s="1369" t="s">
        <v>992</v>
      </c>
      <c r="Z64" s="1370"/>
      <c r="AA64" s="1370"/>
      <c r="AB64" s="1370"/>
      <c r="AC64" s="1370"/>
      <c r="AD64" s="1371"/>
      <c r="AE64" s="1375" t="s">
        <v>1023</v>
      </c>
      <c r="AG64" s="597"/>
      <c r="AH64" s="176">
        <f>IF(AH62&lt;=$AW$60,0,AH62-$AW$60)</f>
        <v>0</v>
      </c>
      <c r="AI64" s="176">
        <f t="shared" ref="AI64:AS64" si="13">IF(AI62&lt;=$AW$60,0,AI62-$AW$60)</f>
        <v>0</v>
      </c>
      <c r="AJ64" s="176">
        <f t="shared" si="13"/>
        <v>0</v>
      </c>
      <c r="AK64" s="176">
        <f t="shared" si="13"/>
        <v>0</v>
      </c>
      <c r="AL64" s="176">
        <f t="shared" si="13"/>
        <v>0</v>
      </c>
      <c r="AM64" s="176">
        <f t="shared" si="13"/>
        <v>0</v>
      </c>
      <c r="AN64" s="176">
        <f t="shared" si="13"/>
        <v>0</v>
      </c>
      <c r="AO64" s="176">
        <f t="shared" si="13"/>
        <v>0</v>
      </c>
      <c r="AP64" s="176">
        <f t="shared" si="13"/>
        <v>0</v>
      </c>
      <c r="AQ64" s="176">
        <f t="shared" si="13"/>
        <v>0</v>
      </c>
      <c r="AR64" s="176">
        <f t="shared" si="13"/>
        <v>0</v>
      </c>
      <c r="AS64" s="176">
        <f t="shared" si="13"/>
        <v>0</v>
      </c>
      <c r="AV64" s="595" t="s">
        <v>890</v>
      </c>
      <c r="AW64" s="176">
        <f>DATOS!C26*DATOS!G29</f>
        <v>0</v>
      </c>
    </row>
    <row r="65" spans="2:49" ht="15" customHeight="1">
      <c r="B65" s="1361"/>
      <c r="C65" s="1366"/>
      <c r="D65" s="1367"/>
      <c r="E65" s="1367"/>
      <c r="F65" s="1367"/>
      <c r="G65" s="1368"/>
      <c r="H65" s="1357" t="s">
        <v>731</v>
      </c>
      <c r="I65" s="1358"/>
      <c r="J65" s="1361"/>
      <c r="K65" s="1361"/>
      <c r="L65" s="1277"/>
      <c r="O65" s="1361"/>
      <c r="P65" s="1361"/>
      <c r="Q65" s="1361"/>
      <c r="R65" s="1361"/>
      <c r="S65" s="1361"/>
      <c r="T65" s="1361"/>
      <c r="U65" s="1361"/>
      <c r="V65" s="1361"/>
      <c r="W65" s="1361"/>
      <c r="X65" s="580">
        <f t="shared" si="8"/>
        <v>0</v>
      </c>
      <c r="Y65" s="1372"/>
      <c r="Z65" s="1373"/>
      <c r="AA65" s="1373"/>
      <c r="AB65" s="1373"/>
      <c r="AC65" s="1373"/>
      <c r="AD65" s="1374"/>
      <c r="AE65" s="1376"/>
      <c r="AG65" s="597"/>
      <c r="AH65" s="597"/>
      <c r="AI65" s="597"/>
      <c r="AJ65" s="597"/>
      <c r="AK65" s="597"/>
      <c r="AL65" s="597"/>
      <c r="AM65" s="597"/>
      <c r="AN65" s="597"/>
      <c r="AO65" s="597"/>
      <c r="AP65" s="597"/>
      <c r="AQ65" s="597"/>
      <c r="AR65" s="597"/>
      <c r="AS65" s="597"/>
    </row>
    <row r="66" spans="2:49" ht="15" customHeight="1">
      <c r="B66" s="581" t="s">
        <v>223</v>
      </c>
      <c r="C66" s="1359"/>
      <c r="D66" s="1359"/>
      <c r="E66" s="1359"/>
      <c r="F66" s="1359"/>
      <c r="G66" s="1359"/>
      <c r="H66" s="1274" t="str">
        <f>IF(J66=0,"-","Nivel B")</f>
        <v>-</v>
      </c>
      <c r="I66" s="1274"/>
      <c r="J66" s="589">
        <f>ENERGÍA!L70</f>
        <v>0</v>
      </c>
      <c r="K66" s="589">
        <f>ENERGÍA!M70</f>
        <v>0</v>
      </c>
      <c r="L66" s="589"/>
      <c r="O66" s="176">
        <f>IF(J66=0,0,VLOOKUP(K66,adyacentem,2,FALSE))</f>
        <v>0</v>
      </c>
      <c r="P66" s="590">
        <f>P60</f>
        <v>0.9</v>
      </c>
      <c r="Q66" s="176">
        <f>'Materiales Personalizados'!$AV$38</f>
        <v>1</v>
      </c>
      <c r="R66" s="590">
        <f>Q66*J66</f>
        <v>0</v>
      </c>
      <c r="S66" s="590">
        <f>IF(J66=0,0,(O66*R66))</f>
        <v>0</v>
      </c>
      <c r="T66" s="590">
        <f>Q66</f>
        <v>1</v>
      </c>
      <c r="U66" s="590">
        <f>T66*J66</f>
        <v>0</v>
      </c>
      <c r="V66" s="590">
        <f>IF(J66=0,0,(O66*U66))</f>
        <v>0</v>
      </c>
      <c r="W66" s="590">
        <f>IF(K66=BASE!$DA$7,J66,0)</f>
        <v>0</v>
      </c>
      <c r="X66" s="580">
        <f t="shared" si="8"/>
        <v>0</v>
      </c>
      <c r="Y66" s="599" t="s">
        <v>1183</v>
      </c>
      <c r="Z66" s="148">
        <f>DATOS!C29</f>
        <v>0</v>
      </c>
      <c r="AA66" s="599" t="s">
        <v>1120</v>
      </c>
      <c r="AB66" s="1284">
        <f>ENERGÍA!AC70</f>
        <v>47</v>
      </c>
      <c r="AC66" s="1338"/>
      <c r="AD66" s="1285"/>
      <c r="AE66" s="175">
        <f>AB66*Z66</f>
        <v>0</v>
      </c>
      <c r="AG66" s="597"/>
      <c r="AH66" s="176">
        <f t="shared" ref="AH66:AS66" si="14">IF(AH62&lt;=$AW$59,(AH62-$AW$59)*-1,0)</f>
        <v>18</v>
      </c>
      <c r="AI66" s="176">
        <f t="shared" si="14"/>
        <v>18</v>
      </c>
      <c r="AJ66" s="176">
        <f t="shared" si="14"/>
        <v>18</v>
      </c>
      <c r="AK66" s="176">
        <f t="shared" si="14"/>
        <v>18</v>
      </c>
      <c r="AL66" s="176">
        <f t="shared" si="14"/>
        <v>18</v>
      </c>
      <c r="AM66" s="176">
        <f t="shared" si="14"/>
        <v>18</v>
      </c>
      <c r="AN66" s="176">
        <f t="shared" si="14"/>
        <v>18</v>
      </c>
      <c r="AO66" s="176">
        <f t="shared" si="14"/>
        <v>18</v>
      </c>
      <c r="AP66" s="176">
        <f t="shared" si="14"/>
        <v>18</v>
      </c>
      <c r="AQ66" s="176">
        <f t="shared" si="14"/>
        <v>18</v>
      </c>
      <c r="AR66" s="176">
        <f t="shared" si="14"/>
        <v>18</v>
      </c>
      <c r="AS66" s="176">
        <f t="shared" si="14"/>
        <v>18</v>
      </c>
    </row>
    <row r="67" spans="2:49" ht="15" customHeight="1">
      <c r="B67" s="581" t="s">
        <v>224</v>
      </c>
      <c r="C67" s="1359"/>
      <c r="D67" s="1359"/>
      <c r="E67" s="1359"/>
      <c r="F67" s="1359"/>
      <c r="G67" s="1359"/>
      <c r="H67" s="1274" t="str">
        <f t="shared" ref="H67:H70" si="15">IF(J67=0,"-","Nivel B")</f>
        <v>-</v>
      </c>
      <c r="I67" s="1274"/>
      <c r="J67" s="589">
        <f>ENERGÍA!L71</f>
        <v>0</v>
      </c>
      <c r="K67" s="589">
        <f>ENERGÍA!M71</f>
        <v>0</v>
      </c>
      <c r="L67" s="589"/>
      <c r="O67" s="176">
        <f>IF(J67=0,0,VLOOKUP(K67,adyacentem,2,FALSE))</f>
        <v>0</v>
      </c>
      <c r="P67" s="590">
        <f>P66</f>
        <v>0.9</v>
      </c>
      <c r="Q67" s="176">
        <f>Q66</f>
        <v>1</v>
      </c>
      <c r="R67" s="590">
        <f>Q67*J67</f>
        <v>0</v>
      </c>
      <c r="S67" s="590">
        <f t="shared" ref="S67:S70" si="16">IF(J67=0,0,(O67*R67))</f>
        <v>0</v>
      </c>
      <c r="T67" s="590">
        <f>Q67</f>
        <v>1</v>
      </c>
      <c r="U67" s="590">
        <f>T67*J67</f>
        <v>0</v>
      </c>
      <c r="V67" s="590">
        <f t="shared" ref="V67:V70" si="17">IF(J67=0,0,(O67*U67))</f>
        <v>0</v>
      </c>
      <c r="W67" s="590">
        <f>IF(K67=BASE!$DA$7,J67,0)</f>
        <v>0</v>
      </c>
      <c r="X67" s="580">
        <f t="shared" si="8"/>
        <v>0</v>
      </c>
      <c r="AG67" s="598" t="s">
        <v>1028</v>
      </c>
      <c r="AH67" s="176">
        <f>-(AM67-AI67)/4+AI67</f>
        <v>0</v>
      </c>
      <c r="AI67" s="176">
        <f>ENERGÍA!AK71</f>
        <v>0</v>
      </c>
      <c r="AJ67" s="176">
        <f>(AM67-AI67)/4+AI67</f>
        <v>0</v>
      </c>
      <c r="AK67" s="176">
        <f>(AN67-AI67)*2/4+AI67</f>
        <v>0</v>
      </c>
      <c r="AL67" s="176">
        <f>(AO67-AI67)*3/4+AI67</f>
        <v>0</v>
      </c>
      <c r="AM67" s="176">
        <f>ENERGÍA!AO71</f>
        <v>0</v>
      </c>
      <c r="AN67" s="176">
        <f>(AM67-AI67)/4+AM67</f>
        <v>0</v>
      </c>
      <c r="AO67" s="176">
        <f>AM67</f>
        <v>0</v>
      </c>
      <c r="AP67" s="176">
        <f>AL67</f>
        <v>0</v>
      </c>
      <c r="AQ67" s="176">
        <f>AK67</f>
        <v>0</v>
      </c>
      <c r="AR67" s="176">
        <f>AJ67</f>
        <v>0</v>
      </c>
      <c r="AS67" s="176">
        <f>ENERGÍA!AU71</f>
        <v>0</v>
      </c>
      <c r="AV67" s="582" t="s">
        <v>986</v>
      </c>
      <c r="AW67" s="148">
        <f>ENERGÍA!AY71</f>
        <v>1</v>
      </c>
    </row>
    <row r="68" spans="2:49" ht="15" customHeight="1">
      <c r="B68" s="581" t="s">
        <v>1516</v>
      </c>
      <c r="C68" s="1342"/>
      <c r="D68" s="1340"/>
      <c r="E68" s="1340"/>
      <c r="F68" s="1340"/>
      <c r="G68" s="1340"/>
      <c r="H68" s="1274" t="str">
        <f t="shared" si="15"/>
        <v>-</v>
      </c>
      <c r="I68" s="1274"/>
      <c r="J68" s="589">
        <f>ENERGÍA!L72</f>
        <v>0</v>
      </c>
      <c r="K68" s="589">
        <f>ENERGÍA!M72</f>
        <v>0</v>
      </c>
      <c r="L68" s="589"/>
      <c r="O68" s="176">
        <f>IF(J68=0,0,VLOOKUP(K68,adyacentem,2,FALSE))</f>
        <v>0</v>
      </c>
      <c r="P68" s="590">
        <f t="shared" ref="P68:Q70" si="18">P67</f>
        <v>0.9</v>
      </c>
      <c r="Q68" s="176">
        <f t="shared" si="18"/>
        <v>1</v>
      </c>
      <c r="R68" s="590">
        <f>Q68*J68</f>
        <v>0</v>
      </c>
      <c r="S68" s="590">
        <f t="shared" si="16"/>
        <v>0</v>
      </c>
      <c r="T68" s="590">
        <f>Q68</f>
        <v>1</v>
      </c>
      <c r="U68" s="590">
        <f>T68*J68</f>
        <v>0</v>
      </c>
      <c r="V68" s="590">
        <f t="shared" si="17"/>
        <v>0</v>
      </c>
      <c r="W68" s="590">
        <f>IF(K68=BASE!$DA$7,J68,0)</f>
        <v>0</v>
      </c>
      <c r="X68" s="580">
        <f t="shared" si="8"/>
        <v>0</v>
      </c>
      <c r="Y68" s="1350" t="s">
        <v>1101</v>
      </c>
      <c r="Z68" s="1350"/>
      <c r="AA68" s="1350"/>
      <c r="AB68" s="1350"/>
      <c r="AC68" s="1350"/>
      <c r="AD68" s="588" t="s">
        <v>999</v>
      </c>
      <c r="AE68" s="175" t="e">
        <f>AE70</f>
        <v>#N/A</v>
      </c>
      <c r="AG68" s="598" t="s">
        <v>1029</v>
      </c>
      <c r="AH68" s="176">
        <f t="shared" ref="AH68:AS68" si="19">(6.108*EXP((17.27*AH62)/(AH62+237.3)))*AH67/100</f>
        <v>0</v>
      </c>
      <c r="AI68" s="176">
        <f t="shared" si="19"/>
        <v>0</v>
      </c>
      <c r="AJ68" s="176">
        <f t="shared" si="19"/>
        <v>0</v>
      </c>
      <c r="AK68" s="176">
        <f t="shared" si="19"/>
        <v>0</v>
      </c>
      <c r="AL68" s="176">
        <f t="shared" si="19"/>
        <v>0</v>
      </c>
      <c r="AM68" s="176">
        <f t="shared" si="19"/>
        <v>0</v>
      </c>
      <c r="AN68" s="176">
        <f t="shared" si="19"/>
        <v>0</v>
      </c>
      <c r="AO68" s="176">
        <f t="shared" si="19"/>
        <v>0</v>
      </c>
      <c r="AP68" s="176">
        <f t="shared" si="19"/>
        <v>0</v>
      </c>
      <c r="AQ68" s="176">
        <f t="shared" si="19"/>
        <v>0</v>
      </c>
      <c r="AR68" s="176">
        <f t="shared" si="19"/>
        <v>0</v>
      </c>
      <c r="AS68" s="176">
        <f t="shared" si="19"/>
        <v>0</v>
      </c>
    </row>
    <row r="69" spans="2:49" ht="15" customHeight="1">
      <c r="B69" s="581" t="s">
        <v>632</v>
      </c>
      <c r="C69" s="1342"/>
      <c r="D69" s="1340"/>
      <c r="E69" s="1340"/>
      <c r="F69" s="1340"/>
      <c r="G69" s="1340"/>
      <c r="H69" s="1274" t="str">
        <f t="shared" si="15"/>
        <v>-</v>
      </c>
      <c r="I69" s="1274"/>
      <c r="J69" s="589">
        <f>ENERGÍA!L73</f>
        <v>0</v>
      </c>
      <c r="K69" s="589">
        <f>ENERGÍA!M73</f>
        <v>0</v>
      </c>
      <c r="L69" s="589"/>
      <c r="O69" s="176">
        <f>IF(J69=0,0,VLOOKUP(K69,adyacentem,2,FALSE))</f>
        <v>0</v>
      </c>
      <c r="P69" s="590">
        <f t="shared" si="18"/>
        <v>0.9</v>
      </c>
      <c r="Q69" s="176">
        <f t="shared" si="18"/>
        <v>1</v>
      </c>
      <c r="R69" s="590">
        <f>Q69*J69</f>
        <v>0</v>
      </c>
      <c r="S69" s="590">
        <f t="shared" si="16"/>
        <v>0</v>
      </c>
      <c r="T69" s="590">
        <f>Q69</f>
        <v>1</v>
      </c>
      <c r="U69" s="590">
        <f>T69*J69</f>
        <v>0</v>
      </c>
      <c r="V69" s="590">
        <f t="shared" si="17"/>
        <v>0</v>
      </c>
      <c r="W69" s="590">
        <f>IF(K69=BASE!$DA$7,J69,0)</f>
        <v>0</v>
      </c>
      <c r="X69" s="580">
        <f t="shared" si="8"/>
        <v>0</v>
      </c>
      <c r="Y69" s="148" t="s">
        <v>589</v>
      </c>
      <c r="Z69" s="148" t="s">
        <v>1011</v>
      </c>
      <c r="AA69" s="148" t="s">
        <v>897</v>
      </c>
      <c r="AB69" s="1273" t="s">
        <v>1017</v>
      </c>
      <c r="AC69" s="1273"/>
      <c r="AD69" s="148" t="s">
        <v>898</v>
      </c>
      <c r="AE69" s="226" t="s">
        <v>1023</v>
      </c>
      <c r="AG69" s="598" t="s">
        <v>1030</v>
      </c>
      <c r="AH69" s="176">
        <f>622*AH68/('Modelo de Radiación Solar'!$BM$11-0.37804*AH68)</f>
        <v>0</v>
      </c>
      <c r="AI69" s="176">
        <f>622*AI68/('Modelo de Radiación Solar'!$BM$11-0.37804*AI68)</f>
        <v>0</v>
      </c>
      <c r="AJ69" s="176">
        <f>622*AJ68/('Modelo de Radiación Solar'!$BM$11-0.37804*AJ68)</f>
        <v>0</v>
      </c>
      <c r="AK69" s="176">
        <f>622*AK68/('Modelo de Radiación Solar'!$BM$11-0.37804*AK68)</f>
        <v>0</v>
      </c>
      <c r="AL69" s="176">
        <f>622*AL68/('Modelo de Radiación Solar'!$BM$11-0.37804*AL68)</f>
        <v>0</v>
      </c>
      <c r="AM69" s="176">
        <f>622*AM68/('Modelo de Radiación Solar'!$BM$11-0.37804*AM68)</f>
        <v>0</v>
      </c>
      <c r="AN69" s="176">
        <f>622*AN68/('Modelo de Radiación Solar'!$BM$11-0.37804*AN68)</f>
        <v>0</v>
      </c>
      <c r="AO69" s="176">
        <f>622*AO68/('Modelo de Radiación Solar'!$BM$11-0.37804*AO68)</f>
        <v>0</v>
      </c>
      <c r="AP69" s="176">
        <f>622*AP68/('Modelo de Radiación Solar'!$BM$11-0.37804*AP68)</f>
        <v>0</v>
      </c>
      <c r="AQ69" s="176">
        <f>622*AQ68/('Modelo de Radiación Solar'!$BM$11-0.37804*AQ68)</f>
        <v>0</v>
      </c>
      <c r="AR69" s="176">
        <f>622*AR68/('Modelo de Radiación Solar'!$BM$11-0.37804*AR68)</f>
        <v>0</v>
      </c>
      <c r="AS69" s="176">
        <f>622*AS68/('Modelo de Radiación Solar'!$BM$11-0.37804*AS68)</f>
        <v>0</v>
      </c>
      <c r="AV69" s="582" t="s">
        <v>1013</v>
      </c>
      <c r="AW69" s="148">
        <f>ENERGÍA!AY73</f>
        <v>0</v>
      </c>
    </row>
    <row r="70" spans="2:49" ht="15" customHeight="1">
      <c r="B70" s="581" t="s">
        <v>631</v>
      </c>
      <c r="C70" s="1342"/>
      <c r="D70" s="1340"/>
      <c r="E70" s="1340"/>
      <c r="F70" s="1340"/>
      <c r="G70" s="1340"/>
      <c r="H70" s="1274" t="str">
        <f t="shared" si="15"/>
        <v>-</v>
      </c>
      <c r="I70" s="1274"/>
      <c r="J70" s="589">
        <f>ENERGÍA!L74</f>
        <v>0</v>
      </c>
      <c r="K70" s="589">
        <f>ENERGÍA!M74</f>
        <v>0</v>
      </c>
      <c r="L70" s="589"/>
      <c r="M70" s="126" t="s">
        <v>1786</v>
      </c>
      <c r="O70" s="176">
        <f>IF(J70=0,0,VLOOKUP(K70,adyacentem,2,FALSE))</f>
        <v>0</v>
      </c>
      <c r="P70" s="590">
        <f t="shared" si="18"/>
        <v>0.9</v>
      </c>
      <c r="Q70" s="176">
        <f t="shared" si="18"/>
        <v>1</v>
      </c>
      <c r="R70" s="590">
        <f>Q70*J70</f>
        <v>0</v>
      </c>
      <c r="S70" s="590">
        <f t="shared" si="16"/>
        <v>0</v>
      </c>
      <c r="T70" s="590">
        <f>Q70</f>
        <v>1</v>
      </c>
      <c r="U70" s="590">
        <f>T70*J70</f>
        <v>0</v>
      </c>
      <c r="V70" s="590">
        <f t="shared" si="17"/>
        <v>0</v>
      </c>
      <c r="W70" s="590">
        <f>IF(K70=BASE!$DA$7,J70,0)</f>
        <v>0</v>
      </c>
      <c r="X70" s="580">
        <f t="shared" si="8"/>
        <v>0</v>
      </c>
      <c r="Y70" s="148">
        <f>C35</f>
        <v>0</v>
      </c>
      <c r="Z70" s="176" t="e">
        <f>O35</f>
        <v>#N/A</v>
      </c>
      <c r="AA70" s="176" t="e">
        <f>'Modelo de Radiación Solar'!O148*'LINEAS BASE 5'!$AW$67</f>
        <v>#N/A</v>
      </c>
      <c r="AB70" s="1274" t="e">
        <f>1-AE103-AB27</f>
        <v>#N/A</v>
      </c>
      <c r="AC70" s="1274"/>
      <c r="AD70" s="176" t="e">
        <f>Z70*AA70</f>
        <v>#N/A</v>
      </c>
      <c r="AE70" s="1282" t="e">
        <f>AD70+AD72+AD74+AD76</f>
        <v>#N/A</v>
      </c>
      <c r="AG70" s="598" t="s">
        <v>1031</v>
      </c>
      <c r="AH70" s="176">
        <f>AH69-'LINEAS BASE 5'!$AW$79</f>
        <v>-9.2098978806022647</v>
      </c>
      <c r="AI70" s="176">
        <f>AI69-'LINEAS BASE 5'!$AW$79</f>
        <v>-9.2098978806022647</v>
      </c>
      <c r="AJ70" s="176">
        <f>AJ69-'LINEAS BASE 5'!$AW$79</f>
        <v>-9.2098978806022647</v>
      </c>
      <c r="AK70" s="176">
        <f>AK69-'LINEAS BASE 5'!$AW$79</f>
        <v>-9.2098978806022647</v>
      </c>
      <c r="AL70" s="176">
        <f>AL69-'LINEAS BASE 5'!$AW$79</f>
        <v>-9.2098978806022647</v>
      </c>
      <c r="AM70" s="176">
        <f>AM69-'LINEAS BASE 5'!$AW$79</f>
        <v>-9.2098978806022647</v>
      </c>
      <c r="AN70" s="176">
        <f>AN69-'LINEAS BASE 5'!$AW$79</f>
        <v>-9.2098978806022647</v>
      </c>
      <c r="AO70" s="176">
        <f>AO69-'LINEAS BASE 5'!$AW$79</f>
        <v>-9.2098978806022647</v>
      </c>
      <c r="AP70" s="176">
        <f>AP69-'LINEAS BASE 5'!$AW$79</f>
        <v>-9.2098978806022647</v>
      </c>
      <c r="AQ70" s="176">
        <f>AQ69-'LINEAS BASE 5'!$AW$79</f>
        <v>-9.2098978806022647</v>
      </c>
      <c r="AR70" s="176">
        <f>AR69-'LINEAS BASE 5'!$AW$79</f>
        <v>-9.2098978806022647</v>
      </c>
      <c r="AS70" s="176">
        <f>AS69-'LINEAS BASE 5'!$AW$79</f>
        <v>-9.2098978806022647</v>
      </c>
      <c r="AV70" s="582" t="s">
        <v>1014</v>
      </c>
      <c r="AW70" s="148">
        <f>ENERGÍA!AY74</f>
        <v>0</v>
      </c>
    </row>
    <row r="71" spans="2:49" ht="6" customHeight="1">
      <c r="L71" s="126"/>
      <c r="O71" s="580"/>
      <c r="P71" s="581"/>
      <c r="Q71" s="597"/>
      <c r="R71" s="597"/>
      <c r="S71" s="597"/>
      <c r="V71" s="126"/>
      <c r="X71" s="580">
        <f t="shared" si="8"/>
        <v>0</v>
      </c>
      <c r="AB71" s="597"/>
      <c r="AC71" s="597"/>
      <c r="AE71" s="1282"/>
      <c r="AG71" s="597"/>
      <c r="AH71" s="597"/>
      <c r="AI71" s="597"/>
      <c r="AJ71" s="597"/>
      <c r="AK71" s="597"/>
      <c r="AL71" s="597"/>
      <c r="AM71" s="597"/>
      <c r="AN71" s="597"/>
      <c r="AO71" s="597"/>
      <c r="AP71" s="597"/>
      <c r="AQ71" s="597"/>
      <c r="AR71" s="597"/>
      <c r="AS71" s="597"/>
    </row>
    <row r="72" spans="2:49" ht="15" customHeight="1">
      <c r="B72" s="1323">
        <f>C37</f>
        <v>0</v>
      </c>
      <c r="C72" s="1323"/>
      <c r="D72" s="1323"/>
      <c r="E72" s="1323"/>
      <c r="F72" s="1323"/>
      <c r="G72" s="1323"/>
      <c r="H72" s="1323"/>
      <c r="I72" s="1323"/>
      <c r="J72" s="1323"/>
      <c r="K72" s="1323"/>
      <c r="L72" s="1323"/>
      <c r="O72" s="1320">
        <f>B72</f>
        <v>0</v>
      </c>
      <c r="P72" s="1321"/>
      <c r="Q72" s="1321"/>
      <c r="R72" s="1321"/>
      <c r="S72" s="1321"/>
      <c r="T72" s="1321"/>
      <c r="U72" s="1321"/>
      <c r="V72" s="1321"/>
      <c r="W72" s="1322"/>
      <c r="X72" s="580">
        <f t="shared" si="8"/>
        <v>0</v>
      </c>
      <c r="Y72" s="148">
        <f>C36</f>
        <v>0</v>
      </c>
      <c r="Z72" s="176" t="e">
        <f>O36</f>
        <v>#N/A</v>
      </c>
      <c r="AA72" s="176" t="e">
        <f>'Modelo de Radiación Solar'!AD148*'LINEAS BASE 5'!$AW$67</f>
        <v>#N/A</v>
      </c>
      <c r="AB72" s="1274" t="e">
        <f>1-AE121-AB27</f>
        <v>#N/A</v>
      </c>
      <c r="AC72" s="1274"/>
      <c r="AD72" s="176" t="e">
        <f>Z72*AA72*AB72</f>
        <v>#N/A</v>
      </c>
      <c r="AE72" s="1282"/>
      <c r="AG72" s="598" t="s">
        <v>1121</v>
      </c>
      <c r="AH72" s="176">
        <v>31</v>
      </c>
      <c r="AI72" s="176">
        <v>28</v>
      </c>
      <c r="AJ72" s="176">
        <v>31</v>
      </c>
      <c r="AK72" s="176">
        <v>30</v>
      </c>
      <c r="AL72" s="176">
        <v>31</v>
      </c>
      <c r="AM72" s="176">
        <v>30</v>
      </c>
      <c r="AN72" s="176">
        <v>31</v>
      </c>
      <c r="AO72" s="176">
        <v>31</v>
      </c>
      <c r="AP72" s="176">
        <v>30</v>
      </c>
      <c r="AQ72" s="176">
        <v>31</v>
      </c>
      <c r="AR72" s="176">
        <v>30</v>
      </c>
      <c r="AS72" s="176">
        <v>31</v>
      </c>
      <c r="AV72" s="582" t="s">
        <v>1015</v>
      </c>
      <c r="AW72" s="176">
        <f>AW60</f>
        <v>24</v>
      </c>
    </row>
    <row r="73" spans="2:49" ht="6" customHeight="1">
      <c r="B73" s="584"/>
      <c r="C73" s="584"/>
      <c r="D73" s="584"/>
      <c r="E73" s="126"/>
      <c r="K73" s="126"/>
      <c r="L73" s="126"/>
      <c r="O73" s="580"/>
      <c r="P73" s="581"/>
      <c r="Q73" s="126"/>
      <c r="R73" s="126"/>
      <c r="V73" s="126"/>
      <c r="X73" s="580">
        <f t="shared" si="8"/>
        <v>0</v>
      </c>
      <c r="Y73" s="584"/>
      <c r="Z73" s="584"/>
      <c r="AB73" s="597"/>
      <c r="AC73" s="597"/>
      <c r="AE73" s="1282"/>
      <c r="AG73" s="597"/>
      <c r="AH73" s="597"/>
      <c r="AI73" s="597"/>
      <c r="AJ73" s="597"/>
      <c r="AK73" s="597"/>
      <c r="AL73" s="597"/>
      <c r="AM73" s="597"/>
      <c r="AN73" s="597"/>
      <c r="AO73" s="597"/>
      <c r="AP73" s="597"/>
      <c r="AQ73" s="597"/>
      <c r="AR73" s="597"/>
      <c r="AS73" s="597"/>
      <c r="AT73" s="173"/>
      <c r="AU73" s="173"/>
    </row>
    <row r="74" spans="2:49" ht="15" customHeight="1">
      <c r="B74" s="1360"/>
      <c r="C74" s="1363" t="s">
        <v>222</v>
      </c>
      <c r="D74" s="1364"/>
      <c r="E74" s="1364"/>
      <c r="F74" s="1364"/>
      <c r="G74" s="1365"/>
      <c r="H74" s="1357" t="s">
        <v>1788</v>
      </c>
      <c r="I74" s="1358"/>
      <c r="J74" s="1360" t="s">
        <v>594</v>
      </c>
      <c r="K74" s="1360" t="s">
        <v>1356</v>
      </c>
      <c r="L74" s="1275" t="s">
        <v>644</v>
      </c>
      <c r="O74" s="1360" t="s">
        <v>1354</v>
      </c>
      <c r="P74" s="1360" t="s">
        <v>729</v>
      </c>
      <c r="Q74" s="1360" t="s">
        <v>849</v>
      </c>
      <c r="R74" s="1360" t="s">
        <v>850</v>
      </c>
      <c r="S74" s="1360" t="s">
        <v>1357</v>
      </c>
      <c r="T74" s="1360" t="s">
        <v>851</v>
      </c>
      <c r="U74" s="1360" t="s">
        <v>891</v>
      </c>
      <c r="V74" s="1360" t="s">
        <v>1359</v>
      </c>
      <c r="W74" s="1360" t="s">
        <v>1358</v>
      </c>
      <c r="X74" s="580">
        <f t="shared" si="8"/>
        <v>1</v>
      </c>
      <c r="Y74" s="148">
        <f>C37</f>
        <v>0</v>
      </c>
      <c r="Z74" s="176" t="e">
        <f>O37</f>
        <v>#N/A</v>
      </c>
      <c r="AA74" s="176" t="e">
        <f>'Modelo de Radiación Solar'!AS148*'LINEAS BASE 5'!$AW$67</f>
        <v>#N/A</v>
      </c>
      <c r="AB74" s="1274" t="e">
        <f>1-AE139-AB27</f>
        <v>#N/A</v>
      </c>
      <c r="AC74" s="1274"/>
      <c r="AD74" s="176" t="e">
        <f>Z74*AA74*AB74</f>
        <v>#N/A</v>
      </c>
      <c r="AE74" s="1282"/>
      <c r="AG74" s="1274" t="s">
        <v>1485</v>
      </c>
      <c r="AH74" s="1274"/>
      <c r="AI74" s="1274"/>
      <c r="AJ74" s="1274"/>
      <c r="AK74" s="1274"/>
      <c r="AL74" s="1274"/>
      <c r="AM74" s="1274"/>
      <c r="AN74" s="1274"/>
      <c r="AO74" s="1274"/>
      <c r="AP74" s="1274"/>
      <c r="AQ74" s="1274"/>
      <c r="AR74" s="1274"/>
      <c r="AS74" s="1274"/>
      <c r="AV74" s="582" t="s">
        <v>1016</v>
      </c>
      <c r="AW74" s="176">
        <f>AW70-AW72</f>
        <v>-24</v>
      </c>
    </row>
    <row r="75" spans="2:49" ht="15" customHeight="1">
      <c r="B75" s="1361"/>
      <c r="C75" s="1366"/>
      <c r="D75" s="1367"/>
      <c r="E75" s="1367"/>
      <c r="F75" s="1367"/>
      <c r="G75" s="1368"/>
      <c r="H75" s="1357" t="s">
        <v>731</v>
      </c>
      <c r="I75" s="1358"/>
      <c r="J75" s="1361"/>
      <c r="K75" s="1361"/>
      <c r="L75" s="1277"/>
      <c r="O75" s="1361"/>
      <c r="P75" s="1361"/>
      <c r="Q75" s="1361"/>
      <c r="R75" s="1361"/>
      <c r="S75" s="1361"/>
      <c r="T75" s="1361"/>
      <c r="U75" s="1361"/>
      <c r="V75" s="1361"/>
      <c r="W75" s="1361"/>
      <c r="X75" s="580">
        <f t="shared" si="8"/>
        <v>0</v>
      </c>
      <c r="Y75" s="148"/>
      <c r="Z75" s="176"/>
      <c r="AA75" s="176"/>
      <c r="AB75" s="176"/>
      <c r="AC75" s="176"/>
      <c r="AD75" s="176"/>
      <c r="AE75" s="1282"/>
      <c r="AG75" s="176"/>
      <c r="AH75" s="176"/>
      <c r="AI75" s="176"/>
      <c r="AJ75" s="176"/>
      <c r="AK75" s="176"/>
      <c r="AL75" s="176"/>
      <c r="AM75" s="176"/>
      <c r="AN75" s="176"/>
      <c r="AO75" s="176"/>
      <c r="AP75" s="176"/>
      <c r="AQ75" s="176"/>
      <c r="AR75" s="176"/>
      <c r="AS75" s="176"/>
    </row>
    <row r="76" spans="2:49" ht="15" customHeight="1">
      <c r="B76" s="581" t="s">
        <v>223</v>
      </c>
      <c r="C76" s="1359"/>
      <c r="D76" s="1359"/>
      <c r="E76" s="1359"/>
      <c r="F76" s="1359"/>
      <c r="G76" s="1359"/>
      <c r="H76" s="1274" t="str">
        <f>IF(J76=0,"-","Nivel B")</f>
        <v>-</v>
      </c>
      <c r="I76" s="1274"/>
      <c r="J76" s="589">
        <f>ENERGÍA!L80</f>
        <v>0</v>
      </c>
      <c r="K76" s="589">
        <f>ENERGÍA!M80</f>
        <v>0</v>
      </c>
      <c r="L76" s="589"/>
      <c r="O76" s="176">
        <f>IF(J76=0,0,VLOOKUP(K76,adyacentem,2,FALSE))</f>
        <v>0</v>
      </c>
      <c r="P76" s="590">
        <f>P70</f>
        <v>0.9</v>
      </c>
      <c r="Q76" s="176">
        <f>'Materiales Personalizados'!$AV$38</f>
        <v>1</v>
      </c>
      <c r="R76" s="590">
        <f>Q76*J76</f>
        <v>0</v>
      </c>
      <c r="S76" s="590">
        <f>IF(J76=0,0,(O76*R76))</f>
        <v>0</v>
      </c>
      <c r="T76" s="590">
        <f>Q76</f>
        <v>1</v>
      </c>
      <c r="U76" s="590">
        <f>T76*J76</f>
        <v>0</v>
      </c>
      <c r="V76" s="590">
        <f>IF(J76=0,0,(O76*U76))</f>
        <v>0</v>
      </c>
      <c r="W76" s="590">
        <f>IF(K76=BASE!$DA$7,J76,0)</f>
        <v>0</v>
      </c>
      <c r="X76" s="580">
        <f t="shared" si="8"/>
        <v>0</v>
      </c>
      <c r="Y76" s="148">
        <f>C38</f>
        <v>0</v>
      </c>
      <c r="Z76" s="176" t="e">
        <f>O38</f>
        <v>#N/A</v>
      </c>
      <c r="AA76" s="176" t="e">
        <f>'Modelo de Radiación Solar'!BH148*'LINEAS BASE 5'!$AW$67</f>
        <v>#N/A</v>
      </c>
      <c r="AB76" s="1274" t="e">
        <f>1-AE157-AB27</f>
        <v>#N/A</v>
      </c>
      <c r="AC76" s="1274"/>
      <c r="AD76" s="176" t="e">
        <f>Z76*AA76*AB76</f>
        <v>#N/A</v>
      </c>
      <c r="AE76" s="1282"/>
      <c r="AG76" s="598">
        <f>'LINEAS BASE 5'!C35</f>
        <v>0</v>
      </c>
      <c r="AH76" s="176" t="e">
        <f>'Modelo de Radiación Solar'!D160*'LINEAS BASE 5'!$Z$70*'LINEAS BASE 5'!$AB$70</f>
        <v>#N/A</v>
      </c>
      <c r="AI76" s="176" t="e">
        <f>'Modelo de Radiación Solar'!E160*'LINEAS BASE 5'!$Z$70*'LINEAS BASE 5'!$AB$70</f>
        <v>#N/A</v>
      </c>
      <c r="AJ76" s="176" t="e">
        <f>'Modelo de Radiación Solar'!F160*'LINEAS BASE 5'!$Z$70*'LINEAS BASE 5'!$AB$70</f>
        <v>#N/A</v>
      </c>
      <c r="AK76" s="176" t="e">
        <f>'Modelo de Radiación Solar'!G160*'LINEAS BASE 5'!$Z$70*'LINEAS BASE 5'!$AB$70</f>
        <v>#N/A</v>
      </c>
      <c r="AL76" s="176" t="e">
        <f>'Modelo de Radiación Solar'!H160*'LINEAS BASE 5'!$Z$70*'LINEAS BASE 5'!$AB$70</f>
        <v>#N/A</v>
      </c>
      <c r="AM76" s="176" t="e">
        <f>'Modelo de Radiación Solar'!I160*'LINEAS BASE 5'!$Z$70*'LINEAS BASE 5'!$AB$70</f>
        <v>#N/A</v>
      </c>
      <c r="AN76" s="176" t="e">
        <f>'Modelo de Radiación Solar'!J160*'LINEAS BASE 5'!$Z$70*'LINEAS BASE 5'!$AB$70</f>
        <v>#N/A</v>
      </c>
      <c r="AO76" s="176" t="e">
        <f>'Modelo de Radiación Solar'!K160*'LINEAS BASE 5'!$Z$70*'LINEAS BASE 5'!$AB$70</f>
        <v>#N/A</v>
      </c>
      <c r="AP76" s="176" t="e">
        <f>'Modelo de Radiación Solar'!L160*'LINEAS BASE 5'!$Z$70*'LINEAS BASE 5'!$AB$70</f>
        <v>#N/A</v>
      </c>
      <c r="AQ76" s="176" t="e">
        <f>'Modelo de Radiación Solar'!M160*'LINEAS BASE 5'!$Z$70*'LINEAS BASE 5'!$AB$70</f>
        <v>#N/A</v>
      </c>
      <c r="AR76" s="176" t="e">
        <f>'Modelo de Radiación Solar'!N160*'LINEAS BASE 5'!$Z$70*'LINEAS BASE 5'!$AB$70</f>
        <v>#N/A</v>
      </c>
      <c r="AS76" s="176" t="e">
        <f>'Modelo de Radiación Solar'!O160*'LINEAS BASE 5'!$Z$70*'LINEAS BASE 5'!$AB$70</f>
        <v>#N/A</v>
      </c>
    </row>
    <row r="77" spans="2:49" ht="15" customHeight="1">
      <c r="B77" s="581" t="s">
        <v>224</v>
      </c>
      <c r="C77" s="1359"/>
      <c r="D77" s="1359"/>
      <c r="E77" s="1359"/>
      <c r="F77" s="1359"/>
      <c r="G77" s="1359"/>
      <c r="H77" s="1274" t="str">
        <f t="shared" ref="H77:H80" si="20">IF(J77=0,"-","Nivel B")</f>
        <v>-</v>
      </c>
      <c r="I77" s="1274"/>
      <c r="J77" s="589">
        <f>ENERGÍA!L81</f>
        <v>0</v>
      </c>
      <c r="K77" s="589">
        <f>ENERGÍA!M81</f>
        <v>0</v>
      </c>
      <c r="L77" s="589"/>
      <c r="O77" s="176">
        <f>IF(J77=0,0,VLOOKUP(K77,adyacentem,2,FALSE))</f>
        <v>0</v>
      </c>
      <c r="P77" s="590">
        <f>P76</f>
        <v>0.9</v>
      </c>
      <c r="Q77" s="176">
        <f>Q76</f>
        <v>1</v>
      </c>
      <c r="R77" s="590">
        <f>Q77*J77</f>
        <v>0</v>
      </c>
      <c r="S77" s="590">
        <f t="shared" ref="S77:S80" si="21">IF(J77=0,0,(O77*R77))</f>
        <v>0</v>
      </c>
      <c r="T77" s="590">
        <f>Q77</f>
        <v>1</v>
      </c>
      <c r="U77" s="590">
        <f>T77*J77</f>
        <v>0</v>
      </c>
      <c r="V77" s="590">
        <f t="shared" ref="V77:V80" si="22">IF(J77=0,0,(O77*U77))</f>
        <v>0</v>
      </c>
      <c r="W77" s="590">
        <f>IF(K77=BASE!$DA$7,J77,0)</f>
        <v>0</v>
      </c>
      <c r="X77" s="580">
        <f t="shared" si="8"/>
        <v>0</v>
      </c>
      <c r="AG77" s="598">
        <f>'LINEAS BASE 5'!C36</f>
        <v>0</v>
      </c>
      <c r="AH77" s="176" t="e">
        <f>'Modelo de Radiación Solar'!S160*'LINEAS BASE 5'!$Z$72*'LINEAS BASE 5'!$AB$72</f>
        <v>#N/A</v>
      </c>
      <c r="AI77" s="176" t="e">
        <f>'Modelo de Radiación Solar'!T160*'LINEAS BASE 5'!$Z$72*'LINEAS BASE 5'!$AB$72</f>
        <v>#N/A</v>
      </c>
      <c r="AJ77" s="176" t="e">
        <f>'Modelo de Radiación Solar'!U160*'LINEAS BASE 5'!$Z$72*'LINEAS BASE 5'!$AB$72</f>
        <v>#N/A</v>
      </c>
      <c r="AK77" s="176" t="e">
        <f>'Modelo de Radiación Solar'!V160*'LINEAS BASE 5'!$Z$72*'LINEAS BASE 5'!$AB$72</f>
        <v>#N/A</v>
      </c>
      <c r="AL77" s="176" t="e">
        <f>'Modelo de Radiación Solar'!W160*'LINEAS BASE 5'!$Z$72*'LINEAS BASE 5'!$AB$72</f>
        <v>#N/A</v>
      </c>
      <c r="AM77" s="176" t="e">
        <f>'Modelo de Radiación Solar'!X160*'LINEAS BASE 5'!$Z$72*'LINEAS BASE 5'!$AB$72</f>
        <v>#N/A</v>
      </c>
      <c r="AN77" s="176" t="e">
        <f>'Modelo de Radiación Solar'!Y160*'LINEAS BASE 5'!$Z$72*'LINEAS BASE 5'!$AB$72</f>
        <v>#N/A</v>
      </c>
      <c r="AO77" s="176" t="e">
        <f>'Modelo de Radiación Solar'!Z160*'LINEAS BASE 5'!$Z$72*'LINEAS BASE 5'!$AB$72</f>
        <v>#N/A</v>
      </c>
      <c r="AP77" s="176" t="e">
        <f>'Modelo de Radiación Solar'!AA160*'LINEAS BASE 5'!$Z$72*'LINEAS BASE 5'!$AB$72</f>
        <v>#N/A</v>
      </c>
      <c r="AQ77" s="176" t="e">
        <f>'Modelo de Radiación Solar'!AB160*'LINEAS BASE 5'!$Z$72*'LINEAS BASE 5'!$AB$72</f>
        <v>#N/A</v>
      </c>
      <c r="AR77" s="176" t="e">
        <f>'Modelo de Radiación Solar'!AC160*'LINEAS BASE 5'!$Z$72*'LINEAS BASE 5'!$AB$72</f>
        <v>#N/A</v>
      </c>
      <c r="AS77" s="176" t="e">
        <f>'Modelo de Radiación Solar'!AD160*'LINEAS BASE 5'!$Z$72*'LINEAS BASE 5'!$AB$72</f>
        <v>#N/A</v>
      </c>
      <c r="AV77" s="582" t="s">
        <v>1019</v>
      </c>
      <c r="AW77" s="148">
        <f>ENERGÍA!AY81</f>
        <v>0</v>
      </c>
    </row>
    <row r="78" spans="2:49" ht="15" customHeight="1">
      <c r="B78" s="581" t="s">
        <v>1516</v>
      </c>
      <c r="C78" s="1342"/>
      <c r="D78" s="1340"/>
      <c r="E78" s="1340"/>
      <c r="F78" s="1340"/>
      <c r="G78" s="1340"/>
      <c r="H78" s="1274" t="str">
        <f t="shared" si="20"/>
        <v>-</v>
      </c>
      <c r="I78" s="1274"/>
      <c r="J78" s="589">
        <f>ENERGÍA!L82</f>
        <v>0</v>
      </c>
      <c r="K78" s="589">
        <f>ENERGÍA!M82</f>
        <v>0</v>
      </c>
      <c r="L78" s="589"/>
      <c r="O78" s="176">
        <f>IF(J78=0,0,VLOOKUP(K78,adyacentem,2,FALSE))</f>
        <v>0</v>
      </c>
      <c r="P78" s="590">
        <f t="shared" ref="P78:Q80" si="23">P77</f>
        <v>0.9</v>
      </c>
      <c r="Q78" s="176">
        <f t="shared" si="23"/>
        <v>1</v>
      </c>
      <c r="R78" s="590">
        <f>Q78*J78</f>
        <v>0</v>
      </c>
      <c r="S78" s="590">
        <f t="shared" si="21"/>
        <v>0</v>
      </c>
      <c r="T78" s="590">
        <f>Q78</f>
        <v>1</v>
      </c>
      <c r="U78" s="590">
        <f>T78*J78</f>
        <v>0</v>
      </c>
      <c r="V78" s="590">
        <f t="shared" si="22"/>
        <v>0</v>
      </c>
      <c r="W78" s="590">
        <f>IF(K78=BASE!$DA$7,J78,0)</f>
        <v>0</v>
      </c>
      <c r="X78" s="580">
        <f t="shared" si="8"/>
        <v>0</v>
      </c>
      <c r="Y78" s="1350" t="s">
        <v>1001</v>
      </c>
      <c r="Z78" s="1350"/>
      <c r="AA78" s="1350"/>
      <c r="AB78" s="1350"/>
      <c r="AC78" s="1350"/>
      <c r="AD78" s="588" t="s">
        <v>999</v>
      </c>
      <c r="AE78" s="175">
        <f>AE92+AE82+Z60</f>
        <v>118</v>
      </c>
      <c r="AG78" s="598">
        <f>'LINEAS BASE 5'!C37</f>
        <v>0</v>
      </c>
      <c r="AH78" s="176" t="e">
        <f>'Modelo de Radiación Solar'!AH160*'LINEAS BASE 5'!$Z$74*'LINEAS BASE 5'!$AB$74</f>
        <v>#N/A</v>
      </c>
      <c r="AI78" s="176" t="e">
        <f>'Modelo de Radiación Solar'!AI160*'LINEAS BASE 5'!$Z$74*'LINEAS BASE 5'!$AB$74</f>
        <v>#N/A</v>
      </c>
      <c r="AJ78" s="176" t="e">
        <f>'Modelo de Radiación Solar'!AJ160*'LINEAS BASE 5'!$Z$74*'LINEAS BASE 5'!$AB$74</f>
        <v>#N/A</v>
      </c>
      <c r="AK78" s="176" t="e">
        <f>'Modelo de Radiación Solar'!AK160*'LINEAS BASE 5'!$Z$74*'LINEAS BASE 5'!$AB$74</f>
        <v>#N/A</v>
      </c>
      <c r="AL78" s="176" t="e">
        <f>'Modelo de Radiación Solar'!AL160*'LINEAS BASE 5'!$Z$74*'LINEAS BASE 5'!$AB$74</f>
        <v>#N/A</v>
      </c>
      <c r="AM78" s="176" t="e">
        <f>'Modelo de Radiación Solar'!AM160*'LINEAS BASE 5'!$Z$74*'LINEAS BASE 5'!$AB$74</f>
        <v>#N/A</v>
      </c>
      <c r="AN78" s="176" t="e">
        <f>'Modelo de Radiación Solar'!AN160*'LINEAS BASE 5'!$Z$74*'LINEAS BASE 5'!$AB$74</f>
        <v>#N/A</v>
      </c>
      <c r="AO78" s="176" t="e">
        <f>'Modelo de Radiación Solar'!AO160*'LINEAS BASE 5'!$Z$74*'LINEAS BASE 5'!$AB$74</f>
        <v>#N/A</v>
      </c>
      <c r="AP78" s="176" t="e">
        <f>'Modelo de Radiación Solar'!AP160*'LINEAS BASE 5'!$Z$74*'LINEAS BASE 5'!$AB$74</f>
        <v>#N/A</v>
      </c>
      <c r="AQ78" s="176" t="e">
        <f>'Modelo de Radiación Solar'!AQ160*'LINEAS BASE 5'!$Z$74*'LINEAS BASE 5'!$AB$74</f>
        <v>#N/A</v>
      </c>
      <c r="AR78" s="176" t="e">
        <f>'Modelo de Radiación Solar'!AR160*'LINEAS BASE 5'!$Z$74*'LINEAS BASE 5'!$AB$74</f>
        <v>#N/A</v>
      </c>
      <c r="AS78" s="176" t="e">
        <f>'Modelo de Radiación Solar'!AS160*'LINEAS BASE 5'!$Z$74*'LINEAS BASE 5'!$AB$74</f>
        <v>#N/A</v>
      </c>
      <c r="AV78" s="582" t="s">
        <v>1021</v>
      </c>
      <c r="AW78" s="176">
        <f>'Modelo de Radiación Solar'!BU16</f>
        <v>0</v>
      </c>
    </row>
    <row r="79" spans="2:49" ht="15" customHeight="1">
      <c r="B79" s="581" t="s">
        <v>632</v>
      </c>
      <c r="C79" s="1342"/>
      <c r="D79" s="1340"/>
      <c r="E79" s="1340"/>
      <c r="F79" s="1340"/>
      <c r="G79" s="1340"/>
      <c r="H79" s="1274" t="str">
        <f t="shared" si="20"/>
        <v>-</v>
      </c>
      <c r="I79" s="1274"/>
      <c r="J79" s="589">
        <f>ENERGÍA!L83</f>
        <v>0</v>
      </c>
      <c r="K79" s="589">
        <f>ENERGÍA!M83</f>
        <v>0</v>
      </c>
      <c r="L79" s="589"/>
      <c r="O79" s="176">
        <f>IF(J79=0,0,VLOOKUP(K79,adyacentem,2,FALSE))</f>
        <v>0</v>
      </c>
      <c r="P79" s="590">
        <f t="shared" si="23"/>
        <v>0.9</v>
      </c>
      <c r="Q79" s="176">
        <f t="shared" si="23"/>
        <v>1</v>
      </c>
      <c r="R79" s="590">
        <f>Q79*J79</f>
        <v>0</v>
      </c>
      <c r="S79" s="590">
        <f t="shared" si="21"/>
        <v>0</v>
      </c>
      <c r="T79" s="590">
        <f>Q79</f>
        <v>1</v>
      </c>
      <c r="U79" s="590">
        <f>T79*J79</f>
        <v>0</v>
      </c>
      <c r="V79" s="590">
        <f t="shared" si="22"/>
        <v>0</v>
      </c>
      <c r="W79" s="590">
        <f>IF(K79=BASE!$DA$7,J79,0)</f>
        <v>0</v>
      </c>
      <c r="X79" s="580">
        <f t="shared" si="8"/>
        <v>0</v>
      </c>
      <c r="Y79" s="1350" t="s">
        <v>994</v>
      </c>
      <c r="Z79" s="1350"/>
      <c r="AA79" s="1350"/>
      <c r="AB79" s="1350"/>
      <c r="AC79" s="1350"/>
      <c r="AD79" s="1350"/>
      <c r="AE79" s="1350"/>
      <c r="AG79" s="598">
        <f>'LINEAS BASE 5'!C38</f>
        <v>0</v>
      </c>
      <c r="AH79" s="176" t="e">
        <f>'Modelo de Radiación Solar'!AW160*'LINEAS BASE 5'!$Z$76*'LINEAS BASE 5'!$AB$76</f>
        <v>#N/A</v>
      </c>
      <c r="AI79" s="176" t="e">
        <f>'Modelo de Radiación Solar'!AX160*'LINEAS BASE 5'!$Z$76*'LINEAS BASE 5'!$AB$76</f>
        <v>#N/A</v>
      </c>
      <c r="AJ79" s="176" t="e">
        <f>'Modelo de Radiación Solar'!AY160*'LINEAS BASE 5'!$Z$76*'LINEAS BASE 5'!$AB$76</f>
        <v>#N/A</v>
      </c>
      <c r="AK79" s="176" t="e">
        <f>'Modelo de Radiación Solar'!AZ160*'LINEAS BASE 5'!$Z$76*'LINEAS BASE 5'!$AB$76</f>
        <v>#N/A</v>
      </c>
      <c r="AL79" s="176" t="e">
        <f>'Modelo de Radiación Solar'!BA160*'LINEAS BASE 5'!$Z$76*'LINEAS BASE 5'!$AB$76</f>
        <v>#N/A</v>
      </c>
      <c r="AM79" s="176" t="e">
        <f>'Modelo de Radiación Solar'!BB160*'LINEAS BASE 5'!$Z$76*'LINEAS BASE 5'!$AB$76</f>
        <v>#N/A</v>
      </c>
      <c r="AN79" s="176" t="e">
        <f>'Modelo de Radiación Solar'!BC160*'LINEAS BASE 5'!$Z$76*'LINEAS BASE 5'!$AB$76</f>
        <v>#N/A</v>
      </c>
      <c r="AO79" s="176" t="e">
        <f>'Modelo de Radiación Solar'!BD160*'LINEAS BASE 5'!$Z$76*'LINEAS BASE 5'!$AB$76</f>
        <v>#N/A</v>
      </c>
      <c r="AP79" s="176" t="e">
        <f>'Modelo de Radiación Solar'!BE160*'LINEAS BASE 5'!$Z$76*'LINEAS BASE 5'!$AB$76</f>
        <v>#N/A</v>
      </c>
      <c r="AQ79" s="176" t="e">
        <f>'Modelo de Radiación Solar'!BF160*'LINEAS BASE 5'!$Z$76*'LINEAS BASE 5'!$AB$76</f>
        <v>#N/A</v>
      </c>
      <c r="AR79" s="176" t="e">
        <f>'Modelo de Radiación Solar'!BG160*'LINEAS BASE 5'!$Z$76*'LINEAS BASE 5'!$AB$76</f>
        <v>#N/A</v>
      </c>
      <c r="AS79" s="176" t="e">
        <f>'Modelo de Radiación Solar'!BH160*'LINEAS BASE 5'!$Z$76*'LINEAS BASE 5'!$AB$76</f>
        <v>#N/A</v>
      </c>
      <c r="AV79" s="582" t="s">
        <v>1022</v>
      </c>
      <c r="AW79" s="176">
        <f>'Modelo de Radiación Solar'!BU13</f>
        <v>9.2098978806022647</v>
      </c>
    </row>
    <row r="80" spans="2:49" ht="15" customHeight="1">
      <c r="B80" s="581" t="s">
        <v>631</v>
      </c>
      <c r="C80" s="1342"/>
      <c r="D80" s="1340"/>
      <c r="E80" s="1340"/>
      <c r="F80" s="1340"/>
      <c r="G80" s="1340"/>
      <c r="H80" s="1274" t="str">
        <f t="shared" si="20"/>
        <v>-</v>
      </c>
      <c r="I80" s="1274"/>
      <c r="J80" s="589">
        <f>ENERGÍA!L84</f>
        <v>0</v>
      </c>
      <c r="K80" s="589">
        <f>ENERGÍA!M84</f>
        <v>0</v>
      </c>
      <c r="L80" s="589"/>
      <c r="O80" s="176">
        <f>IF(J80=0,0,VLOOKUP(K80,adyacentem,2,FALSE))</f>
        <v>0</v>
      </c>
      <c r="P80" s="590">
        <f t="shared" si="23"/>
        <v>0.9</v>
      </c>
      <c r="Q80" s="176">
        <f t="shared" si="23"/>
        <v>1</v>
      </c>
      <c r="R80" s="590">
        <f>Q80*J80</f>
        <v>0</v>
      </c>
      <c r="S80" s="590">
        <f t="shared" si="21"/>
        <v>0</v>
      </c>
      <c r="T80" s="590">
        <f>Q80</f>
        <v>1</v>
      </c>
      <c r="U80" s="590">
        <f>T80*J80</f>
        <v>0</v>
      </c>
      <c r="V80" s="590">
        <f t="shared" si="22"/>
        <v>0</v>
      </c>
      <c r="W80" s="590">
        <f>IF(K80=BASE!$DA$7,J80,0)</f>
        <v>0</v>
      </c>
      <c r="X80" s="580">
        <f t="shared" si="8"/>
        <v>0</v>
      </c>
      <c r="Y80" s="148"/>
      <c r="Z80" s="148" t="s">
        <v>995</v>
      </c>
      <c r="AA80" s="148" t="s">
        <v>996</v>
      </c>
      <c r="AB80" s="148" t="s">
        <v>997</v>
      </c>
      <c r="AC80" s="148" t="s">
        <v>998</v>
      </c>
      <c r="AD80" s="148" t="s">
        <v>898</v>
      </c>
      <c r="AE80" s="591" t="s">
        <v>1023</v>
      </c>
      <c r="AG80" s="600" t="s">
        <v>1032</v>
      </c>
      <c r="AH80" s="176" t="e">
        <f t="shared" ref="AH80:AS80" si="24">SUM(AH76:AH79)*$AW$67</f>
        <v>#N/A</v>
      </c>
      <c r="AI80" s="176" t="e">
        <f t="shared" si="24"/>
        <v>#N/A</v>
      </c>
      <c r="AJ80" s="176" t="e">
        <f t="shared" si="24"/>
        <v>#N/A</v>
      </c>
      <c r="AK80" s="176" t="e">
        <f t="shared" si="24"/>
        <v>#N/A</v>
      </c>
      <c r="AL80" s="176" t="e">
        <f t="shared" si="24"/>
        <v>#N/A</v>
      </c>
      <c r="AM80" s="176" t="e">
        <f t="shared" si="24"/>
        <v>#N/A</v>
      </c>
      <c r="AN80" s="176" t="e">
        <f t="shared" si="24"/>
        <v>#N/A</v>
      </c>
      <c r="AO80" s="176" t="e">
        <f t="shared" si="24"/>
        <v>#N/A</v>
      </c>
      <c r="AP80" s="176" t="e">
        <f t="shared" si="24"/>
        <v>#N/A</v>
      </c>
      <c r="AQ80" s="176" t="e">
        <f t="shared" si="24"/>
        <v>#N/A</v>
      </c>
      <c r="AR80" s="176" t="e">
        <f t="shared" si="24"/>
        <v>#N/A</v>
      </c>
      <c r="AS80" s="176" t="e">
        <f t="shared" si="24"/>
        <v>#N/A</v>
      </c>
      <c r="AV80" s="582" t="s">
        <v>1020</v>
      </c>
      <c r="AW80" s="176">
        <f>AW78-AW79</f>
        <v>-9.2098978806022647</v>
      </c>
    </row>
    <row r="81" spans="2:49" ht="6" customHeight="1">
      <c r="L81" s="126"/>
      <c r="O81" s="580"/>
      <c r="P81" s="581"/>
      <c r="Q81" s="597"/>
      <c r="R81" s="597"/>
      <c r="S81" s="597"/>
      <c r="V81" s="126"/>
      <c r="X81" s="580">
        <f t="shared" si="8"/>
        <v>0</v>
      </c>
      <c r="AG81" s="597"/>
      <c r="AH81" s="597"/>
      <c r="AI81" s="597"/>
      <c r="AJ81" s="597"/>
      <c r="AK81" s="597"/>
      <c r="AL81" s="597"/>
      <c r="AM81" s="597"/>
      <c r="AN81" s="597"/>
      <c r="AO81" s="597"/>
      <c r="AP81" s="597"/>
      <c r="AQ81" s="597"/>
      <c r="AR81" s="597"/>
      <c r="AS81" s="597"/>
    </row>
    <row r="82" spans="2:49" ht="15" customHeight="1">
      <c r="B82" s="1323">
        <f>C38</f>
        <v>0</v>
      </c>
      <c r="C82" s="1323"/>
      <c r="D82" s="1323"/>
      <c r="E82" s="1323"/>
      <c r="F82" s="1323"/>
      <c r="G82" s="1323"/>
      <c r="H82" s="1323"/>
      <c r="I82" s="1323"/>
      <c r="J82" s="1323"/>
      <c r="K82" s="1323"/>
      <c r="L82" s="1323"/>
      <c r="O82" s="1320">
        <f>B82</f>
        <v>0</v>
      </c>
      <c r="P82" s="1321"/>
      <c r="Q82" s="1321"/>
      <c r="R82" s="1321"/>
      <c r="S82" s="1321"/>
      <c r="T82" s="1321"/>
      <c r="U82" s="1321"/>
      <c r="V82" s="1321"/>
      <c r="W82" s="1322"/>
      <c r="X82" s="580">
        <f t="shared" si="8"/>
        <v>0</v>
      </c>
      <c r="Y82" s="148" t="s">
        <v>618</v>
      </c>
      <c r="Z82" s="148">
        <f>Z52</f>
        <v>0</v>
      </c>
      <c r="AA82" s="148">
        <f>ENERGÍA!AB86</f>
        <v>450</v>
      </c>
      <c r="AB82" s="148">
        <f>AB52</f>
        <v>25</v>
      </c>
      <c r="AC82" s="148">
        <f>AA82*AB82/100</f>
        <v>112.5</v>
      </c>
      <c r="AD82" s="148">
        <f>AC82*Z82</f>
        <v>0</v>
      </c>
      <c r="AE82" s="1282">
        <f>SUM(AD82:AD87)</f>
        <v>118</v>
      </c>
      <c r="AG82" s="1362" t="s">
        <v>1650</v>
      </c>
      <c r="AH82" s="1362"/>
      <c r="AI82" s="1362"/>
      <c r="AJ82" s="1362"/>
      <c r="AK82" s="1362"/>
      <c r="AL82" s="1362"/>
      <c r="AM82" s="1362"/>
      <c r="AN82" s="1362"/>
      <c r="AO82" s="1362"/>
      <c r="AP82" s="1362"/>
      <c r="AQ82" s="1362"/>
      <c r="AR82" s="1362"/>
      <c r="AS82" s="1362"/>
    </row>
    <row r="83" spans="2:49" ht="6" customHeight="1">
      <c r="B83" s="584"/>
      <c r="C83" s="584"/>
      <c r="D83" s="584"/>
      <c r="E83" s="126"/>
      <c r="K83" s="126"/>
      <c r="L83" s="126"/>
      <c r="O83" s="580"/>
      <c r="P83" s="581"/>
      <c r="Q83" s="126"/>
      <c r="R83" s="126"/>
      <c r="V83" s="126"/>
      <c r="X83" s="580">
        <f t="shared" si="8"/>
        <v>0</v>
      </c>
      <c r="AE83" s="1282"/>
    </row>
    <row r="84" spans="2:49" ht="15" customHeight="1">
      <c r="B84" s="1360"/>
      <c r="C84" s="1363" t="s">
        <v>222</v>
      </c>
      <c r="D84" s="1364"/>
      <c r="E84" s="1364"/>
      <c r="F84" s="1364"/>
      <c r="G84" s="1365"/>
      <c r="H84" s="1357" t="s">
        <v>1788</v>
      </c>
      <c r="I84" s="1358"/>
      <c r="J84" s="1360" t="s">
        <v>594</v>
      </c>
      <c r="K84" s="1360" t="s">
        <v>1356</v>
      </c>
      <c r="L84" s="1275" t="s">
        <v>644</v>
      </c>
      <c r="O84" s="1360" t="s">
        <v>1354</v>
      </c>
      <c r="P84" s="1360" t="s">
        <v>729</v>
      </c>
      <c r="Q84" s="1360" t="s">
        <v>849</v>
      </c>
      <c r="R84" s="1360" t="s">
        <v>850</v>
      </c>
      <c r="S84" s="1360" t="s">
        <v>1357</v>
      </c>
      <c r="T84" s="1360" t="s">
        <v>851</v>
      </c>
      <c r="U84" s="1360" t="s">
        <v>891</v>
      </c>
      <c r="V84" s="1360" t="s">
        <v>1359</v>
      </c>
      <c r="W84" s="1360" t="s">
        <v>1358</v>
      </c>
      <c r="X84" s="580">
        <f t="shared" si="8"/>
        <v>1</v>
      </c>
      <c r="Y84" s="148" t="s">
        <v>572</v>
      </c>
      <c r="Z84" s="148">
        <f>Z54</f>
        <v>1</v>
      </c>
      <c r="AA84" s="148">
        <f>ENERGÍA!AB88</f>
        <v>472</v>
      </c>
      <c r="AB84" s="148">
        <f>AB54</f>
        <v>25</v>
      </c>
      <c r="AC84" s="148">
        <f>AA84*AB84/100</f>
        <v>118</v>
      </c>
      <c r="AD84" s="148">
        <f>AC84*Z84</f>
        <v>118</v>
      </c>
      <c r="AE84" s="1282"/>
      <c r="AG84" s="1339" t="s">
        <v>1521</v>
      </c>
      <c r="AH84" s="1339"/>
      <c r="AI84" s="1339"/>
      <c r="AJ84" s="1339"/>
      <c r="AK84" s="1339"/>
      <c r="AL84" s="1339"/>
      <c r="AM84" s="1339"/>
      <c r="AN84" s="1339"/>
      <c r="AO84" s="1339"/>
      <c r="AP84" s="1339"/>
      <c r="AQ84" s="1339"/>
      <c r="AR84" s="1339"/>
      <c r="AS84" s="1339"/>
      <c r="AV84" s="1351" t="s">
        <v>1024</v>
      </c>
      <c r="AW84" s="1352"/>
    </row>
    <row r="85" spans="2:49" ht="15" customHeight="1">
      <c r="B85" s="1361"/>
      <c r="C85" s="1366"/>
      <c r="D85" s="1367"/>
      <c r="E85" s="1367"/>
      <c r="F85" s="1367"/>
      <c r="G85" s="1368"/>
      <c r="H85" s="1357" t="s">
        <v>731</v>
      </c>
      <c r="I85" s="1358"/>
      <c r="J85" s="1361"/>
      <c r="K85" s="1361"/>
      <c r="L85" s="1277"/>
      <c r="O85" s="1361"/>
      <c r="P85" s="1361"/>
      <c r="Q85" s="1361"/>
      <c r="R85" s="1361"/>
      <c r="S85" s="1361"/>
      <c r="T85" s="1361"/>
      <c r="U85" s="1361"/>
      <c r="V85" s="1361"/>
      <c r="W85" s="1361"/>
      <c r="X85" s="580">
        <f t="shared" si="8"/>
        <v>0</v>
      </c>
      <c r="Y85" s="148"/>
      <c r="Z85" s="148"/>
      <c r="AA85" s="148"/>
      <c r="AB85" s="148"/>
      <c r="AC85" s="148"/>
      <c r="AD85" s="148"/>
      <c r="AE85" s="1282"/>
      <c r="AG85" s="601"/>
      <c r="AH85" s="601"/>
      <c r="AI85" s="601"/>
      <c r="AJ85" s="601"/>
      <c r="AK85" s="601"/>
      <c r="AL85" s="601"/>
      <c r="AM85" s="601"/>
      <c r="AN85" s="601"/>
      <c r="AO85" s="601"/>
      <c r="AP85" s="601"/>
      <c r="AQ85" s="601"/>
      <c r="AR85" s="601"/>
      <c r="AS85" s="601"/>
      <c r="AV85" s="1353"/>
      <c r="AW85" s="1354"/>
    </row>
    <row r="86" spans="2:49" ht="15" customHeight="1">
      <c r="B86" s="581" t="s">
        <v>223</v>
      </c>
      <c r="C86" s="1359"/>
      <c r="D86" s="1359"/>
      <c r="E86" s="1359"/>
      <c r="F86" s="1359"/>
      <c r="G86" s="1359"/>
      <c r="H86" s="1274" t="str">
        <f>IF(J86=0,"-","Nivel B")</f>
        <v>-</v>
      </c>
      <c r="I86" s="1274"/>
      <c r="J86" s="589">
        <f>ENERGÍA!L90</f>
        <v>0</v>
      </c>
      <c r="K86" s="589">
        <f>ENERGÍA!M90</f>
        <v>0</v>
      </c>
      <c r="L86" s="589"/>
      <c r="O86" s="176">
        <f>IF(J86=0,0,VLOOKUP(K86,adyacentem,2,FALSE))</f>
        <v>0</v>
      </c>
      <c r="P86" s="590">
        <f>P80</f>
        <v>0.9</v>
      </c>
      <c r="Q86" s="176">
        <f>'Materiales Personalizados'!$AV$38</f>
        <v>1</v>
      </c>
      <c r="R86" s="590">
        <f>Q86*J86</f>
        <v>0</v>
      </c>
      <c r="S86" s="590">
        <f>IF(J86=0,0,(O86*R86))</f>
        <v>0</v>
      </c>
      <c r="T86" s="590">
        <f>Q86</f>
        <v>1</v>
      </c>
      <c r="U86" s="590">
        <f>T86*J86</f>
        <v>0</v>
      </c>
      <c r="V86" s="590">
        <f>IF(J86=0,0,(O86*U86))</f>
        <v>0</v>
      </c>
      <c r="W86" s="590">
        <f>IF(K86=BASE!$DA$7,J86,0)</f>
        <v>0</v>
      </c>
      <c r="X86" s="580">
        <f t="shared" si="8"/>
        <v>0</v>
      </c>
      <c r="Y86" s="148" t="s">
        <v>620</v>
      </c>
      <c r="Z86" s="148">
        <f>Z56</f>
        <v>1</v>
      </c>
      <c r="AA86" s="148">
        <f>ENERGÍA!AB90</f>
        <v>0</v>
      </c>
      <c r="AB86" s="148">
        <f>AB56</f>
        <v>15</v>
      </c>
      <c r="AC86" s="148">
        <f>AA86*AB86/100</f>
        <v>0</v>
      </c>
      <c r="AD86" s="148">
        <f>AC86*Z86</f>
        <v>0</v>
      </c>
      <c r="AE86" s="1282"/>
      <c r="AG86" s="598" t="s">
        <v>1032</v>
      </c>
      <c r="AH86" s="176" t="e">
        <f>AH80</f>
        <v>#N/A</v>
      </c>
      <c r="AI86" s="176" t="e">
        <f t="shared" ref="AI86:AS86" si="25">AI80</f>
        <v>#N/A</v>
      </c>
      <c r="AJ86" s="176" t="e">
        <f t="shared" si="25"/>
        <v>#N/A</v>
      </c>
      <c r="AK86" s="176" t="e">
        <f t="shared" si="25"/>
        <v>#N/A</v>
      </c>
      <c r="AL86" s="176" t="e">
        <f t="shared" si="25"/>
        <v>#N/A</v>
      </c>
      <c r="AM86" s="176" t="e">
        <f t="shared" si="25"/>
        <v>#N/A</v>
      </c>
      <c r="AN86" s="176" t="e">
        <f t="shared" si="25"/>
        <v>#N/A</v>
      </c>
      <c r="AO86" s="176" t="e">
        <f t="shared" si="25"/>
        <v>#N/A</v>
      </c>
      <c r="AP86" s="176" t="e">
        <f t="shared" si="25"/>
        <v>#N/A</v>
      </c>
      <c r="AQ86" s="176" t="e">
        <f t="shared" si="25"/>
        <v>#N/A</v>
      </c>
      <c r="AR86" s="176" t="e">
        <f t="shared" si="25"/>
        <v>#N/A</v>
      </c>
      <c r="AS86" s="176" t="e">
        <f t="shared" si="25"/>
        <v>#N/A</v>
      </c>
      <c r="AV86" s="1353"/>
      <c r="AW86" s="1354"/>
    </row>
    <row r="87" spans="2:49" ht="15" customHeight="1">
      <c r="B87" s="581" t="s">
        <v>224</v>
      </c>
      <c r="C87" s="1359"/>
      <c r="D87" s="1359"/>
      <c r="E87" s="1359"/>
      <c r="F87" s="1359"/>
      <c r="G87" s="1359"/>
      <c r="H87" s="1274" t="str">
        <f t="shared" ref="H87:H90" si="26">IF(J87=0,"-","Nivel B")</f>
        <v>-</v>
      </c>
      <c r="I87" s="1274"/>
      <c r="J87" s="589">
        <f>ENERGÍA!L91</f>
        <v>0</v>
      </c>
      <c r="K87" s="589">
        <f>ENERGÍA!M91</f>
        <v>0</v>
      </c>
      <c r="L87" s="589"/>
      <c r="O87" s="176">
        <f>IF(J87=0,0,VLOOKUP(K87,adyacentem,2,FALSE))</f>
        <v>0</v>
      </c>
      <c r="P87" s="590">
        <f>P86</f>
        <v>0.9</v>
      </c>
      <c r="Q87" s="176">
        <f>Q86</f>
        <v>1</v>
      </c>
      <c r="R87" s="590">
        <f>Q87*J87</f>
        <v>0</v>
      </c>
      <c r="S87" s="590">
        <f t="shared" ref="S87:S90" si="27">IF(J87=0,0,(O87*R87))</f>
        <v>0</v>
      </c>
      <c r="T87" s="590">
        <f>Q87</f>
        <v>1</v>
      </c>
      <c r="U87" s="590">
        <f>T87*J87</f>
        <v>0</v>
      </c>
      <c r="V87" s="590">
        <f t="shared" ref="V87:V90" si="28">IF(J87=0,0,(O87*U87))</f>
        <v>0</v>
      </c>
      <c r="W87" s="590">
        <f>IF(K87=BASE!$DA$7,J87,0)</f>
        <v>0</v>
      </c>
      <c r="X87" s="580">
        <f t="shared" si="8"/>
        <v>0</v>
      </c>
      <c r="Y87" s="148" t="s">
        <v>619</v>
      </c>
      <c r="Z87" s="148">
        <f>Z57</f>
        <v>1</v>
      </c>
      <c r="AA87" s="148">
        <f>ENERGÍA!AB91</f>
        <v>0</v>
      </c>
      <c r="AB87" s="148">
        <f>AB57</f>
        <v>25</v>
      </c>
      <c r="AC87" s="148">
        <f>AA87*AB87/100</f>
        <v>0</v>
      </c>
      <c r="AD87" s="148">
        <f>AC87*Z87</f>
        <v>0</v>
      </c>
      <c r="AE87" s="1282"/>
      <c r="AG87" s="581" t="s">
        <v>991</v>
      </c>
      <c r="AH87" s="580">
        <f>(AD60+AE92)*12/24</f>
        <v>0</v>
      </c>
      <c r="AI87" s="580">
        <f>AH87</f>
        <v>0</v>
      </c>
      <c r="AJ87" s="580">
        <f t="shared" ref="AJ87:AS87" si="29">AI87</f>
        <v>0</v>
      </c>
      <c r="AK87" s="580">
        <f t="shared" si="29"/>
        <v>0</v>
      </c>
      <c r="AL87" s="580">
        <f t="shared" si="29"/>
        <v>0</v>
      </c>
      <c r="AM87" s="580">
        <f t="shared" si="29"/>
        <v>0</v>
      </c>
      <c r="AN87" s="580">
        <f t="shared" si="29"/>
        <v>0</v>
      </c>
      <c r="AO87" s="580">
        <f t="shared" si="29"/>
        <v>0</v>
      </c>
      <c r="AP87" s="580">
        <f t="shared" si="29"/>
        <v>0</v>
      </c>
      <c r="AQ87" s="580">
        <f t="shared" si="29"/>
        <v>0</v>
      </c>
      <c r="AR87" s="580">
        <f t="shared" si="29"/>
        <v>0</v>
      </c>
      <c r="AS87" s="580">
        <f t="shared" si="29"/>
        <v>0</v>
      </c>
      <c r="AV87" s="1355"/>
      <c r="AW87" s="1356"/>
    </row>
    <row r="88" spans="2:49" ht="15" customHeight="1">
      <c r="B88" s="581" t="s">
        <v>1516</v>
      </c>
      <c r="C88" s="1342"/>
      <c r="D88" s="1340"/>
      <c r="E88" s="1340"/>
      <c r="F88" s="1340"/>
      <c r="G88" s="1340"/>
      <c r="H88" s="1274" t="str">
        <f t="shared" si="26"/>
        <v>-</v>
      </c>
      <c r="I88" s="1274"/>
      <c r="J88" s="589">
        <f>ENERGÍA!L92</f>
        <v>0</v>
      </c>
      <c r="K88" s="589">
        <f>ENERGÍA!M92</f>
        <v>0</v>
      </c>
      <c r="L88" s="589"/>
      <c r="O88" s="176">
        <f>IF(J88=0,0,VLOOKUP(K88,adyacentem,2,FALSE))</f>
        <v>0</v>
      </c>
      <c r="P88" s="590">
        <f t="shared" ref="P88:Q90" si="30">P87</f>
        <v>0.9</v>
      </c>
      <c r="Q88" s="176">
        <f t="shared" si="30"/>
        <v>1</v>
      </c>
      <c r="R88" s="590">
        <f>Q88*J88</f>
        <v>0</v>
      </c>
      <c r="S88" s="590">
        <f t="shared" si="27"/>
        <v>0</v>
      </c>
      <c r="T88" s="590">
        <f>Q88</f>
        <v>1</v>
      </c>
      <c r="U88" s="590">
        <f>T88*J88</f>
        <v>0</v>
      </c>
      <c r="V88" s="590">
        <f t="shared" si="28"/>
        <v>0</v>
      </c>
      <c r="W88" s="590">
        <f>IF(K88=BASE!$DA$7,J88,0)</f>
        <v>0</v>
      </c>
      <c r="X88" s="580">
        <f t="shared" si="8"/>
        <v>0</v>
      </c>
      <c r="AG88" s="581" t="s">
        <v>760</v>
      </c>
      <c r="AH88" s="590">
        <f>($AH$120*1000)/24/AH72</f>
        <v>0</v>
      </c>
      <c r="AI88" s="590">
        <f t="shared" ref="AI88:AS88" si="31">($AH$120*1000)/24/AI72</f>
        <v>0</v>
      </c>
      <c r="AJ88" s="590">
        <f t="shared" si="31"/>
        <v>0</v>
      </c>
      <c r="AK88" s="590">
        <f t="shared" si="31"/>
        <v>0</v>
      </c>
      <c r="AL88" s="590">
        <f t="shared" si="31"/>
        <v>0</v>
      </c>
      <c r="AM88" s="590">
        <f t="shared" si="31"/>
        <v>0</v>
      </c>
      <c r="AN88" s="590">
        <f t="shared" si="31"/>
        <v>0</v>
      </c>
      <c r="AO88" s="590">
        <f t="shared" si="31"/>
        <v>0</v>
      </c>
      <c r="AP88" s="590">
        <f t="shared" si="31"/>
        <v>0</v>
      </c>
      <c r="AQ88" s="590">
        <f t="shared" si="31"/>
        <v>0</v>
      </c>
      <c r="AR88" s="590">
        <f t="shared" si="31"/>
        <v>0</v>
      </c>
      <c r="AS88" s="590">
        <f t="shared" si="31"/>
        <v>0</v>
      </c>
      <c r="AV88" s="1280" t="s">
        <v>892</v>
      </c>
      <c r="AW88" s="1282" t="e">
        <f>SUM(S46:S90)+SUM(R95:R96)+SUM(AC104:AC170)</f>
        <v>#N/A</v>
      </c>
    </row>
    <row r="89" spans="2:49" ht="15" customHeight="1">
      <c r="B89" s="581" t="s">
        <v>632</v>
      </c>
      <c r="C89" s="1342"/>
      <c r="D89" s="1340"/>
      <c r="E89" s="1340"/>
      <c r="F89" s="1340"/>
      <c r="G89" s="1340"/>
      <c r="H89" s="1274" t="str">
        <f t="shared" si="26"/>
        <v>-</v>
      </c>
      <c r="I89" s="1274"/>
      <c r="J89" s="589">
        <f>ENERGÍA!L93</f>
        <v>0</v>
      </c>
      <c r="K89" s="589">
        <f>ENERGÍA!M93</f>
        <v>0</v>
      </c>
      <c r="L89" s="589"/>
      <c r="O89" s="176">
        <f>IF(J89=0,0,VLOOKUP(K89,adyacentem,2,FALSE))</f>
        <v>0</v>
      </c>
      <c r="P89" s="590">
        <f t="shared" si="30"/>
        <v>0.9</v>
      </c>
      <c r="Q89" s="176">
        <f t="shared" si="30"/>
        <v>1</v>
      </c>
      <c r="R89" s="590">
        <f>Q89*J89</f>
        <v>0</v>
      </c>
      <c r="S89" s="590">
        <f t="shared" si="27"/>
        <v>0</v>
      </c>
      <c r="T89" s="590">
        <f>Q89</f>
        <v>1</v>
      </c>
      <c r="U89" s="590">
        <f>T89*J89</f>
        <v>0</v>
      </c>
      <c r="V89" s="590">
        <f t="shared" si="28"/>
        <v>0</v>
      </c>
      <c r="W89" s="590">
        <f>IF(K89=BASE!$DA$7,J89,0)</f>
        <v>0</v>
      </c>
      <c r="X89" s="580">
        <f t="shared" si="8"/>
        <v>0</v>
      </c>
      <c r="Y89" s="1350" t="s">
        <v>992</v>
      </c>
      <c r="Z89" s="1350"/>
      <c r="AA89" s="1350"/>
      <c r="AB89" s="1350"/>
      <c r="AC89" s="1350"/>
      <c r="AD89" s="1350"/>
      <c r="AE89" s="1350"/>
      <c r="AG89" s="581" t="s">
        <v>762</v>
      </c>
      <c r="AH89" s="590">
        <f t="shared" ref="AH89:AS89" si="32">($AH$121*1000)/24/AH72</f>
        <v>95.833333333333343</v>
      </c>
      <c r="AI89" s="590">
        <f t="shared" si="32"/>
        <v>106.10119047619048</v>
      </c>
      <c r="AJ89" s="590">
        <f t="shared" si="32"/>
        <v>95.833333333333343</v>
      </c>
      <c r="AK89" s="590">
        <f t="shared" si="32"/>
        <v>99.027777777777786</v>
      </c>
      <c r="AL89" s="590">
        <f t="shared" si="32"/>
        <v>95.833333333333343</v>
      </c>
      <c r="AM89" s="590">
        <f t="shared" si="32"/>
        <v>99.027777777777786</v>
      </c>
      <c r="AN89" s="590">
        <f t="shared" si="32"/>
        <v>95.833333333333343</v>
      </c>
      <c r="AO89" s="590">
        <f t="shared" si="32"/>
        <v>95.833333333333343</v>
      </c>
      <c r="AP89" s="590">
        <f t="shared" si="32"/>
        <v>99.027777777777786</v>
      </c>
      <c r="AQ89" s="590">
        <f t="shared" si="32"/>
        <v>95.833333333333343</v>
      </c>
      <c r="AR89" s="590">
        <f t="shared" si="32"/>
        <v>99.027777777777786</v>
      </c>
      <c r="AS89" s="590">
        <f t="shared" si="32"/>
        <v>95.833333333333343</v>
      </c>
      <c r="AV89" s="1280"/>
      <c r="AW89" s="1282"/>
    </row>
    <row r="90" spans="2:49" ht="15" customHeight="1">
      <c r="B90" s="581" t="s">
        <v>631</v>
      </c>
      <c r="C90" s="1342"/>
      <c r="D90" s="1340"/>
      <c r="E90" s="1340"/>
      <c r="F90" s="1340"/>
      <c r="G90" s="1340"/>
      <c r="H90" s="1274" t="str">
        <f t="shared" si="26"/>
        <v>-</v>
      </c>
      <c r="I90" s="1274"/>
      <c r="J90" s="589">
        <f>ENERGÍA!L94</f>
        <v>0</v>
      </c>
      <c r="K90" s="589">
        <f>ENERGÍA!M94</f>
        <v>0</v>
      </c>
      <c r="L90" s="589"/>
      <c r="O90" s="176">
        <f>IF(J90=0,0,VLOOKUP(K90,adyacentem,2,FALSE))</f>
        <v>0</v>
      </c>
      <c r="P90" s="590">
        <f t="shared" si="30"/>
        <v>0.9</v>
      </c>
      <c r="Q90" s="176">
        <f t="shared" si="30"/>
        <v>1</v>
      </c>
      <c r="R90" s="590">
        <f>Q90*J90</f>
        <v>0</v>
      </c>
      <c r="S90" s="590">
        <f t="shared" si="27"/>
        <v>0</v>
      </c>
      <c r="T90" s="590">
        <f>Q90</f>
        <v>1</v>
      </c>
      <c r="U90" s="590">
        <f>T90*J90</f>
        <v>0</v>
      </c>
      <c r="V90" s="590">
        <f t="shared" si="28"/>
        <v>0</v>
      </c>
      <c r="W90" s="590">
        <f>IF(K90=BASE!$DA$7,J90,0)</f>
        <v>0</v>
      </c>
      <c r="X90" s="580">
        <f t="shared" si="8"/>
        <v>0</v>
      </c>
      <c r="Y90" s="1343" t="s">
        <v>1119</v>
      </c>
      <c r="Z90" s="1343"/>
      <c r="AA90" s="1343"/>
      <c r="AB90" s="1343" t="s">
        <v>1120</v>
      </c>
      <c r="AC90" s="1343"/>
      <c r="AD90" s="1343"/>
      <c r="AE90" s="591" t="s">
        <v>1023</v>
      </c>
      <c r="AG90" s="581" t="s">
        <v>896</v>
      </c>
      <c r="AH90" s="590" t="e">
        <f>SUM(AH86:AH89)</f>
        <v>#N/A</v>
      </c>
      <c r="AI90" s="590" t="e">
        <f t="shared" ref="AI90:AS90" si="33">SUM(AI86:AI89)</f>
        <v>#N/A</v>
      </c>
      <c r="AJ90" s="590" t="e">
        <f t="shared" si="33"/>
        <v>#N/A</v>
      </c>
      <c r="AK90" s="590" t="e">
        <f t="shared" si="33"/>
        <v>#N/A</v>
      </c>
      <c r="AL90" s="590" t="e">
        <f t="shared" si="33"/>
        <v>#N/A</v>
      </c>
      <c r="AM90" s="590" t="e">
        <f t="shared" si="33"/>
        <v>#N/A</v>
      </c>
      <c r="AN90" s="590" t="e">
        <f t="shared" si="33"/>
        <v>#N/A</v>
      </c>
      <c r="AO90" s="590" t="e">
        <f t="shared" si="33"/>
        <v>#N/A</v>
      </c>
      <c r="AP90" s="590" t="e">
        <f t="shared" si="33"/>
        <v>#N/A</v>
      </c>
      <c r="AQ90" s="590" t="e">
        <f t="shared" si="33"/>
        <v>#N/A</v>
      </c>
      <c r="AR90" s="590" t="e">
        <f t="shared" si="33"/>
        <v>#N/A</v>
      </c>
      <c r="AS90" s="590" t="e">
        <f t="shared" si="33"/>
        <v>#N/A</v>
      </c>
      <c r="AV90" s="1280" t="s">
        <v>893</v>
      </c>
      <c r="AW90" s="1282" t="e">
        <f>SUM(V46:V90)+SUM(U95:U96)+SUM(AD104:AD170)</f>
        <v>#N/A</v>
      </c>
    </row>
    <row r="91" spans="2:49" ht="6" customHeight="1">
      <c r="L91" s="126"/>
      <c r="O91" s="148"/>
      <c r="P91" s="581"/>
      <c r="Q91" s="597"/>
      <c r="R91" s="597"/>
      <c r="S91" s="597"/>
      <c r="AV91" s="1280"/>
      <c r="AW91" s="1282"/>
    </row>
    <row r="92" spans="2:49" ht="15" customHeight="1">
      <c r="B92" s="1323" t="s">
        <v>593</v>
      </c>
      <c r="C92" s="1323"/>
      <c r="D92" s="1323"/>
      <c r="E92" s="1323"/>
      <c r="F92" s="1323"/>
      <c r="G92" s="1323"/>
      <c r="H92" s="1323"/>
      <c r="I92" s="1323"/>
      <c r="J92" s="1323"/>
      <c r="K92" s="1323"/>
      <c r="L92" s="1323"/>
      <c r="O92" s="1320" t="s">
        <v>593</v>
      </c>
      <c r="P92" s="1321"/>
      <c r="Q92" s="1321"/>
      <c r="R92" s="1321"/>
      <c r="S92" s="1321"/>
      <c r="T92" s="1321"/>
      <c r="U92" s="1321"/>
      <c r="V92" s="1321"/>
      <c r="W92" s="1322"/>
      <c r="Y92" s="1273">
        <f>Z66</f>
        <v>0</v>
      </c>
      <c r="Z92" s="1273"/>
      <c r="AA92" s="1273"/>
      <c r="AB92" s="1273">
        <f>ENERGÍA!AC96</f>
        <v>39</v>
      </c>
      <c r="AC92" s="1273"/>
      <c r="AD92" s="1273"/>
      <c r="AE92" s="226">
        <f>AB92*Y92</f>
        <v>0</v>
      </c>
      <c r="AG92" s="1339" t="s">
        <v>1487</v>
      </c>
      <c r="AH92" s="1339"/>
      <c r="AI92" s="1339"/>
      <c r="AJ92" s="1339"/>
      <c r="AK92" s="1339"/>
      <c r="AL92" s="1339"/>
      <c r="AM92" s="1339"/>
      <c r="AN92" s="1339"/>
      <c r="AO92" s="1339"/>
      <c r="AP92" s="1339"/>
      <c r="AQ92" s="1339"/>
      <c r="AR92" s="1339"/>
      <c r="AS92" s="1339"/>
    </row>
    <row r="93" spans="2:49" ht="6" customHeight="1">
      <c r="B93" s="584"/>
      <c r="C93" s="584"/>
      <c r="D93" s="584"/>
      <c r="E93" s="126"/>
      <c r="L93" s="126"/>
      <c r="O93" s="148"/>
      <c r="P93" s="581"/>
      <c r="Q93" s="126"/>
      <c r="R93" s="126"/>
    </row>
    <row r="94" spans="2:49" ht="15" customHeight="1">
      <c r="B94" s="584"/>
      <c r="C94" s="1273" t="s">
        <v>222</v>
      </c>
      <c r="D94" s="1273"/>
      <c r="E94" s="1273"/>
      <c r="F94" s="1273"/>
      <c r="G94" s="1273"/>
      <c r="H94" s="1273"/>
      <c r="I94" s="1273"/>
      <c r="J94" s="1273"/>
      <c r="K94" s="148" t="s">
        <v>594</v>
      </c>
      <c r="L94" s="166" t="s">
        <v>1356</v>
      </c>
      <c r="O94" s="166" t="s">
        <v>1354</v>
      </c>
      <c r="P94" s="166" t="s">
        <v>849</v>
      </c>
      <c r="Q94" s="166" t="s">
        <v>850</v>
      </c>
      <c r="R94" s="166" t="s">
        <v>1357</v>
      </c>
      <c r="S94" s="166" t="s">
        <v>851</v>
      </c>
      <c r="T94" s="166" t="s">
        <v>891</v>
      </c>
      <c r="U94" s="166" t="s">
        <v>1359</v>
      </c>
      <c r="V94" s="148"/>
      <c r="Y94" s="1341" t="s">
        <v>1053</v>
      </c>
      <c r="Z94" s="1341"/>
      <c r="AA94" s="1341"/>
      <c r="AB94" s="1341"/>
      <c r="AC94" s="1341"/>
      <c r="AD94" s="1341"/>
      <c r="AE94" s="175" t="e">
        <f>AE78+AE47+AE68+AE42</f>
        <v>#N/A</v>
      </c>
      <c r="AG94" s="581" t="s">
        <v>219</v>
      </c>
      <c r="AH94" s="590" t="e">
        <f>IF(AH62&gt;=18,$AW$90,$AW$88)</f>
        <v>#N/A</v>
      </c>
      <c r="AI94" s="590" t="e">
        <f t="shared" ref="AI94:AS94" si="34">IF(AI62&gt;=18,$AW$90,$AW$88)</f>
        <v>#N/A</v>
      </c>
      <c r="AJ94" s="590" t="e">
        <f t="shared" si="34"/>
        <v>#N/A</v>
      </c>
      <c r="AK94" s="590" t="e">
        <f t="shared" si="34"/>
        <v>#N/A</v>
      </c>
      <c r="AL94" s="590" t="e">
        <f t="shared" si="34"/>
        <v>#N/A</v>
      </c>
      <c r="AM94" s="590" t="e">
        <f t="shared" si="34"/>
        <v>#N/A</v>
      </c>
      <c r="AN94" s="590" t="e">
        <f t="shared" si="34"/>
        <v>#N/A</v>
      </c>
      <c r="AO94" s="590" t="e">
        <f t="shared" si="34"/>
        <v>#N/A</v>
      </c>
      <c r="AP94" s="590" t="e">
        <f t="shared" si="34"/>
        <v>#N/A</v>
      </c>
      <c r="AQ94" s="590" t="e">
        <f t="shared" si="34"/>
        <v>#N/A</v>
      </c>
      <c r="AR94" s="590" t="e">
        <f t="shared" si="34"/>
        <v>#N/A</v>
      </c>
      <c r="AS94" s="590" t="e">
        <f t="shared" si="34"/>
        <v>#N/A</v>
      </c>
      <c r="AV94" s="1273" t="s">
        <v>1025</v>
      </c>
      <c r="AW94" s="1273"/>
    </row>
    <row r="95" spans="2:49" ht="15" customHeight="1">
      <c r="B95" s="581" t="s">
        <v>595</v>
      </c>
      <c r="C95" s="1340"/>
      <c r="D95" s="1340"/>
      <c r="E95" s="1340"/>
      <c r="F95" s="1340"/>
      <c r="G95" s="1340"/>
      <c r="H95" s="1340"/>
      <c r="I95" s="1340"/>
      <c r="J95" s="1340"/>
      <c r="K95" s="589">
        <f>ENERGÍA!M99</f>
        <v>0</v>
      </c>
      <c r="L95" s="589">
        <f>ENERGÍA!N99</f>
        <v>0</v>
      </c>
      <c r="O95" s="176">
        <f>IF(K95=0,0,VLOOKUP(L95,adyacentem,2,FALSE))</f>
        <v>0</v>
      </c>
      <c r="P95" s="176">
        <f>'Materiales Personalizados'!AA6</f>
        <v>1</v>
      </c>
      <c r="Q95" s="590">
        <f>P95*K95</f>
        <v>0</v>
      </c>
      <c r="R95" s="580">
        <f>Q95*O95</f>
        <v>0</v>
      </c>
      <c r="S95" s="590">
        <f>P95</f>
        <v>1</v>
      </c>
      <c r="T95" s="590">
        <f>S95*K95</f>
        <v>0</v>
      </c>
      <c r="U95" s="148">
        <f>T95*O95</f>
        <v>0</v>
      </c>
      <c r="V95" s="148"/>
      <c r="AG95" s="581" t="s">
        <v>1528</v>
      </c>
      <c r="AH95" s="580">
        <f>AJ52</f>
        <v>0</v>
      </c>
      <c r="AI95" s="580">
        <f>AH95</f>
        <v>0</v>
      </c>
      <c r="AJ95" s="580">
        <f t="shared" ref="AJ95:AS96" si="35">AI95</f>
        <v>0</v>
      </c>
      <c r="AK95" s="580">
        <f t="shared" si="35"/>
        <v>0</v>
      </c>
      <c r="AL95" s="580">
        <f t="shared" si="35"/>
        <v>0</v>
      </c>
      <c r="AM95" s="580">
        <f t="shared" si="35"/>
        <v>0</v>
      </c>
      <c r="AN95" s="580">
        <f t="shared" si="35"/>
        <v>0</v>
      </c>
      <c r="AO95" s="580">
        <f t="shared" si="35"/>
        <v>0</v>
      </c>
      <c r="AP95" s="580">
        <f t="shared" si="35"/>
        <v>0</v>
      </c>
      <c r="AQ95" s="580">
        <f t="shared" si="35"/>
        <v>0</v>
      </c>
      <c r="AR95" s="580">
        <f t="shared" si="35"/>
        <v>0</v>
      </c>
      <c r="AS95" s="580">
        <f t="shared" si="35"/>
        <v>0</v>
      </c>
      <c r="AU95" s="580" t="str">
        <f>'BASE DE DATOS'!HA47</f>
        <v>Si</v>
      </c>
      <c r="AV95" s="1273"/>
      <c r="AW95" s="1273"/>
    </row>
    <row r="96" spans="2:49" ht="15" customHeight="1">
      <c r="B96" s="581" t="s">
        <v>1517</v>
      </c>
      <c r="C96" s="1340"/>
      <c r="D96" s="1340"/>
      <c r="E96" s="1340"/>
      <c r="F96" s="1340"/>
      <c r="G96" s="1340"/>
      <c r="H96" s="1340"/>
      <c r="I96" s="1340"/>
      <c r="J96" s="1340"/>
      <c r="K96" s="589">
        <f>ENERGÍA!M102</f>
        <v>0</v>
      </c>
      <c r="L96" s="589">
        <f>ENERGÍA!N102</f>
        <v>0</v>
      </c>
      <c r="O96" s="176">
        <f>IF(K96=0,0,VLOOKUP(L96,adyacentem,2,FALSE))</f>
        <v>0</v>
      </c>
      <c r="P96" s="176">
        <f>P95</f>
        <v>1</v>
      </c>
      <c r="Q96" s="590">
        <f>P96*K96</f>
        <v>0</v>
      </c>
      <c r="R96" s="580">
        <f>Q96*O96</f>
        <v>0</v>
      </c>
      <c r="S96" s="590">
        <f>P96</f>
        <v>1</v>
      </c>
      <c r="T96" s="590">
        <f>S96*K96</f>
        <v>0</v>
      </c>
      <c r="U96" s="148">
        <f>T96*O96</f>
        <v>0</v>
      </c>
      <c r="V96" s="148"/>
      <c r="AG96" s="581" t="s">
        <v>1486</v>
      </c>
      <c r="AH96" s="580" t="e">
        <f>AH54</f>
        <v>#DIV/0!</v>
      </c>
      <c r="AI96" s="580" t="e">
        <f>AH96</f>
        <v>#DIV/0!</v>
      </c>
      <c r="AJ96" s="580" t="e">
        <f t="shared" si="35"/>
        <v>#DIV/0!</v>
      </c>
      <c r="AK96" s="580" t="e">
        <f t="shared" si="35"/>
        <v>#DIV/0!</v>
      </c>
      <c r="AL96" s="580" t="e">
        <f t="shared" si="35"/>
        <v>#DIV/0!</v>
      </c>
      <c r="AM96" s="580" t="e">
        <f t="shared" si="35"/>
        <v>#DIV/0!</v>
      </c>
      <c r="AN96" s="580" t="e">
        <f t="shared" si="35"/>
        <v>#DIV/0!</v>
      </c>
      <c r="AO96" s="580" t="e">
        <f t="shared" si="35"/>
        <v>#DIV/0!</v>
      </c>
      <c r="AP96" s="580" t="e">
        <f t="shared" si="35"/>
        <v>#DIV/0!</v>
      </c>
      <c r="AQ96" s="580" t="e">
        <f t="shared" si="35"/>
        <v>#DIV/0!</v>
      </c>
      <c r="AR96" s="580" t="e">
        <f t="shared" si="35"/>
        <v>#DIV/0!</v>
      </c>
      <c r="AS96" s="580" t="e">
        <f t="shared" si="35"/>
        <v>#DIV/0!</v>
      </c>
      <c r="AU96" s="580" t="s">
        <v>1816</v>
      </c>
      <c r="AV96" s="148" t="s">
        <v>233</v>
      </c>
      <c r="AW96" s="176" t="e">
        <f>IF(AU95="Si",(AW88/AW64)-((AW88/AW64)*0.05),AW88/AW64)</f>
        <v>#N/A</v>
      </c>
    </row>
    <row r="97" spans="2:50" ht="6" customHeight="1">
      <c r="D97" s="126"/>
      <c r="E97" s="126"/>
      <c r="L97" s="126"/>
      <c r="O97" s="148"/>
      <c r="P97" s="581"/>
      <c r="Q97" s="126"/>
      <c r="R97" s="126"/>
      <c r="V97" s="148"/>
      <c r="X97" s="126"/>
    </row>
    <row r="98" spans="2:50" ht="15" customHeight="1">
      <c r="B98" s="1283" t="s">
        <v>645</v>
      </c>
      <c r="C98" s="1283"/>
      <c r="D98" s="1283"/>
      <c r="E98" s="1283"/>
      <c r="F98" s="1283"/>
      <c r="G98" s="1283"/>
      <c r="H98" s="1283"/>
      <c r="I98" s="1283"/>
      <c r="J98" s="1283"/>
      <c r="K98" s="1283"/>
      <c r="L98" s="1283"/>
      <c r="O98" s="1317" t="s">
        <v>645</v>
      </c>
      <c r="P98" s="1318"/>
      <c r="Q98" s="1318"/>
      <c r="R98" s="1318"/>
      <c r="S98" s="1318"/>
      <c r="T98" s="1318"/>
      <c r="U98" s="1318"/>
      <c r="V98" s="1318"/>
      <c r="W98" s="1318"/>
      <c r="X98" s="1318"/>
      <c r="Y98" s="1318"/>
      <c r="Z98" s="1318"/>
      <c r="AA98" s="1318"/>
      <c r="AB98" s="1318"/>
      <c r="AC98" s="1318"/>
      <c r="AD98" s="1318"/>
      <c r="AE98" s="1319"/>
      <c r="AG98" s="581" t="s">
        <v>1524</v>
      </c>
      <c r="AH98" s="590" t="e">
        <f>AH94-(AH94*AH95)+(AH94*AH96)</f>
        <v>#N/A</v>
      </c>
      <c r="AI98" s="590" t="e">
        <f t="shared" ref="AI98:AS98" si="36">AI94-(AI94*AI95)+(AI94*AI96)</f>
        <v>#N/A</v>
      </c>
      <c r="AJ98" s="590" t="e">
        <f t="shared" si="36"/>
        <v>#N/A</v>
      </c>
      <c r="AK98" s="590" t="e">
        <f t="shared" si="36"/>
        <v>#N/A</v>
      </c>
      <c r="AL98" s="590" t="e">
        <f t="shared" si="36"/>
        <v>#N/A</v>
      </c>
      <c r="AM98" s="590" t="e">
        <f t="shared" si="36"/>
        <v>#N/A</v>
      </c>
      <c r="AN98" s="590" t="e">
        <f t="shared" si="36"/>
        <v>#N/A</v>
      </c>
      <c r="AO98" s="590" t="e">
        <f t="shared" si="36"/>
        <v>#N/A</v>
      </c>
      <c r="AP98" s="590" t="e">
        <f t="shared" si="36"/>
        <v>#N/A</v>
      </c>
      <c r="AQ98" s="590" t="e">
        <f t="shared" si="36"/>
        <v>#N/A</v>
      </c>
      <c r="AR98" s="590" t="e">
        <f t="shared" si="36"/>
        <v>#N/A</v>
      </c>
      <c r="AS98" s="590" t="e">
        <f t="shared" si="36"/>
        <v>#N/A</v>
      </c>
      <c r="AT98" s="173"/>
      <c r="AU98" s="173"/>
      <c r="AV98" s="148" t="s">
        <v>235</v>
      </c>
      <c r="AW98" s="176" t="e">
        <f>AE94/AW64</f>
        <v>#N/A</v>
      </c>
    </row>
    <row r="99" spans="2:50" ht="6" customHeight="1">
      <c r="L99" s="126"/>
      <c r="O99" s="148"/>
      <c r="P99" s="581"/>
      <c r="Q99" s="126"/>
      <c r="R99" s="126"/>
      <c r="V99" s="148"/>
      <c r="X99" s="126"/>
      <c r="AG99" s="581"/>
      <c r="AH99" s="580"/>
      <c r="AI99" s="580"/>
      <c r="AJ99" s="580"/>
      <c r="AK99" s="580"/>
      <c r="AL99" s="580"/>
      <c r="AM99" s="580"/>
      <c r="AN99" s="580"/>
      <c r="AO99" s="580"/>
      <c r="AP99" s="580"/>
      <c r="AQ99" s="580"/>
      <c r="AR99" s="580"/>
      <c r="AS99" s="580"/>
    </row>
    <row r="100" spans="2:50" s="159" customFormat="1" ht="15" customHeight="1">
      <c r="B100" s="1273">
        <f>C35</f>
        <v>0</v>
      </c>
      <c r="C100" s="1273"/>
      <c r="D100" s="1273"/>
      <c r="E100" s="1273"/>
      <c r="F100" s="1273"/>
      <c r="G100" s="1273"/>
      <c r="H100" s="1273"/>
      <c r="I100" s="1273"/>
      <c r="J100" s="1273"/>
      <c r="K100" s="1273"/>
      <c r="L100" s="1273"/>
      <c r="M100" s="126"/>
      <c r="N100" s="126"/>
      <c r="O100" s="1284">
        <f>B100</f>
        <v>0</v>
      </c>
      <c r="P100" s="1338"/>
      <c r="Q100" s="1338"/>
      <c r="R100" s="1338"/>
      <c r="S100" s="1338"/>
      <c r="T100" s="1338"/>
      <c r="U100" s="1338"/>
      <c r="V100" s="1338"/>
      <c r="W100" s="1338"/>
      <c r="X100" s="1338"/>
      <c r="Y100" s="1338"/>
      <c r="Z100" s="1338"/>
      <c r="AA100" s="1338"/>
      <c r="AB100" s="1338"/>
      <c r="AC100" s="1338"/>
      <c r="AD100" s="1338"/>
      <c r="AE100" s="1285"/>
      <c r="AG100" s="581" t="s">
        <v>1034</v>
      </c>
      <c r="AH100" s="175">
        <f>Z60</f>
        <v>0</v>
      </c>
      <c r="AI100" s="175">
        <f>AH100</f>
        <v>0</v>
      </c>
      <c r="AJ100" s="175">
        <f t="shared" ref="AJ100:AS100" si="37">AI100</f>
        <v>0</v>
      </c>
      <c r="AK100" s="175">
        <f t="shared" si="37"/>
        <v>0</v>
      </c>
      <c r="AL100" s="175">
        <f t="shared" si="37"/>
        <v>0</v>
      </c>
      <c r="AM100" s="175">
        <f t="shared" si="37"/>
        <v>0</v>
      </c>
      <c r="AN100" s="175">
        <f t="shared" si="37"/>
        <v>0</v>
      </c>
      <c r="AO100" s="175">
        <f t="shared" si="37"/>
        <v>0</v>
      </c>
      <c r="AP100" s="175">
        <f t="shared" si="37"/>
        <v>0</v>
      </c>
      <c r="AQ100" s="175">
        <f t="shared" si="37"/>
        <v>0</v>
      </c>
      <c r="AR100" s="175">
        <f t="shared" si="37"/>
        <v>0</v>
      </c>
      <c r="AS100" s="175">
        <f t="shared" si="37"/>
        <v>0</v>
      </c>
      <c r="AX100" s="126"/>
    </row>
    <row r="101" spans="2:50" ht="6" customHeight="1">
      <c r="L101" s="126"/>
      <c r="V101" s="148"/>
      <c r="AA101" s="580"/>
    </row>
    <row r="102" spans="2:50" ht="15" customHeight="1">
      <c r="B102" s="1273"/>
      <c r="C102" s="1323" t="s">
        <v>1184</v>
      </c>
      <c r="D102" s="1323"/>
      <c r="E102" s="1323"/>
      <c r="F102" s="1323" t="s">
        <v>1188</v>
      </c>
      <c r="G102" s="1323"/>
      <c r="H102" s="1323" t="s">
        <v>1203</v>
      </c>
      <c r="I102" s="1323"/>
      <c r="J102" s="1281" t="s">
        <v>790</v>
      </c>
      <c r="K102" s="1281" t="s">
        <v>1136</v>
      </c>
      <c r="L102" s="1281"/>
      <c r="O102" s="580" t="s">
        <v>1651</v>
      </c>
      <c r="P102" s="1281" t="s">
        <v>1064</v>
      </c>
      <c r="Q102" s="580" t="s">
        <v>1652</v>
      </c>
      <c r="R102" s="1273" t="s">
        <v>1191</v>
      </c>
      <c r="S102" s="580" t="s">
        <v>1190</v>
      </c>
      <c r="T102" s="1273" t="s">
        <v>1192</v>
      </c>
      <c r="U102" s="1323" t="s">
        <v>1653</v>
      </c>
      <c r="V102" s="1323"/>
      <c r="W102" s="580" t="s">
        <v>1654</v>
      </c>
      <c r="X102" s="1273" t="s">
        <v>1403</v>
      </c>
      <c r="Y102" s="1273" t="s">
        <v>1404</v>
      </c>
      <c r="Z102" s="1273" t="s">
        <v>1210</v>
      </c>
      <c r="AA102" s="1273" t="s">
        <v>1201</v>
      </c>
      <c r="AB102" s="1273" t="s">
        <v>1202</v>
      </c>
      <c r="AC102" s="1281" t="s">
        <v>850</v>
      </c>
      <c r="AD102" s="1281" t="str">
        <f>AC102</f>
        <v>W/K Inv</v>
      </c>
      <c r="AE102" s="226" t="s">
        <v>1017</v>
      </c>
      <c r="AG102" s="581" t="s">
        <v>1525</v>
      </c>
      <c r="AH102" s="590" t="e">
        <f>AH98+AH100</f>
        <v>#N/A</v>
      </c>
      <c r="AI102" s="590" t="e">
        <f t="shared" ref="AI102:AS102" si="38">AI98+AI100</f>
        <v>#N/A</v>
      </c>
      <c r="AJ102" s="590" t="e">
        <f t="shared" si="38"/>
        <v>#N/A</v>
      </c>
      <c r="AK102" s="590" t="e">
        <f t="shared" si="38"/>
        <v>#N/A</v>
      </c>
      <c r="AL102" s="590" t="e">
        <f t="shared" si="38"/>
        <v>#N/A</v>
      </c>
      <c r="AM102" s="590" t="e">
        <f t="shared" si="38"/>
        <v>#N/A</v>
      </c>
      <c r="AN102" s="590" t="e">
        <f t="shared" si="38"/>
        <v>#N/A</v>
      </c>
      <c r="AO102" s="590" t="e">
        <f t="shared" si="38"/>
        <v>#N/A</v>
      </c>
      <c r="AP102" s="590" t="e">
        <f t="shared" si="38"/>
        <v>#N/A</v>
      </c>
      <c r="AQ102" s="590" t="e">
        <f t="shared" si="38"/>
        <v>#N/A</v>
      </c>
      <c r="AR102" s="590" t="e">
        <f t="shared" si="38"/>
        <v>#N/A</v>
      </c>
      <c r="AS102" s="590" t="e">
        <f t="shared" si="38"/>
        <v>#N/A</v>
      </c>
    </row>
    <row r="103" spans="2:50" ht="15" customHeight="1">
      <c r="B103" s="1273"/>
      <c r="C103" s="148" t="s">
        <v>623</v>
      </c>
      <c r="D103" s="580" t="s">
        <v>1185</v>
      </c>
      <c r="E103" s="580" t="s">
        <v>1186</v>
      </c>
      <c r="F103" s="580" t="s">
        <v>623</v>
      </c>
      <c r="G103" s="580" t="s">
        <v>1189</v>
      </c>
      <c r="H103" s="580" t="s">
        <v>757</v>
      </c>
      <c r="I103" s="580" t="s">
        <v>650</v>
      </c>
      <c r="J103" s="1281"/>
      <c r="K103" s="166" t="s">
        <v>623</v>
      </c>
      <c r="L103" s="602" t="s">
        <v>1122</v>
      </c>
      <c r="O103" s="580" t="s">
        <v>1187</v>
      </c>
      <c r="P103" s="1281"/>
      <c r="Q103" s="580" t="s">
        <v>1187</v>
      </c>
      <c r="R103" s="1273"/>
      <c r="S103" s="580" t="s">
        <v>18</v>
      </c>
      <c r="T103" s="1273"/>
      <c r="U103" s="580" t="s">
        <v>1199</v>
      </c>
      <c r="V103" s="148" t="s">
        <v>1200</v>
      </c>
      <c r="W103" s="176" t="s">
        <v>1187</v>
      </c>
      <c r="X103" s="1273"/>
      <c r="Y103" s="1273"/>
      <c r="Z103" s="1273"/>
      <c r="AA103" s="1273"/>
      <c r="AB103" s="1273"/>
      <c r="AC103" s="1281"/>
      <c r="AD103" s="1281"/>
      <c r="AE103" s="603" t="e">
        <f>Q35</f>
        <v>#N/A</v>
      </c>
    </row>
    <row r="104" spans="2:50" ht="15" customHeight="1">
      <c r="B104" s="581" t="s">
        <v>225</v>
      </c>
      <c r="C104" s="604"/>
      <c r="D104" s="604"/>
      <c r="E104" s="604"/>
      <c r="F104" s="604"/>
      <c r="G104" s="604"/>
      <c r="H104" s="176" t="e">
        <f t="shared" ref="H104:H112" si="39">IF(W104=0,"-",IF($O$4=6,"No Aplica",HLOOKUP(AA104,ZONA2,2,TRUE)))</f>
        <v>#N/A</v>
      </c>
      <c r="I104" s="176" t="e">
        <f t="shared" ref="I104:I112" si="40">IF(W104=0,"-",IF($O$4=6,HLOOKUP(AB104,ZONA3,2,TRUE),HLOOKUP(AB104,ZONA1,2,TRUE)))</f>
        <v>#N/A</v>
      </c>
      <c r="J104" s="604"/>
      <c r="K104" s="604"/>
      <c r="L104" s="604"/>
      <c r="O104" s="590" t="e">
        <f t="shared" ref="O104:O112" si="41">$W$104-Q104</f>
        <v>#N/A</v>
      </c>
      <c r="P104" s="176">
        <f>IF('BASE DE DATOS'!HC41="B",2.9,IF('BASE DE DATOS'!HC41="D",3.23,6))</f>
        <v>3.23</v>
      </c>
      <c r="Q104" s="580" t="e">
        <f t="shared" ref="Q104:Q112" si="42">W104*0.02</f>
        <v>#N/A</v>
      </c>
      <c r="R104" s="580">
        <f>IF('BASE DE DATOS'!HC41="B",2.2,IF('BASE DE DATOS'!HC41="D",3.3,5.8))</f>
        <v>3.3</v>
      </c>
      <c r="S104" s="590" t="e">
        <f t="shared" ref="S104:S112" si="43">(W104/2)+2</f>
        <v>#N/A</v>
      </c>
      <c r="T104" s="176" t="e">
        <f t="shared" ref="T104:T112" si="44">((O104*P104)+(Q104*R104)+(S104*0.02))/W104</f>
        <v>#N/A</v>
      </c>
      <c r="U104" s="580">
        <f>IF('BASE DE DATOS'!HC41="B",100,IF('BASE DE DATOS'!HC41="D",200,300))</f>
        <v>200</v>
      </c>
      <c r="V104" s="176" t="e">
        <f t="shared" ref="V104:V112" si="45">IF(W104=0,0,U104*W104)</f>
        <v>#N/A</v>
      </c>
      <c r="W104" s="605" t="e">
        <f>IF($R$35=2,$O$35/2,IF($R$35=4,$O$35/4,IF($R$35=6,$O$35/6,IF($R$35=8,$O$35/8,IF($R$35=9,$O$35/9)))))</f>
        <v>#N/A</v>
      </c>
      <c r="X104" s="606" t="e">
        <f t="shared" ref="X104:X112" si="46">(V104*$AW$112)</f>
        <v>#N/A</v>
      </c>
      <c r="Y104" s="606" t="e">
        <f t="shared" ref="Y104:Y112" si="47">V104*$AW$114</f>
        <v>#N/A</v>
      </c>
      <c r="Z104" s="148">
        <f>IF('BASE DE DATOS'!HC41="B",0.5,IF('BASE DE DATOS'!HC41="D",2,3))</f>
        <v>2</v>
      </c>
      <c r="AA104" s="176" t="e">
        <f t="shared" ref="AA104:AA112" si="48">IF(W104=0,0,(($AW$104*Z104)+X104+(T104*$AW$108))/W104)</f>
        <v>#N/A</v>
      </c>
      <c r="AB104" s="176" t="e">
        <f>IF(W104=0,0,(($AW$106*Z104)-(X104+T104)*$AW$110)/W104)</f>
        <v>#N/A</v>
      </c>
      <c r="AC104" s="590" t="e">
        <f>IF(W104=0,0,(T104*O104))</f>
        <v>#N/A</v>
      </c>
      <c r="AD104" s="590" t="e">
        <f t="shared" ref="AD104:AD112" si="49">AC104</f>
        <v>#N/A</v>
      </c>
      <c r="AG104" s="581" t="s">
        <v>1527</v>
      </c>
      <c r="AH104" s="590" t="e">
        <f>AH90/AH102</f>
        <v>#N/A</v>
      </c>
      <c r="AI104" s="590" t="e">
        <f t="shared" ref="AI104:AS104" si="50">AI90/AI102</f>
        <v>#N/A</v>
      </c>
      <c r="AJ104" s="590" t="e">
        <f t="shared" si="50"/>
        <v>#N/A</v>
      </c>
      <c r="AK104" s="590" t="e">
        <f t="shared" si="50"/>
        <v>#N/A</v>
      </c>
      <c r="AL104" s="590" t="e">
        <f t="shared" si="50"/>
        <v>#N/A</v>
      </c>
      <c r="AM104" s="590" t="e">
        <f t="shared" si="50"/>
        <v>#N/A</v>
      </c>
      <c r="AN104" s="590" t="e">
        <f t="shared" si="50"/>
        <v>#N/A</v>
      </c>
      <c r="AO104" s="590" t="e">
        <f t="shared" si="50"/>
        <v>#N/A</v>
      </c>
      <c r="AP104" s="590" t="e">
        <f t="shared" si="50"/>
        <v>#N/A</v>
      </c>
      <c r="AQ104" s="590" t="e">
        <f t="shared" si="50"/>
        <v>#N/A</v>
      </c>
      <c r="AR104" s="590" t="e">
        <f t="shared" si="50"/>
        <v>#N/A</v>
      </c>
      <c r="AS104" s="590" t="e">
        <f t="shared" si="50"/>
        <v>#N/A</v>
      </c>
      <c r="AV104" s="148" t="s">
        <v>1205</v>
      </c>
      <c r="AW104" s="148">
        <f>ENERGÍA!AY110</f>
        <v>0</v>
      </c>
    </row>
    <row r="105" spans="2:50" ht="15" customHeight="1">
      <c r="B105" s="581" t="s">
        <v>225</v>
      </c>
      <c r="C105" s="604"/>
      <c r="D105" s="604"/>
      <c r="E105" s="604"/>
      <c r="F105" s="604"/>
      <c r="G105" s="604"/>
      <c r="H105" s="176" t="e">
        <f t="shared" si="39"/>
        <v>#N/A</v>
      </c>
      <c r="I105" s="176" t="e">
        <f t="shared" si="40"/>
        <v>#N/A</v>
      </c>
      <c r="J105" s="604"/>
      <c r="K105" s="604"/>
      <c r="L105" s="604"/>
      <c r="O105" s="590" t="e">
        <f t="shared" si="41"/>
        <v>#N/A</v>
      </c>
      <c r="P105" s="176">
        <f>P104</f>
        <v>3.23</v>
      </c>
      <c r="Q105" s="580" t="e">
        <f t="shared" si="42"/>
        <v>#N/A</v>
      </c>
      <c r="R105" s="580">
        <f>R104</f>
        <v>3.3</v>
      </c>
      <c r="S105" s="590" t="e">
        <f t="shared" si="43"/>
        <v>#N/A</v>
      </c>
      <c r="T105" s="176" t="e">
        <f t="shared" si="44"/>
        <v>#N/A</v>
      </c>
      <c r="U105" s="580">
        <f>U104</f>
        <v>200</v>
      </c>
      <c r="V105" s="176" t="e">
        <f t="shared" si="45"/>
        <v>#N/A</v>
      </c>
      <c r="W105" s="605" t="e">
        <f t="shared" ref="W105" si="51">IF($R$35=2,$O$35/2,IF($R$35=4,$O$35/4,IF($R$35=6,$O$35/6,IF($R$35=8,$O$35/8,IF($R$35=9,$O$35/9)))))</f>
        <v>#N/A</v>
      </c>
      <c r="X105" s="606" t="e">
        <f t="shared" si="46"/>
        <v>#N/A</v>
      </c>
      <c r="Y105" s="606" t="e">
        <f t="shared" si="47"/>
        <v>#N/A</v>
      </c>
      <c r="Z105" s="580">
        <f>Z104</f>
        <v>2</v>
      </c>
      <c r="AA105" s="176" t="e">
        <f t="shared" si="48"/>
        <v>#N/A</v>
      </c>
      <c r="AB105" s="176" t="e">
        <f t="shared" ref="AB105:AB112" si="52">IF(W105=0,0,(($AW$106*Z105)-(X105+T105)*$AW$110)/W105)</f>
        <v>#N/A</v>
      </c>
      <c r="AC105" s="590" t="e">
        <f t="shared" ref="AC105:AC112" si="53">IF(W105=0,0,(T105*O105))</f>
        <v>#N/A</v>
      </c>
      <c r="AD105" s="590" t="e">
        <f t="shared" si="49"/>
        <v>#N/A</v>
      </c>
      <c r="AG105" s="607" t="s">
        <v>1526</v>
      </c>
      <c r="AH105" s="603" t="e">
        <f>AH62+AH104</f>
        <v>#N/A</v>
      </c>
      <c r="AI105" s="603" t="e">
        <f t="shared" ref="AI105:AS105" si="54">AI62+AI104</f>
        <v>#N/A</v>
      </c>
      <c r="AJ105" s="603" t="e">
        <f t="shared" si="54"/>
        <v>#N/A</v>
      </c>
      <c r="AK105" s="603" t="e">
        <f t="shared" si="54"/>
        <v>#N/A</v>
      </c>
      <c r="AL105" s="603" t="e">
        <f t="shared" si="54"/>
        <v>#N/A</v>
      </c>
      <c r="AM105" s="603" t="e">
        <f t="shared" si="54"/>
        <v>#N/A</v>
      </c>
      <c r="AN105" s="603" t="e">
        <f t="shared" si="54"/>
        <v>#N/A</v>
      </c>
      <c r="AO105" s="603" t="e">
        <f t="shared" si="54"/>
        <v>#N/A</v>
      </c>
      <c r="AP105" s="603" t="e">
        <f t="shared" si="54"/>
        <v>#N/A</v>
      </c>
      <c r="AQ105" s="603" t="e">
        <f t="shared" si="54"/>
        <v>#N/A</v>
      </c>
      <c r="AR105" s="603" t="e">
        <f t="shared" si="54"/>
        <v>#N/A</v>
      </c>
      <c r="AS105" s="603" t="e">
        <f t="shared" si="54"/>
        <v>#N/A</v>
      </c>
      <c r="AW105" s="580"/>
    </row>
    <row r="106" spans="2:50" ht="15" customHeight="1">
      <c r="B106" s="581" t="s">
        <v>225</v>
      </c>
      <c r="C106" s="604"/>
      <c r="D106" s="604"/>
      <c r="E106" s="604"/>
      <c r="F106" s="604"/>
      <c r="G106" s="604"/>
      <c r="H106" s="176" t="e">
        <f t="shared" si="39"/>
        <v>#N/A</v>
      </c>
      <c r="I106" s="176" t="e">
        <f t="shared" si="40"/>
        <v>#N/A</v>
      </c>
      <c r="J106" s="604"/>
      <c r="K106" s="604"/>
      <c r="L106" s="604"/>
      <c r="O106" s="590" t="e">
        <f t="shared" si="41"/>
        <v>#N/A</v>
      </c>
      <c r="P106" s="176">
        <f t="shared" ref="P106:P112" si="55">P105</f>
        <v>3.23</v>
      </c>
      <c r="Q106" s="580" t="e">
        <f t="shared" si="42"/>
        <v>#N/A</v>
      </c>
      <c r="R106" s="580">
        <f t="shared" ref="R106:R112" si="56">R105</f>
        <v>3.3</v>
      </c>
      <c r="S106" s="590" t="e">
        <f t="shared" si="43"/>
        <v>#N/A</v>
      </c>
      <c r="T106" s="176" t="e">
        <f t="shared" si="44"/>
        <v>#N/A</v>
      </c>
      <c r="U106" s="580">
        <f t="shared" ref="U106:U112" si="57">U105</f>
        <v>200</v>
      </c>
      <c r="V106" s="176" t="e">
        <f t="shared" si="45"/>
        <v>#N/A</v>
      </c>
      <c r="W106" s="605" t="e">
        <f>IF($R$35=2,0,IF($R$35=4,$O$35/4,IF($R$35=6,$O$35/6,IF($R$35=8,$O$35/8,IF($R$35=9,$O$35/9)))))</f>
        <v>#N/A</v>
      </c>
      <c r="X106" s="606" t="e">
        <f t="shared" si="46"/>
        <v>#N/A</v>
      </c>
      <c r="Y106" s="606" t="e">
        <f t="shared" si="47"/>
        <v>#N/A</v>
      </c>
      <c r="Z106" s="580">
        <f t="shared" ref="Z106:Z112" si="58">Z105</f>
        <v>2</v>
      </c>
      <c r="AA106" s="176" t="e">
        <f t="shared" si="48"/>
        <v>#N/A</v>
      </c>
      <c r="AB106" s="176" t="e">
        <f t="shared" si="52"/>
        <v>#N/A</v>
      </c>
      <c r="AC106" s="590" t="e">
        <f t="shared" si="53"/>
        <v>#N/A</v>
      </c>
      <c r="AD106" s="590" t="e">
        <f t="shared" si="49"/>
        <v>#N/A</v>
      </c>
      <c r="AG106" s="581" t="s">
        <v>1529</v>
      </c>
      <c r="AH106" s="590" t="e">
        <f>IF((AH105-$AW$60)&lt;0,0,AH105-$AW$60)</f>
        <v>#N/A</v>
      </c>
      <c r="AI106" s="590" t="e">
        <f t="shared" ref="AI106:AS106" si="59">IF((AI105-$AW$60)&lt;0,0,AI105-$AW$60)</f>
        <v>#N/A</v>
      </c>
      <c r="AJ106" s="590" t="e">
        <f t="shared" si="59"/>
        <v>#N/A</v>
      </c>
      <c r="AK106" s="590" t="e">
        <f t="shared" si="59"/>
        <v>#N/A</v>
      </c>
      <c r="AL106" s="590" t="e">
        <f t="shared" si="59"/>
        <v>#N/A</v>
      </c>
      <c r="AM106" s="590" t="e">
        <f t="shared" si="59"/>
        <v>#N/A</v>
      </c>
      <c r="AN106" s="590" t="e">
        <f t="shared" si="59"/>
        <v>#N/A</v>
      </c>
      <c r="AO106" s="590" t="e">
        <f t="shared" si="59"/>
        <v>#N/A</v>
      </c>
      <c r="AP106" s="590" t="e">
        <f t="shared" si="59"/>
        <v>#N/A</v>
      </c>
      <c r="AQ106" s="590" t="e">
        <f t="shared" si="59"/>
        <v>#N/A</v>
      </c>
      <c r="AR106" s="590" t="e">
        <f t="shared" si="59"/>
        <v>#N/A</v>
      </c>
      <c r="AS106" s="590" t="e">
        <f t="shared" si="59"/>
        <v>#N/A</v>
      </c>
      <c r="AV106" s="148" t="s">
        <v>1209</v>
      </c>
      <c r="AW106" s="148">
        <f>ENERGÍA!AY112</f>
        <v>0</v>
      </c>
    </row>
    <row r="107" spans="2:50" ht="15" customHeight="1">
      <c r="B107" s="581" t="s">
        <v>225</v>
      </c>
      <c r="C107" s="604"/>
      <c r="D107" s="604"/>
      <c r="E107" s="604"/>
      <c r="F107" s="604"/>
      <c r="G107" s="604"/>
      <c r="H107" s="176" t="e">
        <f t="shared" si="39"/>
        <v>#N/A</v>
      </c>
      <c r="I107" s="176" t="e">
        <f t="shared" si="40"/>
        <v>#N/A</v>
      </c>
      <c r="J107" s="604"/>
      <c r="K107" s="604"/>
      <c r="L107" s="604"/>
      <c r="O107" s="590" t="e">
        <f t="shared" si="41"/>
        <v>#N/A</v>
      </c>
      <c r="P107" s="176">
        <f t="shared" si="55"/>
        <v>3.23</v>
      </c>
      <c r="Q107" s="580" t="e">
        <f t="shared" si="42"/>
        <v>#N/A</v>
      </c>
      <c r="R107" s="580">
        <f t="shared" si="56"/>
        <v>3.3</v>
      </c>
      <c r="S107" s="590" t="e">
        <f t="shared" si="43"/>
        <v>#N/A</v>
      </c>
      <c r="T107" s="176" t="e">
        <f t="shared" si="44"/>
        <v>#N/A</v>
      </c>
      <c r="U107" s="580">
        <f t="shared" si="57"/>
        <v>200</v>
      </c>
      <c r="V107" s="176" t="e">
        <f t="shared" si="45"/>
        <v>#N/A</v>
      </c>
      <c r="W107" s="605" t="e">
        <f>IF($R$35=2,0,IF($R$35=4,$O$35/4,IF($R$35=6,$O$35/6,IF($R$35=8,$O$35/8,IF($R$35=9,$O$35/9)))))</f>
        <v>#N/A</v>
      </c>
      <c r="X107" s="606" t="e">
        <f t="shared" si="46"/>
        <v>#N/A</v>
      </c>
      <c r="Y107" s="606" t="e">
        <f t="shared" si="47"/>
        <v>#N/A</v>
      </c>
      <c r="Z107" s="580">
        <f t="shared" si="58"/>
        <v>2</v>
      </c>
      <c r="AA107" s="176" t="e">
        <f t="shared" si="48"/>
        <v>#N/A</v>
      </c>
      <c r="AB107" s="176" t="e">
        <f t="shared" si="52"/>
        <v>#N/A</v>
      </c>
      <c r="AC107" s="590" t="e">
        <f t="shared" si="53"/>
        <v>#N/A</v>
      </c>
      <c r="AD107" s="590" t="e">
        <f t="shared" si="49"/>
        <v>#N/A</v>
      </c>
      <c r="AG107" s="581" t="s">
        <v>1530</v>
      </c>
      <c r="AH107" s="590" t="e">
        <f>IF(AH105&gt;$AW$60,0,IF(AH105&lt;$AW$59,$AW$59-AH105,0))</f>
        <v>#N/A</v>
      </c>
      <c r="AI107" s="590" t="e">
        <f t="shared" ref="AI107:AS107" si="60">IF(AI105&gt;$AW$60,0,IF(AI105&lt;$AW$59,$AW$59-AI105,0))</f>
        <v>#N/A</v>
      </c>
      <c r="AJ107" s="590" t="e">
        <f t="shared" si="60"/>
        <v>#N/A</v>
      </c>
      <c r="AK107" s="590" t="e">
        <f t="shared" si="60"/>
        <v>#N/A</v>
      </c>
      <c r="AL107" s="590" t="e">
        <f t="shared" si="60"/>
        <v>#N/A</v>
      </c>
      <c r="AM107" s="590" t="e">
        <f t="shared" si="60"/>
        <v>#N/A</v>
      </c>
      <c r="AN107" s="590" t="e">
        <f t="shared" si="60"/>
        <v>#N/A</v>
      </c>
      <c r="AO107" s="590" t="e">
        <f t="shared" si="60"/>
        <v>#N/A</v>
      </c>
      <c r="AP107" s="590" t="e">
        <f t="shared" si="60"/>
        <v>#N/A</v>
      </c>
      <c r="AQ107" s="590" t="e">
        <f t="shared" si="60"/>
        <v>#N/A</v>
      </c>
      <c r="AR107" s="590" t="e">
        <f t="shared" si="60"/>
        <v>#N/A</v>
      </c>
      <c r="AS107" s="590" t="e">
        <f t="shared" si="60"/>
        <v>#N/A</v>
      </c>
      <c r="AW107" s="580"/>
    </row>
    <row r="108" spans="2:50" ht="15" customHeight="1">
      <c r="B108" s="581" t="s">
        <v>225</v>
      </c>
      <c r="C108" s="604"/>
      <c r="D108" s="604"/>
      <c r="E108" s="604"/>
      <c r="F108" s="604"/>
      <c r="G108" s="604"/>
      <c r="H108" s="176" t="e">
        <f t="shared" si="39"/>
        <v>#N/A</v>
      </c>
      <c r="I108" s="176" t="e">
        <f t="shared" si="40"/>
        <v>#N/A</v>
      </c>
      <c r="J108" s="604"/>
      <c r="K108" s="604"/>
      <c r="L108" s="604"/>
      <c r="O108" s="590" t="e">
        <f t="shared" si="41"/>
        <v>#N/A</v>
      </c>
      <c r="P108" s="176">
        <f t="shared" si="55"/>
        <v>3.23</v>
      </c>
      <c r="Q108" s="580" t="e">
        <f t="shared" si="42"/>
        <v>#N/A</v>
      </c>
      <c r="R108" s="580">
        <f t="shared" si="56"/>
        <v>3.3</v>
      </c>
      <c r="S108" s="590" t="e">
        <f t="shared" si="43"/>
        <v>#N/A</v>
      </c>
      <c r="T108" s="176" t="e">
        <f t="shared" si="44"/>
        <v>#N/A</v>
      </c>
      <c r="U108" s="580">
        <f t="shared" si="57"/>
        <v>200</v>
      </c>
      <c r="V108" s="176" t="e">
        <f t="shared" si="45"/>
        <v>#N/A</v>
      </c>
      <c r="W108" s="605" t="e">
        <f>IF($R$35=2,0,IF($R$35=4,0,IF($R$35=6,$O$35/6,IF($R$35=8,$O$35/8,IF($R$35=9,$O$35/9)))))</f>
        <v>#N/A</v>
      </c>
      <c r="X108" s="606" t="e">
        <f t="shared" si="46"/>
        <v>#N/A</v>
      </c>
      <c r="Y108" s="606" t="e">
        <f t="shared" si="47"/>
        <v>#N/A</v>
      </c>
      <c r="Z108" s="580">
        <f t="shared" si="58"/>
        <v>2</v>
      </c>
      <c r="AA108" s="176" t="e">
        <f t="shared" si="48"/>
        <v>#N/A</v>
      </c>
      <c r="AB108" s="176" t="e">
        <f t="shared" si="52"/>
        <v>#N/A</v>
      </c>
      <c r="AC108" s="590" t="e">
        <f t="shared" si="53"/>
        <v>#N/A</v>
      </c>
      <c r="AD108" s="590" t="e">
        <f t="shared" si="49"/>
        <v>#N/A</v>
      </c>
      <c r="AG108" s="581" t="s">
        <v>1540</v>
      </c>
      <c r="AH108" s="590" t="e">
        <f>(AH106+AH107)*24</f>
        <v>#N/A</v>
      </c>
      <c r="AI108" s="590" t="e">
        <f t="shared" ref="AI108:AS108" si="61">(AI106+AI107)*24</f>
        <v>#N/A</v>
      </c>
      <c r="AJ108" s="590" t="e">
        <f t="shared" si="61"/>
        <v>#N/A</v>
      </c>
      <c r="AK108" s="590" t="e">
        <f t="shared" si="61"/>
        <v>#N/A</v>
      </c>
      <c r="AL108" s="590" t="e">
        <f t="shared" si="61"/>
        <v>#N/A</v>
      </c>
      <c r="AM108" s="590" t="e">
        <f t="shared" si="61"/>
        <v>#N/A</v>
      </c>
      <c r="AN108" s="590" t="e">
        <f t="shared" si="61"/>
        <v>#N/A</v>
      </c>
      <c r="AO108" s="590" t="e">
        <f t="shared" si="61"/>
        <v>#N/A</v>
      </c>
      <c r="AP108" s="590" t="e">
        <f t="shared" si="61"/>
        <v>#N/A</v>
      </c>
      <c r="AQ108" s="590" t="e">
        <f t="shared" si="61"/>
        <v>#N/A</v>
      </c>
      <c r="AR108" s="590" t="e">
        <f t="shared" si="61"/>
        <v>#N/A</v>
      </c>
      <c r="AS108" s="590" t="e">
        <f t="shared" si="61"/>
        <v>#N/A</v>
      </c>
      <c r="AV108" s="148" t="s">
        <v>1207</v>
      </c>
      <c r="AW108" s="148">
        <f>ENERGÍA!AY114</f>
        <v>0</v>
      </c>
    </row>
    <row r="109" spans="2:50" ht="15" customHeight="1">
      <c r="B109" s="581" t="s">
        <v>225</v>
      </c>
      <c r="C109" s="604"/>
      <c r="D109" s="604"/>
      <c r="E109" s="604"/>
      <c r="F109" s="604"/>
      <c r="G109" s="604"/>
      <c r="H109" s="176" t="e">
        <f t="shared" si="39"/>
        <v>#N/A</v>
      </c>
      <c r="I109" s="176" t="e">
        <f t="shared" si="40"/>
        <v>#N/A</v>
      </c>
      <c r="J109" s="604"/>
      <c r="K109" s="604"/>
      <c r="L109" s="604"/>
      <c r="O109" s="590" t="e">
        <f t="shared" si="41"/>
        <v>#N/A</v>
      </c>
      <c r="P109" s="176">
        <f t="shared" si="55"/>
        <v>3.23</v>
      </c>
      <c r="Q109" s="580" t="e">
        <f t="shared" si="42"/>
        <v>#N/A</v>
      </c>
      <c r="R109" s="580">
        <f t="shared" si="56"/>
        <v>3.3</v>
      </c>
      <c r="S109" s="590" t="e">
        <f t="shared" si="43"/>
        <v>#N/A</v>
      </c>
      <c r="T109" s="176" t="e">
        <f t="shared" si="44"/>
        <v>#N/A</v>
      </c>
      <c r="U109" s="580">
        <f t="shared" si="57"/>
        <v>200</v>
      </c>
      <c r="V109" s="176" t="e">
        <f t="shared" si="45"/>
        <v>#N/A</v>
      </c>
      <c r="W109" s="605" t="e">
        <f>IF($R$35=2,0,IF($R$35=4,0,IF($R$35=6,$O$35/6,IF($R$35=8,$O$35/8,IF($R$35=9,$O$35/9)))))</f>
        <v>#N/A</v>
      </c>
      <c r="X109" s="606" t="e">
        <f t="shared" si="46"/>
        <v>#N/A</v>
      </c>
      <c r="Y109" s="606" t="e">
        <f t="shared" si="47"/>
        <v>#N/A</v>
      </c>
      <c r="Z109" s="580">
        <f t="shared" si="58"/>
        <v>2</v>
      </c>
      <c r="AA109" s="176" t="e">
        <f t="shared" si="48"/>
        <v>#N/A</v>
      </c>
      <c r="AB109" s="176" t="e">
        <f t="shared" si="52"/>
        <v>#N/A</v>
      </c>
      <c r="AC109" s="590" t="e">
        <f t="shared" si="53"/>
        <v>#N/A</v>
      </c>
      <c r="AD109" s="590" t="e">
        <f t="shared" si="49"/>
        <v>#N/A</v>
      </c>
      <c r="AW109" s="580"/>
    </row>
    <row r="110" spans="2:50" ht="15" customHeight="1">
      <c r="B110" s="581" t="s">
        <v>225</v>
      </c>
      <c r="C110" s="604"/>
      <c r="D110" s="604"/>
      <c r="E110" s="604"/>
      <c r="F110" s="604"/>
      <c r="G110" s="604"/>
      <c r="H110" s="176" t="e">
        <f t="shared" si="39"/>
        <v>#N/A</v>
      </c>
      <c r="I110" s="176" t="e">
        <f t="shared" si="40"/>
        <v>#N/A</v>
      </c>
      <c r="J110" s="604"/>
      <c r="K110" s="604"/>
      <c r="L110" s="604"/>
      <c r="O110" s="590" t="e">
        <f t="shared" si="41"/>
        <v>#N/A</v>
      </c>
      <c r="P110" s="176">
        <f t="shared" si="55"/>
        <v>3.23</v>
      </c>
      <c r="Q110" s="580" t="e">
        <f t="shared" si="42"/>
        <v>#N/A</v>
      </c>
      <c r="R110" s="580">
        <f t="shared" si="56"/>
        <v>3.3</v>
      </c>
      <c r="S110" s="590" t="e">
        <f t="shared" si="43"/>
        <v>#N/A</v>
      </c>
      <c r="T110" s="176" t="e">
        <f t="shared" si="44"/>
        <v>#N/A</v>
      </c>
      <c r="U110" s="580">
        <f t="shared" si="57"/>
        <v>200</v>
      </c>
      <c r="V110" s="176" t="e">
        <f t="shared" si="45"/>
        <v>#N/A</v>
      </c>
      <c r="W110" s="605" t="e">
        <f>IF($R$35=2,0,IF($R$35=4,0,IF($R$35=6,0,IF($R$35=8,$O$35/8,IF($R$35=9,$O$35/9)))))</f>
        <v>#N/A</v>
      </c>
      <c r="X110" s="606" t="e">
        <f t="shared" si="46"/>
        <v>#N/A</v>
      </c>
      <c r="Y110" s="606" t="e">
        <f t="shared" si="47"/>
        <v>#N/A</v>
      </c>
      <c r="Z110" s="580">
        <f t="shared" si="58"/>
        <v>2</v>
      </c>
      <c r="AA110" s="176" t="e">
        <f t="shared" si="48"/>
        <v>#N/A</v>
      </c>
      <c r="AB110" s="176" t="e">
        <f t="shared" si="52"/>
        <v>#N/A</v>
      </c>
      <c r="AC110" s="590" t="e">
        <f t="shared" si="53"/>
        <v>#N/A</v>
      </c>
      <c r="AD110" s="590" t="e">
        <f t="shared" si="49"/>
        <v>#N/A</v>
      </c>
      <c r="AV110" s="148" t="s">
        <v>1206</v>
      </c>
      <c r="AW110" s="148">
        <f>ENERGÍA!AY116</f>
        <v>0</v>
      </c>
    </row>
    <row r="111" spans="2:50" ht="15" customHeight="1">
      <c r="B111" s="581" t="s">
        <v>225</v>
      </c>
      <c r="C111" s="604"/>
      <c r="D111" s="604"/>
      <c r="E111" s="604"/>
      <c r="F111" s="604"/>
      <c r="G111" s="604"/>
      <c r="H111" s="176" t="e">
        <f t="shared" si="39"/>
        <v>#N/A</v>
      </c>
      <c r="I111" s="176" t="e">
        <f t="shared" si="40"/>
        <v>#N/A</v>
      </c>
      <c r="J111" s="604"/>
      <c r="K111" s="604"/>
      <c r="L111" s="604"/>
      <c r="O111" s="590" t="e">
        <f t="shared" si="41"/>
        <v>#N/A</v>
      </c>
      <c r="P111" s="176">
        <f t="shared" si="55"/>
        <v>3.23</v>
      </c>
      <c r="Q111" s="580" t="e">
        <f t="shared" si="42"/>
        <v>#N/A</v>
      </c>
      <c r="R111" s="580">
        <f t="shared" si="56"/>
        <v>3.3</v>
      </c>
      <c r="S111" s="590" t="e">
        <f t="shared" si="43"/>
        <v>#N/A</v>
      </c>
      <c r="T111" s="176" t="e">
        <f t="shared" si="44"/>
        <v>#N/A</v>
      </c>
      <c r="U111" s="580">
        <f t="shared" si="57"/>
        <v>200</v>
      </c>
      <c r="V111" s="176" t="e">
        <f t="shared" si="45"/>
        <v>#N/A</v>
      </c>
      <c r="W111" s="605" t="e">
        <f>IF($R$35=2,0,IF($R$35=4,0,IF($R$35=6,0,IF($R$35=8,$O$35/8,IF($R$35=9,$O$35/9)))))</f>
        <v>#N/A</v>
      </c>
      <c r="X111" s="606" t="e">
        <f t="shared" si="46"/>
        <v>#N/A</v>
      </c>
      <c r="Y111" s="606" t="e">
        <f t="shared" si="47"/>
        <v>#N/A</v>
      </c>
      <c r="Z111" s="580">
        <f t="shared" si="58"/>
        <v>2</v>
      </c>
      <c r="AA111" s="176" t="e">
        <f t="shared" si="48"/>
        <v>#N/A</v>
      </c>
      <c r="AB111" s="176" t="e">
        <f t="shared" si="52"/>
        <v>#N/A</v>
      </c>
      <c r="AC111" s="590" t="e">
        <f t="shared" si="53"/>
        <v>#N/A</v>
      </c>
      <c r="AD111" s="590" t="e">
        <f t="shared" si="49"/>
        <v>#N/A</v>
      </c>
      <c r="AG111" s="581" t="s">
        <v>1541</v>
      </c>
      <c r="AH111" s="580">
        <f t="shared" ref="AH111:AS111" si="62">AH64*24</f>
        <v>0</v>
      </c>
      <c r="AI111" s="580">
        <f t="shared" si="62"/>
        <v>0</v>
      </c>
      <c r="AJ111" s="580">
        <f t="shared" si="62"/>
        <v>0</v>
      </c>
      <c r="AK111" s="580">
        <f t="shared" si="62"/>
        <v>0</v>
      </c>
      <c r="AL111" s="580">
        <f t="shared" si="62"/>
        <v>0</v>
      </c>
      <c r="AM111" s="580">
        <f t="shared" si="62"/>
        <v>0</v>
      </c>
      <c r="AN111" s="580">
        <f t="shared" si="62"/>
        <v>0</v>
      </c>
      <c r="AO111" s="580">
        <f t="shared" si="62"/>
        <v>0</v>
      </c>
      <c r="AP111" s="580">
        <f t="shared" si="62"/>
        <v>0</v>
      </c>
      <c r="AQ111" s="580">
        <f t="shared" si="62"/>
        <v>0</v>
      </c>
      <c r="AR111" s="580">
        <f t="shared" si="62"/>
        <v>0</v>
      </c>
      <c r="AS111" s="580">
        <f t="shared" si="62"/>
        <v>0</v>
      </c>
      <c r="AW111" s="580"/>
    </row>
    <row r="112" spans="2:50" ht="15" customHeight="1">
      <c r="B112" s="581" t="s">
        <v>225</v>
      </c>
      <c r="C112" s="604"/>
      <c r="D112" s="604"/>
      <c r="E112" s="604"/>
      <c r="F112" s="604"/>
      <c r="G112" s="604"/>
      <c r="H112" s="176" t="e">
        <f t="shared" si="39"/>
        <v>#N/A</v>
      </c>
      <c r="I112" s="176" t="e">
        <f t="shared" si="40"/>
        <v>#N/A</v>
      </c>
      <c r="J112" s="604"/>
      <c r="K112" s="604"/>
      <c r="L112" s="604"/>
      <c r="O112" s="590" t="e">
        <f t="shared" si="41"/>
        <v>#N/A</v>
      </c>
      <c r="P112" s="176">
        <f t="shared" si="55"/>
        <v>3.23</v>
      </c>
      <c r="Q112" s="580" t="e">
        <f t="shared" si="42"/>
        <v>#N/A</v>
      </c>
      <c r="R112" s="580">
        <f t="shared" si="56"/>
        <v>3.3</v>
      </c>
      <c r="S112" s="590" t="e">
        <f t="shared" si="43"/>
        <v>#N/A</v>
      </c>
      <c r="T112" s="176" t="e">
        <f t="shared" si="44"/>
        <v>#N/A</v>
      </c>
      <c r="U112" s="580">
        <f t="shared" si="57"/>
        <v>200</v>
      </c>
      <c r="V112" s="176" t="e">
        <f t="shared" si="45"/>
        <v>#N/A</v>
      </c>
      <c r="W112" s="605" t="e">
        <f>IF($R$35=2,0,IF($R$35=4,0,IF($R$35=6,0,IF($R$35=8,0,IF($R$35=9,$O$35/9)))))</f>
        <v>#N/A</v>
      </c>
      <c r="X112" s="606" t="e">
        <f t="shared" si="46"/>
        <v>#N/A</v>
      </c>
      <c r="Y112" s="606" t="e">
        <f t="shared" si="47"/>
        <v>#N/A</v>
      </c>
      <c r="Z112" s="580">
        <f t="shared" si="58"/>
        <v>2</v>
      </c>
      <c r="AA112" s="176" t="e">
        <f t="shared" si="48"/>
        <v>#N/A</v>
      </c>
      <c r="AB112" s="176" t="e">
        <f t="shared" si="52"/>
        <v>#N/A</v>
      </c>
      <c r="AC112" s="590" t="e">
        <f t="shared" si="53"/>
        <v>#N/A</v>
      </c>
      <c r="AD112" s="590" t="e">
        <f t="shared" si="49"/>
        <v>#N/A</v>
      </c>
      <c r="AG112" s="581" t="s">
        <v>1545</v>
      </c>
      <c r="AH112" s="580">
        <f>(AH66*24/100)</f>
        <v>4.32</v>
      </c>
      <c r="AI112" s="580">
        <f t="shared" ref="AI112:AS112" si="63">(AI66*24/100)</f>
        <v>4.32</v>
      </c>
      <c r="AJ112" s="580">
        <f t="shared" si="63"/>
        <v>4.32</v>
      </c>
      <c r="AK112" s="580">
        <f t="shared" si="63"/>
        <v>4.32</v>
      </c>
      <c r="AL112" s="580">
        <f t="shared" si="63"/>
        <v>4.32</v>
      </c>
      <c r="AM112" s="580">
        <f t="shared" si="63"/>
        <v>4.32</v>
      </c>
      <c r="AN112" s="580">
        <f t="shared" si="63"/>
        <v>4.32</v>
      </c>
      <c r="AO112" s="580">
        <f t="shared" si="63"/>
        <v>4.32</v>
      </c>
      <c r="AP112" s="580">
        <f t="shared" si="63"/>
        <v>4.32</v>
      </c>
      <c r="AQ112" s="580">
        <f t="shared" si="63"/>
        <v>4.32</v>
      </c>
      <c r="AR112" s="580">
        <f t="shared" si="63"/>
        <v>4.32</v>
      </c>
      <c r="AS112" s="580">
        <f t="shared" si="63"/>
        <v>4.32</v>
      </c>
      <c r="AV112" s="580" t="s">
        <v>1405</v>
      </c>
      <c r="AW112" s="148">
        <f>ENERGÍA!AY118</f>
        <v>0</v>
      </c>
    </row>
    <row r="113" spans="1:50" ht="15" customHeight="1">
      <c r="D113" s="126"/>
      <c r="E113" s="126"/>
      <c r="K113" s="126"/>
      <c r="L113" s="126"/>
      <c r="Q113" s="126"/>
      <c r="R113" s="126"/>
      <c r="V113" s="126"/>
      <c r="X113" s="126"/>
      <c r="AV113" s="580"/>
      <c r="AW113" s="580"/>
    </row>
    <row r="114" spans="1:50" ht="15" customHeight="1">
      <c r="D114" s="126"/>
      <c r="E114" s="126"/>
      <c r="K114" s="126"/>
      <c r="L114" s="126"/>
      <c r="Q114" s="126"/>
      <c r="R114" s="126"/>
      <c r="V114" s="126"/>
      <c r="X114" s="126"/>
      <c r="AG114" s="581" t="s">
        <v>1544</v>
      </c>
      <c r="AH114" s="590" t="e">
        <f>IF(($AW$59-AH62)&lt;0,0,(($AW$59-AH62)*24)*AH112-AH108)</f>
        <v>#N/A</v>
      </c>
      <c r="AI114" s="590" t="e">
        <f t="shared" ref="AI114:AS114" si="64">IF(($AW$59-AI62)&lt;0,0,(($AW$59-AI62)*24)*AI112-AI108)</f>
        <v>#N/A</v>
      </c>
      <c r="AJ114" s="590" t="e">
        <f t="shared" si="64"/>
        <v>#N/A</v>
      </c>
      <c r="AK114" s="590" t="e">
        <f t="shared" si="64"/>
        <v>#N/A</v>
      </c>
      <c r="AL114" s="590" t="e">
        <f t="shared" si="64"/>
        <v>#N/A</v>
      </c>
      <c r="AM114" s="590" t="e">
        <f t="shared" si="64"/>
        <v>#N/A</v>
      </c>
      <c r="AN114" s="590" t="e">
        <f t="shared" si="64"/>
        <v>#N/A</v>
      </c>
      <c r="AO114" s="590" t="e">
        <f t="shared" si="64"/>
        <v>#N/A</v>
      </c>
      <c r="AP114" s="590" t="e">
        <f t="shared" si="64"/>
        <v>#N/A</v>
      </c>
      <c r="AQ114" s="590" t="e">
        <f t="shared" si="64"/>
        <v>#N/A</v>
      </c>
      <c r="AR114" s="590" t="e">
        <f t="shared" si="64"/>
        <v>#N/A</v>
      </c>
      <c r="AS114" s="590" t="e">
        <f t="shared" si="64"/>
        <v>#N/A</v>
      </c>
      <c r="AV114" s="580" t="s">
        <v>1406</v>
      </c>
      <c r="AW114" s="148">
        <f>ENERGÍA!AY120</f>
        <v>0</v>
      </c>
    </row>
    <row r="115" spans="1:50" ht="15" customHeight="1">
      <c r="C115" s="1323" t="s">
        <v>1204</v>
      </c>
      <c r="D115" s="1323"/>
      <c r="E115" s="580" t="s">
        <v>1185</v>
      </c>
      <c r="F115" s="580" t="s">
        <v>1186</v>
      </c>
      <c r="G115" s="580" t="s">
        <v>227</v>
      </c>
      <c r="K115" s="126"/>
      <c r="L115" s="126"/>
      <c r="Q115" s="126"/>
      <c r="R115" s="126"/>
      <c r="V115" s="126"/>
      <c r="X115" s="126"/>
      <c r="AH115" s="590" t="e">
        <f>IF(AH114&lt;0,0,AH114)</f>
        <v>#N/A</v>
      </c>
      <c r="AI115" s="590" t="e">
        <f t="shared" ref="AI115:AS115" si="65">IF(AI114&lt;0,0,AI114)</f>
        <v>#N/A</v>
      </c>
      <c r="AJ115" s="590" t="e">
        <f t="shared" si="65"/>
        <v>#N/A</v>
      </c>
      <c r="AK115" s="590" t="e">
        <f t="shared" si="65"/>
        <v>#N/A</v>
      </c>
      <c r="AL115" s="590" t="e">
        <f t="shared" si="65"/>
        <v>#N/A</v>
      </c>
      <c r="AM115" s="590" t="e">
        <f t="shared" si="65"/>
        <v>#N/A</v>
      </c>
      <c r="AN115" s="590" t="e">
        <f t="shared" si="65"/>
        <v>#N/A</v>
      </c>
      <c r="AO115" s="590" t="e">
        <f t="shared" si="65"/>
        <v>#N/A</v>
      </c>
      <c r="AP115" s="590" t="e">
        <f t="shared" si="65"/>
        <v>#N/A</v>
      </c>
      <c r="AQ115" s="590" t="e">
        <f t="shared" si="65"/>
        <v>#N/A</v>
      </c>
      <c r="AR115" s="590" t="e">
        <f t="shared" si="65"/>
        <v>#N/A</v>
      </c>
      <c r="AS115" s="590" t="e">
        <f t="shared" si="65"/>
        <v>#N/A</v>
      </c>
      <c r="AW115" s="580"/>
    </row>
    <row r="116" spans="1:50" ht="15" customHeight="1">
      <c r="B116" s="581" t="s">
        <v>768</v>
      </c>
      <c r="C116" s="1324"/>
      <c r="D116" s="1324"/>
      <c r="E116" s="589">
        <f>ENERGÍA!F122</f>
        <v>0</v>
      </c>
      <c r="F116" s="589">
        <f>ENERGÍA!G122</f>
        <v>0</v>
      </c>
      <c r="G116" s="589">
        <f>ENERGÍA!H122</f>
        <v>0</v>
      </c>
      <c r="K116" s="126"/>
      <c r="L116" s="126"/>
      <c r="T116" s="590">
        <f>ENERGÍA!U122</f>
        <v>0</v>
      </c>
      <c r="V116" s="126"/>
      <c r="X116" s="126"/>
      <c r="AC116" s="590">
        <f>T116*E116*F116</f>
        <v>0</v>
      </c>
      <c r="AD116" s="590">
        <f>AC116</f>
        <v>0</v>
      </c>
      <c r="AG116" s="1339" t="s">
        <v>1542</v>
      </c>
      <c r="AH116" s="1339"/>
      <c r="AI116" s="1339"/>
      <c r="AJ116" s="1339"/>
      <c r="AK116" s="1339"/>
      <c r="AL116" s="1339"/>
      <c r="AM116" s="1339"/>
      <c r="AN116" s="1339"/>
      <c r="AO116" s="1339"/>
      <c r="AP116" s="1339"/>
      <c r="AQ116" s="1339"/>
      <c r="AR116" s="1339"/>
      <c r="AS116" s="1339"/>
      <c r="AW116" s="580"/>
    </row>
    <row r="117" spans="1:50" ht="6" customHeight="1">
      <c r="J117" s="580"/>
      <c r="L117" s="126"/>
      <c r="V117" s="148"/>
      <c r="Z117" s="580"/>
      <c r="AA117" s="580"/>
      <c r="AW117" s="580"/>
    </row>
    <row r="118" spans="1:50" ht="15" customHeight="1">
      <c r="B118" s="1323">
        <f>C36</f>
        <v>0</v>
      </c>
      <c r="C118" s="1323"/>
      <c r="D118" s="1323"/>
      <c r="E118" s="1323"/>
      <c r="F118" s="1323"/>
      <c r="G118" s="1323"/>
      <c r="H118" s="1323"/>
      <c r="I118" s="1323"/>
      <c r="J118" s="1323"/>
      <c r="K118" s="1323"/>
      <c r="L118" s="1323"/>
      <c r="O118" s="1284">
        <f>B118</f>
        <v>0</v>
      </c>
      <c r="P118" s="1338"/>
      <c r="Q118" s="1338"/>
      <c r="R118" s="1338"/>
      <c r="S118" s="1338"/>
      <c r="T118" s="1338"/>
      <c r="U118" s="1338"/>
      <c r="V118" s="1338"/>
      <c r="W118" s="1338"/>
      <c r="X118" s="1338"/>
      <c r="Y118" s="1338"/>
      <c r="Z118" s="1338"/>
      <c r="AA118" s="1338"/>
      <c r="AB118" s="1338"/>
      <c r="AC118" s="1338"/>
      <c r="AD118" s="1338"/>
      <c r="AE118" s="1285"/>
      <c r="AG118" s="581" t="s">
        <v>1656</v>
      </c>
      <c r="AH118" s="590" t="e">
        <f>AH98*AH108*24/500</f>
        <v>#N/A</v>
      </c>
      <c r="AI118" s="590" t="e">
        <f t="shared" ref="AI118:AS118" si="66">AI98*AI108*24/500</f>
        <v>#N/A</v>
      </c>
      <c r="AJ118" s="590" t="e">
        <f t="shared" si="66"/>
        <v>#N/A</v>
      </c>
      <c r="AK118" s="590" t="e">
        <f t="shared" si="66"/>
        <v>#N/A</v>
      </c>
      <c r="AL118" s="590" t="e">
        <f t="shared" si="66"/>
        <v>#N/A</v>
      </c>
      <c r="AM118" s="590" t="e">
        <f t="shared" si="66"/>
        <v>#N/A</v>
      </c>
      <c r="AN118" s="590" t="e">
        <f t="shared" si="66"/>
        <v>#N/A</v>
      </c>
      <c r="AO118" s="590" t="e">
        <f t="shared" si="66"/>
        <v>#N/A</v>
      </c>
      <c r="AP118" s="590" t="e">
        <f t="shared" si="66"/>
        <v>#N/A</v>
      </c>
      <c r="AQ118" s="590" t="e">
        <f t="shared" si="66"/>
        <v>#N/A</v>
      </c>
      <c r="AR118" s="590" t="e">
        <f t="shared" si="66"/>
        <v>#N/A</v>
      </c>
      <c r="AS118" s="590" t="e">
        <f t="shared" si="66"/>
        <v>#N/A</v>
      </c>
      <c r="AW118" s="580"/>
    </row>
    <row r="119" spans="1:50" ht="6" customHeight="1">
      <c r="L119" s="126"/>
      <c r="V119" s="148"/>
      <c r="Z119" s="580"/>
      <c r="AA119" s="580"/>
      <c r="AF119" s="597"/>
      <c r="AW119" s="580"/>
    </row>
    <row r="120" spans="1:50" ht="15" customHeight="1">
      <c r="B120" s="1273"/>
      <c r="C120" s="1323" t="s">
        <v>1184</v>
      </c>
      <c r="D120" s="1323"/>
      <c r="E120" s="1323"/>
      <c r="F120" s="1323" t="s">
        <v>1188</v>
      </c>
      <c r="G120" s="1323"/>
      <c r="H120" s="1323" t="s">
        <v>1203</v>
      </c>
      <c r="I120" s="1323"/>
      <c r="J120" s="1281" t="s">
        <v>790</v>
      </c>
      <c r="K120" s="1281" t="s">
        <v>1136</v>
      </c>
      <c r="L120" s="1281"/>
      <c r="O120" s="580" t="s">
        <v>1651</v>
      </c>
      <c r="P120" s="1281" t="s">
        <v>1064</v>
      </c>
      <c r="Q120" s="580" t="s">
        <v>1652</v>
      </c>
      <c r="R120" s="1273" t="s">
        <v>1191</v>
      </c>
      <c r="S120" s="580" t="s">
        <v>1190</v>
      </c>
      <c r="T120" s="1273" t="s">
        <v>1192</v>
      </c>
      <c r="U120" s="1323" t="s">
        <v>1653</v>
      </c>
      <c r="V120" s="1323"/>
      <c r="W120" s="580" t="s">
        <v>1654</v>
      </c>
      <c r="X120" s="1273" t="s">
        <v>1403</v>
      </c>
      <c r="Y120" s="1273" t="s">
        <v>1404</v>
      </c>
      <c r="Z120" s="1273" t="s">
        <v>1210</v>
      </c>
      <c r="AA120" s="1273" t="s">
        <v>1201</v>
      </c>
      <c r="AB120" s="1273" t="s">
        <v>1202</v>
      </c>
      <c r="AC120" s="1281" t="s">
        <v>850</v>
      </c>
      <c r="AD120" s="1281" t="str">
        <f>AC120</f>
        <v>W/K Inv</v>
      </c>
      <c r="AE120" s="226" t="s">
        <v>1017</v>
      </c>
      <c r="AF120" s="597"/>
      <c r="AG120" s="581" t="s">
        <v>760</v>
      </c>
      <c r="AH120" s="590">
        <f>(AD60/0.2)*31/1000*(6.1/6)</f>
        <v>0</v>
      </c>
      <c r="AI120" s="590">
        <f>AH120</f>
        <v>0</v>
      </c>
      <c r="AJ120" s="590">
        <f t="shared" ref="AJ120:AS120" si="67">AI120</f>
        <v>0</v>
      </c>
      <c r="AK120" s="590">
        <f t="shared" si="67"/>
        <v>0</v>
      </c>
      <c r="AL120" s="590">
        <f t="shared" si="67"/>
        <v>0</v>
      </c>
      <c r="AM120" s="590">
        <f t="shared" si="67"/>
        <v>0</v>
      </c>
      <c r="AN120" s="590">
        <f t="shared" si="67"/>
        <v>0</v>
      </c>
      <c r="AO120" s="590">
        <f t="shared" si="67"/>
        <v>0</v>
      </c>
      <c r="AP120" s="590">
        <f t="shared" si="67"/>
        <v>0</v>
      </c>
      <c r="AQ120" s="590">
        <f t="shared" si="67"/>
        <v>0</v>
      </c>
      <c r="AR120" s="590">
        <f t="shared" si="67"/>
        <v>0</v>
      </c>
      <c r="AS120" s="590">
        <f t="shared" si="67"/>
        <v>0</v>
      </c>
    </row>
    <row r="121" spans="1:50" ht="15" customHeight="1">
      <c r="B121" s="1273"/>
      <c r="C121" s="148" t="s">
        <v>623</v>
      </c>
      <c r="D121" s="580" t="s">
        <v>1185</v>
      </c>
      <c r="E121" s="580" t="s">
        <v>1186</v>
      </c>
      <c r="F121" s="580" t="s">
        <v>623</v>
      </c>
      <c r="G121" s="580" t="s">
        <v>1189</v>
      </c>
      <c r="H121" s="580" t="s">
        <v>757</v>
      </c>
      <c r="I121" s="580" t="s">
        <v>650</v>
      </c>
      <c r="J121" s="1281"/>
      <c r="K121" s="166" t="s">
        <v>623</v>
      </c>
      <c r="L121" s="602" t="s">
        <v>1122</v>
      </c>
      <c r="O121" s="580" t="s">
        <v>1187</v>
      </c>
      <c r="P121" s="1281"/>
      <c r="Q121" s="580" t="s">
        <v>1187</v>
      </c>
      <c r="R121" s="1273"/>
      <c r="S121" s="580" t="s">
        <v>18</v>
      </c>
      <c r="T121" s="1273"/>
      <c r="U121" s="580" t="s">
        <v>1199</v>
      </c>
      <c r="V121" s="148" t="s">
        <v>1200</v>
      </c>
      <c r="W121" s="176" t="s">
        <v>1187</v>
      </c>
      <c r="X121" s="1273"/>
      <c r="Y121" s="1273"/>
      <c r="Z121" s="1273"/>
      <c r="AA121" s="1273"/>
      <c r="AB121" s="1273"/>
      <c r="AC121" s="1281"/>
      <c r="AD121" s="1281"/>
      <c r="AE121" s="603" t="e">
        <f>Q36</f>
        <v>#N/A</v>
      </c>
      <c r="AF121" s="597"/>
      <c r="AG121" s="608" t="s">
        <v>762</v>
      </c>
      <c r="AH121" s="590">
        <f>AK121*AH72/30</f>
        <v>71.3</v>
      </c>
      <c r="AI121" s="590">
        <f>AK121*AI72/30</f>
        <v>64.400000000000006</v>
      </c>
      <c r="AJ121" s="590">
        <f>AH121</f>
        <v>71.3</v>
      </c>
      <c r="AK121" s="590">
        <f>AJ50</f>
        <v>69</v>
      </c>
      <c r="AL121" s="590">
        <f>AJ121</f>
        <v>71.3</v>
      </c>
      <c r="AM121" s="590">
        <f>AK121</f>
        <v>69</v>
      </c>
      <c r="AN121" s="590">
        <f>AJ121</f>
        <v>71.3</v>
      </c>
      <c r="AO121" s="590">
        <f>AJ121</f>
        <v>71.3</v>
      </c>
      <c r="AP121" s="590">
        <f>AK121</f>
        <v>69</v>
      </c>
      <c r="AQ121" s="590">
        <f>AJ121</f>
        <v>71.3</v>
      </c>
      <c r="AR121" s="590">
        <f>AK121</f>
        <v>69</v>
      </c>
      <c r="AS121" s="590">
        <f>AJ121</f>
        <v>71.3</v>
      </c>
    </row>
    <row r="122" spans="1:50" s="173" customFormat="1" ht="15" customHeight="1">
      <c r="A122" s="126"/>
      <c r="B122" s="581" t="s">
        <v>225</v>
      </c>
      <c r="C122" s="604"/>
      <c r="D122" s="604"/>
      <c r="E122" s="604"/>
      <c r="F122" s="604"/>
      <c r="G122" s="604"/>
      <c r="H122" s="176" t="e">
        <f t="shared" ref="H122:H130" si="68">IF(W122=0,"-",IF($O$4=6,"No Aplica",HLOOKUP(AA122,ZONA2,2,TRUE)))</f>
        <v>#N/A</v>
      </c>
      <c r="I122" s="176" t="e">
        <f t="shared" ref="I122:I130" si="69">IF(W122=0,"-",IF($O$4=6,HLOOKUP(AB122,ZONA3,2,TRUE),HLOOKUP(AB122,ZONA1,2,TRUE)))</f>
        <v>#N/A</v>
      </c>
      <c r="J122" s="604"/>
      <c r="K122" s="604"/>
      <c r="L122" s="604"/>
      <c r="M122" s="126"/>
      <c r="N122" s="126"/>
      <c r="O122" s="590" t="e">
        <f t="shared" ref="O122:O130" si="70">$W$104-Q122</f>
        <v>#N/A</v>
      </c>
      <c r="P122" s="176">
        <f>P104</f>
        <v>3.23</v>
      </c>
      <c r="Q122" s="580" t="e">
        <f t="shared" ref="Q122:Q130" si="71">W122*0.02</f>
        <v>#N/A</v>
      </c>
      <c r="R122" s="176">
        <f>R104</f>
        <v>3.3</v>
      </c>
      <c r="S122" s="590" t="e">
        <f t="shared" ref="S122:S130" si="72">(W122/2)+2</f>
        <v>#N/A</v>
      </c>
      <c r="T122" s="176" t="e">
        <f t="shared" ref="T122:T130" si="73">((O122*P122)+(Q122*R122)+(S122*0.02))/W122</f>
        <v>#N/A</v>
      </c>
      <c r="U122" s="176">
        <f>U104</f>
        <v>200</v>
      </c>
      <c r="V122" s="176" t="e">
        <f t="shared" ref="V122:V130" si="74">IF(W122=0,0,U122*W122)</f>
        <v>#N/A</v>
      </c>
      <c r="W122" s="605" t="e">
        <f t="shared" ref="W122:W123" si="75">IF($R$36=2,$O$36/2,IF($R$36=4,$O$36/4,IF($R$36=6,$O$36/6,IF($R$36=8,$O$36/8,IF($R$36=9,$O$36/9)))))</f>
        <v>#N/A</v>
      </c>
      <c r="X122" s="606" t="e">
        <f t="shared" ref="X122:X130" si="76">(V122*$AW$112)</f>
        <v>#N/A</v>
      </c>
      <c r="Y122" s="606" t="e">
        <f t="shared" ref="Y122:Y130" si="77">V122*$AW$114</f>
        <v>#N/A</v>
      </c>
      <c r="Z122" s="176">
        <f>Z104</f>
        <v>2</v>
      </c>
      <c r="AA122" s="176" t="e">
        <f t="shared" ref="AA122:AA130" si="78">IF(W122=0,0,(($AW$104*Z122)+X122+(T122*$AW$108))/W122)</f>
        <v>#N/A</v>
      </c>
      <c r="AB122" s="176" t="e">
        <f t="shared" ref="AB122:AB130" si="79">IF(W122=0,0,(($AW$106*Z122)-(X122+T122)*$AW$110)/W122)</f>
        <v>#N/A</v>
      </c>
      <c r="AC122" s="590" t="e">
        <f t="shared" ref="AC122:AC130" si="80">IF(W122=0,0,(T122*O122))</f>
        <v>#N/A</v>
      </c>
      <c r="AD122" s="590" t="e">
        <f t="shared" ref="AD122:AD130" si="81">AC122</f>
        <v>#N/A</v>
      </c>
      <c r="AE122" s="126"/>
      <c r="AF122" s="126"/>
      <c r="AG122" s="581" t="s">
        <v>1033</v>
      </c>
      <c r="AH122" s="590" t="e">
        <f t="shared" ref="AH122:AS122" si="82">AH80*23*AH72/1000</f>
        <v>#N/A</v>
      </c>
      <c r="AI122" s="590" t="e">
        <f t="shared" si="82"/>
        <v>#N/A</v>
      </c>
      <c r="AJ122" s="590" t="e">
        <f t="shared" si="82"/>
        <v>#N/A</v>
      </c>
      <c r="AK122" s="590" t="e">
        <f t="shared" si="82"/>
        <v>#N/A</v>
      </c>
      <c r="AL122" s="590" t="e">
        <f t="shared" si="82"/>
        <v>#N/A</v>
      </c>
      <c r="AM122" s="590" t="e">
        <f t="shared" si="82"/>
        <v>#N/A</v>
      </c>
      <c r="AN122" s="590" t="e">
        <f t="shared" si="82"/>
        <v>#N/A</v>
      </c>
      <c r="AO122" s="590" t="e">
        <f t="shared" si="82"/>
        <v>#N/A</v>
      </c>
      <c r="AP122" s="590" t="e">
        <f t="shared" si="82"/>
        <v>#N/A</v>
      </c>
      <c r="AQ122" s="590" t="e">
        <f t="shared" si="82"/>
        <v>#N/A</v>
      </c>
      <c r="AR122" s="590" t="e">
        <f t="shared" si="82"/>
        <v>#N/A</v>
      </c>
      <c r="AS122" s="590" t="e">
        <f t="shared" si="82"/>
        <v>#N/A</v>
      </c>
      <c r="AX122" s="126"/>
    </row>
    <row r="123" spans="1:50" ht="15" customHeight="1">
      <c r="B123" s="581" t="s">
        <v>225</v>
      </c>
      <c r="C123" s="604"/>
      <c r="D123" s="604"/>
      <c r="E123" s="604"/>
      <c r="F123" s="604"/>
      <c r="G123" s="604"/>
      <c r="H123" s="176" t="e">
        <f t="shared" si="68"/>
        <v>#N/A</v>
      </c>
      <c r="I123" s="176" t="e">
        <f t="shared" si="69"/>
        <v>#N/A</v>
      </c>
      <c r="J123" s="604"/>
      <c r="K123" s="604"/>
      <c r="L123" s="604"/>
      <c r="O123" s="590" t="e">
        <f t="shared" si="70"/>
        <v>#N/A</v>
      </c>
      <c r="P123" s="176">
        <f>P122</f>
        <v>3.23</v>
      </c>
      <c r="Q123" s="580" t="e">
        <f t="shared" si="71"/>
        <v>#N/A</v>
      </c>
      <c r="R123" s="176">
        <f>R122</f>
        <v>3.3</v>
      </c>
      <c r="S123" s="590" t="e">
        <f t="shared" si="72"/>
        <v>#N/A</v>
      </c>
      <c r="T123" s="176" t="e">
        <f t="shared" si="73"/>
        <v>#N/A</v>
      </c>
      <c r="U123" s="176">
        <f>U122</f>
        <v>200</v>
      </c>
      <c r="V123" s="176" t="e">
        <f t="shared" si="74"/>
        <v>#N/A</v>
      </c>
      <c r="W123" s="605" t="e">
        <f t="shared" si="75"/>
        <v>#N/A</v>
      </c>
      <c r="X123" s="606" t="e">
        <f t="shared" si="76"/>
        <v>#N/A</v>
      </c>
      <c r="Y123" s="606" t="e">
        <f t="shared" si="77"/>
        <v>#N/A</v>
      </c>
      <c r="Z123" s="176">
        <f>Z122</f>
        <v>2</v>
      </c>
      <c r="AA123" s="176" t="e">
        <f t="shared" si="78"/>
        <v>#N/A</v>
      </c>
      <c r="AB123" s="176" t="e">
        <f t="shared" si="79"/>
        <v>#N/A</v>
      </c>
      <c r="AC123" s="590" t="e">
        <f t="shared" si="80"/>
        <v>#N/A</v>
      </c>
      <c r="AD123" s="590" t="e">
        <f t="shared" si="81"/>
        <v>#N/A</v>
      </c>
      <c r="AF123" s="597"/>
      <c r="AG123" s="581" t="s">
        <v>991</v>
      </c>
      <c r="AH123" s="590">
        <f t="shared" ref="AH123:AS123" si="83">AH87*31*24/1000</f>
        <v>0</v>
      </c>
      <c r="AI123" s="590">
        <f t="shared" si="83"/>
        <v>0</v>
      </c>
      <c r="AJ123" s="590">
        <f t="shared" si="83"/>
        <v>0</v>
      </c>
      <c r="AK123" s="590">
        <f t="shared" si="83"/>
        <v>0</v>
      </c>
      <c r="AL123" s="590">
        <f t="shared" si="83"/>
        <v>0</v>
      </c>
      <c r="AM123" s="590">
        <f t="shared" si="83"/>
        <v>0</v>
      </c>
      <c r="AN123" s="590">
        <f t="shared" si="83"/>
        <v>0</v>
      </c>
      <c r="AO123" s="590">
        <f t="shared" si="83"/>
        <v>0</v>
      </c>
      <c r="AP123" s="590">
        <f t="shared" si="83"/>
        <v>0</v>
      </c>
      <c r="AQ123" s="590">
        <f t="shared" si="83"/>
        <v>0</v>
      </c>
      <c r="AR123" s="590">
        <f t="shared" si="83"/>
        <v>0</v>
      </c>
      <c r="AS123" s="590">
        <f t="shared" si="83"/>
        <v>0</v>
      </c>
    </row>
    <row r="124" spans="1:50" ht="15" customHeight="1">
      <c r="B124" s="581" t="s">
        <v>225</v>
      </c>
      <c r="C124" s="604"/>
      <c r="D124" s="604"/>
      <c r="E124" s="604"/>
      <c r="F124" s="604"/>
      <c r="G124" s="604"/>
      <c r="H124" s="176" t="e">
        <f t="shared" si="68"/>
        <v>#N/A</v>
      </c>
      <c r="I124" s="176" t="e">
        <f t="shared" si="69"/>
        <v>#N/A</v>
      </c>
      <c r="J124" s="604"/>
      <c r="K124" s="604"/>
      <c r="L124" s="604"/>
      <c r="O124" s="590" t="e">
        <f t="shared" si="70"/>
        <v>#N/A</v>
      </c>
      <c r="P124" s="176">
        <f t="shared" ref="P124:R130" si="84">P123</f>
        <v>3.23</v>
      </c>
      <c r="Q124" s="580" t="e">
        <f t="shared" si="71"/>
        <v>#N/A</v>
      </c>
      <c r="R124" s="176">
        <f t="shared" si="84"/>
        <v>3.3</v>
      </c>
      <c r="S124" s="590" t="e">
        <f t="shared" si="72"/>
        <v>#N/A</v>
      </c>
      <c r="T124" s="176" t="e">
        <f t="shared" si="73"/>
        <v>#N/A</v>
      </c>
      <c r="U124" s="176">
        <f t="shared" ref="U124:U130" si="85">U123</f>
        <v>200</v>
      </c>
      <c r="V124" s="176" t="e">
        <f t="shared" si="74"/>
        <v>#N/A</v>
      </c>
      <c r="W124" s="605" t="e">
        <f>IF($R$36=2,0,IF($R$36=4,$O$36/4,IF($R$36=6,$O$36/6,IF($R$36=8,$O$36/8,IF($R$36=9,$O$36/9)))))</f>
        <v>#N/A</v>
      </c>
      <c r="X124" s="606" t="e">
        <f t="shared" si="76"/>
        <v>#N/A</v>
      </c>
      <c r="Y124" s="606" t="e">
        <f t="shared" si="77"/>
        <v>#N/A</v>
      </c>
      <c r="Z124" s="176">
        <f t="shared" ref="Z124:Z130" si="86">Z123</f>
        <v>2</v>
      </c>
      <c r="AA124" s="176" t="e">
        <f t="shared" si="78"/>
        <v>#N/A</v>
      </c>
      <c r="AB124" s="176" t="e">
        <f t="shared" si="79"/>
        <v>#N/A</v>
      </c>
      <c r="AC124" s="590" t="e">
        <f t="shared" si="80"/>
        <v>#N/A</v>
      </c>
      <c r="AD124" s="590" t="e">
        <f t="shared" si="81"/>
        <v>#N/A</v>
      </c>
    </row>
    <row r="125" spans="1:50" ht="15" customHeight="1">
      <c r="B125" s="581" t="s">
        <v>225</v>
      </c>
      <c r="C125" s="604"/>
      <c r="D125" s="604"/>
      <c r="E125" s="604"/>
      <c r="F125" s="604"/>
      <c r="G125" s="604"/>
      <c r="H125" s="176" t="e">
        <f t="shared" si="68"/>
        <v>#N/A</v>
      </c>
      <c r="I125" s="176" t="e">
        <f t="shared" si="69"/>
        <v>#N/A</v>
      </c>
      <c r="J125" s="604"/>
      <c r="K125" s="604"/>
      <c r="L125" s="604"/>
      <c r="O125" s="590" t="e">
        <f t="shared" si="70"/>
        <v>#N/A</v>
      </c>
      <c r="P125" s="176">
        <f t="shared" si="84"/>
        <v>3.23</v>
      </c>
      <c r="Q125" s="580" t="e">
        <f t="shared" si="71"/>
        <v>#N/A</v>
      </c>
      <c r="R125" s="176">
        <f t="shared" si="84"/>
        <v>3.3</v>
      </c>
      <c r="S125" s="590" t="e">
        <f t="shared" si="72"/>
        <v>#N/A</v>
      </c>
      <c r="T125" s="176" t="e">
        <f t="shared" si="73"/>
        <v>#N/A</v>
      </c>
      <c r="U125" s="176">
        <f t="shared" si="85"/>
        <v>200</v>
      </c>
      <c r="V125" s="176" t="e">
        <f t="shared" si="74"/>
        <v>#N/A</v>
      </c>
      <c r="W125" s="605" t="e">
        <f t="shared" ref="W125" si="87">IF($R$36=2,0,IF($R$36=4,$O$36/4,IF($R$36=6,$O$36/6,IF($R$36=8,$O$36/8,IF($R$36=9,$O$36/9)))))</f>
        <v>#N/A</v>
      </c>
      <c r="X125" s="606" t="e">
        <f t="shared" si="76"/>
        <v>#N/A</v>
      </c>
      <c r="Y125" s="606" t="e">
        <f t="shared" si="77"/>
        <v>#N/A</v>
      </c>
      <c r="Z125" s="176">
        <f t="shared" si="86"/>
        <v>2</v>
      </c>
      <c r="AA125" s="176" t="e">
        <f t="shared" si="78"/>
        <v>#N/A</v>
      </c>
      <c r="AB125" s="176" t="e">
        <f t="shared" si="79"/>
        <v>#N/A</v>
      </c>
      <c r="AC125" s="590" t="e">
        <f t="shared" si="80"/>
        <v>#N/A</v>
      </c>
      <c r="AD125" s="590" t="e">
        <f t="shared" si="81"/>
        <v>#N/A</v>
      </c>
      <c r="AF125" s="597"/>
      <c r="AG125" s="581" t="s">
        <v>1620</v>
      </c>
      <c r="AH125" s="590">
        <v>0</v>
      </c>
      <c r="AI125" s="590">
        <v>0</v>
      </c>
      <c r="AJ125" s="590">
        <v>0</v>
      </c>
      <c r="AK125" s="590">
        <v>0</v>
      </c>
      <c r="AL125" s="590">
        <v>0</v>
      </c>
      <c r="AM125" s="590">
        <v>0</v>
      </c>
      <c r="AN125" s="590">
        <v>0</v>
      </c>
      <c r="AO125" s="590">
        <v>0</v>
      </c>
      <c r="AP125" s="590">
        <v>0</v>
      </c>
      <c r="AQ125" s="590">
        <v>0</v>
      </c>
      <c r="AR125" s="590">
        <v>0</v>
      </c>
      <c r="AS125" s="590">
        <v>0</v>
      </c>
    </row>
    <row r="126" spans="1:50" ht="15" customHeight="1">
      <c r="B126" s="581" t="s">
        <v>225</v>
      </c>
      <c r="C126" s="604"/>
      <c r="D126" s="604"/>
      <c r="E126" s="604"/>
      <c r="F126" s="604"/>
      <c r="G126" s="604"/>
      <c r="H126" s="176" t="e">
        <f t="shared" si="68"/>
        <v>#N/A</v>
      </c>
      <c r="I126" s="176" t="e">
        <f t="shared" si="69"/>
        <v>#N/A</v>
      </c>
      <c r="J126" s="604"/>
      <c r="K126" s="604"/>
      <c r="L126" s="604"/>
      <c r="O126" s="590" t="e">
        <f t="shared" si="70"/>
        <v>#N/A</v>
      </c>
      <c r="P126" s="176">
        <f t="shared" si="84"/>
        <v>3.23</v>
      </c>
      <c r="Q126" s="580" t="e">
        <f t="shared" si="71"/>
        <v>#N/A</v>
      </c>
      <c r="R126" s="176">
        <f t="shared" si="84"/>
        <v>3.3</v>
      </c>
      <c r="S126" s="590" t="e">
        <f t="shared" si="72"/>
        <v>#N/A</v>
      </c>
      <c r="T126" s="176" t="e">
        <f t="shared" si="73"/>
        <v>#N/A</v>
      </c>
      <c r="U126" s="176">
        <f t="shared" si="85"/>
        <v>200</v>
      </c>
      <c r="V126" s="176" t="e">
        <f t="shared" si="74"/>
        <v>#N/A</v>
      </c>
      <c r="W126" s="605" t="e">
        <f>IF($R$36=2,0,IF($R$36=4,0,IF($R$36=6,$O$36/6,IF($R$36=8,$O$36/8,IF($R$36=9,$O$36/9)))))</f>
        <v>#N/A</v>
      </c>
      <c r="X126" s="606" t="e">
        <f t="shared" si="76"/>
        <v>#N/A</v>
      </c>
      <c r="Y126" s="606" t="e">
        <f t="shared" si="77"/>
        <v>#N/A</v>
      </c>
      <c r="Z126" s="176">
        <f t="shared" si="86"/>
        <v>2</v>
      </c>
      <c r="AA126" s="176" t="e">
        <f t="shared" si="78"/>
        <v>#N/A</v>
      </c>
      <c r="AB126" s="176" t="e">
        <f t="shared" si="79"/>
        <v>#N/A</v>
      </c>
      <c r="AC126" s="590" t="e">
        <f t="shared" si="80"/>
        <v>#N/A</v>
      </c>
      <c r="AD126" s="590" t="e">
        <f t="shared" si="81"/>
        <v>#N/A</v>
      </c>
    </row>
    <row r="127" spans="1:50" ht="15" customHeight="1">
      <c r="B127" s="581" t="s">
        <v>225</v>
      </c>
      <c r="C127" s="604"/>
      <c r="D127" s="604"/>
      <c r="E127" s="604"/>
      <c r="F127" s="604"/>
      <c r="G127" s="604"/>
      <c r="H127" s="176" t="e">
        <f t="shared" si="68"/>
        <v>#N/A</v>
      </c>
      <c r="I127" s="176" t="e">
        <f t="shared" si="69"/>
        <v>#N/A</v>
      </c>
      <c r="J127" s="604"/>
      <c r="K127" s="604"/>
      <c r="L127" s="604"/>
      <c r="O127" s="590" t="e">
        <f t="shared" si="70"/>
        <v>#N/A</v>
      </c>
      <c r="P127" s="176">
        <f t="shared" si="84"/>
        <v>3.23</v>
      </c>
      <c r="Q127" s="580" t="e">
        <f t="shared" si="71"/>
        <v>#N/A</v>
      </c>
      <c r="R127" s="176">
        <f t="shared" si="84"/>
        <v>3.3</v>
      </c>
      <c r="S127" s="590" t="e">
        <f t="shared" si="72"/>
        <v>#N/A</v>
      </c>
      <c r="T127" s="176" t="e">
        <f t="shared" si="73"/>
        <v>#N/A</v>
      </c>
      <c r="U127" s="176">
        <f t="shared" si="85"/>
        <v>200</v>
      </c>
      <c r="V127" s="176" t="e">
        <f t="shared" si="74"/>
        <v>#N/A</v>
      </c>
      <c r="W127" s="605" t="e">
        <f>IF($R$36=2,0,IF($R$36=4,0,IF($R$36=6,$O$36/6,IF($R$36=8,$O$36/8,IF($R$36=9,$O$36/9)))))</f>
        <v>#N/A</v>
      </c>
      <c r="X127" s="606" t="e">
        <f t="shared" si="76"/>
        <v>#N/A</v>
      </c>
      <c r="Y127" s="606" t="e">
        <f t="shared" si="77"/>
        <v>#N/A</v>
      </c>
      <c r="Z127" s="176">
        <f t="shared" si="86"/>
        <v>2</v>
      </c>
      <c r="AA127" s="176" t="e">
        <f t="shared" si="78"/>
        <v>#N/A</v>
      </c>
      <c r="AB127" s="176" t="e">
        <f t="shared" si="79"/>
        <v>#N/A</v>
      </c>
      <c r="AC127" s="590" t="e">
        <f t="shared" si="80"/>
        <v>#N/A</v>
      </c>
      <c r="AD127" s="590" t="e">
        <f t="shared" si="81"/>
        <v>#N/A</v>
      </c>
      <c r="AF127" s="597"/>
    </row>
    <row r="128" spans="1:50" ht="15" customHeight="1">
      <c r="B128" s="581" t="s">
        <v>225</v>
      </c>
      <c r="C128" s="604"/>
      <c r="D128" s="604"/>
      <c r="E128" s="604"/>
      <c r="F128" s="604"/>
      <c r="G128" s="604"/>
      <c r="H128" s="176" t="e">
        <f t="shared" si="68"/>
        <v>#N/A</v>
      </c>
      <c r="I128" s="176" t="e">
        <f t="shared" si="69"/>
        <v>#N/A</v>
      </c>
      <c r="J128" s="604"/>
      <c r="K128" s="604"/>
      <c r="L128" s="604"/>
      <c r="O128" s="590" t="e">
        <f t="shared" si="70"/>
        <v>#N/A</v>
      </c>
      <c r="P128" s="176">
        <f t="shared" si="84"/>
        <v>3.23</v>
      </c>
      <c r="Q128" s="580" t="e">
        <f t="shared" si="71"/>
        <v>#N/A</v>
      </c>
      <c r="R128" s="176">
        <f t="shared" si="84"/>
        <v>3.3</v>
      </c>
      <c r="S128" s="590" t="e">
        <f t="shared" si="72"/>
        <v>#N/A</v>
      </c>
      <c r="T128" s="176" t="e">
        <f t="shared" si="73"/>
        <v>#N/A</v>
      </c>
      <c r="U128" s="176">
        <f t="shared" si="85"/>
        <v>200</v>
      </c>
      <c r="V128" s="176" t="e">
        <f t="shared" si="74"/>
        <v>#N/A</v>
      </c>
      <c r="W128" s="605" t="e">
        <f>IF($R$36=2,0,IF($R$36=4,0,IF($R$36=6,0,IF($R$36=8,$O$36/8,IF($R$36=9,$O$36/9)))))</f>
        <v>#N/A</v>
      </c>
      <c r="X128" s="606" t="e">
        <f t="shared" si="76"/>
        <v>#N/A</v>
      </c>
      <c r="Y128" s="606" t="e">
        <f t="shared" si="77"/>
        <v>#N/A</v>
      </c>
      <c r="Z128" s="176">
        <f t="shared" si="86"/>
        <v>2</v>
      </c>
      <c r="AA128" s="176" t="e">
        <f t="shared" si="78"/>
        <v>#N/A</v>
      </c>
      <c r="AB128" s="176" t="e">
        <f t="shared" si="79"/>
        <v>#N/A</v>
      </c>
      <c r="AC128" s="590" t="e">
        <f t="shared" si="80"/>
        <v>#N/A</v>
      </c>
      <c r="AD128" s="590" t="e">
        <f t="shared" si="81"/>
        <v>#N/A</v>
      </c>
      <c r="AG128" s="581" t="s">
        <v>1784</v>
      </c>
      <c r="AH128" s="590">
        <f>IF(AH62&lt;=$AW$59,(($AF$175*AH70*24*($Q$175*0.5)*AH72/(2.5*1000))*-1),0)</f>
        <v>0</v>
      </c>
      <c r="AI128" s="590">
        <f t="shared" ref="AI128:AS128" si="88">IF(AI62&lt;=$AW$59,(($AF$175*AI70*24*($Q$175*0.5)*AI72/(2.5*1000))*-1),0)</f>
        <v>0</v>
      </c>
      <c r="AJ128" s="590">
        <f t="shared" si="88"/>
        <v>0</v>
      </c>
      <c r="AK128" s="590">
        <f t="shared" si="88"/>
        <v>0</v>
      </c>
      <c r="AL128" s="590">
        <f t="shared" si="88"/>
        <v>0</v>
      </c>
      <c r="AM128" s="590">
        <f t="shared" si="88"/>
        <v>0</v>
      </c>
      <c r="AN128" s="590">
        <f t="shared" si="88"/>
        <v>0</v>
      </c>
      <c r="AO128" s="590">
        <f t="shared" si="88"/>
        <v>0</v>
      </c>
      <c r="AP128" s="590">
        <f t="shared" si="88"/>
        <v>0</v>
      </c>
      <c r="AQ128" s="590">
        <f t="shared" si="88"/>
        <v>0</v>
      </c>
      <c r="AR128" s="590">
        <f t="shared" si="88"/>
        <v>0</v>
      </c>
      <c r="AS128" s="590">
        <f t="shared" si="88"/>
        <v>0</v>
      </c>
    </row>
    <row r="129" spans="1:46" ht="15" customHeight="1">
      <c r="B129" s="581" t="s">
        <v>225</v>
      </c>
      <c r="C129" s="604"/>
      <c r="D129" s="604"/>
      <c r="E129" s="604"/>
      <c r="F129" s="604"/>
      <c r="G129" s="604"/>
      <c r="H129" s="176" t="e">
        <f t="shared" si="68"/>
        <v>#N/A</v>
      </c>
      <c r="I129" s="176" t="e">
        <f t="shared" si="69"/>
        <v>#N/A</v>
      </c>
      <c r="J129" s="604"/>
      <c r="K129" s="604"/>
      <c r="L129" s="604"/>
      <c r="O129" s="590" t="e">
        <f t="shared" si="70"/>
        <v>#N/A</v>
      </c>
      <c r="P129" s="176">
        <f t="shared" si="84"/>
        <v>3.23</v>
      </c>
      <c r="Q129" s="580" t="e">
        <f t="shared" si="71"/>
        <v>#N/A</v>
      </c>
      <c r="R129" s="176">
        <f t="shared" si="84"/>
        <v>3.3</v>
      </c>
      <c r="S129" s="590" t="e">
        <f t="shared" si="72"/>
        <v>#N/A</v>
      </c>
      <c r="T129" s="176" t="e">
        <f t="shared" si="73"/>
        <v>#N/A</v>
      </c>
      <c r="U129" s="176">
        <f t="shared" si="85"/>
        <v>200</v>
      </c>
      <c r="V129" s="176" t="e">
        <f t="shared" si="74"/>
        <v>#N/A</v>
      </c>
      <c r="W129" s="605" t="e">
        <f t="shared" ref="W129" si="89">IF($R$36=2,0,IF($R$36=4,0,IF($R$36=6,0,IF($R$36=8,$O$36/8,IF($R$36=9,$O$36/9)))))</f>
        <v>#N/A</v>
      </c>
      <c r="X129" s="606" t="e">
        <f t="shared" si="76"/>
        <v>#N/A</v>
      </c>
      <c r="Y129" s="606" t="e">
        <f t="shared" si="77"/>
        <v>#N/A</v>
      </c>
      <c r="Z129" s="176">
        <f t="shared" si="86"/>
        <v>2</v>
      </c>
      <c r="AA129" s="176" t="e">
        <f t="shared" si="78"/>
        <v>#N/A</v>
      </c>
      <c r="AB129" s="176" t="e">
        <f t="shared" si="79"/>
        <v>#N/A</v>
      </c>
      <c r="AC129" s="590" t="e">
        <f t="shared" si="80"/>
        <v>#N/A</v>
      </c>
      <c r="AD129" s="590" t="e">
        <f t="shared" si="81"/>
        <v>#N/A</v>
      </c>
      <c r="AF129" s="597"/>
      <c r="AG129" s="176"/>
      <c r="AH129" s="176"/>
      <c r="AI129" s="176"/>
      <c r="AJ129" s="176"/>
      <c r="AK129" s="176"/>
      <c r="AL129" s="176"/>
      <c r="AM129" s="176"/>
      <c r="AN129" s="176"/>
      <c r="AO129" s="176"/>
      <c r="AP129" s="176"/>
      <c r="AQ129" s="176"/>
      <c r="AR129" s="176"/>
      <c r="AS129" s="176"/>
    </row>
    <row r="130" spans="1:46" ht="15" customHeight="1">
      <c r="B130" s="581" t="s">
        <v>225</v>
      </c>
      <c r="C130" s="604"/>
      <c r="D130" s="604"/>
      <c r="E130" s="604"/>
      <c r="F130" s="604"/>
      <c r="G130" s="604"/>
      <c r="H130" s="176" t="e">
        <f t="shared" si="68"/>
        <v>#N/A</v>
      </c>
      <c r="I130" s="176" t="e">
        <f t="shared" si="69"/>
        <v>#N/A</v>
      </c>
      <c r="J130" s="604"/>
      <c r="K130" s="604"/>
      <c r="L130" s="604"/>
      <c r="O130" s="590" t="e">
        <f t="shared" si="70"/>
        <v>#N/A</v>
      </c>
      <c r="P130" s="176">
        <f t="shared" si="84"/>
        <v>3.23</v>
      </c>
      <c r="Q130" s="580" t="e">
        <f t="shared" si="71"/>
        <v>#N/A</v>
      </c>
      <c r="R130" s="176">
        <f t="shared" si="84"/>
        <v>3.3</v>
      </c>
      <c r="S130" s="590" t="e">
        <f t="shared" si="72"/>
        <v>#N/A</v>
      </c>
      <c r="T130" s="176" t="e">
        <f t="shared" si="73"/>
        <v>#N/A</v>
      </c>
      <c r="U130" s="176">
        <f t="shared" si="85"/>
        <v>200</v>
      </c>
      <c r="V130" s="176" t="e">
        <f t="shared" si="74"/>
        <v>#N/A</v>
      </c>
      <c r="W130" s="605" t="e">
        <f>IF($R$36=2,0,IF($R$36=4,0,IF($R$36=6,0,IF($R$36=8,0,IF($R$36=9,$O$36/9)))))</f>
        <v>#N/A</v>
      </c>
      <c r="X130" s="606" t="e">
        <f t="shared" si="76"/>
        <v>#N/A</v>
      </c>
      <c r="Y130" s="606" t="e">
        <f t="shared" si="77"/>
        <v>#N/A</v>
      </c>
      <c r="Z130" s="176">
        <f t="shared" si="86"/>
        <v>2</v>
      </c>
      <c r="AA130" s="176" t="e">
        <f t="shared" si="78"/>
        <v>#N/A</v>
      </c>
      <c r="AB130" s="176" t="e">
        <f t="shared" si="79"/>
        <v>#N/A</v>
      </c>
      <c r="AC130" s="590" t="e">
        <f t="shared" si="80"/>
        <v>#N/A</v>
      </c>
      <c r="AD130" s="590" t="e">
        <f t="shared" si="81"/>
        <v>#N/A</v>
      </c>
      <c r="AG130" s="581" t="s">
        <v>1785</v>
      </c>
      <c r="AH130" s="590">
        <f>IF(($Z$60*AH70*24*AH72/(2.5*1000))&lt;0,0,$Z$60*AH70*24*AH72/(2.5*1000))</f>
        <v>0</v>
      </c>
      <c r="AI130" s="590">
        <f t="shared" ref="AI130:AS130" si="90">IF(($Z$60*AI70*24*AI72/(2.5*1000))&lt;0,0,$Z$60*AI70*24*AI72/(2.5*1000))</f>
        <v>0</v>
      </c>
      <c r="AJ130" s="590">
        <f t="shared" si="90"/>
        <v>0</v>
      </c>
      <c r="AK130" s="590">
        <f t="shared" si="90"/>
        <v>0</v>
      </c>
      <c r="AL130" s="590">
        <f t="shared" si="90"/>
        <v>0</v>
      </c>
      <c r="AM130" s="590">
        <f t="shared" si="90"/>
        <v>0</v>
      </c>
      <c r="AN130" s="590">
        <f t="shared" si="90"/>
        <v>0</v>
      </c>
      <c r="AO130" s="590">
        <f t="shared" si="90"/>
        <v>0</v>
      </c>
      <c r="AP130" s="590">
        <f t="shared" si="90"/>
        <v>0</v>
      </c>
      <c r="AQ130" s="590">
        <f t="shared" si="90"/>
        <v>0</v>
      </c>
      <c r="AR130" s="590">
        <f t="shared" si="90"/>
        <v>0</v>
      </c>
      <c r="AS130" s="590">
        <f t="shared" si="90"/>
        <v>0</v>
      </c>
    </row>
    <row r="131" spans="1:46" ht="15" customHeight="1">
      <c r="D131" s="126"/>
      <c r="E131" s="126"/>
      <c r="K131" s="126"/>
      <c r="L131" s="126"/>
      <c r="Q131" s="126"/>
      <c r="R131" s="126"/>
      <c r="V131" s="126"/>
      <c r="X131" s="126"/>
      <c r="AF131" s="597"/>
    </row>
    <row r="132" spans="1:46" ht="15" customHeight="1">
      <c r="D132" s="126"/>
      <c r="E132" s="126"/>
      <c r="K132" s="126"/>
      <c r="L132" s="126"/>
      <c r="Q132" s="126"/>
      <c r="R132" s="126"/>
      <c r="V132" s="126"/>
      <c r="X132" s="126"/>
      <c r="AF132" s="597"/>
      <c r="AG132" s="581" t="s">
        <v>1543</v>
      </c>
      <c r="AH132" s="590" t="e">
        <f>($AW$90*AH111*24/1000)+(AH118*0.05)</f>
        <v>#N/A</v>
      </c>
      <c r="AI132" s="590" t="e">
        <f t="shared" ref="AI132:AS132" si="91">($AW$90*AI111*24/1000)+(AI118*0.05)</f>
        <v>#N/A</v>
      </c>
      <c r="AJ132" s="590" t="e">
        <f t="shared" si="91"/>
        <v>#N/A</v>
      </c>
      <c r="AK132" s="590" t="e">
        <f t="shared" si="91"/>
        <v>#N/A</v>
      </c>
      <c r="AL132" s="590" t="e">
        <f t="shared" si="91"/>
        <v>#N/A</v>
      </c>
      <c r="AM132" s="590" t="e">
        <f t="shared" si="91"/>
        <v>#N/A</v>
      </c>
      <c r="AN132" s="590" t="e">
        <f t="shared" si="91"/>
        <v>#N/A</v>
      </c>
      <c r="AO132" s="590" t="e">
        <f t="shared" si="91"/>
        <v>#N/A</v>
      </c>
      <c r="AP132" s="590" t="e">
        <f t="shared" si="91"/>
        <v>#N/A</v>
      </c>
      <c r="AQ132" s="590" t="e">
        <f t="shared" si="91"/>
        <v>#N/A</v>
      </c>
      <c r="AR132" s="590" t="e">
        <f t="shared" si="91"/>
        <v>#N/A</v>
      </c>
      <c r="AS132" s="590" t="e">
        <f t="shared" si="91"/>
        <v>#N/A</v>
      </c>
    </row>
    <row r="133" spans="1:46" ht="15" customHeight="1">
      <c r="C133" s="1323" t="s">
        <v>1204</v>
      </c>
      <c r="D133" s="1323"/>
      <c r="E133" s="580" t="s">
        <v>1185</v>
      </c>
      <c r="F133" s="580" t="s">
        <v>1186</v>
      </c>
      <c r="G133" s="580" t="s">
        <v>227</v>
      </c>
      <c r="K133" s="126"/>
      <c r="L133" s="126"/>
      <c r="Q133" s="126"/>
      <c r="R133" s="126"/>
      <c r="V133" s="126"/>
      <c r="X133" s="126"/>
      <c r="AF133" s="597"/>
      <c r="AG133" s="580" t="s">
        <v>1816</v>
      </c>
      <c r="AH133" s="590">
        <f t="shared" ref="AH133:AS133" si="92">$Z$60*AH111*24/(7.2*1000)</f>
        <v>0</v>
      </c>
      <c r="AI133" s="590">
        <f t="shared" si="92"/>
        <v>0</v>
      </c>
      <c r="AJ133" s="590">
        <f t="shared" si="92"/>
        <v>0</v>
      </c>
      <c r="AK133" s="590">
        <f t="shared" si="92"/>
        <v>0</v>
      </c>
      <c r="AL133" s="590">
        <f t="shared" si="92"/>
        <v>0</v>
      </c>
      <c r="AM133" s="590">
        <f t="shared" si="92"/>
        <v>0</v>
      </c>
      <c r="AN133" s="590">
        <f t="shared" si="92"/>
        <v>0</v>
      </c>
      <c r="AO133" s="590">
        <f>$Z$60*AO111*24/(7.2*1000)</f>
        <v>0</v>
      </c>
      <c r="AP133" s="590">
        <f t="shared" si="92"/>
        <v>0</v>
      </c>
      <c r="AQ133" s="590">
        <f t="shared" si="92"/>
        <v>0</v>
      </c>
      <c r="AR133" s="590">
        <f t="shared" si="92"/>
        <v>0</v>
      </c>
      <c r="AS133" s="590">
        <f t="shared" si="92"/>
        <v>0</v>
      </c>
    </row>
    <row r="134" spans="1:46" ht="15" customHeight="1">
      <c r="B134" s="581" t="s">
        <v>768</v>
      </c>
      <c r="C134" s="1324"/>
      <c r="D134" s="1324"/>
      <c r="E134" s="589">
        <f>ENERGÍA!F140</f>
        <v>0</v>
      </c>
      <c r="F134" s="589">
        <f>ENERGÍA!G140</f>
        <v>0</v>
      </c>
      <c r="G134" s="589">
        <f>ENERGÍA!H140</f>
        <v>0</v>
      </c>
      <c r="K134" s="126"/>
      <c r="L134" s="126"/>
      <c r="T134" s="590">
        <f>ENERGÍA!U140</f>
        <v>0</v>
      </c>
      <c r="V134" s="126"/>
      <c r="X134" s="126"/>
      <c r="AC134" s="590">
        <f>T134*E134*F134</f>
        <v>0</v>
      </c>
      <c r="AD134" s="590">
        <f>AC134</f>
        <v>0</v>
      </c>
    </row>
    <row r="135" spans="1:46" ht="6" customHeight="1">
      <c r="L135" s="126"/>
      <c r="V135" s="148"/>
      <c r="Z135" s="580"/>
      <c r="AA135" s="580"/>
    </row>
    <row r="136" spans="1:46" ht="15" customHeight="1">
      <c r="B136" s="1323">
        <f>C37</f>
        <v>0</v>
      </c>
      <c r="C136" s="1323"/>
      <c r="D136" s="1323"/>
      <c r="E136" s="1323"/>
      <c r="F136" s="1323"/>
      <c r="G136" s="1323"/>
      <c r="H136" s="1323"/>
      <c r="I136" s="1323"/>
      <c r="J136" s="1323"/>
      <c r="K136" s="1323"/>
      <c r="L136" s="1323"/>
      <c r="O136" s="1320">
        <f>B136</f>
        <v>0</v>
      </c>
      <c r="P136" s="1321"/>
      <c r="Q136" s="1321"/>
      <c r="R136" s="1321"/>
      <c r="S136" s="1321"/>
      <c r="T136" s="1321"/>
      <c r="U136" s="1321"/>
      <c r="V136" s="1321"/>
      <c r="W136" s="1321"/>
      <c r="X136" s="1321"/>
      <c r="Y136" s="1321"/>
      <c r="Z136" s="1321"/>
      <c r="AA136" s="1321"/>
      <c r="AB136" s="1321"/>
      <c r="AC136" s="1321"/>
      <c r="AD136" s="1321"/>
      <c r="AE136" s="1322"/>
      <c r="AG136" s="581" t="s">
        <v>1621</v>
      </c>
      <c r="AH136" s="590" t="e">
        <f>IF(AH62&gt;$AW$59,0,($AW$96*$AW$64*(24/1000)*AH112*AH115)-AH125-(AH128*0.15))</f>
        <v>#N/A</v>
      </c>
      <c r="AI136" s="590" t="e">
        <f t="shared" ref="AI136:AS136" si="93">IF(AI62&gt;$AW$59,0,($AW$96*$AW$64*(24/1000)*AI112*AI115)-AI125-(AI128*0.15))</f>
        <v>#N/A</v>
      </c>
      <c r="AJ136" s="590" t="e">
        <f t="shared" si="93"/>
        <v>#N/A</v>
      </c>
      <c r="AK136" s="590" t="e">
        <f t="shared" si="93"/>
        <v>#N/A</v>
      </c>
      <c r="AL136" s="590" t="e">
        <f t="shared" si="93"/>
        <v>#N/A</v>
      </c>
      <c r="AM136" s="590" t="e">
        <f>IF(AM62&gt;$AW$59,0,($AW$96*$AW$64*(24/1000)*AM112*AM115)-AM125-(AM128*0.15))</f>
        <v>#N/A</v>
      </c>
      <c r="AN136" s="590" t="e">
        <f t="shared" si="93"/>
        <v>#N/A</v>
      </c>
      <c r="AO136" s="590" t="e">
        <f t="shared" si="93"/>
        <v>#N/A</v>
      </c>
      <c r="AP136" s="590" t="e">
        <f t="shared" si="93"/>
        <v>#N/A</v>
      </c>
      <c r="AQ136" s="590" t="e">
        <f t="shared" si="93"/>
        <v>#N/A</v>
      </c>
      <c r="AR136" s="590" t="e">
        <f t="shared" si="93"/>
        <v>#N/A</v>
      </c>
      <c r="AS136" s="590" t="e">
        <f t="shared" si="93"/>
        <v>#N/A</v>
      </c>
    </row>
    <row r="137" spans="1:46" ht="6" customHeight="1">
      <c r="L137" s="126"/>
      <c r="V137" s="148"/>
      <c r="Z137" s="580"/>
      <c r="AA137" s="580"/>
    </row>
    <row r="138" spans="1:46" ht="15" customHeight="1">
      <c r="B138" s="1273"/>
      <c r="C138" s="1323" t="s">
        <v>1184</v>
      </c>
      <c r="D138" s="1323"/>
      <c r="E138" s="1323"/>
      <c r="F138" s="1323" t="s">
        <v>1188</v>
      </c>
      <c r="G138" s="1323"/>
      <c r="H138" s="1323" t="s">
        <v>1203</v>
      </c>
      <c r="I138" s="1323"/>
      <c r="J138" s="1281" t="s">
        <v>790</v>
      </c>
      <c r="K138" s="1281" t="s">
        <v>1136</v>
      </c>
      <c r="L138" s="1281"/>
      <c r="O138" s="580" t="s">
        <v>1651</v>
      </c>
      <c r="P138" s="1281" t="s">
        <v>1064</v>
      </c>
      <c r="Q138" s="580" t="s">
        <v>1652</v>
      </c>
      <c r="R138" s="1273" t="s">
        <v>1191</v>
      </c>
      <c r="S138" s="580" t="s">
        <v>1190</v>
      </c>
      <c r="T138" s="1273" t="s">
        <v>1192</v>
      </c>
      <c r="U138" s="1323" t="s">
        <v>1653</v>
      </c>
      <c r="V138" s="1323"/>
      <c r="W138" s="580" t="s">
        <v>1654</v>
      </c>
      <c r="X138" s="1273" t="s">
        <v>1403</v>
      </c>
      <c r="Y138" s="1273" t="s">
        <v>1404</v>
      </c>
      <c r="Z138" s="1273" t="s">
        <v>1210</v>
      </c>
      <c r="AA138" s="1273" t="s">
        <v>1201</v>
      </c>
      <c r="AB138" s="1273" t="s">
        <v>1202</v>
      </c>
      <c r="AC138" s="1281" t="s">
        <v>850</v>
      </c>
      <c r="AD138" s="1281" t="str">
        <f>AC138</f>
        <v>W/K Inv</v>
      </c>
      <c r="AE138" s="226" t="s">
        <v>1017</v>
      </c>
    </row>
    <row r="139" spans="1:46" ht="15" customHeight="1">
      <c r="B139" s="1273"/>
      <c r="C139" s="148" t="s">
        <v>623</v>
      </c>
      <c r="D139" s="580" t="s">
        <v>1185</v>
      </c>
      <c r="E139" s="580" t="s">
        <v>1186</v>
      </c>
      <c r="F139" s="580" t="s">
        <v>623</v>
      </c>
      <c r="G139" s="580" t="s">
        <v>1189</v>
      </c>
      <c r="H139" s="580" t="s">
        <v>757</v>
      </c>
      <c r="I139" s="580" t="s">
        <v>650</v>
      </c>
      <c r="J139" s="1281"/>
      <c r="K139" s="166" t="s">
        <v>623</v>
      </c>
      <c r="L139" s="602" t="s">
        <v>1122</v>
      </c>
      <c r="O139" s="580" t="s">
        <v>1187</v>
      </c>
      <c r="P139" s="1281"/>
      <c r="Q139" s="580" t="s">
        <v>1187</v>
      </c>
      <c r="R139" s="1273"/>
      <c r="S139" s="580" t="s">
        <v>18</v>
      </c>
      <c r="T139" s="1273"/>
      <c r="U139" s="580" t="s">
        <v>1199</v>
      </c>
      <c r="V139" s="148" t="s">
        <v>1200</v>
      </c>
      <c r="W139" s="176" t="s">
        <v>1187</v>
      </c>
      <c r="X139" s="1273"/>
      <c r="Y139" s="1273"/>
      <c r="Z139" s="1273"/>
      <c r="AA139" s="1273"/>
      <c r="AB139" s="1273"/>
      <c r="AC139" s="1281"/>
      <c r="AD139" s="1281"/>
      <c r="AE139" s="603" t="e">
        <f>Q37</f>
        <v>#N/A</v>
      </c>
      <c r="AG139" s="1329" t="s">
        <v>1065</v>
      </c>
      <c r="AH139" s="1330"/>
      <c r="AI139" s="1330"/>
      <c r="AJ139" s="1330"/>
      <c r="AK139" s="1330"/>
      <c r="AL139" s="1330"/>
      <c r="AM139" s="1330"/>
      <c r="AN139" s="1330"/>
      <c r="AO139" s="1330"/>
      <c r="AP139" s="1330"/>
      <c r="AQ139" s="1330"/>
      <c r="AR139" s="1330"/>
      <c r="AS139" s="1331"/>
    </row>
    <row r="140" spans="1:46" s="173" customFormat="1" ht="15" customHeight="1">
      <c r="A140" s="126"/>
      <c r="B140" s="581" t="s">
        <v>225</v>
      </c>
      <c r="C140" s="604"/>
      <c r="D140" s="604"/>
      <c r="E140" s="604"/>
      <c r="F140" s="604"/>
      <c r="G140" s="604"/>
      <c r="H140" s="176" t="e">
        <f t="shared" ref="H140:H148" si="94">IF(W140=0,"-",IF($O$4=6,"No Aplica",HLOOKUP(AA140,ZONA2,2,TRUE)))</f>
        <v>#N/A</v>
      </c>
      <c r="I140" s="176" t="e">
        <f t="shared" ref="I140:I148" si="95">IF(W140=0,"-",IF($O$4=6,HLOOKUP(AB140,ZONA3,2,TRUE),HLOOKUP(AB140,ZONA1,2,TRUE)))</f>
        <v>#N/A</v>
      </c>
      <c r="J140" s="604"/>
      <c r="K140" s="604"/>
      <c r="L140" s="604"/>
      <c r="M140" s="126"/>
      <c r="N140" s="126"/>
      <c r="O140" s="590" t="e">
        <f t="shared" ref="O140:O148" si="96">$W$104-Q140</f>
        <v>#N/A</v>
      </c>
      <c r="P140" s="176">
        <f>P122</f>
        <v>3.23</v>
      </c>
      <c r="Q140" s="580" t="e">
        <f t="shared" ref="Q140:Q148" si="97">W140*0.02</f>
        <v>#N/A</v>
      </c>
      <c r="R140" s="176">
        <f>R122</f>
        <v>3.3</v>
      </c>
      <c r="S140" s="590" t="e">
        <f t="shared" ref="S140:S148" si="98">(W140/2)+2</f>
        <v>#N/A</v>
      </c>
      <c r="T140" s="176" t="e">
        <f t="shared" ref="T140:T148" si="99">((O140*P140)+(Q140*R140)+(S140*0.02))/W140</f>
        <v>#N/A</v>
      </c>
      <c r="U140" s="176">
        <f>U122</f>
        <v>200</v>
      </c>
      <c r="V140" s="176" t="e">
        <f t="shared" ref="V140:V148" si="100">IF(W140=0,0,U140*W140)</f>
        <v>#N/A</v>
      </c>
      <c r="W140" s="605" t="e">
        <f t="shared" ref="W140:W141" si="101">IF($R$36=2,$O$36/2,IF($R$36=4,$O$36/4,IF($R$36=6,$O$36/6,IF($R$36=8,$O$36/8,IF($R$36=9,$O$36/9)))))</f>
        <v>#N/A</v>
      </c>
      <c r="X140" s="606" t="e">
        <f t="shared" ref="X140:X148" si="102">(V140*$AW$112)</f>
        <v>#N/A</v>
      </c>
      <c r="Y140" s="606" t="e">
        <f t="shared" ref="Y140:Y148" si="103">V140*$AW$114</f>
        <v>#N/A</v>
      </c>
      <c r="Z140" s="176">
        <f>Z122</f>
        <v>2</v>
      </c>
      <c r="AA140" s="176" t="e">
        <f t="shared" ref="AA140:AA148" si="104">IF(W140=0,0,(($AW$104*Z140)+X140+(T140*$AW$108))/W140)</f>
        <v>#N/A</v>
      </c>
      <c r="AB140" s="176" t="e">
        <f t="shared" ref="AB140:AB148" si="105">IF(W140=0,0,(($AW$106*Z140)-(X140+T140)*$AW$110)/W140)</f>
        <v>#N/A</v>
      </c>
      <c r="AC140" s="590" t="e">
        <f t="shared" ref="AC140:AC148" si="106">IF(W140=0,0,(T140*O140))</f>
        <v>#N/A</v>
      </c>
      <c r="AD140" s="590" t="e">
        <f t="shared" ref="AD140:AD148" si="107">AC140</f>
        <v>#N/A</v>
      </c>
      <c r="AE140" s="126"/>
      <c r="AG140" s="1332"/>
      <c r="AH140" s="1333"/>
      <c r="AI140" s="1333"/>
      <c r="AJ140" s="1333"/>
      <c r="AK140" s="1333"/>
      <c r="AL140" s="1333"/>
      <c r="AM140" s="1333"/>
      <c r="AN140" s="1333"/>
      <c r="AO140" s="1333"/>
      <c r="AP140" s="1333"/>
      <c r="AQ140" s="1333"/>
      <c r="AR140" s="1333"/>
      <c r="AS140" s="1334"/>
    </row>
    <row r="141" spans="1:46" s="173" customFormat="1" ht="15" customHeight="1">
      <c r="A141" s="126"/>
      <c r="B141" s="581" t="s">
        <v>225</v>
      </c>
      <c r="C141" s="604"/>
      <c r="D141" s="604"/>
      <c r="E141" s="604"/>
      <c r="F141" s="604"/>
      <c r="G141" s="604"/>
      <c r="H141" s="176" t="e">
        <f t="shared" si="94"/>
        <v>#N/A</v>
      </c>
      <c r="I141" s="176" t="e">
        <f t="shared" si="95"/>
        <v>#N/A</v>
      </c>
      <c r="J141" s="604"/>
      <c r="K141" s="604"/>
      <c r="L141" s="604"/>
      <c r="M141" s="126"/>
      <c r="N141" s="126"/>
      <c r="O141" s="590" t="e">
        <f t="shared" si="96"/>
        <v>#N/A</v>
      </c>
      <c r="P141" s="176">
        <f>P140</f>
        <v>3.23</v>
      </c>
      <c r="Q141" s="580" t="e">
        <f t="shared" si="97"/>
        <v>#N/A</v>
      </c>
      <c r="R141" s="176">
        <f>R140</f>
        <v>3.3</v>
      </c>
      <c r="S141" s="590" t="e">
        <f t="shared" si="98"/>
        <v>#N/A</v>
      </c>
      <c r="T141" s="176" t="e">
        <f t="shared" si="99"/>
        <v>#N/A</v>
      </c>
      <c r="U141" s="176">
        <f>U140</f>
        <v>200</v>
      </c>
      <c r="V141" s="176" t="e">
        <f t="shared" si="100"/>
        <v>#N/A</v>
      </c>
      <c r="W141" s="605" t="e">
        <f t="shared" si="101"/>
        <v>#N/A</v>
      </c>
      <c r="X141" s="606" t="e">
        <f t="shared" si="102"/>
        <v>#N/A</v>
      </c>
      <c r="Y141" s="606" t="e">
        <f t="shared" si="103"/>
        <v>#N/A</v>
      </c>
      <c r="Z141" s="176">
        <f>Z140</f>
        <v>2</v>
      </c>
      <c r="AA141" s="176" t="e">
        <f t="shared" si="104"/>
        <v>#N/A</v>
      </c>
      <c r="AB141" s="176" t="e">
        <f t="shared" si="105"/>
        <v>#N/A</v>
      </c>
      <c r="AC141" s="590" t="e">
        <f t="shared" si="106"/>
        <v>#N/A</v>
      </c>
      <c r="AD141" s="590" t="e">
        <f t="shared" si="107"/>
        <v>#N/A</v>
      </c>
      <c r="AE141" s="126"/>
      <c r="AG141" s="1335"/>
      <c r="AH141" s="1336"/>
      <c r="AI141" s="1336"/>
      <c r="AJ141" s="1336"/>
      <c r="AK141" s="1336"/>
      <c r="AL141" s="1336"/>
      <c r="AM141" s="1336"/>
      <c r="AN141" s="1336"/>
      <c r="AO141" s="1336"/>
      <c r="AP141" s="1336"/>
      <c r="AQ141" s="1336"/>
      <c r="AR141" s="1336"/>
      <c r="AS141" s="1337"/>
    </row>
    <row r="142" spans="1:46" s="173" customFormat="1" ht="15" customHeight="1">
      <c r="A142" s="126"/>
      <c r="B142" s="581" t="s">
        <v>225</v>
      </c>
      <c r="C142" s="604"/>
      <c r="D142" s="604"/>
      <c r="E142" s="604"/>
      <c r="F142" s="604"/>
      <c r="G142" s="604"/>
      <c r="H142" s="176" t="e">
        <f t="shared" si="94"/>
        <v>#N/A</v>
      </c>
      <c r="I142" s="176" t="e">
        <f t="shared" si="95"/>
        <v>#N/A</v>
      </c>
      <c r="J142" s="604"/>
      <c r="K142" s="604"/>
      <c r="L142" s="604"/>
      <c r="M142" s="126"/>
      <c r="N142" s="126"/>
      <c r="O142" s="590" t="e">
        <f t="shared" si="96"/>
        <v>#N/A</v>
      </c>
      <c r="P142" s="176">
        <f t="shared" ref="P142:P148" si="108">P141</f>
        <v>3.23</v>
      </c>
      <c r="Q142" s="580" t="e">
        <f t="shared" si="97"/>
        <v>#N/A</v>
      </c>
      <c r="R142" s="176">
        <f t="shared" ref="R142:R148" si="109">R141</f>
        <v>3.3</v>
      </c>
      <c r="S142" s="590" t="e">
        <f t="shared" si="98"/>
        <v>#N/A</v>
      </c>
      <c r="T142" s="176" t="e">
        <f t="shared" si="99"/>
        <v>#N/A</v>
      </c>
      <c r="U142" s="176">
        <f t="shared" ref="U142:U148" si="110">U141</f>
        <v>200</v>
      </c>
      <c r="V142" s="176" t="e">
        <f t="shared" si="100"/>
        <v>#N/A</v>
      </c>
      <c r="W142" s="605" t="e">
        <f>IF($R$36=2,0,IF($R$36=4,$O$36/4,IF($R$36=6,$O$36/6,IF($R$36=8,$O$36/8,IF($R$36=9,$O$36/9)))))</f>
        <v>#N/A</v>
      </c>
      <c r="X142" s="606" t="e">
        <f t="shared" si="102"/>
        <v>#N/A</v>
      </c>
      <c r="Y142" s="606" t="e">
        <f t="shared" si="103"/>
        <v>#N/A</v>
      </c>
      <c r="Z142" s="176">
        <f t="shared" ref="Z142:Z148" si="111">Z141</f>
        <v>2</v>
      </c>
      <c r="AA142" s="176" t="e">
        <f t="shared" si="104"/>
        <v>#N/A</v>
      </c>
      <c r="AB142" s="176" t="e">
        <f t="shared" si="105"/>
        <v>#N/A</v>
      </c>
      <c r="AC142" s="590" t="e">
        <f t="shared" si="106"/>
        <v>#N/A</v>
      </c>
      <c r="AD142" s="590" t="e">
        <f t="shared" si="107"/>
        <v>#N/A</v>
      </c>
      <c r="AE142" s="126"/>
      <c r="AG142" s="126"/>
      <c r="AH142" s="126"/>
      <c r="AI142" s="126"/>
      <c r="AJ142" s="126"/>
      <c r="AK142" s="126"/>
      <c r="AL142" s="126"/>
      <c r="AM142" s="126"/>
      <c r="AN142" s="126"/>
      <c r="AO142" s="126"/>
      <c r="AP142" s="126"/>
      <c r="AQ142" s="126"/>
      <c r="AR142" s="126"/>
      <c r="AS142" s="126"/>
    </row>
    <row r="143" spans="1:46" ht="15" customHeight="1">
      <c r="B143" s="581" t="s">
        <v>225</v>
      </c>
      <c r="C143" s="604"/>
      <c r="D143" s="604"/>
      <c r="E143" s="604"/>
      <c r="F143" s="604"/>
      <c r="G143" s="604"/>
      <c r="H143" s="176" t="e">
        <f t="shared" si="94"/>
        <v>#N/A</v>
      </c>
      <c r="I143" s="176" t="e">
        <f t="shared" si="95"/>
        <v>#N/A</v>
      </c>
      <c r="J143" s="604"/>
      <c r="K143" s="604"/>
      <c r="L143" s="604"/>
      <c r="O143" s="590" t="e">
        <f t="shared" si="96"/>
        <v>#N/A</v>
      </c>
      <c r="P143" s="176">
        <f t="shared" si="108"/>
        <v>3.23</v>
      </c>
      <c r="Q143" s="580" t="e">
        <f t="shared" si="97"/>
        <v>#N/A</v>
      </c>
      <c r="R143" s="176">
        <f t="shared" si="109"/>
        <v>3.3</v>
      </c>
      <c r="S143" s="590" t="e">
        <f t="shared" si="98"/>
        <v>#N/A</v>
      </c>
      <c r="T143" s="176" t="e">
        <f t="shared" si="99"/>
        <v>#N/A</v>
      </c>
      <c r="U143" s="176">
        <f t="shared" si="110"/>
        <v>200</v>
      </c>
      <c r="V143" s="176" t="e">
        <f t="shared" si="100"/>
        <v>#N/A</v>
      </c>
      <c r="W143" s="605" t="e">
        <f t="shared" ref="W143" si="112">IF($R$36=2,0,IF($R$36=4,$O$36/4,IF($R$36=6,$O$36/6,IF($R$36=8,$O$36/8,IF($R$36=9,$O$36/9)))))</f>
        <v>#N/A</v>
      </c>
      <c r="X143" s="606" t="e">
        <f t="shared" si="102"/>
        <v>#N/A</v>
      </c>
      <c r="Y143" s="606" t="e">
        <f t="shared" si="103"/>
        <v>#N/A</v>
      </c>
      <c r="Z143" s="176">
        <f t="shared" si="111"/>
        <v>2</v>
      </c>
      <c r="AA143" s="176" t="e">
        <f t="shared" si="104"/>
        <v>#N/A</v>
      </c>
      <c r="AB143" s="176" t="e">
        <f t="shared" si="105"/>
        <v>#N/A</v>
      </c>
      <c r="AC143" s="590" t="e">
        <f t="shared" si="106"/>
        <v>#N/A</v>
      </c>
      <c r="AD143" s="590" t="e">
        <f t="shared" si="107"/>
        <v>#N/A</v>
      </c>
      <c r="AG143" s="174" t="s">
        <v>1026</v>
      </c>
      <c r="AH143" s="175" t="e">
        <f>IF(AH136&lt;0,0,AH136)</f>
        <v>#N/A</v>
      </c>
      <c r="AI143" s="175" t="e">
        <f t="shared" ref="AI143:AS143" si="113">IF(AI136&lt;0,0,AI136)</f>
        <v>#N/A</v>
      </c>
      <c r="AJ143" s="175" t="e">
        <f t="shared" si="113"/>
        <v>#N/A</v>
      </c>
      <c r="AK143" s="175" t="e">
        <f t="shared" si="113"/>
        <v>#N/A</v>
      </c>
      <c r="AL143" s="175" t="e">
        <f t="shared" si="113"/>
        <v>#N/A</v>
      </c>
      <c r="AM143" s="175" t="e">
        <f t="shared" si="113"/>
        <v>#N/A</v>
      </c>
      <c r="AN143" s="175" t="e">
        <f t="shared" si="113"/>
        <v>#N/A</v>
      </c>
      <c r="AO143" s="175" t="e">
        <f t="shared" si="113"/>
        <v>#N/A</v>
      </c>
      <c r="AP143" s="175" t="e">
        <f t="shared" si="113"/>
        <v>#N/A</v>
      </c>
      <c r="AQ143" s="175" t="e">
        <f t="shared" si="113"/>
        <v>#N/A</v>
      </c>
      <c r="AR143" s="175" t="e">
        <f t="shared" si="113"/>
        <v>#N/A</v>
      </c>
      <c r="AS143" s="175" t="e">
        <f t="shared" si="113"/>
        <v>#N/A</v>
      </c>
      <c r="AT143" s="590" t="e">
        <f>SUM(AH143:AS143)</f>
        <v>#N/A</v>
      </c>
    </row>
    <row r="144" spans="1:46" ht="15" customHeight="1">
      <c r="B144" s="581" t="s">
        <v>225</v>
      </c>
      <c r="C144" s="604"/>
      <c r="D144" s="604"/>
      <c r="E144" s="604"/>
      <c r="F144" s="604"/>
      <c r="G144" s="604"/>
      <c r="H144" s="176" t="e">
        <f t="shared" si="94"/>
        <v>#N/A</v>
      </c>
      <c r="I144" s="176" t="e">
        <f t="shared" si="95"/>
        <v>#N/A</v>
      </c>
      <c r="J144" s="604"/>
      <c r="K144" s="604"/>
      <c r="L144" s="604"/>
      <c r="O144" s="590" t="e">
        <f t="shared" si="96"/>
        <v>#N/A</v>
      </c>
      <c r="P144" s="176">
        <f t="shared" si="108"/>
        <v>3.23</v>
      </c>
      <c r="Q144" s="580" t="e">
        <f t="shared" si="97"/>
        <v>#N/A</v>
      </c>
      <c r="R144" s="176">
        <f t="shared" si="109"/>
        <v>3.3</v>
      </c>
      <c r="S144" s="590" t="e">
        <f t="shared" si="98"/>
        <v>#N/A</v>
      </c>
      <c r="T144" s="176" t="e">
        <f t="shared" si="99"/>
        <v>#N/A</v>
      </c>
      <c r="U144" s="176">
        <f t="shared" si="110"/>
        <v>200</v>
      </c>
      <c r="V144" s="176" t="e">
        <f t="shared" si="100"/>
        <v>#N/A</v>
      </c>
      <c r="W144" s="605" t="e">
        <f>IF($R$36=2,0,IF($R$36=4,0,IF($R$36=6,$O$36/6,IF($R$36=8,$O$36/8,IF($R$36=9,$O$36/9)))))</f>
        <v>#N/A</v>
      </c>
      <c r="X144" s="606" t="e">
        <f t="shared" si="102"/>
        <v>#N/A</v>
      </c>
      <c r="Y144" s="606" t="e">
        <f t="shared" si="103"/>
        <v>#N/A</v>
      </c>
      <c r="Z144" s="176">
        <f t="shared" si="111"/>
        <v>2</v>
      </c>
      <c r="AA144" s="176" t="e">
        <f t="shared" si="104"/>
        <v>#N/A</v>
      </c>
      <c r="AB144" s="176" t="e">
        <f t="shared" si="105"/>
        <v>#N/A</v>
      </c>
      <c r="AC144" s="590" t="e">
        <f t="shared" si="106"/>
        <v>#N/A</v>
      </c>
      <c r="AD144" s="590" t="e">
        <f t="shared" si="107"/>
        <v>#N/A</v>
      </c>
      <c r="AG144" s="176"/>
      <c r="AH144" s="176"/>
      <c r="AI144" s="176"/>
      <c r="AJ144" s="176"/>
      <c r="AK144" s="176"/>
      <c r="AL144" s="176"/>
      <c r="AM144" s="176"/>
      <c r="AN144" s="176"/>
      <c r="AO144" s="176"/>
      <c r="AP144" s="176"/>
      <c r="AQ144" s="176"/>
      <c r="AR144" s="176"/>
      <c r="AS144" s="176"/>
    </row>
    <row r="145" spans="1:46" ht="15" customHeight="1">
      <c r="B145" s="581" t="s">
        <v>225</v>
      </c>
      <c r="C145" s="604"/>
      <c r="D145" s="604"/>
      <c r="E145" s="604"/>
      <c r="F145" s="604"/>
      <c r="G145" s="604"/>
      <c r="H145" s="176" t="e">
        <f t="shared" si="94"/>
        <v>#N/A</v>
      </c>
      <c r="I145" s="176" t="e">
        <f t="shared" si="95"/>
        <v>#N/A</v>
      </c>
      <c r="J145" s="604"/>
      <c r="K145" s="604"/>
      <c r="L145" s="604"/>
      <c r="O145" s="590" t="e">
        <f t="shared" si="96"/>
        <v>#N/A</v>
      </c>
      <c r="P145" s="176">
        <f t="shared" si="108"/>
        <v>3.23</v>
      </c>
      <c r="Q145" s="580" t="e">
        <f t="shared" si="97"/>
        <v>#N/A</v>
      </c>
      <c r="R145" s="176">
        <f t="shared" si="109"/>
        <v>3.3</v>
      </c>
      <c r="S145" s="590" t="e">
        <f t="shared" si="98"/>
        <v>#N/A</v>
      </c>
      <c r="T145" s="176" t="e">
        <f t="shared" si="99"/>
        <v>#N/A</v>
      </c>
      <c r="U145" s="176">
        <f t="shared" si="110"/>
        <v>200</v>
      </c>
      <c r="V145" s="176" t="e">
        <f t="shared" si="100"/>
        <v>#N/A</v>
      </c>
      <c r="W145" s="605" t="e">
        <f>IF($R$36=2,0,IF($R$36=4,0,IF($R$36=6,$O$36/6,IF($R$36=8,$O$36/8,IF($R$36=9,$O$36/9)))))</f>
        <v>#N/A</v>
      </c>
      <c r="X145" s="606" t="e">
        <f t="shared" si="102"/>
        <v>#N/A</v>
      </c>
      <c r="Y145" s="606" t="e">
        <f t="shared" si="103"/>
        <v>#N/A</v>
      </c>
      <c r="Z145" s="176">
        <f t="shared" si="111"/>
        <v>2</v>
      </c>
      <c r="AA145" s="176" t="e">
        <f t="shared" si="104"/>
        <v>#N/A</v>
      </c>
      <c r="AB145" s="176" t="e">
        <f t="shared" si="105"/>
        <v>#N/A</v>
      </c>
      <c r="AC145" s="590" t="e">
        <f t="shared" si="106"/>
        <v>#N/A</v>
      </c>
      <c r="AD145" s="590" t="e">
        <f t="shared" si="107"/>
        <v>#N/A</v>
      </c>
      <c r="AG145" s="174" t="s">
        <v>1027</v>
      </c>
      <c r="AH145" s="175" t="e">
        <f>IF(AH105&gt;$AW$60,SUM(AH118:AH123)+SUM(AH132:AH133)+AH108-(AH130*0.01),0)</f>
        <v>#N/A</v>
      </c>
      <c r="AI145" s="175" t="e">
        <f t="shared" ref="AI145:AS145" si="114">IF(AI105&gt;$AW$60,SUM(AI118:AI123)+SUM(AI132:AI133)+AI108-(AI130*0.01),0)</f>
        <v>#N/A</v>
      </c>
      <c r="AJ145" s="175" t="e">
        <f t="shared" si="114"/>
        <v>#N/A</v>
      </c>
      <c r="AK145" s="175" t="e">
        <f t="shared" si="114"/>
        <v>#N/A</v>
      </c>
      <c r="AL145" s="175" t="e">
        <f t="shared" si="114"/>
        <v>#N/A</v>
      </c>
      <c r="AM145" s="175" t="e">
        <f t="shared" si="114"/>
        <v>#N/A</v>
      </c>
      <c r="AN145" s="175" t="e">
        <f t="shared" si="114"/>
        <v>#N/A</v>
      </c>
      <c r="AO145" s="175" t="e">
        <f t="shared" si="114"/>
        <v>#N/A</v>
      </c>
      <c r="AP145" s="175" t="e">
        <f t="shared" si="114"/>
        <v>#N/A</v>
      </c>
      <c r="AQ145" s="175" t="e">
        <f t="shared" si="114"/>
        <v>#N/A</v>
      </c>
      <c r="AR145" s="175" t="e">
        <f t="shared" si="114"/>
        <v>#N/A</v>
      </c>
      <c r="AS145" s="175" t="e">
        <f t="shared" si="114"/>
        <v>#N/A</v>
      </c>
      <c r="AT145" s="590" t="e">
        <f>SUM(AH145:AS145)</f>
        <v>#N/A</v>
      </c>
    </row>
    <row r="146" spans="1:46" ht="15" customHeight="1">
      <c r="B146" s="581" t="s">
        <v>225</v>
      </c>
      <c r="C146" s="604"/>
      <c r="D146" s="604"/>
      <c r="E146" s="604"/>
      <c r="F146" s="604"/>
      <c r="G146" s="604"/>
      <c r="H146" s="176" t="e">
        <f t="shared" si="94"/>
        <v>#N/A</v>
      </c>
      <c r="I146" s="176" t="e">
        <f t="shared" si="95"/>
        <v>#N/A</v>
      </c>
      <c r="J146" s="604"/>
      <c r="K146" s="604"/>
      <c r="L146" s="604"/>
      <c r="O146" s="590" t="e">
        <f t="shared" si="96"/>
        <v>#N/A</v>
      </c>
      <c r="P146" s="176">
        <f t="shared" si="108"/>
        <v>3.23</v>
      </c>
      <c r="Q146" s="580" t="e">
        <f t="shared" si="97"/>
        <v>#N/A</v>
      </c>
      <c r="R146" s="176">
        <f t="shared" si="109"/>
        <v>3.3</v>
      </c>
      <c r="S146" s="590" t="e">
        <f t="shared" si="98"/>
        <v>#N/A</v>
      </c>
      <c r="T146" s="176" t="e">
        <f t="shared" si="99"/>
        <v>#N/A</v>
      </c>
      <c r="U146" s="176">
        <f t="shared" si="110"/>
        <v>200</v>
      </c>
      <c r="V146" s="176" t="e">
        <f t="shared" si="100"/>
        <v>#N/A</v>
      </c>
      <c r="W146" s="605" t="e">
        <f>IF($R$36=2,0,IF($R$36=4,0,IF($R$36=6,0,IF($R$36=8,$O$36/8,IF($R$36=9,$O$36/9)))))</f>
        <v>#N/A</v>
      </c>
      <c r="X146" s="606" t="e">
        <f t="shared" si="102"/>
        <v>#N/A</v>
      </c>
      <c r="Y146" s="606" t="e">
        <f t="shared" si="103"/>
        <v>#N/A</v>
      </c>
      <c r="Z146" s="176">
        <f t="shared" si="111"/>
        <v>2</v>
      </c>
      <c r="AA146" s="176" t="e">
        <f t="shared" si="104"/>
        <v>#N/A</v>
      </c>
      <c r="AB146" s="176" t="e">
        <f t="shared" si="105"/>
        <v>#N/A</v>
      </c>
      <c r="AC146" s="590" t="e">
        <f t="shared" si="106"/>
        <v>#N/A</v>
      </c>
      <c r="AD146" s="590" t="e">
        <f t="shared" si="107"/>
        <v>#N/A</v>
      </c>
    </row>
    <row r="147" spans="1:46" ht="15" customHeight="1">
      <c r="B147" s="581" t="s">
        <v>225</v>
      </c>
      <c r="C147" s="604"/>
      <c r="D147" s="604"/>
      <c r="E147" s="604"/>
      <c r="F147" s="604"/>
      <c r="G147" s="604"/>
      <c r="H147" s="176" t="e">
        <f t="shared" si="94"/>
        <v>#N/A</v>
      </c>
      <c r="I147" s="176" t="e">
        <f t="shared" si="95"/>
        <v>#N/A</v>
      </c>
      <c r="J147" s="604"/>
      <c r="K147" s="604"/>
      <c r="L147" s="604"/>
      <c r="O147" s="590" t="e">
        <f t="shared" si="96"/>
        <v>#N/A</v>
      </c>
      <c r="P147" s="176">
        <f t="shared" si="108"/>
        <v>3.23</v>
      </c>
      <c r="Q147" s="580" t="e">
        <f t="shared" si="97"/>
        <v>#N/A</v>
      </c>
      <c r="R147" s="176">
        <f t="shared" si="109"/>
        <v>3.3</v>
      </c>
      <c r="S147" s="590" t="e">
        <f t="shared" si="98"/>
        <v>#N/A</v>
      </c>
      <c r="T147" s="176" t="e">
        <f t="shared" si="99"/>
        <v>#N/A</v>
      </c>
      <c r="U147" s="176">
        <f t="shared" si="110"/>
        <v>200</v>
      </c>
      <c r="V147" s="176" t="e">
        <f t="shared" si="100"/>
        <v>#N/A</v>
      </c>
      <c r="W147" s="605" t="e">
        <f t="shared" ref="W147" si="115">IF($R$36=2,0,IF($R$36=4,0,IF($R$36=6,0,IF($R$36=8,$O$36/8,IF($R$36=9,$O$36/9)))))</f>
        <v>#N/A</v>
      </c>
      <c r="X147" s="606" t="e">
        <f t="shared" si="102"/>
        <v>#N/A</v>
      </c>
      <c r="Y147" s="606" t="e">
        <f t="shared" si="103"/>
        <v>#N/A</v>
      </c>
      <c r="Z147" s="176">
        <f t="shared" si="111"/>
        <v>2</v>
      </c>
      <c r="AA147" s="176" t="e">
        <f t="shared" si="104"/>
        <v>#N/A</v>
      </c>
      <c r="AB147" s="176" t="e">
        <f t="shared" si="105"/>
        <v>#N/A</v>
      </c>
      <c r="AC147" s="590" t="e">
        <f t="shared" si="106"/>
        <v>#N/A</v>
      </c>
      <c r="AD147" s="590" t="e">
        <f t="shared" si="107"/>
        <v>#N/A</v>
      </c>
    </row>
    <row r="148" spans="1:46" s="173" customFormat="1" ht="15" customHeight="1">
      <c r="A148" s="126"/>
      <c r="B148" s="581" t="s">
        <v>225</v>
      </c>
      <c r="C148" s="604"/>
      <c r="D148" s="604"/>
      <c r="E148" s="604"/>
      <c r="F148" s="604"/>
      <c r="G148" s="604"/>
      <c r="H148" s="176" t="e">
        <f t="shared" si="94"/>
        <v>#N/A</v>
      </c>
      <c r="I148" s="176" t="e">
        <f t="shared" si="95"/>
        <v>#N/A</v>
      </c>
      <c r="J148" s="604"/>
      <c r="K148" s="604"/>
      <c r="L148" s="604"/>
      <c r="M148" s="126"/>
      <c r="N148" s="126"/>
      <c r="O148" s="590" t="e">
        <f t="shared" si="96"/>
        <v>#N/A</v>
      </c>
      <c r="P148" s="176">
        <f t="shared" si="108"/>
        <v>3.23</v>
      </c>
      <c r="Q148" s="580" t="e">
        <f t="shared" si="97"/>
        <v>#N/A</v>
      </c>
      <c r="R148" s="176">
        <f t="shared" si="109"/>
        <v>3.3</v>
      </c>
      <c r="S148" s="590" t="e">
        <f t="shared" si="98"/>
        <v>#N/A</v>
      </c>
      <c r="T148" s="176" t="e">
        <f t="shared" si="99"/>
        <v>#N/A</v>
      </c>
      <c r="U148" s="176">
        <f t="shared" si="110"/>
        <v>200</v>
      </c>
      <c r="V148" s="176" t="e">
        <f t="shared" si="100"/>
        <v>#N/A</v>
      </c>
      <c r="W148" s="605" t="e">
        <f>IF($R$36=2,0,IF($R$36=4,0,IF($R$36=6,0,IF($R$36=8,0,IF($R$36=9,$O$36/9)))))</f>
        <v>#N/A</v>
      </c>
      <c r="X148" s="606" t="e">
        <f t="shared" si="102"/>
        <v>#N/A</v>
      </c>
      <c r="Y148" s="606" t="e">
        <f t="shared" si="103"/>
        <v>#N/A</v>
      </c>
      <c r="Z148" s="176">
        <f t="shared" si="111"/>
        <v>2</v>
      </c>
      <c r="AA148" s="176" t="e">
        <f t="shared" si="104"/>
        <v>#N/A</v>
      </c>
      <c r="AB148" s="176" t="e">
        <f t="shared" si="105"/>
        <v>#N/A</v>
      </c>
      <c r="AC148" s="590" t="e">
        <f t="shared" si="106"/>
        <v>#N/A</v>
      </c>
      <c r="AD148" s="590" t="e">
        <f t="shared" si="107"/>
        <v>#N/A</v>
      </c>
      <c r="AE148" s="126"/>
    </row>
    <row r="149" spans="1:46" ht="15" customHeight="1">
      <c r="D149" s="126"/>
      <c r="E149" s="126"/>
      <c r="K149" s="126"/>
      <c r="L149" s="126"/>
      <c r="Q149" s="126"/>
      <c r="R149" s="126"/>
      <c r="V149" s="126"/>
      <c r="X149" s="126"/>
    </row>
    <row r="150" spans="1:46" ht="15" customHeight="1">
      <c r="D150" s="126"/>
      <c r="E150" s="126"/>
      <c r="K150" s="126"/>
      <c r="L150" s="126"/>
      <c r="Q150" s="126"/>
      <c r="R150" s="126"/>
      <c r="V150" s="126"/>
      <c r="X150" s="126"/>
    </row>
    <row r="151" spans="1:46" ht="15" customHeight="1">
      <c r="C151" s="1323" t="s">
        <v>1204</v>
      </c>
      <c r="D151" s="1323"/>
      <c r="E151" s="580" t="s">
        <v>1185</v>
      </c>
      <c r="F151" s="580" t="s">
        <v>1186</v>
      </c>
      <c r="G151" s="580" t="s">
        <v>227</v>
      </c>
      <c r="K151" s="126"/>
      <c r="L151" s="126"/>
      <c r="Q151" s="126"/>
      <c r="R151" s="126"/>
      <c r="V151" s="126"/>
      <c r="X151" s="126"/>
    </row>
    <row r="152" spans="1:46" ht="15" customHeight="1">
      <c r="B152" s="581" t="s">
        <v>768</v>
      </c>
      <c r="C152" s="1324"/>
      <c r="D152" s="1324"/>
      <c r="E152" s="589">
        <f>ENERGÍA!F158</f>
        <v>0</v>
      </c>
      <c r="F152" s="589">
        <f>ENERGÍA!G158</f>
        <v>0</v>
      </c>
      <c r="G152" s="589">
        <f>ENERGÍA!H158</f>
        <v>0</v>
      </c>
      <c r="K152" s="126"/>
      <c r="L152" s="126"/>
      <c r="T152" s="590">
        <f>ENERGÍA!U158</f>
        <v>0</v>
      </c>
      <c r="V152" s="126"/>
      <c r="X152" s="126"/>
      <c r="AC152" s="590">
        <f>T152*E152*F152</f>
        <v>0</v>
      </c>
      <c r="AD152" s="590">
        <f>AC152</f>
        <v>0</v>
      </c>
    </row>
    <row r="153" spans="1:46" ht="6" customHeight="1">
      <c r="L153" s="126"/>
      <c r="V153" s="148"/>
      <c r="Z153" s="580"/>
      <c r="AA153" s="580"/>
    </row>
    <row r="154" spans="1:46" ht="15" customHeight="1">
      <c r="B154" s="1323">
        <f>C38</f>
        <v>0</v>
      </c>
      <c r="C154" s="1323"/>
      <c r="D154" s="1323"/>
      <c r="E154" s="1323"/>
      <c r="F154" s="1323"/>
      <c r="G154" s="1323"/>
      <c r="H154" s="1323"/>
      <c r="I154" s="1323"/>
      <c r="J154" s="1323"/>
      <c r="K154" s="1323"/>
      <c r="L154" s="1323"/>
      <c r="O154" s="1320">
        <f>B154</f>
        <v>0</v>
      </c>
      <c r="P154" s="1321"/>
      <c r="Q154" s="1321"/>
      <c r="R154" s="1321"/>
      <c r="S154" s="1321"/>
      <c r="T154" s="1321"/>
      <c r="U154" s="1321"/>
      <c r="V154" s="1321"/>
      <c r="W154" s="1321"/>
      <c r="X154" s="1321"/>
      <c r="Y154" s="1321"/>
      <c r="Z154" s="1321"/>
      <c r="AA154" s="1321"/>
      <c r="AB154" s="1321"/>
      <c r="AC154" s="1321"/>
      <c r="AD154" s="1321"/>
      <c r="AE154" s="1322"/>
    </row>
    <row r="155" spans="1:46" ht="6" customHeight="1">
      <c r="L155" s="126"/>
      <c r="V155" s="148"/>
      <c r="Z155" s="580"/>
      <c r="AA155" s="580"/>
    </row>
    <row r="156" spans="1:46" ht="15" customHeight="1">
      <c r="B156" s="1273"/>
      <c r="C156" s="1323" t="s">
        <v>1184</v>
      </c>
      <c r="D156" s="1323"/>
      <c r="E156" s="1323"/>
      <c r="F156" s="1323" t="s">
        <v>1188</v>
      </c>
      <c r="G156" s="1323"/>
      <c r="H156" s="1323" t="s">
        <v>1203</v>
      </c>
      <c r="I156" s="1323"/>
      <c r="J156" s="1281" t="s">
        <v>790</v>
      </c>
      <c r="K156" s="1281" t="s">
        <v>1136</v>
      </c>
      <c r="L156" s="1281"/>
      <c r="O156" s="580" t="s">
        <v>1651</v>
      </c>
      <c r="P156" s="1281" t="s">
        <v>1064</v>
      </c>
      <c r="Q156" s="580" t="s">
        <v>1652</v>
      </c>
      <c r="R156" s="1273" t="s">
        <v>1191</v>
      </c>
      <c r="S156" s="580" t="s">
        <v>1190</v>
      </c>
      <c r="T156" s="1273" t="s">
        <v>1192</v>
      </c>
      <c r="U156" s="1323" t="s">
        <v>1653</v>
      </c>
      <c r="V156" s="1323"/>
      <c r="W156" s="580" t="s">
        <v>1654</v>
      </c>
      <c r="X156" s="1273" t="s">
        <v>1403</v>
      </c>
      <c r="Y156" s="1273" t="s">
        <v>1404</v>
      </c>
      <c r="Z156" s="1273" t="s">
        <v>1210</v>
      </c>
      <c r="AA156" s="1273" t="s">
        <v>1201</v>
      </c>
      <c r="AB156" s="1273" t="s">
        <v>1202</v>
      </c>
      <c r="AC156" s="1281" t="s">
        <v>850</v>
      </c>
      <c r="AD156" s="1281" t="str">
        <f>AC156</f>
        <v>W/K Inv</v>
      </c>
      <c r="AE156" s="226" t="s">
        <v>1017</v>
      </c>
    </row>
    <row r="157" spans="1:46" ht="15" customHeight="1">
      <c r="B157" s="1273"/>
      <c r="C157" s="148" t="s">
        <v>623</v>
      </c>
      <c r="D157" s="580" t="s">
        <v>1185</v>
      </c>
      <c r="E157" s="580" t="s">
        <v>1186</v>
      </c>
      <c r="F157" s="580" t="s">
        <v>623</v>
      </c>
      <c r="G157" s="580" t="s">
        <v>1189</v>
      </c>
      <c r="H157" s="580" t="s">
        <v>757</v>
      </c>
      <c r="I157" s="580" t="s">
        <v>650</v>
      </c>
      <c r="J157" s="1281"/>
      <c r="K157" s="166" t="s">
        <v>623</v>
      </c>
      <c r="L157" s="602" t="s">
        <v>1122</v>
      </c>
      <c r="O157" s="580" t="s">
        <v>1187</v>
      </c>
      <c r="P157" s="1281"/>
      <c r="Q157" s="580" t="s">
        <v>1187</v>
      </c>
      <c r="R157" s="1273"/>
      <c r="S157" s="580" t="s">
        <v>18</v>
      </c>
      <c r="T157" s="1273"/>
      <c r="U157" s="580" t="s">
        <v>1199</v>
      </c>
      <c r="V157" s="148" t="s">
        <v>1200</v>
      </c>
      <c r="W157" s="176" t="s">
        <v>1187</v>
      </c>
      <c r="X157" s="1273"/>
      <c r="Y157" s="1273"/>
      <c r="Z157" s="1273"/>
      <c r="AA157" s="1273"/>
      <c r="AB157" s="1273"/>
      <c r="AC157" s="1281"/>
      <c r="AD157" s="1281"/>
      <c r="AE157" s="603" t="e">
        <f>Q38</f>
        <v>#N/A</v>
      </c>
    </row>
    <row r="158" spans="1:46" ht="15" customHeight="1">
      <c r="B158" s="581" t="s">
        <v>225</v>
      </c>
      <c r="C158" s="604"/>
      <c r="D158" s="604"/>
      <c r="E158" s="604"/>
      <c r="F158" s="604"/>
      <c r="G158" s="604"/>
      <c r="H158" s="176" t="e">
        <f t="shared" ref="H158:H166" si="116">IF(W158=0,"-",IF($O$4=6,"No Aplica",HLOOKUP(AA158,ZONA2,2,TRUE)))</f>
        <v>#N/A</v>
      </c>
      <c r="I158" s="176" t="e">
        <f t="shared" ref="I158:I166" si="117">IF(W158=0,"-",IF($O$4=6,HLOOKUP(AB158,ZONA3,2,TRUE),HLOOKUP(AB158,ZONA1,2,TRUE)))</f>
        <v>#N/A</v>
      </c>
      <c r="J158" s="604"/>
      <c r="K158" s="604"/>
      <c r="L158" s="604"/>
      <c r="O158" s="590" t="e">
        <f t="shared" ref="O158:O166" si="118">$W$104-Q158</f>
        <v>#N/A</v>
      </c>
      <c r="P158" s="176">
        <f>P140</f>
        <v>3.23</v>
      </c>
      <c r="Q158" s="580" t="e">
        <f t="shared" ref="Q158:Q166" si="119">W158*0.02</f>
        <v>#N/A</v>
      </c>
      <c r="R158" s="176">
        <f>R140</f>
        <v>3.3</v>
      </c>
      <c r="S158" s="590" t="e">
        <f t="shared" ref="S158:S166" si="120">(W158/2)+2</f>
        <v>#N/A</v>
      </c>
      <c r="T158" s="176" t="e">
        <f t="shared" ref="T158:T166" si="121">((O158*P158)+(Q158*R158)+(S158*0.02))/W158</f>
        <v>#N/A</v>
      </c>
      <c r="U158" s="176">
        <f>U140</f>
        <v>200</v>
      </c>
      <c r="V158" s="176" t="e">
        <f t="shared" ref="V158:V166" si="122">IF(W158=0,0,U158*W158)</f>
        <v>#N/A</v>
      </c>
      <c r="W158" s="605" t="e">
        <f t="shared" ref="W158:W159" si="123">IF($R$36=2,$O$36/2,IF($R$36=4,$O$36/4,IF($R$36=6,$O$36/6,IF($R$36=8,$O$36/8,IF($R$36=9,$O$36/9)))))</f>
        <v>#N/A</v>
      </c>
      <c r="X158" s="606" t="e">
        <f t="shared" ref="X158:X166" si="124">(V158*$AW$112)</f>
        <v>#N/A</v>
      </c>
      <c r="Y158" s="606" t="e">
        <f t="shared" ref="Y158:Y166" si="125">V158*$AW$114</f>
        <v>#N/A</v>
      </c>
      <c r="Z158" s="176">
        <f>Z140</f>
        <v>2</v>
      </c>
      <c r="AA158" s="176" t="e">
        <f t="shared" ref="AA158:AA166" si="126">IF(W158=0,0,(($AW$104*Z158)+X158+(T158*$AW$108))/W158)</f>
        <v>#N/A</v>
      </c>
      <c r="AB158" s="176" t="e">
        <f>IF(W158=0,0,(($AW$106*Z158)-(X158+T158)*$AW$110)/W158)</f>
        <v>#N/A</v>
      </c>
      <c r="AC158" s="590" t="e">
        <f>IF(W158=0,0,(T158*O158))</f>
        <v>#N/A</v>
      </c>
      <c r="AD158" s="590" t="e">
        <f t="shared" ref="AD158:AD166" si="127">AC158</f>
        <v>#N/A</v>
      </c>
    </row>
    <row r="159" spans="1:46" ht="15" customHeight="1">
      <c r="B159" s="581" t="s">
        <v>225</v>
      </c>
      <c r="C159" s="604"/>
      <c r="D159" s="604"/>
      <c r="E159" s="604"/>
      <c r="F159" s="604"/>
      <c r="G159" s="604"/>
      <c r="H159" s="176" t="e">
        <f t="shared" si="116"/>
        <v>#N/A</v>
      </c>
      <c r="I159" s="176" t="e">
        <f t="shared" si="117"/>
        <v>#N/A</v>
      </c>
      <c r="J159" s="604"/>
      <c r="K159" s="604"/>
      <c r="L159" s="604"/>
      <c r="O159" s="590" t="e">
        <f t="shared" si="118"/>
        <v>#N/A</v>
      </c>
      <c r="P159" s="176">
        <f>P158</f>
        <v>3.23</v>
      </c>
      <c r="Q159" s="580" t="e">
        <f t="shared" si="119"/>
        <v>#N/A</v>
      </c>
      <c r="R159" s="176">
        <f>R158</f>
        <v>3.3</v>
      </c>
      <c r="S159" s="590" t="e">
        <f t="shared" si="120"/>
        <v>#N/A</v>
      </c>
      <c r="T159" s="176" t="e">
        <f t="shared" si="121"/>
        <v>#N/A</v>
      </c>
      <c r="U159" s="176">
        <f>U158</f>
        <v>200</v>
      </c>
      <c r="V159" s="176" t="e">
        <f t="shared" si="122"/>
        <v>#N/A</v>
      </c>
      <c r="W159" s="605" t="e">
        <f t="shared" si="123"/>
        <v>#N/A</v>
      </c>
      <c r="X159" s="606" t="e">
        <f t="shared" si="124"/>
        <v>#N/A</v>
      </c>
      <c r="Y159" s="606" t="e">
        <f t="shared" si="125"/>
        <v>#N/A</v>
      </c>
      <c r="Z159" s="176">
        <f>Z158</f>
        <v>2</v>
      </c>
      <c r="AA159" s="176" t="e">
        <f t="shared" si="126"/>
        <v>#N/A</v>
      </c>
      <c r="AB159" s="176" t="e">
        <f t="shared" ref="AB159:AB166" si="128">IF(W159=0,0,(($AW$106*Z159)-(X159+T159)*$AW$110)/W159)</f>
        <v>#N/A</v>
      </c>
      <c r="AC159" s="590" t="e">
        <f t="shared" ref="AC159:AC166" si="129">IF(W159=0,0,(T159*O159))</f>
        <v>#N/A</v>
      </c>
      <c r="AD159" s="590" t="e">
        <f t="shared" si="127"/>
        <v>#N/A</v>
      </c>
    </row>
    <row r="160" spans="1:46" ht="15" customHeight="1">
      <c r="B160" s="581" t="s">
        <v>225</v>
      </c>
      <c r="C160" s="604"/>
      <c r="D160" s="604"/>
      <c r="E160" s="604"/>
      <c r="F160" s="604"/>
      <c r="G160" s="604"/>
      <c r="H160" s="176" t="e">
        <f t="shared" si="116"/>
        <v>#N/A</v>
      </c>
      <c r="I160" s="176" t="e">
        <f t="shared" si="117"/>
        <v>#N/A</v>
      </c>
      <c r="J160" s="604"/>
      <c r="K160" s="604"/>
      <c r="L160" s="604"/>
      <c r="O160" s="590" t="e">
        <f t="shared" si="118"/>
        <v>#N/A</v>
      </c>
      <c r="P160" s="176">
        <f t="shared" ref="P160:P166" si="130">P159</f>
        <v>3.23</v>
      </c>
      <c r="Q160" s="580" t="e">
        <f t="shared" si="119"/>
        <v>#N/A</v>
      </c>
      <c r="R160" s="176">
        <f t="shared" ref="R160:R166" si="131">R159</f>
        <v>3.3</v>
      </c>
      <c r="S160" s="590" t="e">
        <f t="shared" si="120"/>
        <v>#N/A</v>
      </c>
      <c r="T160" s="176" t="e">
        <f t="shared" si="121"/>
        <v>#N/A</v>
      </c>
      <c r="U160" s="176">
        <f t="shared" ref="U160:U166" si="132">U159</f>
        <v>200</v>
      </c>
      <c r="V160" s="176" t="e">
        <f t="shared" si="122"/>
        <v>#N/A</v>
      </c>
      <c r="W160" s="605" t="e">
        <f>IF($R$36=2,0,IF($R$36=4,$O$36/4,IF($R$36=6,$O$36/6,IF($R$36=8,$O$36/8,IF($R$36=9,$O$36/9)))))</f>
        <v>#N/A</v>
      </c>
      <c r="X160" s="606" t="e">
        <f t="shared" si="124"/>
        <v>#N/A</v>
      </c>
      <c r="Y160" s="606" t="e">
        <f t="shared" si="125"/>
        <v>#N/A</v>
      </c>
      <c r="Z160" s="176">
        <f t="shared" ref="Z160:Z166" si="133">Z159</f>
        <v>2</v>
      </c>
      <c r="AA160" s="176" t="e">
        <f t="shared" si="126"/>
        <v>#N/A</v>
      </c>
      <c r="AB160" s="176" t="e">
        <f t="shared" si="128"/>
        <v>#N/A</v>
      </c>
      <c r="AC160" s="590" t="e">
        <f t="shared" si="129"/>
        <v>#N/A</v>
      </c>
      <c r="AD160" s="590" t="e">
        <f t="shared" si="127"/>
        <v>#N/A</v>
      </c>
    </row>
    <row r="161" spans="1:32" ht="15" customHeight="1">
      <c r="B161" s="581" t="s">
        <v>225</v>
      </c>
      <c r="C161" s="604"/>
      <c r="D161" s="604"/>
      <c r="E161" s="604"/>
      <c r="F161" s="604"/>
      <c r="G161" s="604"/>
      <c r="H161" s="176" t="e">
        <f t="shared" si="116"/>
        <v>#N/A</v>
      </c>
      <c r="I161" s="176" t="e">
        <f t="shared" si="117"/>
        <v>#N/A</v>
      </c>
      <c r="J161" s="604"/>
      <c r="K161" s="604"/>
      <c r="L161" s="604"/>
      <c r="O161" s="590" t="e">
        <f t="shared" si="118"/>
        <v>#N/A</v>
      </c>
      <c r="P161" s="176">
        <f t="shared" si="130"/>
        <v>3.23</v>
      </c>
      <c r="Q161" s="580" t="e">
        <f t="shared" si="119"/>
        <v>#N/A</v>
      </c>
      <c r="R161" s="176">
        <f t="shared" si="131"/>
        <v>3.3</v>
      </c>
      <c r="S161" s="590" t="e">
        <f t="shared" si="120"/>
        <v>#N/A</v>
      </c>
      <c r="T161" s="176" t="e">
        <f t="shared" si="121"/>
        <v>#N/A</v>
      </c>
      <c r="U161" s="176">
        <f t="shared" si="132"/>
        <v>200</v>
      </c>
      <c r="V161" s="176" t="e">
        <f t="shared" si="122"/>
        <v>#N/A</v>
      </c>
      <c r="W161" s="605" t="e">
        <f t="shared" ref="W161" si="134">IF($R$36=2,0,IF($R$36=4,$O$36/4,IF($R$36=6,$O$36/6,IF($R$36=8,$O$36/8,IF($R$36=9,$O$36/9)))))</f>
        <v>#N/A</v>
      </c>
      <c r="X161" s="606" t="e">
        <f t="shared" si="124"/>
        <v>#N/A</v>
      </c>
      <c r="Y161" s="606" t="e">
        <f t="shared" si="125"/>
        <v>#N/A</v>
      </c>
      <c r="Z161" s="176">
        <f t="shared" si="133"/>
        <v>2</v>
      </c>
      <c r="AA161" s="176" t="e">
        <f t="shared" si="126"/>
        <v>#N/A</v>
      </c>
      <c r="AB161" s="176" t="e">
        <f t="shared" si="128"/>
        <v>#N/A</v>
      </c>
      <c r="AC161" s="590" t="e">
        <f t="shared" si="129"/>
        <v>#N/A</v>
      </c>
      <c r="AD161" s="590" t="e">
        <f t="shared" si="127"/>
        <v>#N/A</v>
      </c>
    </row>
    <row r="162" spans="1:32" ht="15" customHeight="1">
      <c r="B162" s="581" t="s">
        <v>225</v>
      </c>
      <c r="C162" s="604"/>
      <c r="D162" s="604"/>
      <c r="E162" s="604"/>
      <c r="F162" s="604"/>
      <c r="G162" s="604"/>
      <c r="H162" s="176" t="e">
        <f t="shared" si="116"/>
        <v>#N/A</v>
      </c>
      <c r="I162" s="176" t="e">
        <f t="shared" si="117"/>
        <v>#N/A</v>
      </c>
      <c r="J162" s="604"/>
      <c r="K162" s="604"/>
      <c r="L162" s="604"/>
      <c r="O162" s="590" t="e">
        <f t="shared" si="118"/>
        <v>#N/A</v>
      </c>
      <c r="P162" s="176">
        <f t="shared" si="130"/>
        <v>3.23</v>
      </c>
      <c r="Q162" s="580" t="e">
        <f t="shared" si="119"/>
        <v>#N/A</v>
      </c>
      <c r="R162" s="176">
        <f t="shared" si="131"/>
        <v>3.3</v>
      </c>
      <c r="S162" s="590" t="e">
        <f t="shared" si="120"/>
        <v>#N/A</v>
      </c>
      <c r="T162" s="176" t="e">
        <f t="shared" si="121"/>
        <v>#N/A</v>
      </c>
      <c r="U162" s="176">
        <f t="shared" si="132"/>
        <v>200</v>
      </c>
      <c r="V162" s="176" t="e">
        <f t="shared" si="122"/>
        <v>#N/A</v>
      </c>
      <c r="W162" s="605" t="e">
        <f>IF($R$36=2,0,IF($R$36=4,0,IF($R$36=6,$O$36/6,IF($R$36=8,$O$36/8,IF($R$36=9,$O$36/9)))))</f>
        <v>#N/A</v>
      </c>
      <c r="X162" s="606" t="e">
        <f t="shared" si="124"/>
        <v>#N/A</v>
      </c>
      <c r="Y162" s="606" t="e">
        <f t="shared" si="125"/>
        <v>#N/A</v>
      </c>
      <c r="Z162" s="176">
        <f t="shared" si="133"/>
        <v>2</v>
      </c>
      <c r="AA162" s="176" t="e">
        <f t="shared" si="126"/>
        <v>#N/A</v>
      </c>
      <c r="AB162" s="176" t="e">
        <f t="shared" si="128"/>
        <v>#N/A</v>
      </c>
      <c r="AC162" s="590" t="e">
        <f t="shared" si="129"/>
        <v>#N/A</v>
      </c>
      <c r="AD162" s="590" t="e">
        <f t="shared" si="127"/>
        <v>#N/A</v>
      </c>
    </row>
    <row r="163" spans="1:32" ht="15" customHeight="1">
      <c r="B163" s="581" t="s">
        <v>225</v>
      </c>
      <c r="C163" s="604"/>
      <c r="D163" s="604"/>
      <c r="E163" s="604"/>
      <c r="F163" s="604"/>
      <c r="G163" s="604"/>
      <c r="H163" s="176" t="e">
        <f t="shared" si="116"/>
        <v>#N/A</v>
      </c>
      <c r="I163" s="176" t="e">
        <f t="shared" si="117"/>
        <v>#N/A</v>
      </c>
      <c r="J163" s="604"/>
      <c r="K163" s="604"/>
      <c r="L163" s="604"/>
      <c r="O163" s="590" t="e">
        <f t="shared" si="118"/>
        <v>#N/A</v>
      </c>
      <c r="P163" s="176">
        <f t="shared" si="130"/>
        <v>3.23</v>
      </c>
      <c r="Q163" s="580" t="e">
        <f t="shared" si="119"/>
        <v>#N/A</v>
      </c>
      <c r="R163" s="176">
        <f t="shared" si="131"/>
        <v>3.3</v>
      </c>
      <c r="S163" s="590" t="e">
        <f t="shared" si="120"/>
        <v>#N/A</v>
      </c>
      <c r="T163" s="176" t="e">
        <f t="shared" si="121"/>
        <v>#N/A</v>
      </c>
      <c r="U163" s="176">
        <f t="shared" si="132"/>
        <v>200</v>
      </c>
      <c r="V163" s="176" t="e">
        <f t="shared" si="122"/>
        <v>#N/A</v>
      </c>
      <c r="W163" s="605" t="e">
        <f>IF($R$36=2,0,IF($R$36=4,0,IF($R$36=6,$O$36/6,IF($R$36=8,$O$36/8,IF($R$36=9,$O$36/9)))))</f>
        <v>#N/A</v>
      </c>
      <c r="X163" s="606" t="e">
        <f t="shared" si="124"/>
        <v>#N/A</v>
      </c>
      <c r="Y163" s="606" t="e">
        <f t="shared" si="125"/>
        <v>#N/A</v>
      </c>
      <c r="Z163" s="176">
        <f t="shared" si="133"/>
        <v>2</v>
      </c>
      <c r="AA163" s="176" t="e">
        <f t="shared" si="126"/>
        <v>#N/A</v>
      </c>
      <c r="AB163" s="176" t="e">
        <f t="shared" si="128"/>
        <v>#N/A</v>
      </c>
      <c r="AC163" s="590" t="e">
        <f t="shared" si="129"/>
        <v>#N/A</v>
      </c>
      <c r="AD163" s="590" t="e">
        <f t="shared" si="127"/>
        <v>#N/A</v>
      </c>
    </row>
    <row r="164" spans="1:32" ht="15" customHeight="1">
      <c r="B164" s="581" t="s">
        <v>225</v>
      </c>
      <c r="C164" s="604"/>
      <c r="D164" s="604"/>
      <c r="E164" s="604"/>
      <c r="F164" s="604"/>
      <c r="G164" s="604"/>
      <c r="H164" s="176" t="e">
        <f t="shared" si="116"/>
        <v>#N/A</v>
      </c>
      <c r="I164" s="176" t="e">
        <f t="shared" si="117"/>
        <v>#N/A</v>
      </c>
      <c r="J164" s="604"/>
      <c r="K164" s="604"/>
      <c r="L164" s="604"/>
      <c r="O164" s="590" t="e">
        <f t="shared" si="118"/>
        <v>#N/A</v>
      </c>
      <c r="P164" s="176">
        <f t="shared" si="130"/>
        <v>3.23</v>
      </c>
      <c r="Q164" s="580" t="e">
        <f t="shared" si="119"/>
        <v>#N/A</v>
      </c>
      <c r="R164" s="176">
        <f t="shared" si="131"/>
        <v>3.3</v>
      </c>
      <c r="S164" s="590" t="e">
        <f t="shared" si="120"/>
        <v>#N/A</v>
      </c>
      <c r="T164" s="176" t="e">
        <f t="shared" si="121"/>
        <v>#N/A</v>
      </c>
      <c r="U164" s="176">
        <f t="shared" si="132"/>
        <v>200</v>
      </c>
      <c r="V164" s="176" t="e">
        <f t="shared" si="122"/>
        <v>#N/A</v>
      </c>
      <c r="W164" s="605" t="e">
        <f>IF($R$36=2,0,IF($R$36=4,0,IF($R$36=6,0,IF($R$36=8,$O$36/8,IF($R$36=9,$O$36/9)))))</f>
        <v>#N/A</v>
      </c>
      <c r="X164" s="606" t="e">
        <f t="shared" si="124"/>
        <v>#N/A</v>
      </c>
      <c r="Y164" s="606" t="e">
        <f t="shared" si="125"/>
        <v>#N/A</v>
      </c>
      <c r="Z164" s="176">
        <f t="shared" si="133"/>
        <v>2</v>
      </c>
      <c r="AA164" s="176" t="e">
        <f t="shared" si="126"/>
        <v>#N/A</v>
      </c>
      <c r="AB164" s="176" t="e">
        <f t="shared" si="128"/>
        <v>#N/A</v>
      </c>
      <c r="AC164" s="590" t="e">
        <f t="shared" si="129"/>
        <v>#N/A</v>
      </c>
      <c r="AD164" s="590" t="e">
        <f t="shared" si="127"/>
        <v>#N/A</v>
      </c>
    </row>
    <row r="165" spans="1:32" ht="15" customHeight="1">
      <c r="B165" s="581" t="s">
        <v>225</v>
      </c>
      <c r="C165" s="604"/>
      <c r="D165" s="604"/>
      <c r="E165" s="604"/>
      <c r="F165" s="604"/>
      <c r="G165" s="604"/>
      <c r="H165" s="176" t="e">
        <f t="shared" si="116"/>
        <v>#N/A</v>
      </c>
      <c r="I165" s="176" t="e">
        <f t="shared" si="117"/>
        <v>#N/A</v>
      </c>
      <c r="J165" s="604"/>
      <c r="K165" s="604"/>
      <c r="L165" s="604"/>
      <c r="O165" s="590" t="e">
        <f t="shared" si="118"/>
        <v>#N/A</v>
      </c>
      <c r="P165" s="176">
        <f t="shared" si="130"/>
        <v>3.23</v>
      </c>
      <c r="Q165" s="580" t="e">
        <f t="shared" si="119"/>
        <v>#N/A</v>
      </c>
      <c r="R165" s="176">
        <f t="shared" si="131"/>
        <v>3.3</v>
      </c>
      <c r="S165" s="590" t="e">
        <f t="shared" si="120"/>
        <v>#N/A</v>
      </c>
      <c r="T165" s="176" t="e">
        <f t="shared" si="121"/>
        <v>#N/A</v>
      </c>
      <c r="U165" s="176">
        <f t="shared" si="132"/>
        <v>200</v>
      </c>
      <c r="V165" s="176" t="e">
        <f t="shared" si="122"/>
        <v>#N/A</v>
      </c>
      <c r="W165" s="605" t="e">
        <f t="shared" ref="W165" si="135">IF($R$36=2,0,IF($R$36=4,0,IF($R$36=6,0,IF($R$36=8,$O$36/8,IF($R$36=9,$O$36/9)))))</f>
        <v>#N/A</v>
      </c>
      <c r="X165" s="606" t="e">
        <f t="shared" si="124"/>
        <v>#N/A</v>
      </c>
      <c r="Y165" s="606" t="e">
        <f t="shared" si="125"/>
        <v>#N/A</v>
      </c>
      <c r="Z165" s="176">
        <f t="shared" si="133"/>
        <v>2</v>
      </c>
      <c r="AA165" s="176" t="e">
        <f t="shared" si="126"/>
        <v>#N/A</v>
      </c>
      <c r="AB165" s="176" t="e">
        <f t="shared" si="128"/>
        <v>#N/A</v>
      </c>
      <c r="AC165" s="590" t="e">
        <f t="shared" si="129"/>
        <v>#N/A</v>
      </c>
      <c r="AD165" s="590" t="e">
        <f t="shared" si="127"/>
        <v>#N/A</v>
      </c>
    </row>
    <row r="166" spans="1:32" s="173" customFormat="1" ht="15" customHeight="1">
      <c r="A166" s="126"/>
      <c r="B166" s="581" t="s">
        <v>225</v>
      </c>
      <c r="C166" s="604"/>
      <c r="D166" s="604"/>
      <c r="E166" s="604"/>
      <c r="F166" s="604"/>
      <c r="G166" s="604"/>
      <c r="H166" s="176" t="e">
        <f t="shared" si="116"/>
        <v>#N/A</v>
      </c>
      <c r="I166" s="176" t="e">
        <f t="shared" si="117"/>
        <v>#N/A</v>
      </c>
      <c r="J166" s="604"/>
      <c r="K166" s="604"/>
      <c r="L166" s="604"/>
      <c r="M166" s="126"/>
      <c r="N166" s="126"/>
      <c r="O166" s="590" t="e">
        <f t="shared" si="118"/>
        <v>#N/A</v>
      </c>
      <c r="P166" s="176">
        <f t="shared" si="130"/>
        <v>3.23</v>
      </c>
      <c r="Q166" s="580" t="e">
        <f t="shared" si="119"/>
        <v>#N/A</v>
      </c>
      <c r="R166" s="176">
        <f t="shared" si="131"/>
        <v>3.3</v>
      </c>
      <c r="S166" s="590" t="e">
        <f t="shared" si="120"/>
        <v>#N/A</v>
      </c>
      <c r="T166" s="176" t="e">
        <f t="shared" si="121"/>
        <v>#N/A</v>
      </c>
      <c r="U166" s="176">
        <f t="shared" si="132"/>
        <v>200</v>
      </c>
      <c r="V166" s="176" t="e">
        <f t="shared" si="122"/>
        <v>#N/A</v>
      </c>
      <c r="W166" s="605" t="e">
        <f>IF($R$36=2,0,IF($R$36=4,0,IF($R$36=6,0,IF($R$36=8,0,IF($R$36=9,$O$36/9)))))</f>
        <v>#N/A</v>
      </c>
      <c r="X166" s="606" t="e">
        <f t="shared" si="124"/>
        <v>#N/A</v>
      </c>
      <c r="Y166" s="606" t="e">
        <f t="shared" si="125"/>
        <v>#N/A</v>
      </c>
      <c r="Z166" s="176">
        <f t="shared" si="133"/>
        <v>2</v>
      </c>
      <c r="AA166" s="176" t="e">
        <f t="shared" si="126"/>
        <v>#N/A</v>
      </c>
      <c r="AB166" s="176" t="e">
        <f t="shared" si="128"/>
        <v>#N/A</v>
      </c>
      <c r="AC166" s="590" t="e">
        <f t="shared" si="129"/>
        <v>#N/A</v>
      </c>
      <c r="AD166" s="590" t="e">
        <f t="shared" si="127"/>
        <v>#N/A</v>
      </c>
      <c r="AE166" s="126"/>
    </row>
    <row r="167" spans="1:32" ht="15" customHeight="1">
      <c r="D167" s="126"/>
      <c r="E167" s="126"/>
      <c r="K167" s="126"/>
      <c r="L167" s="126"/>
      <c r="Q167" s="126"/>
      <c r="R167" s="126"/>
      <c r="V167" s="126"/>
      <c r="X167" s="126"/>
    </row>
    <row r="168" spans="1:32" ht="15" customHeight="1">
      <c r="D168" s="126"/>
      <c r="E168" s="126"/>
      <c r="K168" s="126"/>
      <c r="L168" s="126"/>
      <c r="Q168" s="126"/>
      <c r="R168" s="126"/>
      <c r="V168" s="126"/>
      <c r="X168" s="126"/>
    </row>
    <row r="169" spans="1:32" ht="15" customHeight="1">
      <c r="C169" s="1323" t="s">
        <v>1204</v>
      </c>
      <c r="D169" s="1323"/>
      <c r="E169" s="580" t="s">
        <v>1185</v>
      </c>
      <c r="F169" s="580" t="s">
        <v>1186</v>
      </c>
      <c r="G169" s="580" t="s">
        <v>227</v>
      </c>
      <c r="K169" s="126"/>
      <c r="L169" s="126"/>
      <c r="Q169" s="126"/>
      <c r="R169" s="126"/>
      <c r="V169" s="126"/>
      <c r="X169" s="126"/>
    </row>
    <row r="170" spans="1:32" ht="15" customHeight="1">
      <c r="B170" s="581" t="s">
        <v>768</v>
      </c>
      <c r="C170" s="1324"/>
      <c r="D170" s="1324"/>
      <c r="E170" s="589">
        <f>ENERGÍA!F176</f>
        <v>0</v>
      </c>
      <c r="F170" s="589">
        <f>ENERGÍA!G176</f>
        <v>0</v>
      </c>
      <c r="G170" s="589">
        <f>ENERGÍA!H176</f>
        <v>0</v>
      </c>
      <c r="K170" s="126"/>
      <c r="L170" s="126"/>
      <c r="T170" s="590">
        <f>ENERGÍA!U176</f>
        <v>0</v>
      </c>
      <c r="V170" s="126"/>
      <c r="X170" s="126"/>
      <c r="AC170" s="590">
        <f>T170*E170*F170</f>
        <v>0</v>
      </c>
      <c r="AD170" s="590">
        <f>AC170</f>
        <v>0</v>
      </c>
    </row>
    <row r="171" spans="1:32" ht="6" customHeight="1">
      <c r="D171" s="126"/>
      <c r="E171" s="126"/>
      <c r="O171" s="148"/>
      <c r="P171" s="581"/>
      <c r="Q171" s="126"/>
      <c r="R171" s="126"/>
      <c r="V171" s="148"/>
    </row>
    <row r="172" spans="1:32" ht="15" customHeight="1">
      <c r="B172" s="1280" t="s">
        <v>601</v>
      </c>
      <c r="C172" s="1280"/>
      <c r="D172" s="1280"/>
      <c r="E172" s="1280"/>
      <c r="F172" s="1280"/>
      <c r="G172" s="1280"/>
      <c r="H172" s="1280"/>
      <c r="I172" s="1280"/>
      <c r="J172" s="1280"/>
      <c r="K172" s="1280"/>
      <c r="L172" s="1280"/>
      <c r="O172" s="1317" t="s">
        <v>601</v>
      </c>
      <c r="P172" s="1318"/>
      <c r="Q172" s="1318"/>
      <c r="R172" s="1318"/>
      <c r="S172" s="1318"/>
      <c r="T172" s="1318"/>
      <c r="U172" s="1318"/>
      <c r="V172" s="1318"/>
      <c r="W172" s="1318"/>
      <c r="X172" s="1318"/>
      <c r="Y172" s="1318"/>
      <c r="Z172" s="1318"/>
      <c r="AA172" s="1318"/>
      <c r="AB172" s="1318"/>
      <c r="AC172" s="1318"/>
      <c r="AD172" s="1318"/>
      <c r="AE172" s="1318"/>
      <c r="AF172" s="1319"/>
    </row>
    <row r="173" spans="1:32" ht="6" customHeight="1">
      <c r="O173" s="148"/>
      <c r="Q173" s="126"/>
      <c r="R173" s="126"/>
      <c r="V173" s="148"/>
    </row>
    <row r="174" spans="1:32" ht="15" customHeight="1">
      <c r="B174" s="580" t="s">
        <v>598</v>
      </c>
      <c r="C174" s="1320" t="s">
        <v>1034</v>
      </c>
      <c r="D174" s="1321"/>
      <c r="E174" s="1321"/>
      <c r="F174" s="1321"/>
      <c r="G174" s="1321"/>
      <c r="H174" s="1321"/>
      <c r="I174" s="1321"/>
      <c r="J174" s="1321"/>
      <c r="K174" s="1321"/>
      <c r="L174" s="1322"/>
      <c r="P174" s="580" t="s">
        <v>1388</v>
      </c>
      <c r="Q174" s="148" t="s">
        <v>1389</v>
      </c>
      <c r="X174" s="580" t="s">
        <v>1392</v>
      </c>
      <c r="Z174" s="148" t="s">
        <v>1393</v>
      </c>
      <c r="AA174" s="580" t="s">
        <v>1391</v>
      </c>
      <c r="AB174" s="148" t="s">
        <v>1390</v>
      </c>
      <c r="AD174" s="148" t="s">
        <v>1393</v>
      </c>
      <c r="AE174" s="580" t="s">
        <v>1391</v>
      </c>
      <c r="AF174" s="148" t="s">
        <v>1394</v>
      </c>
    </row>
    <row r="175" spans="1:32" ht="15" customHeight="1">
      <c r="B175" s="581" t="s">
        <v>574</v>
      </c>
      <c r="C175" s="1326" t="str">
        <f>'BASE DE DATOS'!GW47</f>
        <v>Sin Ventilación</v>
      </c>
      <c r="D175" s="1327"/>
      <c r="E175" s="1327"/>
      <c r="F175" s="1327"/>
      <c r="G175" s="1327"/>
      <c r="H175" s="1327"/>
      <c r="I175" s="1327"/>
      <c r="J175" s="1327"/>
      <c r="K175" s="1327"/>
      <c r="L175" s="1328"/>
      <c r="O175" s="580">
        <f>ENERGÍA!P181</f>
        <v>0</v>
      </c>
      <c r="P175" s="148">
        <f>IF(O175=0,0,IF(C175='Materiales Personalizados'!$AG$30,55,IF(C175='Materiales Personalizados'!$AG$31,25,IF(C175='Materiales Personalizados'!$AG$32,55,0))))</f>
        <v>0</v>
      </c>
      <c r="Q175" s="1286">
        <f>IF(SUM(P175:P184)=0,0,SUM(P175:P184))</f>
        <v>0</v>
      </c>
      <c r="X175" s="1286">
        <f>((Q175*AW64)/3600)*0.33</f>
        <v>0</v>
      </c>
      <c r="Z175" s="1275">
        <v>0.3</v>
      </c>
      <c r="AA175" s="1286">
        <f>(X175+Z175)*1200</f>
        <v>360</v>
      </c>
      <c r="AB175" s="1286">
        <f>(1/1000)*AA175*(AH64)</f>
        <v>0</v>
      </c>
      <c r="AD175" s="1275">
        <v>0.3</v>
      </c>
      <c r="AE175" s="1286">
        <f>(AD175)*1200</f>
        <v>360</v>
      </c>
      <c r="AF175" s="1286">
        <f>(1/1000)*AE175*(AN66)</f>
        <v>6.4799999999999995</v>
      </c>
    </row>
    <row r="176" spans="1:32" ht="15" customHeight="1">
      <c r="B176" s="581" t="s">
        <v>575</v>
      </c>
      <c r="C176" s="1326" t="str">
        <f>C175</f>
        <v>Sin Ventilación</v>
      </c>
      <c r="D176" s="1327"/>
      <c r="E176" s="1327"/>
      <c r="F176" s="1327"/>
      <c r="G176" s="1327"/>
      <c r="H176" s="1327"/>
      <c r="I176" s="1327"/>
      <c r="J176" s="1327"/>
      <c r="K176" s="1327"/>
      <c r="L176" s="1328"/>
      <c r="O176" s="580">
        <f>ENERGÍA!P182</f>
        <v>0</v>
      </c>
      <c r="P176" s="148">
        <f>IF(O176=0,0,IF(C176='Materiales Personalizados'!$AG$30,55,IF(C176='Materiales Personalizados'!$AG$31,25,IF(C176='Materiales Personalizados'!$AG$32,55,0))))</f>
        <v>0</v>
      </c>
      <c r="Q176" s="1287"/>
      <c r="X176" s="1287"/>
      <c r="Z176" s="1276"/>
      <c r="AA176" s="1287"/>
      <c r="AB176" s="1287"/>
      <c r="AD176" s="1276"/>
      <c r="AE176" s="1287"/>
      <c r="AF176" s="1287"/>
    </row>
    <row r="177" spans="2:50" ht="15" customHeight="1">
      <c r="B177" s="581" t="s">
        <v>576</v>
      </c>
      <c r="C177" s="1326" t="str">
        <f t="shared" ref="C177:C184" si="136">C176</f>
        <v>Sin Ventilación</v>
      </c>
      <c r="D177" s="1327"/>
      <c r="E177" s="1327"/>
      <c r="F177" s="1327"/>
      <c r="G177" s="1327"/>
      <c r="H177" s="1327"/>
      <c r="I177" s="1327"/>
      <c r="J177" s="1327"/>
      <c r="K177" s="1327"/>
      <c r="L177" s="1328"/>
      <c r="O177" s="580">
        <f>ENERGÍA!P183</f>
        <v>0</v>
      </c>
      <c r="P177" s="148">
        <f>IF(O177=0,0,IF(C177='Materiales Personalizados'!$AG$30,55,IF(C177='Materiales Personalizados'!$AG$31,25,IF(C177='Materiales Personalizados'!$AG$32,55,0))))</f>
        <v>0</v>
      </c>
      <c r="Q177" s="1287"/>
      <c r="S177" s="597"/>
      <c r="X177" s="1287"/>
      <c r="Z177" s="1276"/>
      <c r="AA177" s="1287"/>
      <c r="AB177" s="1287"/>
      <c r="AD177" s="1276"/>
      <c r="AE177" s="1287"/>
      <c r="AF177" s="1287"/>
    </row>
    <row r="178" spans="2:50" ht="15" customHeight="1">
      <c r="B178" s="581" t="s">
        <v>577</v>
      </c>
      <c r="C178" s="1326" t="str">
        <f t="shared" si="136"/>
        <v>Sin Ventilación</v>
      </c>
      <c r="D178" s="1327"/>
      <c r="E178" s="1327"/>
      <c r="F178" s="1327"/>
      <c r="G178" s="1327"/>
      <c r="H178" s="1327"/>
      <c r="I178" s="1327"/>
      <c r="J178" s="1327"/>
      <c r="K178" s="1327"/>
      <c r="L178" s="1328"/>
      <c r="O178" s="580">
        <f>ENERGÍA!P184</f>
        <v>0</v>
      </c>
      <c r="P178" s="148">
        <f>IF(O178=0,0,IF(C178='Materiales Personalizados'!$AG$30,55,IF(C178='Materiales Personalizados'!$AG$31,25,IF(C178='Materiales Personalizados'!$AG$32,55,0))))</f>
        <v>0</v>
      </c>
      <c r="Q178" s="1287"/>
      <c r="S178" s="597"/>
      <c r="X178" s="1287"/>
      <c r="Z178" s="1276"/>
      <c r="AA178" s="1287"/>
      <c r="AB178" s="1287"/>
      <c r="AD178" s="1276"/>
      <c r="AE178" s="1287"/>
      <c r="AF178" s="1287"/>
    </row>
    <row r="179" spans="2:50" ht="15" customHeight="1">
      <c r="B179" s="581" t="s">
        <v>578</v>
      </c>
      <c r="C179" s="1326" t="str">
        <f t="shared" si="136"/>
        <v>Sin Ventilación</v>
      </c>
      <c r="D179" s="1327"/>
      <c r="E179" s="1327"/>
      <c r="F179" s="1327"/>
      <c r="G179" s="1327"/>
      <c r="H179" s="1327"/>
      <c r="I179" s="1327"/>
      <c r="J179" s="1327"/>
      <c r="K179" s="1327"/>
      <c r="L179" s="1328"/>
      <c r="O179" s="580">
        <f>ENERGÍA!P185</f>
        <v>0</v>
      </c>
      <c r="P179" s="148">
        <f>IF(O179=0,0,IF(C179='Materiales Personalizados'!$AG$30,55,IF(C179='Materiales Personalizados'!$AG$31,25,IF(C179='Materiales Personalizados'!$AG$32,55,0))))</f>
        <v>0</v>
      </c>
      <c r="Q179" s="1287"/>
      <c r="X179" s="1287"/>
      <c r="Z179" s="1276"/>
      <c r="AA179" s="1287"/>
      <c r="AB179" s="1287"/>
      <c r="AD179" s="1276"/>
      <c r="AE179" s="1287"/>
      <c r="AF179" s="1287"/>
    </row>
    <row r="180" spans="2:50" ht="15" customHeight="1">
      <c r="B180" s="581" t="s">
        <v>579</v>
      </c>
      <c r="C180" s="1326" t="str">
        <f t="shared" si="136"/>
        <v>Sin Ventilación</v>
      </c>
      <c r="D180" s="1327"/>
      <c r="E180" s="1327"/>
      <c r="F180" s="1327"/>
      <c r="G180" s="1327"/>
      <c r="H180" s="1327"/>
      <c r="I180" s="1327"/>
      <c r="J180" s="1327"/>
      <c r="K180" s="1327"/>
      <c r="L180" s="1328"/>
      <c r="O180" s="580">
        <f>ENERGÍA!P186</f>
        <v>0</v>
      </c>
      <c r="P180" s="148">
        <f>IF(O180=0,0,IF(C180='Materiales Personalizados'!$AG$30,55,IF(C180='Materiales Personalizados'!$AG$31,25,IF(C180='Materiales Personalizados'!$AG$32,55,0))))</f>
        <v>0</v>
      </c>
      <c r="Q180" s="1287"/>
      <c r="T180" s="597"/>
      <c r="X180" s="1287"/>
      <c r="Z180" s="1276"/>
      <c r="AA180" s="1287"/>
      <c r="AB180" s="1287"/>
      <c r="AD180" s="1276"/>
      <c r="AE180" s="1287"/>
      <c r="AF180" s="1287"/>
    </row>
    <row r="181" spans="2:50" ht="15" customHeight="1">
      <c r="B181" s="581" t="s">
        <v>636</v>
      </c>
      <c r="C181" s="1326" t="str">
        <f t="shared" si="136"/>
        <v>Sin Ventilación</v>
      </c>
      <c r="D181" s="1327"/>
      <c r="E181" s="1327"/>
      <c r="F181" s="1327"/>
      <c r="G181" s="1327"/>
      <c r="H181" s="1327"/>
      <c r="I181" s="1327"/>
      <c r="J181" s="1327"/>
      <c r="K181" s="1327"/>
      <c r="L181" s="1328"/>
      <c r="O181" s="580">
        <f>ENERGÍA!P187</f>
        <v>0</v>
      </c>
      <c r="P181" s="148">
        <f>IF(O181=0,0,IF(C181='Materiales Personalizados'!$AG$30,55,IF(C181='Materiales Personalizados'!$AG$31,25,IF(C181='Materiales Personalizados'!$AG$32,55,0))))</f>
        <v>0</v>
      </c>
      <c r="Q181" s="1287"/>
      <c r="X181" s="1287"/>
      <c r="Z181" s="1276"/>
      <c r="AA181" s="1287"/>
      <c r="AB181" s="1287"/>
      <c r="AD181" s="1276"/>
      <c r="AE181" s="1287"/>
      <c r="AF181" s="1287"/>
    </row>
    <row r="182" spans="2:50" ht="15" customHeight="1">
      <c r="B182" s="581" t="s">
        <v>582</v>
      </c>
      <c r="C182" s="1326" t="str">
        <f t="shared" si="136"/>
        <v>Sin Ventilación</v>
      </c>
      <c r="D182" s="1327"/>
      <c r="E182" s="1327"/>
      <c r="F182" s="1327"/>
      <c r="G182" s="1327"/>
      <c r="H182" s="1327"/>
      <c r="I182" s="1327"/>
      <c r="J182" s="1327"/>
      <c r="K182" s="1327"/>
      <c r="L182" s="1328"/>
      <c r="O182" s="580">
        <f>ENERGÍA!P188</f>
        <v>0</v>
      </c>
      <c r="P182" s="148">
        <f>IF(O182=0,0,IF(C182='Materiales Personalizados'!$AG$30,55,IF(C182='Materiales Personalizados'!$AG$31,25,IF(C182='Materiales Personalizados'!$AG$32,55,0))))</f>
        <v>0</v>
      </c>
      <c r="Q182" s="1287"/>
      <c r="X182" s="1287"/>
      <c r="Z182" s="1276"/>
      <c r="AA182" s="1287"/>
      <c r="AB182" s="1287"/>
      <c r="AD182" s="1276"/>
      <c r="AE182" s="1287"/>
      <c r="AF182" s="1287"/>
    </row>
    <row r="183" spans="2:50" ht="15" customHeight="1">
      <c r="B183" s="581" t="s">
        <v>566</v>
      </c>
      <c r="C183" s="1326" t="str">
        <f t="shared" si="136"/>
        <v>Sin Ventilación</v>
      </c>
      <c r="D183" s="1327"/>
      <c r="E183" s="1327"/>
      <c r="F183" s="1327"/>
      <c r="G183" s="1327"/>
      <c r="H183" s="1327"/>
      <c r="I183" s="1327"/>
      <c r="J183" s="1327"/>
      <c r="K183" s="1327"/>
      <c r="L183" s="1328"/>
      <c r="O183" s="580">
        <f>ENERGÍA!P189</f>
        <v>0</v>
      </c>
      <c r="P183" s="148">
        <f>IF(O183=0,0,IF(C183='Materiales Personalizados'!$AG$30,55,IF(C183='Materiales Personalizados'!$AG$31,25,IF(C183='Materiales Personalizados'!$AG$32,55,0))))</f>
        <v>0</v>
      </c>
      <c r="Q183" s="1287"/>
      <c r="X183" s="1287"/>
      <c r="Z183" s="1276"/>
      <c r="AA183" s="1287"/>
      <c r="AB183" s="1287"/>
      <c r="AD183" s="1276"/>
      <c r="AE183" s="1287"/>
      <c r="AF183" s="1287"/>
    </row>
    <row r="184" spans="2:50" ht="15" customHeight="1">
      <c r="B184" s="581" t="s">
        <v>572</v>
      </c>
      <c r="C184" s="1326" t="str">
        <f t="shared" si="136"/>
        <v>Sin Ventilación</v>
      </c>
      <c r="D184" s="1327"/>
      <c r="E184" s="1327"/>
      <c r="F184" s="1327"/>
      <c r="G184" s="1327"/>
      <c r="H184" s="1327"/>
      <c r="I184" s="1327"/>
      <c r="J184" s="1327"/>
      <c r="K184" s="1327"/>
      <c r="L184" s="1328"/>
      <c r="O184" s="580">
        <f>ENERGÍA!P190</f>
        <v>0</v>
      </c>
      <c r="P184" s="148">
        <f>IF(O184=0,0,IF(C184='Materiales Personalizados'!$AG$30,55,IF(C184='Materiales Personalizados'!$AG$31,25,IF(C184='Materiales Personalizados'!$AG$32,55,0))))</f>
        <v>0</v>
      </c>
      <c r="Q184" s="1288"/>
      <c r="X184" s="1288"/>
      <c r="Z184" s="1277"/>
      <c r="AA184" s="1288"/>
      <c r="AB184" s="1288"/>
      <c r="AD184" s="1277"/>
      <c r="AE184" s="1288"/>
      <c r="AF184" s="1288"/>
    </row>
    <row r="185" spans="2:50" ht="6" customHeight="1">
      <c r="D185" s="126"/>
      <c r="E185" s="126"/>
      <c r="Q185" s="126"/>
      <c r="R185" s="126"/>
      <c r="V185" s="126"/>
      <c r="AV185" s="582"/>
      <c r="AW185" s="148"/>
      <c r="AX185" s="148"/>
    </row>
    <row r="186" spans="2:50" ht="15" customHeight="1">
      <c r="O186" s="148"/>
      <c r="P186" s="148"/>
      <c r="Q186" s="148"/>
      <c r="R186" s="148"/>
      <c r="S186" s="148"/>
      <c r="T186" s="148"/>
      <c r="U186" s="148"/>
      <c r="V186" s="148"/>
    </row>
    <row r="187" spans="2:50" ht="15" customHeight="1">
      <c r="O187" s="148"/>
      <c r="P187" s="148"/>
      <c r="Q187" s="148"/>
      <c r="R187" s="148"/>
      <c r="S187" s="148"/>
      <c r="T187" s="148"/>
      <c r="U187" s="148"/>
      <c r="V187" s="148"/>
    </row>
    <row r="188" spans="2:50" ht="15" customHeight="1">
      <c r="B188" s="98"/>
      <c r="C188" s="98"/>
      <c r="O188" s="148"/>
      <c r="P188" s="148"/>
      <c r="Q188" s="148"/>
      <c r="R188" s="148"/>
      <c r="S188" s="148"/>
      <c r="T188" s="148"/>
      <c r="U188" s="148"/>
      <c r="V188" s="148"/>
    </row>
    <row r="189" spans="2:50" ht="15" customHeight="1">
      <c r="O189" s="148"/>
      <c r="P189" s="148"/>
      <c r="Q189" s="148"/>
      <c r="R189" s="148"/>
      <c r="S189" s="148"/>
      <c r="T189" s="148"/>
      <c r="U189" s="148"/>
      <c r="V189" s="148"/>
    </row>
    <row r="190" spans="2:50" ht="15" customHeight="1">
      <c r="K190" s="126"/>
      <c r="L190" s="126"/>
    </row>
    <row r="191" spans="2:50" ht="15" customHeight="1">
      <c r="J191" s="148"/>
      <c r="K191" s="148"/>
      <c r="L191" s="148"/>
    </row>
  </sheetData>
  <sheetProtection algorithmName="SHA-512" hashValue="I0HaPCj0/d5UcvJZ6lBTBlMmsWjOnHXSs34gLnkh1TG+l0L0x4/Prvm/mq5uaMxd/OvxM9GqRya1PC2P0n9juA==" saltValue="ROuTZ6nsqNj/i407sn68HA==" spinCount="100000" sheet="1" objects="1" scenarios="1" selectLockedCells="1"/>
  <mergeCells count="349">
    <mergeCell ref="B7:L7"/>
    <mergeCell ref="O7:AW7"/>
    <mergeCell ref="C9:K9"/>
    <mergeCell ref="C10:K10"/>
    <mergeCell ref="C11:K11"/>
    <mergeCell ref="C12:K12"/>
    <mergeCell ref="B4:J5"/>
    <mergeCell ref="K4:L5"/>
    <mergeCell ref="O4:T5"/>
    <mergeCell ref="U4:U5"/>
    <mergeCell ref="V4:V5"/>
    <mergeCell ref="X4:AW5"/>
    <mergeCell ref="B18:B20"/>
    <mergeCell ref="C18:K20"/>
    <mergeCell ref="L18:L20"/>
    <mergeCell ref="B21:B23"/>
    <mergeCell ref="C21:K23"/>
    <mergeCell ref="L21:L23"/>
    <mergeCell ref="C13:K13"/>
    <mergeCell ref="B14:B15"/>
    <mergeCell ref="C14:K15"/>
    <mergeCell ref="L14:L15"/>
    <mergeCell ref="B16:B17"/>
    <mergeCell ref="C16:K17"/>
    <mergeCell ref="L16:L17"/>
    <mergeCell ref="C29:K29"/>
    <mergeCell ref="B30:L30"/>
    <mergeCell ref="B32:L32"/>
    <mergeCell ref="B34:C34"/>
    <mergeCell ref="D34:F34"/>
    <mergeCell ref="G34:J34"/>
    <mergeCell ref="K34:L34"/>
    <mergeCell ref="B24:B26"/>
    <mergeCell ref="C24:K26"/>
    <mergeCell ref="L24:L26"/>
    <mergeCell ref="B27:B28"/>
    <mergeCell ref="C27:K28"/>
    <mergeCell ref="L27:L28"/>
    <mergeCell ref="O34:P34"/>
    <mergeCell ref="D35:F35"/>
    <mergeCell ref="G35:J35"/>
    <mergeCell ref="K35:L35"/>
    <mergeCell ref="O35:P35"/>
    <mergeCell ref="D36:F36"/>
    <mergeCell ref="G36:J36"/>
    <mergeCell ref="K36:L36"/>
    <mergeCell ref="O36:P36"/>
    <mergeCell ref="AG40:AJ40"/>
    <mergeCell ref="B42:L42"/>
    <mergeCell ref="O42:W42"/>
    <mergeCell ref="Y42:AC42"/>
    <mergeCell ref="D37:F37"/>
    <mergeCell ref="G37:J37"/>
    <mergeCell ref="K37:L37"/>
    <mergeCell ref="O37:P37"/>
    <mergeCell ref="D38:F38"/>
    <mergeCell ref="G38:J38"/>
    <mergeCell ref="K38:L38"/>
    <mergeCell ref="O38:P38"/>
    <mergeCell ref="B44:B45"/>
    <mergeCell ref="C44:G45"/>
    <mergeCell ref="H44:I44"/>
    <mergeCell ref="J44:J45"/>
    <mergeCell ref="K44:K45"/>
    <mergeCell ref="L44:L45"/>
    <mergeCell ref="B40:L40"/>
    <mergeCell ref="O40:W40"/>
    <mergeCell ref="Y40:AE40"/>
    <mergeCell ref="AD44:AD45"/>
    <mergeCell ref="AE44:AE45"/>
    <mergeCell ref="C46:G46"/>
    <mergeCell ref="C47:G47"/>
    <mergeCell ref="Y47:AC47"/>
    <mergeCell ref="C48:G48"/>
    <mergeCell ref="Y48:AE48"/>
    <mergeCell ref="U44:U45"/>
    <mergeCell ref="V44:V45"/>
    <mergeCell ref="Y44:Y45"/>
    <mergeCell ref="Z44:AA45"/>
    <mergeCell ref="AB44:AB45"/>
    <mergeCell ref="AC44:AC45"/>
    <mergeCell ref="O44:O45"/>
    <mergeCell ref="P44:P45"/>
    <mergeCell ref="Q44:Q45"/>
    <mergeCell ref="R44:R45"/>
    <mergeCell ref="S44:S45"/>
    <mergeCell ref="T44:T45"/>
    <mergeCell ref="B50:L50"/>
    <mergeCell ref="O50:W50"/>
    <mergeCell ref="B52:L52"/>
    <mergeCell ref="O52:W52"/>
    <mergeCell ref="AE52:AE57"/>
    <mergeCell ref="B54:B55"/>
    <mergeCell ref="C54:G55"/>
    <mergeCell ref="H54:I54"/>
    <mergeCell ref="J54:J55"/>
    <mergeCell ref="K54:K55"/>
    <mergeCell ref="T54:T55"/>
    <mergeCell ref="U54:U55"/>
    <mergeCell ref="V54:V55"/>
    <mergeCell ref="W54:W55"/>
    <mergeCell ref="AH54:AJ54"/>
    <mergeCell ref="H55:I55"/>
    <mergeCell ref="L54:L55"/>
    <mergeCell ref="O54:O55"/>
    <mergeCell ref="P54:P55"/>
    <mergeCell ref="Q54:Q55"/>
    <mergeCell ref="R54:R55"/>
    <mergeCell ref="S54:S55"/>
    <mergeCell ref="C59:G59"/>
    <mergeCell ref="H59:I59"/>
    <mergeCell ref="Y59:Z59"/>
    <mergeCell ref="AC59:AD59"/>
    <mergeCell ref="AG59:AS59"/>
    <mergeCell ref="C60:G60"/>
    <mergeCell ref="H60:I60"/>
    <mergeCell ref="C56:G56"/>
    <mergeCell ref="H56:I56"/>
    <mergeCell ref="C57:G57"/>
    <mergeCell ref="H57:I57"/>
    <mergeCell ref="C58:G58"/>
    <mergeCell ref="H58:I58"/>
    <mergeCell ref="B62:L62"/>
    <mergeCell ref="O62:W62"/>
    <mergeCell ref="B64:B65"/>
    <mergeCell ref="C64:G65"/>
    <mergeCell ref="H64:I64"/>
    <mergeCell ref="J64:J65"/>
    <mergeCell ref="K64:K65"/>
    <mergeCell ref="L64:L65"/>
    <mergeCell ref="O64:O65"/>
    <mergeCell ref="P64:P65"/>
    <mergeCell ref="AE64:AE65"/>
    <mergeCell ref="H65:I65"/>
    <mergeCell ref="C66:G66"/>
    <mergeCell ref="H66:I66"/>
    <mergeCell ref="AB66:AD66"/>
    <mergeCell ref="Q64:Q65"/>
    <mergeCell ref="R64:R65"/>
    <mergeCell ref="S64:S65"/>
    <mergeCell ref="T64:T65"/>
    <mergeCell ref="U64:U65"/>
    <mergeCell ref="V64:V65"/>
    <mergeCell ref="C67:G67"/>
    <mergeCell ref="H67:I67"/>
    <mergeCell ref="C68:G68"/>
    <mergeCell ref="H68:I68"/>
    <mergeCell ref="Y68:AC68"/>
    <mergeCell ref="C69:G69"/>
    <mergeCell ref="H69:I69"/>
    <mergeCell ref="AB69:AC69"/>
    <mergeCell ref="W64:W65"/>
    <mergeCell ref="Y64:AD65"/>
    <mergeCell ref="C70:G70"/>
    <mergeCell ref="H70:I70"/>
    <mergeCell ref="AB70:AC70"/>
    <mergeCell ref="AE70:AE76"/>
    <mergeCell ref="B72:L72"/>
    <mergeCell ref="O72:W72"/>
    <mergeCell ref="AB72:AC72"/>
    <mergeCell ref="B74:B75"/>
    <mergeCell ref="C74:G75"/>
    <mergeCell ref="H74:I74"/>
    <mergeCell ref="AG74:AS74"/>
    <mergeCell ref="H75:I75"/>
    <mergeCell ref="C76:G76"/>
    <mergeCell ref="H76:I76"/>
    <mergeCell ref="AB76:AC76"/>
    <mergeCell ref="R74:R75"/>
    <mergeCell ref="S74:S75"/>
    <mergeCell ref="T74:T75"/>
    <mergeCell ref="U74:U75"/>
    <mergeCell ref="V74:V75"/>
    <mergeCell ref="W74:W75"/>
    <mergeCell ref="J74:J75"/>
    <mergeCell ref="K74:K75"/>
    <mergeCell ref="L74:L75"/>
    <mergeCell ref="O74:O75"/>
    <mergeCell ref="P74:P75"/>
    <mergeCell ref="Q74:Q75"/>
    <mergeCell ref="C77:G77"/>
    <mergeCell ref="H77:I77"/>
    <mergeCell ref="C78:G78"/>
    <mergeCell ref="H78:I78"/>
    <mergeCell ref="Y78:AC78"/>
    <mergeCell ref="C79:G79"/>
    <mergeCell ref="H79:I79"/>
    <mergeCell ref="Y79:AE79"/>
    <mergeCell ref="AB74:AC74"/>
    <mergeCell ref="C80:G80"/>
    <mergeCell ref="H80:I80"/>
    <mergeCell ref="B82:L82"/>
    <mergeCell ref="O82:W82"/>
    <mergeCell ref="AE82:AE87"/>
    <mergeCell ref="AG82:AS82"/>
    <mergeCell ref="B84:B85"/>
    <mergeCell ref="C84:G85"/>
    <mergeCell ref="H84:I84"/>
    <mergeCell ref="J84:J85"/>
    <mergeCell ref="AV84:AW87"/>
    <mergeCell ref="H85:I85"/>
    <mergeCell ref="C86:G86"/>
    <mergeCell ref="H86:I86"/>
    <mergeCell ref="C87:G87"/>
    <mergeCell ref="H87:I87"/>
    <mergeCell ref="S84:S85"/>
    <mergeCell ref="T84:T85"/>
    <mergeCell ref="U84:U85"/>
    <mergeCell ref="V84:V85"/>
    <mergeCell ref="W84:W85"/>
    <mergeCell ref="AG84:AS84"/>
    <mergeCell ref="K84:K85"/>
    <mergeCell ref="L84:L85"/>
    <mergeCell ref="O84:O85"/>
    <mergeCell ref="P84:P85"/>
    <mergeCell ref="Q84:Q85"/>
    <mergeCell ref="R84:R85"/>
    <mergeCell ref="AV90:AV91"/>
    <mergeCell ref="AW90:AW91"/>
    <mergeCell ref="C88:G88"/>
    <mergeCell ref="H88:I88"/>
    <mergeCell ref="AV88:AV89"/>
    <mergeCell ref="AW88:AW89"/>
    <mergeCell ref="C89:G89"/>
    <mergeCell ref="H89:I89"/>
    <mergeCell ref="Y89:AE89"/>
    <mergeCell ref="B92:L92"/>
    <mergeCell ref="O92:W92"/>
    <mergeCell ref="Y92:AA92"/>
    <mergeCell ref="AB92:AD92"/>
    <mergeCell ref="AG92:AS92"/>
    <mergeCell ref="C94:J94"/>
    <mergeCell ref="Y94:AD94"/>
    <mergeCell ref="C90:G90"/>
    <mergeCell ref="H90:I90"/>
    <mergeCell ref="Y90:AA90"/>
    <mergeCell ref="AB90:AD90"/>
    <mergeCell ref="B102:B103"/>
    <mergeCell ref="C102:E102"/>
    <mergeCell ref="F102:G102"/>
    <mergeCell ref="H102:I102"/>
    <mergeCell ref="J102:J103"/>
    <mergeCell ref="K102:L102"/>
    <mergeCell ref="AV94:AW95"/>
    <mergeCell ref="C95:J95"/>
    <mergeCell ref="C96:J96"/>
    <mergeCell ref="B98:L98"/>
    <mergeCell ref="O98:AE98"/>
    <mergeCell ref="B100:L100"/>
    <mergeCell ref="O100:AE100"/>
    <mergeCell ref="Z102:Z103"/>
    <mergeCell ref="AA102:AA103"/>
    <mergeCell ref="AB102:AB103"/>
    <mergeCell ref="AC102:AC103"/>
    <mergeCell ref="AD102:AD103"/>
    <mergeCell ref="C115:D115"/>
    <mergeCell ref="P102:P103"/>
    <mergeCell ref="R102:R103"/>
    <mergeCell ref="T102:T103"/>
    <mergeCell ref="U102:V102"/>
    <mergeCell ref="X102:X103"/>
    <mergeCell ref="Y102:Y103"/>
    <mergeCell ref="C116:D116"/>
    <mergeCell ref="AG116:AS116"/>
    <mergeCell ref="B118:L118"/>
    <mergeCell ref="O118:AE118"/>
    <mergeCell ref="B120:B121"/>
    <mergeCell ref="C120:E120"/>
    <mergeCell ref="F120:G120"/>
    <mergeCell ref="H120:I120"/>
    <mergeCell ref="J120:J121"/>
    <mergeCell ref="K120:L120"/>
    <mergeCell ref="Z120:Z121"/>
    <mergeCell ref="AA120:AA121"/>
    <mergeCell ref="AB120:AB121"/>
    <mergeCell ref="AC120:AC121"/>
    <mergeCell ref="AD120:AD121"/>
    <mergeCell ref="C133:D133"/>
    <mergeCell ref="P120:P121"/>
    <mergeCell ref="R120:R121"/>
    <mergeCell ref="T120:T121"/>
    <mergeCell ref="U120:V120"/>
    <mergeCell ref="X120:X121"/>
    <mergeCell ref="Y120:Y121"/>
    <mergeCell ref="C134:D134"/>
    <mergeCell ref="B136:L136"/>
    <mergeCell ref="O136:AE136"/>
    <mergeCell ref="B138:B139"/>
    <mergeCell ref="C138:E138"/>
    <mergeCell ref="F138:G138"/>
    <mergeCell ref="H138:I138"/>
    <mergeCell ref="J138:J139"/>
    <mergeCell ref="K138:L138"/>
    <mergeCell ref="P138:P139"/>
    <mergeCell ref="AA138:AA139"/>
    <mergeCell ref="AB138:AB139"/>
    <mergeCell ref="AC138:AC139"/>
    <mergeCell ref="AD138:AD139"/>
    <mergeCell ref="AG139:AS141"/>
    <mergeCell ref="C151:D151"/>
    <mergeCell ref="R138:R139"/>
    <mergeCell ref="T138:T139"/>
    <mergeCell ref="U138:V138"/>
    <mergeCell ref="X138:X139"/>
    <mergeCell ref="Y138:Y139"/>
    <mergeCell ref="Z138:Z139"/>
    <mergeCell ref="C152:D152"/>
    <mergeCell ref="B154:L154"/>
    <mergeCell ref="O154:AE154"/>
    <mergeCell ref="B156:B157"/>
    <mergeCell ref="C156:E156"/>
    <mergeCell ref="F156:G156"/>
    <mergeCell ref="H156:I156"/>
    <mergeCell ref="J156:J157"/>
    <mergeCell ref="K156:L156"/>
    <mergeCell ref="P156:P157"/>
    <mergeCell ref="AA156:AA157"/>
    <mergeCell ref="AB156:AB157"/>
    <mergeCell ref="AC156:AC157"/>
    <mergeCell ref="AD156:AD157"/>
    <mergeCell ref="C169:D169"/>
    <mergeCell ref="C170:D170"/>
    <mergeCell ref="R156:R157"/>
    <mergeCell ref="T156:T157"/>
    <mergeCell ref="U156:V156"/>
    <mergeCell ref="X156:X157"/>
    <mergeCell ref="Y156:Y157"/>
    <mergeCell ref="Z156:Z157"/>
    <mergeCell ref="B172:L172"/>
    <mergeCell ref="O172:AF172"/>
    <mergeCell ref="C174:L174"/>
    <mergeCell ref="C175:L175"/>
    <mergeCell ref="Q175:Q184"/>
    <mergeCell ref="X175:X184"/>
    <mergeCell ref="Z175:Z184"/>
    <mergeCell ref="AA175:AA184"/>
    <mergeCell ref="AB175:AB184"/>
    <mergeCell ref="AD175:AD184"/>
    <mergeCell ref="C184:L184"/>
    <mergeCell ref="AE175:AE184"/>
    <mergeCell ref="AF175:AF184"/>
    <mergeCell ref="C176:L176"/>
    <mergeCell ref="C177:L177"/>
    <mergeCell ref="C178:L178"/>
    <mergeCell ref="C179:L179"/>
    <mergeCell ref="C180:L180"/>
    <mergeCell ref="C181:L181"/>
    <mergeCell ref="C182:L182"/>
    <mergeCell ref="C183:L183"/>
  </mergeCells>
  <conditionalFormatting sqref="H46:I48 H56:I60">
    <cfRule type="containsText" dxfId="1396" priority="6" operator="containsText" text="No Cumple">
      <formula>NOT(ISERROR(SEARCH("No Cumple",H46)))</formula>
    </cfRule>
  </conditionalFormatting>
  <conditionalFormatting sqref="H66:I70">
    <cfRule type="containsText" dxfId="1395" priority="4" operator="containsText" text="No Cumple">
      <formula>NOT(ISERROR(SEARCH("No Cumple",H66)))</formula>
    </cfRule>
  </conditionalFormatting>
  <conditionalFormatting sqref="H76:I80">
    <cfRule type="containsText" dxfId="1394" priority="3" operator="containsText" text="No Cumple">
      <formula>NOT(ISERROR(SEARCH("No Cumple",H76)))</formula>
    </cfRule>
  </conditionalFormatting>
  <conditionalFormatting sqref="H86:I90">
    <cfRule type="containsText" dxfId="1393" priority="2" operator="containsText" text="No Cumple">
      <formula>NOT(ISERROR(SEARCH("No Cumple",H86)))</formula>
    </cfRule>
  </conditionalFormatting>
  <conditionalFormatting sqref="C175:L184">
    <cfRule type="expression" dxfId="1392" priority="1">
      <formula>O175=0</formula>
    </cfRule>
  </conditionalFormatting>
  <dataValidations disablePrompts="1" count="2">
    <dataValidation type="list" allowBlank="1" showInputMessage="1" showErrorMessage="1" sqref="C39" xr:uid="{00000000-0002-0000-0D00-000000000000}">
      <formula1>ORIENTACIONES</formula1>
    </dataValidation>
    <dataValidation type="list" allowBlank="1" showInputMessage="1" showErrorMessage="1" sqref="C185:D185" xr:uid="{00000000-0002-0000-0D00-000001000000}">
      <formula1>$AL$3:$AL$6</formula1>
    </dataValidation>
  </dataValidations>
  <printOptions gridLines="1"/>
  <pageMargins left="0.23622047244094491" right="0.23622047244094491" top="0.74803149606299213" bottom="0.74803149606299213" header="0.31496062992125984" footer="0.31496062992125984"/>
  <pageSetup paperSize="9" scale="10" fitToWidth="0"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iconSet" priority="7" id="{88EF2209-C8B1-5E47-B9A1-7832201E3E59}">
            <x14:iconSet iconSet="3Symbols" showValue="0" custom="1">
              <x14:cfvo type="percent">
                <xm:f>0</xm:f>
              </x14:cfvo>
              <x14:cfvo type="num">
                <xm:f>2</xm:f>
              </x14:cfvo>
              <x14:cfvo type="num">
                <xm:f>4</xm:f>
              </x14:cfvo>
              <x14:cfIcon iconSet="3Symbols2" iconId="0"/>
              <x14:cfIcon iconSet="3Symbols2" iconId="1"/>
              <x14:cfIcon iconSet="3Symbols2" iconId="2"/>
            </x14:iconSet>
          </x14:cfRule>
          <xm:sqref>L9:L29</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AX191"/>
  <sheetViews>
    <sheetView topLeftCell="C1" zoomScale="70" zoomScaleNormal="70" zoomScalePageLayoutView="90" workbookViewId="0">
      <pane ySplit="6" topLeftCell="A35" activePane="bottomLeft" state="frozen"/>
      <selection pane="bottomLeft" activeCell="K46" sqref="K46"/>
    </sheetView>
  </sheetViews>
  <sheetFormatPr baseColWidth="10" defaultColWidth="11.5" defaultRowHeight="15" customHeight="1"/>
  <cols>
    <col min="1" max="1" width="2.6640625" style="126" customWidth="1"/>
    <col min="2" max="2" width="26.83203125" style="126" customWidth="1"/>
    <col min="3" max="3" width="16.6640625" style="126" customWidth="1"/>
    <col min="4" max="5" width="10" style="580" customWidth="1"/>
    <col min="6" max="6" width="12.5" style="126" customWidth="1"/>
    <col min="7" max="7" width="11.1640625" style="126" customWidth="1"/>
    <col min="8" max="8" width="13.6640625" style="126" customWidth="1"/>
    <col min="9" max="9" width="12.33203125" style="126" bestFit="1" customWidth="1"/>
    <col min="10" max="10" width="14.1640625" style="126" customWidth="1"/>
    <col min="11" max="11" width="19" style="580" customWidth="1"/>
    <col min="12" max="12" width="11.83203125" style="580" customWidth="1"/>
    <col min="13" max="14" width="2.83203125" style="126" customWidth="1"/>
    <col min="15" max="15" width="28.1640625" style="126" customWidth="1"/>
    <col min="16" max="16" width="24.5" style="126" customWidth="1"/>
    <col min="17" max="17" width="14" style="580" customWidth="1"/>
    <col min="18" max="18" width="10.83203125" style="580" customWidth="1"/>
    <col min="19" max="19" width="19.1640625" style="126" customWidth="1"/>
    <col min="20" max="20" width="41.5" style="126" customWidth="1"/>
    <col min="21" max="21" width="19.5" style="126" customWidth="1"/>
    <col min="22" max="22" width="19.5" style="580" customWidth="1"/>
    <col min="23" max="23" width="20.6640625" style="126" customWidth="1"/>
    <col min="24" max="24" width="20.1640625" style="581" customWidth="1"/>
    <col min="25" max="25" width="24.33203125" style="126" customWidth="1"/>
    <col min="26" max="26" width="16.6640625" style="126" customWidth="1"/>
    <col min="27" max="27" width="20" style="126" customWidth="1"/>
    <col min="28" max="28" width="25.33203125" style="126" customWidth="1"/>
    <col min="29" max="29" width="31.5" style="126" customWidth="1"/>
    <col min="30" max="30" width="32.33203125" style="126" customWidth="1"/>
    <col min="31" max="31" width="31.6640625" style="126" customWidth="1"/>
    <col min="32" max="32" width="13.6640625" style="126" customWidth="1"/>
    <col min="33" max="33" width="29.1640625" style="126" customWidth="1"/>
    <col min="34" max="34" width="24" style="126" customWidth="1"/>
    <col min="35" max="35" width="15" style="126" customWidth="1"/>
    <col min="36" max="36" width="25" style="126" customWidth="1"/>
    <col min="37" max="37" width="20.1640625" style="126" customWidth="1"/>
    <col min="38" max="38" width="20" style="126" customWidth="1"/>
    <col min="39" max="39" width="31.5" style="126" customWidth="1"/>
    <col min="40" max="40" width="14.33203125" style="126" customWidth="1"/>
    <col min="41" max="41" width="24.5" style="126" customWidth="1"/>
    <col min="42" max="42" width="22.33203125" style="126" customWidth="1"/>
    <col min="43" max="43" width="31" style="126" customWidth="1"/>
    <col min="44" max="44" width="31.83203125" style="126" customWidth="1"/>
    <col min="45" max="45" width="27.6640625" style="126" customWidth="1"/>
    <col min="46" max="46" width="26.6640625" style="126" customWidth="1"/>
    <col min="47" max="47" width="25.33203125" style="126" customWidth="1"/>
    <col min="48" max="48" width="32.33203125" style="126" customWidth="1"/>
    <col min="49" max="49" width="31.6640625" style="126" customWidth="1"/>
    <col min="50" max="50" width="11.5" style="126" customWidth="1"/>
    <col min="51" max="16384" width="11.5" style="126"/>
  </cols>
  <sheetData>
    <row r="1" spans="2:50" ht="15" customHeight="1">
      <c r="Y1" s="148"/>
      <c r="Z1" s="148"/>
      <c r="AA1" s="148"/>
    </row>
    <row r="2" spans="2:50" s="102" customFormat="1" ht="25" customHeight="1">
      <c r="B2" s="159" t="s">
        <v>220</v>
      </c>
      <c r="D2" s="148"/>
      <c r="E2" s="148"/>
      <c r="K2" s="148"/>
      <c r="L2" s="148"/>
      <c r="M2" s="102">
        <v>6</v>
      </c>
      <c r="O2" s="159" t="s">
        <v>220</v>
      </c>
      <c r="Q2" s="148"/>
      <c r="R2" s="148"/>
      <c r="V2" s="148"/>
      <c r="X2" s="582"/>
      <c r="Y2" s="148"/>
      <c r="Z2" s="148"/>
      <c r="AA2" s="148"/>
      <c r="AX2" s="136"/>
    </row>
    <row r="3" spans="2:50" ht="6" customHeight="1">
      <c r="Y3" s="148"/>
      <c r="Z3" s="148"/>
      <c r="AA3" s="148"/>
    </row>
    <row r="4" spans="2:50" s="148" customFormat="1" ht="20" customHeight="1">
      <c r="B4" s="1392" t="s">
        <v>1817</v>
      </c>
      <c r="C4" s="1393"/>
      <c r="D4" s="1393"/>
      <c r="E4" s="1393"/>
      <c r="F4" s="1393"/>
      <c r="G4" s="1393"/>
      <c r="H4" s="1393"/>
      <c r="I4" s="1393"/>
      <c r="J4" s="1394"/>
      <c r="K4" s="1392" t="s">
        <v>1819</v>
      </c>
      <c r="L4" s="1394"/>
      <c r="M4" s="629"/>
      <c r="N4" s="629"/>
      <c r="O4" s="1392">
        <v>6</v>
      </c>
      <c r="P4" s="1393"/>
      <c r="Q4" s="1393"/>
      <c r="R4" s="1393"/>
      <c r="S4" s="1393"/>
      <c r="T4" s="1394"/>
      <c r="U4" s="1273" t="s">
        <v>12</v>
      </c>
      <c r="V4" s="1273">
        <v>6</v>
      </c>
      <c r="X4" s="1392" t="s">
        <v>779</v>
      </c>
      <c r="Y4" s="1393"/>
      <c r="Z4" s="1393"/>
      <c r="AA4" s="1393"/>
      <c r="AB4" s="1393"/>
      <c r="AC4" s="1393"/>
      <c r="AD4" s="1393"/>
      <c r="AE4" s="1393"/>
      <c r="AF4" s="1393"/>
      <c r="AG4" s="1393"/>
      <c r="AH4" s="1393"/>
      <c r="AI4" s="1393"/>
      <c r="AJ4" s="1393"/>
      <c r="AK4" s="1393"/>
      <c r="AL4" s="1393"/>
      <c r="AM4" s="1393"/>
      <c r="AN4" s="1393"/>
      <c r="AO4" s="1393"/>
      <c r="AP4" s="1393"/>
      <c r="AQ4" s="1393"/>
      <c r="AR4" s="1393"/>
      <c r="AS4" s="1393"/>
      <c r="AT4" s="1393"/>
      <c r="AU4" s="1393"/>
      <c r="AV4" s="1393"/>
      <c r="AW4" s="1394"/>
    </row>
    <row r="5" spans="2:50" s="148" customFormat="1" ht="20" customHeight="1">
      <c r="B5" s="1395"/>
      <c r="C5" s="1396"/>
      <c r="D5" s="1396"/>
      <c r="E5" s="1396"/>
      <c r="F5" s="1396"/>
      <c r="G5" s="1396"/>
      <c r="H5" s="1396"/>
      <c r="I5" s="1396"/>
      <c r="J5" s="1397"/>
      <c r="K5" s="1395"/>
      <c r="L5" s="1397"/>
      <c r="M5" s="176"/>
      <c r="N5" s="629"/>
      <c r="O5" s="1395"/>
      <c r="P5" s="1396"/>
      <c r="Q5" s="1396"/>
      <c r="R5" s="1396"/>
      <c r="S5" s="1396"/>
      <c r="T5" s="1397"/>
      <c r="U5" s="1273"/>
      <c r="V5" s="1273"/>
      <c r="X5" s="1395"/>
      <c r="Y5" s="1396"/>
      <c r="Z5" s="1396"/>
      <c r="AA5" s="1396"/>
      <c r="AB5" s="1396"/>
      <c r="AC5" s="1396"/>
      <c r="AD5" s="1396"/>
      <c r="AE5" s="1396"/>
      <c r="AF5" s="1396"/>
      <c r="AG5" s="1396"/>
      <c r="AH5" s="1396"/>
      <c r="AI5" s="1396"/>
      <c r="AJ5" s="1396"/>
      <c r="AK5" s="1396"/>
      <c r="AL5" s="1396"/>
      <c r="AM5" s="1396"/>
      <c r="AN5" s="1396"/>
      <c r="AO5" s="1396"/>
      <c r="AP5" s="1396"/>
      <c r="AQ5" s="1396"/>
      <c r="AR5" s="1396"/>
      <c r="AS5" s="1396"/>
      <c r="AT5" s="1396"/>
      <c r="AU5" s="1396"/>
      <c r="AV5" s="1396"/>
      <c r="AW5" s="1397"/>
    </row>
    <row r="6" spans="2:50" ht="6" customHeight="1">
      <c r="Y6" s="148"/>
      <c r="Z6" s="148"/>
      <c r="AA6" s="148"/>
      <c r="AI6" s="148"/>
      <c r="AJ6" s="148"/>
      <c r="AK6" s="148"/>
    </row>
    <row r="7" spans="2:50" ht="15" customHeight="1">
      <c r="B7" s="1280" t="s">
        <v>1130</v>
      </c>
      <c r="C7" s="1280"/>
      <c r="D7" s="1280"/>
      <c r="E7" s="1280"/>
      <c r="F7" s="1280"/>
      <c r="G7" s="1280"/>
      <c r="H7" s="1280"/>
      <c r="I7" s="1280"/>
      <c r="J7" s="1280"/>
      <c r="K7" s="1280"/>
      <c r="L7" s="1280"/>
      <c r="O7" s="1323" t="s">
        <v>1083</v>
      </c>
      <c r="P7" s="1323"/>
      <c r="Q7" s="1323"/>
      <c r="R7" s="1323"/>
      <c r="S7" s="1323"/>
      <c r="T7" s="1323"/>
      <c r="U7" s="1323"/>
      <c r="V7" s="1323"/>
      <c r="W7" s="1323"/>
      <c r="X7" s="1323"/>
      <c r="Y7" s="1323"/>
      <c r="Z7" s="1323"/>
      <c r="AA7" s="1323"/>
      <c r="AB7" s="1323"/>
      <c r="AC7" s="1323"/>
      <c r="AD7" s="1323"/>
      <c r="AE7" s="1323"/>
      <c r="AF7" s="1323"/>
      <c r="AG7" s="1323"/>
      <c r="AH7" s="1323"/>
      <c r="AI7" s="1323"/>
      <c r="AJ7" s="1323"/>
      <c r="AK7" s="1323"/>
      <c r="AL7" s="1323"/>
      <c r="AM7" s="1323"/>
      <c r="AN7" s="1323"/>
      <c r="AO7" s="1323"/>
      <c r="AP7" s="1323"/>
      <c r="AQ7" s="1323"/>
      <c r="AR7" s="1323"/>
      <c r="AS7" s="1323"/>
      <c r="AT7" s="1323"/>
      <c r="AU7" s="1323"/>
      <c r="AV7" s="1323"/>
      <c r="AW7" s="1323"/>
    </row>
    <row r="8" spans="2:50" ht="6" customHeight="1">
      <c r="X8" s="173"/>
    </row>
    <row r="9" spans="2:50" s="153" customFormat="1" ht="45" customHeight="1">
      <c r="B9" s="630" t="str">
        <f>ENERGÍA!B9</f>
        <v>Lineamiento 1: Reflectividad en el Techo</v>
      </c>
      <c r="C9" s="1424" t="str">
        <f>HLOOKUP($M$2,lineamientos,3,FALSE)</f>
        <v>La Zona Bioambiental no especifica lineamiento.</v>
      </c>
      <c r="D9" s="1424"/>
      <c r="E9" s="1424"/>
      <c r="F9" s="1424"/>
      <c r="G9" s="1424"/>
      <c r="H9" s="1424"/>
      <c r="I9" s="1424"/>
      <c r="J9" s="1424"/>
      <c r="K9" s="1424"/>
      <c r="L9" s="631"/>
      <c r="O9" s="584"/>
      <c r="P9" s="584"/>
      <c r="Q9" s="584"/>
      <c r="R9" s="584"/>
      <c r="S9" s="584"/>
      <c r="T9" s="584"/>
      <c r="U9" s="584"/>
      <c r="V9" s="584"/>
      <c r="W9" s="584"/>
    </row>
    <row r="10" spans="2:50" s="153" customFormat="1" ht="45" customHeight="1">
      <c r="B10" s="630" t="s">
        <v>1115</v>
      </c>
      <c r="C10" s="1424" t="str">
        <f>HLOOKUP($M$2,lineamientos,4,FALSE)</f>
        <v>La Zona Bioambiental no especifica lineamiento.</v>
      </c>
      <c r="D10" s="1424"/>
      <c r="E10" s="1424"/>
      <c r="F10" s="1424"/>
      <c r="G10" s="1424"/>
      <c r="H10" s="1424"/>
      <c r="I10" s="1424"/>
      <c r="J10" s="1424"/>
      <c r="K10" s="1424"/>
      <c r="L10" s="631"/>
    </row>
    <row r="11" spans="2:50" s="153" customFormat="1" ht="45" customHeight="1">
      <c r="B11" s="630" t="s">
        <v>1132</v>
      </c>
      <c r="C11" s="1424" t="str">
        <f>HLOOKUP($M$2,lineamientos,5,FALSE)</f>
        <v>Controlar el tamaño de las aberturas para reducir pérdidas de calor, excepto en orientaciones al Norte.</v>
      </c>
      <c r="D11" s="1424"/>
      <c r="E11" s="1424"/>
      <c r="F11" s="1424"/>
      <c r="G11" s="1424"/>
      <c r="H11" s="1424"/>
      <c r="I11" s="1424"/>
      <c r="J11" s="1424"/>
      <c r="K11" s="1424"/>
      <c r="L11" s="631">
        <v>5</v>
      </c>
    </row>
    <row r="12" spans="2:50" s="153" customFormat="1" ht="45" customHeight="1">
      <c r="B12" s="630" t="s">
        <v>1116</v>
      </c>
      <c r="C12" s="1424" t="str">
        <f>HLOOKUP($M$2,lineamientos,6,FALSE)</f>
        <v>Incorporar aberturas: EFICIENCIA NIVEL G SEGÚN IRAM 11.507-6</v>
      </c>
      <c r="D12" s="1424"/>
      <c r="E12" s="1424"/>
      <c r="F12" s="1424"/>
      <c r="G12" s="1424"/>
      <c r="H12" s="1424"/>
      <c r="I12" s="1424"/>
      <c r="J12" s="1424"/>
      <c r="K12" s="1424"/>
      <c r="L12" s="631">
        <v>5</v>
      </c>
    </row>
    <row r="13" spans="2:50" s="153" customFormat="1" ht="45" customHeight="1">
      <c r="B13" s="630" t="s">
        <v>1117</v>
      </c>
      <c r="C13" s="1424" t="str">
        <f>HLOOKUP($M$2,lineamientos,7,FALSE)</f>
        <v>Incorporar aberturas: EFICIENCIA NIVEL B SEGÚN IRAM 11.507-6</v>
      </c>
      <c r="D13" s="1424"/>
      <c r="E13" s="1424"/>
      <c r="F13" s="1424"/>
      <c r="G13" s="1424"/>
      <c r="H13" s="1424"/>
      <c r="I13" s="1424"/>
      <c r="J13" s="1424"/>
      <c r="K13" s="1424"/>
      <c r="L13" s="631"/>
    </row>
    <row r="14" spans="2:50" s="153" customFormat="1" ht="25" customHeight="1">
      <c r="B14" s="1424" t="s">
        <v>1118</v>
      </c>
      <c r="C14" s="1424" t="str">
        <f>HLOOKUP($M$2,lineamientos,8,FALSE)</f>
        <v>La Zona Bioambiental no especifica lineamiento.</v>
      </c>
      <c r="D14" s="1424"/>
      <c r="E14" s="1424"/>
      <c r="F14" s="1424"/>
      <c r="G14" s="1424"/>
      <c r="H14" s="1424"/>
      <c r="I14" s="1424"/>
      <c r="J14" s="1424"/>
      <c r="K14" s="1424"/>
      <c r="L14" s="1428"/>
    </row>
    <row r="15" spans="2:50" s="153" customFormat="1" ht="25" customHeight="1">
      <c r="B15" s="1424"/>
      <c r="C15" s="1424"/>
      <c r="D15" s="1424"/>
      <c r="E15" s="1424"/>
      <c r="F15" s="1424"/>
      <c r="G15" s="1424"/>
      <c r="H15" s="1424"/>
      <c r="I15" s="1424"/>
      <c r="J15" s="1424"/>
      <c r="K15" s="1424"/>
      <c r="L15" s="1429"/>
    </row>
    <row r="16" spans="2:50" s="153" customFormat="1" ht="25" customHeight="1">
      <c r="B16" s="1424" t="s">
        <v>1135</v>
      </c>
      <c r="C16" s="1424" t="str">
        <f>HLOOKUP($M$2,lineamientos,9,FALSE)</f>
        <v>La Zona Bioambiental no especifica lineamiento.</v>
      </c>
      <c r="D16" s="1424"/>
      <c r="E16" s="1424"/>
      <c r="F16" s="1424"/>
      <c r="G16" s="1424"/>
      <c r="H16" s="1424"/>
      <c r="I16" s="1424"/>
      <c r="J16" s="1424"/>
      <c r="K16" s="1424"/>
      <c r="L16" s="1428"/>
    </row>
    <row r="17" spans="2:24" s="153" customFormat="1" ht="25" customHeight="1">
      <c r="B17" s="1424"/>
      <c r="C17" s="1424"/>
      <c r="D17" s="1424"/>
      <c r="E17" s="1424"/>
      <c r="F17" s="1424"/>
      <c r="G17" s="1424"/>
      <c r="H17" s="1424"/>
      <c r="I17" s="1424"/>
      <c r="J17" s="1424"/>
      <c r="K17" s="1424"/>
      <c r="L17" s="1429"/>
    </row>
    <row r="18" spans="2:24" ht="15" customHeight="1">
      <c r="B18" s="1424" t="s">
        <v>1794</v>
      </c>
      <c r="C18" s="1424" t="str">
        <f>HLOOKUP($M$2,lineamientos,10,FALSE)</f>
        <v>La Zona Bioambiental no especifica lineamiento.</v>
      </c>
      <c r="D18" s="1424"/>
      <c r="E18" s="1424"/>
      <c r="F18" s="1424"/>
      <c r="G18" s="1424"/>
      <c r="H18" s="1424"/>
      <c r="I18" s="1424"/>
      <c r="J18" s="1424"/>
      <c r="K18" s="1424"/>
      <c r="L18" s="1425"/>
      <c r="Q18" s="126"/>
      <c r="R18" s="126"/>
      <c r="V18" s="126"/>
      <c r="X18" s="126"/>
    </row>
    <row r="19" spans="2:24" ht="15" customHeight="1">
      <c r="B19" s="1424"/>
      <c r="C19" s="1424"/>
      <c r="D19" s="1424"/>
      <c r="E19" s="1424"/>
      <c r="F19" s="1424"/>
      <c r="G19" s="1424"/>
      <c r="H19" s="1424"/>
      <c r="I19" s="1424"/>
      <c r="J19" s="1424"/>
      <c r="K19" s="1424"/>
      <c r="L19" s="1426"/>
      <c r="Q19" s="126"/>
      <c r="R19" s="126"/>
      <c r="V19" s="126"/>
      <c r="X19" s="126"/>
    </row>
    <row r="20" spans="2:24" ht="15" customHeight="1">
      <c r="B20" s="1424"/>
      <c r="C20" s="1424"/>
      <c r="D20" s="1424"/>
      <c r="E20" s="1424"/>
      <c r="F20" s="1424"/>
      <c r="G20" s="1424"/>
      <c r="H20" s="1424"/>
      <c r="I20" s="1424"/>
      <c r="J20" s="1424"/>
      <c r="K20" s="1424"/>
      <c r="L20" s="1427"/>
      <c r="Q20" s="126"/>
      <c r="R20" s="126"/>
      <c r="V20" s="126"/>
      <c r="X20" s="126"/>
    </row>
    <row r="21" spans="2:24" ht="15" customHeight="1">
      <c r="B21" s="1424" t="s">
        <v>1803</v>
      </c>
      <c r="C21" s="1424" t="str">
        <f>HLOOKUP($M$2,lineamientos,12,FALSE)</f>
        <v>Plantear formas y agrupamientos compactos, que posibiliten un correcto asoleamiento y protección de los vientos característicos de la región.</v>
      </c>
      <c r="D21" s="1424"/>
      <c r="E21" s="1424"/>
      <c r="F21" s="1424"/>
      <c r="G21" s="1424"/>
      <c r="H21" s="1424"/>
      <c r="I21" s="1424"/>
      <c r="J21" s="1424"/>
      <c r="K21" s="1424"/>
      <c r="L21" s="1425">
        <v>5</v>
      </c>
      <c r="Q21" s="126"/>
      <c r="R21" s="126"/>
      <c r="V21" s="126"/>
      <c r="X21" s="126"/>
    </row>
    <row r="22" spans="2:24" ht="15" customHeight="1">
      <c r="B22" s="1424"/>
      <c r="C22" s="1424"/>
      <c r="D22" s="1424"/>
      <c r="E22" s="1424"/>
      <c r="F22" s="1424"/>
      <c r="G22" s="1424"/>
      <c r="H22" s="1424"/>
      <c r="I22" s="1424"/>
      <c r="J22" s="1424"/>
      <c r="K22" s="1424"/>
      <c r="L22" s="1426"/>
      <c r="Q22" s="126"/>
      <c r="R22" s="126"/>
      <c r="V22" s="126"/>
      <c r="X22" s="126"/>
    </row>
    <row r="23" spans="2:24" ht="15" customHeight="1">
      <c r="B23" s="1424"/>
      <c r="C23" s="1424"/>
      <c r="D23" s="1424"/>
      <c r="E23" s="1424"/>
      <c r="F23" s="1424"/>
      <c r="G23" s="1424"/>
      <c r="H23" s="1424"/>
      <c r="I23" s="1424"/>
      <c r="J23" s="1424"/>
      <c r="K23" s="1424"/>
      <c r="L23" s="1427"/>
      <c r="Q23" s="126"/>
      <c r="R23" s="126"/>
      <c r="V23" s="126"/>
      <c r="X23" s="126"/>
    </row>
    <row r="24" spans="2:24" ht="15" customHeight="1">
      <c r="B24" s="1424" t="s">
        <v>1804</v>
      </c>
      <c r="C24" s="1424" t="str">
        <f>HLOOKUP($M$2,lineamientos,13,FALSE)</f>
        <v>HALL INTERMEDIO: Incorporar “hall frío” como instancia de transición entre el exterior y el interior de la vivienda.</v>
      </c>
      <c r="D24" s="1424"/>
      <c r="E24" s="1424"/>
      <c r="F24" s="1424"/>
      <c r="G24" s="1424"/>
      <c r="H24" s="1424"/>
      <c r="I24" s="1424"/>
      <c r="J24" s="1424"/>
      <c r="K24" s="1424"/>
      <c r="L24" s="1425"/>
      <c r="Q24" s="126"/>
      <c r="R24" s="126"/>
      <c r="V24" s="126"/>
      <c r="X24" s="126"/>
    </row>
    <row r="25" spans="2:24" ht="15" customHeight="1">
      <c r="B25" s="1424"/>
      <c r="C25" s="1424"/>
      <c r="D25" s="1424"/>
      <c r="E25" s="1424"/>
      <c r="F25" s="1424"/>
      <c r="G25" s="1424"/>
      <c r="H25" s="1424"/>
      <c r="I25" s="1424"/>
      <c r="J25" s="1424"/>
      <c r="K25" s="1424"/>
      <c r="L25" s="1426"/>
      <c r="Q25" s="126"/>
      <c r="R25" s="126"/>
      <c r="V25" s="126"/>
      <c r="X25" s="126"/>
    </row>
    <row r="26" spans="2:24" ht="15" customHeight="1">
      <c r="B26" s="1424"/>
      <c r="C26" s="1424"/>
      <c r="D26" s="1424"/>
      <c r="E26" s="1424"/>
      <c r="F26" s="1424"/>
      <c r="G26" s="1424"/>
      <c r="H26" s="1424"/>
      <c r="I26" s="1424"/>
      <c r="J26" s="1424"/>
      <c r="K26" s="1424"/>
      <c r="L26" s="1427"/>
      <c r="Q26" s="126"/>
      <c r="R26" s="126"/>
      <c r="V26" s="126"/>
      <c r="X26" s="126"/>
    </row>
    <row r="27" spans="2:24" ht="20" customHeight="1">
      <c r="B27" s="1424" t="s">
        <v>1805</v>
      </c>
      <c r="C27" s="1424" t="str">
        <f>HLOOKUP($M$2,lineamientos,14,FALSE)</f>
        <v>La Zona Bioambiental no especifica lineamiento.</v>
      </c>
      <c r="D27" s="1424"/>
      <c r="E27" s="1424"/>
      <c r="F27" s="1424"/>
      <c r="G27" s="1424"/>
      <c r="H27" s="1424"/>
      <c r="I27" s="1424"/>
      <c r="J27" s="1424"/>
      <c r="K27" s="1424"/>
      <c r="L27" s="1428"/>
      <c r="Q27" s="126"/>
      <c r="R27" s="126"/>
      <c r="V27" s="126"/>
      <c r="X27" s="126"/>
    </row>
    <row r="28" spans="2:24" ht="20" customHeight="1">
      <c r="B28" s="1424"/>
      <c r="C28" s="1424"/>
      <c r="D28" s="1424"/>
      <c r="E28" s="1424"/>
      <c r="F28" s="1424"/>
      <c r="G28" s="1424"/>
      <c r="H28" s="1424"/>
      <c r="I28" s="1424"/>
      <c r="J28" s="1424"/>
      <c r="K28" s="1424"/>
      <c r="L28" s="1429"/>
      <c r="Q28" s="126"/>
      <c r="R28" s="126"/>
      <c r="V28" s="126"/>
      <c r="X28" s="126"/>
    </row>
    <row r="29" spans="2:24" ht="40" customHeight="1">
      <c r="B29" s="630" t="s">
        <v>1806</v>
      </c>
      <c r="C29" s="1424" t="str">
        <f>HLOOKUP($M$2,lineamientos,15,FALSE)</f>
        <v>INERCIA TERMICA: Incorporar materiales con gran inercia térmica.</v>
      </c>
      <c r="D29" s="1424"/>
      <c r="E29" s="1424"/>
      <c r="F29" s="1424"/>
      <c r="G29" s="1424"/>
      <c r="H29" s="1424"/>
      <c r="I29" s="1424"/>
      <c r="J29" s="1424"/>
      <c r="K29" s="1424"/>
      <c r="L29" s="631">
        <v>5</v>
      </c>
      <c r="Q29" s="126"/>
      <c r="R29" s="126"/>
      <c r="V29" s="126"/>
      <c r="X29" s="126"/>
    </row>
    <row r="30" spans="2:24" ht="15" customHeight="1">
      <c r="B30" s="1378"/>
      <c r="C30" s="1378"/>
      <c r="D30" s="1378"/>
      <c r="E30" s="1378"/>
      <c r="F30" s="1378"/>
      <c r="G30" s="1378"/>
      <c r="H30" s="1378"/>
      <c r="I30" s="1378"/>
      <c r="J30" s="1378"/>
      <c r="K30" s="1378"/>
      <c r="L30" s="1378"/>
      <c r="Q30" s="126"/>
      <c r="R30" s="126"/>
      <c r="V30" s="126"/>
      <c r="X30" s="126"/>
    </row>
    <row r="31" spans="2:24" ht="6" customHeight="1">
      <c r="K31" s="148"/>
      <c r="L31" s="148"/>
      <c r="M31" s="148"/>
      <c r="N31" s="148"/>
      <c r="Q31" s="126"/>
      <c r="R31" s="126"/>
      <c r="V31" s="126"/>
      <c r="X31" s="126"/>
    </row>
    <row r="32" spans="2:24" s="159" customFormat="1" ht="15" customHeight="1">
      <c r="B32" s="1280" t="s">
        <v>585</v>
      </c>
      <c r="C32" s="1280"/>
      <c r="D32" s="1280"/>
      <c r="E32" s="1280"/>
      <c r="F32" s="1280"/>
      <c r="G32" s="1280"/>
      <c r="H32" s="1280"/>
      <c r="I32" s="1280"/>
      <c r="J32" s="1280"/>
      <c r="K32" s="1280"/>
      <c r="L32" s="1280"/>
      <c r="M32" s="148"/>
      <c r="N32" s="148"/>
      <c r="O32" s="126"/>
      <c r="P32" s="126"/>
      <c r="Q32" s="126"/>
      <c r="R32" s="126"/>
      <c r="S32" s="126"/>
      <c r="T32" s="126"/>
      <c r="U32" s="126"/>
      <c r="V32" s="126"/>
      <c r="W32" s="126"/>
    </row>
    <row r="33" spans="2:50" ht="6" customHeight="1">
      <c r="M33" s="148"/>
      <c r="N33" s="148"/>
      <c r="O33" s="159"/>
      <c r="P33" s="159"/>
      <c r="Q33" s="159"/>
      <c r="R33" s="159"/>
      <c r="S33" s="159"/>
      <c r="T33" s="159"/>
      <c r="U33" s="159"/>
      <c r="V33" s="159"/>
      <c r="W33" s="159"/>
      <c r="X33" s="126"/>
    </row>
    <row r="34" spans="2:50" ht="30" customHeight="1">
      <c r="B34" s="1273" t="s">
        <v>589</v>
      </c>
      <c r="C34" s="1273"/>
      <c r="D34" s="1357" t="s">
        <v>1181</v>
      </c>
      <c r="E34" s="1391"/>
      <c r="F34" s="1358"/>
      <c r="G34" s="1357" t="s">
        <v>596</v>
      </c>
      <c r="H34" s="1391"/>
      <c r="I34" s="1391"/>
      <c r="J34" s="1358"/>
      <c r="K34" s="1357" t="s">
        <v>1793</v>
      </c>
      <c r="L34" s="1358"/>
      <c r="M34" s="148"/>
      <c r="N34" s="148"/>
      <c r="O34" s="1357" t="s">
        <v>591</v>
      </c>
      <c r="P34" s="1358"/>
      <c r="Q34" s="148" t="s">
        <v>1017</v>
      </c>
      <c r="R34" s="126"/>
      <c r="V34" s="126"/>
      <c r="X34" s="126"/>
    </row>
    <row r="35" spans="2:50" ht="15" customHeight="1">
      <c r="B35" s="582" t="s">
        <v>590</v>
      </c>
      <c r="C35" s="586">
        <f>ENERGÍA!C37</f>
        <v>0</v>
      </c>
      <c r="D35" s="1385" t="e">
        <f>O35/G35</f>
        <v>#N/A</v>
      </c>
      <c r="E35" s="1386"/>
      <c r="F35" s="1387"/>
      <c r="G35" s="1388">
        <f>ENERGÍA!H37+ENERGÍA!L37</f>
        <v>0</v>
      </c>
      <c r="H35" s="1389"/>
      <c r="I35" s="1389"/>
      <c r="J35" s="1390"/>
      <c r="K35" s="1388" t="e">
        <f>VLOOKUP(C35,BASE!$ER$5:$FE$20,12,FALSE)</f>
        <v>#N/A</v>
      </c>
      <c r="L35" s="1390"/>
      <c r="M35" s="148"/>
      <c r="N35" s="148"/>
      <c r="O35" s="1383" t="e">
        <f>G35*(K35)</f>
        <v>#N/A</v>
      </c>
      <c r="P35" s="1384"/>
      <c r="Q35" s="580" t="e">
        <f>VLOOKUP(C35,BASE!$ER$5:$FE$20,13,FALSE)</f>
        <v>#N/A</v>
      </c>
      <c r="R35" s="580" t="e">
        <f>IF(O35&lt;=5,2,IF(O35&lt;10,4,IF(O35&lt;15,6,IF(O35&lt;20,8,9))))</f>
        <v>#N/A</v>
      </c>
      <c r="V35" s="126"/>
      <c r="X35" s="126"/>
      <c r="AR35" s="126">
        <f t="shared" ref="AR35:AW38" si="0">IF(A35=0,1,0)</f>
        <v>1</v>
      </c>
      <c r="AS35" s="126">
        <f t="shared" si="0"/>
        <v>0</v>
      </c>
      <c r="AT35" s="126">
        <f t="shared" si="0"/>
        <v>1</v>
      </c>
      <c r="AU35" s="126" t="e">
        <f t="shared" si="0"/>
        <v>#N/A</v>
      </c>
      <c r="AV35" s="126">
        <f t="shared" si="0"/>
        <v>1</v>
      </c>
      <c r="AW35" s="126">
        <f t="shared" si="0"/>
        <v>1</v>
      </c>
      <c r="AX35" s="126">
        <f>IF(G35=0,1,0)</f>
        <v>1</v>
      </c>
    </row>
    <row r="36" spans="2:50" ht="15" customHeight="1">
      <c r="B36" s="582" t="s">
        <v>586</v>
      </c>
      <c r="C36" s="586">
        <f>ENERGÍA!C38</f>
        <v>0</v>
      </c>
      <c r="D36" s="1385" t="e">
        <f t="shared" ref="D36:D38" si="1">O36/G36</f>
        <v>#N/A</v>
      </c>
      <c r="E36" s="1386"/>
      <c r="F36" s="1387"/>
      <c r="G36" s="1388">
        <f>ENERGÍA!H38+ENERGÍA!L38</f>
        <v>0</v>
      </c>
      <c r="H36" s="1389"/>
      <c r="I36" s="1389"/>
      <c r="J36" s="1390"/>
      <c r="K36" s="1388" t="e">
        <f>VLOOKUP(C36,BASE!$ER$5:$FE$20,12,FALSE)</f>
        <v>#N/A</v>
      </c>
      <c r="L36" s="1390"/>
      <c r="M36" s="148"/>
      <c r="N36" s="148"/>
      <c r="O36" s="1383" t="e">
        <f t="shared" ref="O36:O38" si="2">G36*(K36)</f>
        <v>#N/A</v>
      </c>
      <c r="P36" s="1384"/>
      <c r="Q36" s="580" t="e">
        <f>VLOOKUP(C36,BASE!$ER$5:$FE$20,13,FALSE)</f>
        <v>#N/A</v>
      </c>
      <c r="R36" s="580" t="e">
        <f t="shared" ref="R36:R38" si="3">IF(O36&lt;=5,2,IF(O36&lt;10,4,IF(O36&lt;15,6,IF(O36&lt;20,8,9))))</f>
        <v>#N/A</v>
      </c>
      <c r="V36" s="126"/>
      <c r="X36" s="126"/>
      <c r="AR36" s="126">
        <f t="shared" si="0"/>
        <v>1</v>
      </c>
      <c r="AS36" s="126">
        <f t="shared" si="0"/>
        <v>0</v>
      </c>
      <c r="AT36" s="126">
        <f t="shared" si="0"/>
        <v>1</v>
      </c>
      <c r="AU36" s="126" t="e">
        <f t="shared" si="0"/>
        <v>#N/A</v>
      </c>
      <c r="AV36" s="126">
        <f t="shared" si="0"/>
        <v>1</v>
      </c>
      <c r="AW36" s="126">
        <f t="shared" si="0"/>
        <v>1</v>
      </c>
      <c r="AX36" s="126">
        <f>IF(G36=0,1,0)</f>
        <v>1</v>
      </c>
    </row>
    <row r="37" spans="2:50" ht="15" customHeight="1">
      <c r="B37" s="582" t="s">
        <v>587</v>
      </c>
      <c r="C37" s="586">
        <f>ENERGÍA!C39</f>
        <v>0</v>
      </c>
      <c r="D37" s="1385" t="e">
        <f t="shared" si="1"/>
        <v>#N/A</v>
      </c>
      <c r="E37" s="1386"/>
      <c r="F37" s="1387"/>
      <c r="G37" s="1388">
        <f>ENERGÍA!H39+ENERGÍA!L39</f>
        <v>0</v>
      </c>
      <c r="H37" s="1389"/>
      <c r="I37" s="1389"/>
      <c r="J37" s="1390"/>
      <c r="K37" s="1388" t="e">
        <f>VLOOKUP(C37,BASE!$ER$5:$FE$20,12,FALSE)</f>
        <v>#N/A</v>
      </c>
      <c r="L37" s="1390"/>
      <c r="M37" s="148"/>
      <c r="N37" s="148"/>
      <c r="O37" s="1383" t="e">
        <f t="shared" si="2"/>
        <v>#N/A</v>
      </c>
      <c r="P37" s="1384"/>
      <c r="Q37" s="580" t="e">
        <f>VLOOKUP(C37,BASE!$ER$5:$FE$20,13,FALSE)</f>
        <v>#N/A</v>
      </c>
      <c r="R37" s="580" t="e">
        <f t="shared" si="3"/>
        <v>#N/A</v>
      </c>
      <c r="V37" s="126"/>
      <c r="X37" s="126"/>
      <c r="AR37" s="126">
        <f t="shared" si="0"/>
        <v>1</v>
      </c>
      <c r="AS37" s="126">
        <f t="shared" si="0"/>
        <v>0</v>
      </c>
      <c r="AT37" s="126">
        <f t="shared" si="0"/>
        <v>1</v>
      </c>
      <c r="AU37" s="126" t="e">
        <f t="shared" si="0"/>
        <v>#N/A</v>
      </c>
      <c r="AV37" s="126">
        <f t="shared" si="0"/>
        <v>1</v>
      </c>
      <c r="AW37" s="126">
        <f t="shared" si="0"/>
        <v>1</v>
      </c>
      <c r="AX37" s="126">
        <f>IF(G37=0,1,0)</f>
        <v>1</v>
      </c>
    </row>
    <row r="38" spans="2:50" ht="15" customHeight="1">
      <c r="B38" s="582" t="s">
        <v>588</v>
      </c>
      <c r="C38" s="586">
        <f>ENERGÍA!C40</f>
        <v>0</v>
      </c>
      <c r="D38" s="1385" t="e">
        <f t="shared" si="1"/>
        <v>#N/A</v>
      </c>
      <c r="E38" s="1386"/>
      <c r="F38" s="1387"/>
      <c r="G38" s="1388">
        <f>ENERGÍA!H40+ENERGÍA!L40</f>
        <v>0</v>
      </c>
      <c r="H38" s="1389"/>
      <c r="I38" s="1389"/>
      <c r="J38" s="1390"/>
      <c r="K38" s="1388" t="e">
        <f>VLOOKUP(C38,BASE!$ER$5:$FE$20,12,FALSE)</f>
        <v>#N/A</v>
      </c>
      <c r="L38" s="1390"/>
      <c r="M38" s="148"/>
      <c r="N38" s="148"/>
      <c r="O38" s="1383" t="e">
        <f t="shared" si="2"/>
        <v>#N/A</v>
      </c>
      <c r="P38" s="1384"/>
      <c r="Q38" s="580" t="e">
        <f>VLOOKUP(C38,BASE!$ER$5:$FE$20,13,FALSE)</f>
        <v>#N/A</v>
      </c>
      <c r="R38" s="580" t="e">
        <f t="shared" si="3"/>
        <v>#N/A</v>
      </c>
      <c r="V38" s="126"/>
      <c r="X38" s="126"/>
      <c r="AR38" s="126">
        <f t="shared" si="0"/>
        <v>1</v>
      </c>
      <c r="AS38" s="126">
        <f t="shared" si="0"/>
        <v>0</v>
      </c>
      <c r="AT38" s="126">
        <f t="shared" si="0"/>
        <v>1</v>
      </c>
      <c r="AU38" s="126" t="e">
        <f t="shared" si="0"/>
        <v>#N/A</v>
      </c>
      <c r="AV38" s="126">
        <f t="shared" si="0"/>
        <v>1</v>
      </c>
      <c r="AW38" s="126">
        <f t="shared" si="0"/>
        <v>1</v>
      </c>
      <c r="AX38" s="126">
        <f>IF(G38=0,1,0)</f>
        <v>1</v>
      </c>
    </row>
    <row r="39" spans="2:50" ht="6" customHeight="1">
      <c r="B39" s="582"/>
      <c r="C39" s="148"/>
      <c r="D39" s="176"/>
      <c r="E39" s="176"/>
      <c r="F39" s="176"/>
      <c r="G39" s="176"/>
      <c r="H39" s="176"/>
      <c r="I39" s="176"/>
      <c r="J39" s="587"/>
      <c r="K39" s="587"/>
      <c r="L39" s="587"/>
      <c r="M39" s="148"/>
      <c r="N39" s="148"/>
      <c r="X39" s="126"/>
    </row>
    <row r="40" spans="2:50" s="159" customFormat="1" ht="15" customHeight="1">
      <c r="B40" s="1280" t="s">
        <v>592</v>
      </c>
      <c r="C40" s="1280"/>
      <c r="D40" s="1280"/>
      <c r="E40" s="1280"/>
      <c r="F40" s="1280"/>
      <c r="G40" s="1280"/>
      <c r="H40" s="1280"/>
      <c r="I40" s="1280"/>
      <c r="J40" s="1280"/>
      <c r="K40" s="1280"/>
      <c r="L40" s="1280"/>
      <c r="M40" s="148"/>
      <c r="N40" s="148"/>
      <c r="O40" s="1317" t="s">
        <v>592</v>
      </c>
      <c r="P40" s="1318"/>
      <c r="Q40" s="1318"/>
      <c r="R40" s="1318"/>
      <c r="S40" s="1318"/>
      <c r="T40" s="1318"/>
      <c r="U40" s="1318"/>
      <c r="V40" s="1318"/>
      <c r="W40" s="1319"/>
      <c r="Y40" s="1280" t="s">
        <v>894</v>
      </c>
      <c r="Z40" s="1280"/>
      <c r="AA40" s="1280"/>
      <c r="AB40" s="1280"/>
      <c r="AC40" s="1280"/>
      <c r="AD40" s="1280"/>
      <c r="AE40" s="1280"/>
      <c r="AG40" s="1357" t="s">
        <v>762</v>
      </c>
      <c r="AH40" s="1391"/>
      <c r="AI40" s="1391"/>
      <c r="AJ40" s="1358"/>
    </row>
    <row r="41" spans="2:50" ht="6" customHeight="1">
      <c r="O41" s="148"/>
      <c r="P41" s="581"/>
      <c r="Q41" s="126"/>
      <c r="R41" s="126"/>
      <c r="V41" s="148"/>
    </row>
    <row r="42" spans="2:50" ht="15" customHeight="1">
      <c r="B42" s="1323" t="s">
        <v>218</v>
      </c>
      <c r="C42" s="1323"/>
      <c r="D42" s="1323"/>
      <c r="E42" s="1323"/>
      <c r="F42" s="1323"/>
      <c r="G42" s="1323"/>
      <c r="H42" s="1323"/>
      <c r="I42" s="1323"/>
      <c r="J42" s="1323"/>
      <c r="K42" s="1323"/>
      <c r="L42" s="1323"/>
      <c r="O42" s="1320" t="s">
        <v>218</v>
      </c>
      <c r="P42" s="1321"/>
      <c r="Q42" s="1321"/>
      <c r="R42" s="1321"/>
      <c r="S42" s="1321"/>
      <c r="T42" s="1321"/>
      <c r="U42" s="1321"/>
      <c r="V42" s="1321"/>
      <c r="W42" s="1322"/>
      <c r="Y42" s="1350" t="s">
        <v>1139</v>
      </c>
      <c r="Z42" s="1350"/>
      <c r="AA42" s="1350"/>
      <c r="AB42" s="1350"/>
      <c r="AC42" s="1350"/>
      <c r="AD42" s="588" t="s">
        <v>999</v>
      </c>
      <c r="AE42" s="175" t="e">
        <f>AE44</f>
        <v>#N/A</v>
      </c>
      <c r="AG42" s="166"/>
      <c r="AH42" s="166" t="s">
        <v>996</v>
      </c>
      <c r="AI42" s="166" t="s">
        <v>1519</v>
      </c>
      <c r="AJ42" s="166" t="s">
        <v>1520</v>
      </c>
    </row>
    <row r="43" spans="2:50" ht="6" customHeight="1">
      <c r="B43" s="584"/>
      <c r="C43" s="584"/>
      <c r="D43" s="584"/>
      <c r="E43" s="126"/>
      <c r="O43" s="148"/>
      <c r="P43" s="581"/>
      <c r="Q43" s="584"/>
      <c r="R43" s="584"/>
      <c r="AG43" s="148"/>
      <c r="AH43" s="148"/>
      <c r="AI43" s="148"/>
      <c r="AJ43" s="148"/>
    </row>
    <row r="44" spans="2:50" s="166" customFormat="1" ht="15" customHeight="1">
      <c r="B44" s="1360"/>
      <c r="C44" s="1363" t="s">
        <v>222</v>
      </c>
      <c r="D44" s="1364"/>
      <c r="E44" s="1364"/>
      <c r="F44" s="1364"/>
      <c r="G44" s="1365"/>
      <c r="H44" s="1357" t="s">
        <v>1788</v>
      </c>
      <c r="I44" s="1358"/>
      <c r="J44" s="1360" t="s">
        <v>594</v>
      </c>
      <c r="K44" s="1360" t="s">
        <v>1356</v>
      </c>
      <c r="L44" s="1275" t="s">
        <v>644</v>
      </c>
      <c r="O44" s="1360" t="s">
        <v>1354</v>
      </c>
      <c r="P44" s="1360" t="s">
        <v>729</v>
      </c>
      <c r="Q44" s="1360" t="s">
        <v>849</v>
      </c>
      <c r="R44" s="1360" t="s">
        <v>850</v>
      </c>
      <c r="S44" s="1360" t="s">
        <v>1357</v>
      </c>
      <c r="T44" s="1360" t="s">
        <v>851</v>
      </c>
      <c r="U44" s="1360" t="s">
        <v>891</v>
      </c>
      <c r="V44" s="1360" t="s">
        <v>1359</v>
      </c>
      <c r="Y44" s="1275" t="s">
        <v>1140</v>
      </c>
      <c r="Z44" s="1344" t="e">
        <f>AW90</f>
        <v>#N/A</v>
      </c>
      <c r="AA44" s="1345"/>
      <c r="AB44" s="1275" t="s">
        <v>895</v>
      </c>
      <c r="AC44" s="1286">
        <f>AW74</f>
        <v>-24</v>
      </c>
      <c r="AD44" s="1379" t="s">
        <v>1023</v>
      </c>
      <c r="AE44" s="1381" t="e">
        <f>Z44*AC44</f>
        <v>#N/A</v>
      </c>
      <c r="AG44" s="148" t="str">
        <f>Y52</f>
        <v>Agua Caliente</v>
      </c>
      <c r="AH44" s="148">
        <v>933</v>
      </c>
      <c r="AI44" s="148">
        <v>450</v>
      </c>
      <c r="AJ44" s="148">
        <f>IF(Z52=1,15,0)</f>
        <v>0</v>
      </c>
    </row>
    <row r="45" spans="2:50" s="166" customFormat="1" ht="15" customHeight="1">
      <c r="B45" s="1361"/>
      <c r="C45" s="1366"/>
      <c r="D45" s="1367"/>
      <c r="E45" s="1367"/>
      <c r="F45" s="1367"/>
      <c r="G45" s="1368"/>
      <c r="H45" s="166" t="s">
        <v>749</v>
      </c>
      <c r="I45" s="166" t="s">
        <v>750</v>
      </c>
      <c r="J45" s="1361"/>
      <c r="K45" s="1361"/>
      <c r="L45" s="1277"/>
      <c r="O45" s="1361"/>
      <c r="P45" s="1361"/>
      <c r="Q45" s="1361"/>
      <c r="R45" s="1361"/>
      <c r="S45" s="1361"/>
      <c r="T45" s="1361"/>
      <c r="U45" s="1361"/>
      <c r="V45" s="1361"/>
      <c r="Y45" s="1277"/>
      <c r="Z45" s="1348"/>
      <c r="AA45" s="1349"/>
      <c r="AB45" s="1277"/>
      <c r="AC45" s="1288"/>
      <c r="AD45" s="1380"/>
      <c r="AE45" s="1382"/>
    </row>
    <row r="46" spans="2:50" ht="15" customHeight="1">
      <c r="B46" s="581" t="s">
        <v>228</v>
      </c>
      <c r="C46" s="1359"/>
      <c r="D46" s="1359"/>
      <c r="E46" s="1359"/>
      <c r="F46" s="1359"/>
      <c r="G46" s="1359"/>
      <c r="H46" s="176" t="str">
        <f>IF(J46=0,"-","Nivel B")</f>
        <v>-</v>
      </c>
      <c r="I46" s="176" t="str">
        <f>IF(J46=0,"-","Nivel B")</f>
        <v>-</v>
      </c>
      <c r="J46" s="589">
        <f>ENERGÍA!L50</f>
        <v>0</v>
      </c>
      <c r="K46" s="589">
        <f>ENERGÍA!M50</f>
        <v>0</v>
      </c>
      <c r="L46" s="589"/>
      <c r="O46" s="176">
        <f>IF(J46=0,0,VLOOKUP(K46,adyacentem,2,FALSE))</f>
        <v>0</v>
      </c>
      <c r="P46" s="590">
        <f>VLOOKUP('BASE DE DATOS'!GY54,COLORESEXT,2,FALSE)</f>
        <v>0.9</v>
      </c>
      <c r="Q46" s="176">
        <f>IF('BASE DE DATOS'!GX54="A",'Materiales Personalizados'!BA37,IF('BASE DE DATOS'!GX54="B",'Materiales Personalizados'!BA38,'Materiales Personalizados'!$BA$39))</f>
        <v>0.83</v>
      </c>
      <c r="R46" s="590">
        <f>Q46*J46</f>
        <v>0</v>
      </c>
      <c r="S46" s="590">
        <f>IF(J46=0,0,(O46*R46))</f>
        <v>0</v>
      </c>
      <c r="T46" s="590" t="e">
        <f>IF('BASE DE DATOS'!GX54="A",'Materiales Personalizados'!BA43,IF('BASE DE DATOS'!GX54="B",'Materiales Personalizados'!BA44,'Materiales Personalizados'!BA45))</f>
        <v>#N/A</v>
      </c>
      <c r="U46" s="590" t="e">
        <f>T46*J46</f>
        <v>#N/A</v>
      </c>
      <c r="V46" s="590">
        <f>IF(J46=0,0,U46*O46)</f>
        <v>0</v>
      </c>
      <c r="W46" s="581"/>
      <c r="X46" s="580">
        <f>IF(J46&gt;0,1,0)</f>
        <v>0</v>
      </c>
      <c r="AG46" s="148" t="str">
        <f>Y54</f>
        <v>Cocina</v>
      </c>
      <c r="AH46" s="148">
        <v>977</v>
      </c>
      <c r="AI46" s="148">
        <v>472</v>
      </c>
      <c r="AJ46" s="148">
        <f>IF(Z54=1,15,0)</f>
        <v>15</v>
      </c>
    </row>
    <row r="47" spans="2:50" ht="15" customHeight="1">
      <c r="B47" s="581" t="s">
        <v>229</v>
      </c>
      <c r="C47" s="1359"/>
      <c r="D47" s="1359"/>
      <c r="E47" s="1359"/>
      <c r="F47" s="1359"/>
      <c r="G47" s="1359"/>
      <c r="H47" s="176" t="str">
        <f t="shared" ref="H47:H48" si="4">IF(J47=0,"-","Nivel B")</f>
        <v>-</v>
      </c>
      <c r="I47" s="176" t="str">
        <f t="shared" ref="I47:I48" si="5">IF(J47=0,"-","Nivel B")</f>
        <v>-</v>
      </c>
      <c r="J47" s="589">
        <f>ENERGÍA!L51</f>
        <v>0</v>
      </c>
      <c r="K47" s="589">
        <f>ENERGÍA!M51</f>
        <v>0</v>
      </c>
      <c r="L47" s="589"/>
      <c r="O47" s="176">
        <f>IF(J47=0,0,VLOOKUP(K47,adyacentem,2,FALSE))</f>
        <v>0</v>
      </c>
      <c r="P47" s="590">
        <f>P46</f>
        <v>0.9</v>
      </c>
      <c r="Q47" s="176">
        <f>Q46</f>
        <v>0.83</v>
      </c>
      <c r="R47" s="590">
        <f>Q47*J47</f>
        <v>0</v>
      </c>
      <c r="S47" s="590">
        <f t="shared" ref="S47:S48" si="6">IF(J47=0,0,(O47*R47))</f>
        <v>0</v>
      </c>
      <c r="T47" s="590" t="e">
        <f>T46</f>
        <v>#N/A</v>
      </c>
      <c r="U47" s="590" t="e">
        <f>T47*J47</f>
        <v>#N/A</v>
      </c>
      <c r="V47" s="590">
        <f t="shared" ref="V47:V48" si="7">IF(J47=0,0,U47*O47)</f>
        <v>0</v>
      </c>
      <c r="W47" s="581"/>
      <c r="X47" s="580">
        <f t="shared" ref="X47:X90" si="8">IF(J47&gt;0,1,0)</f>
        <v>0</v>
      </c>
      <c r="Y47" s="1350" t="s">
        <v>1000</v>
      </c>
      <c r="Z47" s="1350"/>
      <c r="AA47" s="1350"/>
      <c r="AB47" s="1350"/>
      <c r="AC47" s="1350"/>
      <c r="AD47" s="588" t="s">
        <v>999</v>
      </c>
      <c r="AE47" s="175">
        <f>AE66+AD60+AE52+Z60</f>
        <v>366.75</v>
      </c>
      <c r="AG47" s="148" t="str">
        <f>Y56</f>
        <v>Lavarropa</v>
      </c>
      <c r="AH47" s="148">
        <v>300</v>
      </c>
      <c r="AI47" s="148">
        <v>0</v>
      </c>
      <c r="AJ47" s="148">
        <f>IF(Z56=1,9,0)</f>
        <v>9</v>
      </c>
    </row>
    <row r="48" spans="2:50" ht="15" customHeight="1">
      <c r="B48" s="581" t="s">
        <v>631</v>
      </c>
      <c r="C48" s="1342"/>
      <c r="D48" s="1340"/>
      <c r="E48" s="1340"/>
      <c r="F48" s="1340"/>
      <c r="G48" s="1340"/>
      <c r="H48" s="176" t="str">
        <f t="shared" si="4"/>
        <v>-</v>
      </c>
      <c r="I48" s="176" t="str">
        <f t="shared" si="5"/>
        <v>-</v>
      </c>
      <c r="J48" s="589">
        <f>ENERGÍA!L52</f>
        <v>0</v>
      </c>
      <c r="K48" s="589">
        <f>ENERGÍA!M52</f>
        <v>0</v>
      </c>
      <c r="L48" s="589"/>
      <c r="O48" s="176">
        <f>IF(J48=0,0,VLOOKUP(K48,adyacentem,2,FALSE))</f>
        <v>0</v>
      </c>
      <c r="P48" s="590">
        <f>P47</f>
        <v>0.9</v>
      </c>
      <c r="Q48" s="176">
        <f>Q47</f>
        <v>0.83</v>
      </c>
      <c r="R48" s="590">
        <f>Q48*J48</f>
        <v>0</v>
      </c>
      <c r="S48" s="590">
        <f t="shared" si="6"/>
        <v>0</v>
      </c>
      <c r="T48" s="590" t="e">
        <f>T47</f>
        <v>#N/A</v>
      </c>
      <c r="U48" s="590" t="e">
        <f>T48*J48</f>
        <v>#N/A</v>
      </c>
      <c r="V48" s="590">
        <f t="shared" si="7"/>
        <v>0</v>
      </c>
      <c r="W48" s="581"/>
      <c r="X48" s="580">
        <f t="shared" si="8"/>
        <v>0</v>
      </c>
      <c r="Y48" s="1350" t="s">
        <v>994</v>
      </c>
      <c r="Z48" s="1350"/>
      <c r="AA48" s="1350"/>
      <c r="AB48" s="1350"/>
      <c r="AC48" s="1350"/>
      <c r="AD48" s="1350"/>
      <c r="AE48" s="1350"/>
      <c r="AG48" s="148" t="str">
        <f>Y57</f>
        <v>Heladera</v>
      </c>
      <c r="AH48" s="148">
        <v>310</v>
      </c>
      <c r="AI48" s="148">
        <v>0</v>
      </c>
      <c r="AJ48" s="148">
        <f>IF(Z57=1,45,0)</f>
        <v>45</v>
      </c>
    </row>
    <row r="49" spans="2:49" ht="6" customHeight="1">
      <c r="O49" s="148"/>
      <c r="P49" s="581"/>
      <c r="Q49" s="126"/>
      <c r="R49" s="126"/>
      <c r="V49" s="126"/>
      <c r="X49" s="580">
        <f t="shared" si="8"/>
        <v>0</v>
      </c>
      <c r="AG49" s="148"/>
      <c r="AH49" s="148"/>
      <c r="AI49" s="148"/>
      <c r="AJ49" s="148"/>
    </row>
    <row r="50" spans="2:49" ht="15" customHeight="1">
      <c r="B50" s="1320" t="s">
        <v>219</v>
      </c>
      <c r="C50" s="1321"/>
      <c r="D50" s="1321"/>
      <c r="E50" s="1321"/>
      <c r="F50" s="1321"/>
      <c r="G50" s="1321"/>
      <c r="H50" s="1321"/>
      <c r="I50" s="1321"/>
      <c r="J50" s="1321"/>
      <c r="K50" s="1321"/>
      <c r="L50" s="1322"/>
      <c r="O50" s="1320" t="s">
        <v>219</v>
      </c>
      <c r="P50" s="1321"/>
      <c r="Q50" s="1321"/>
      <c r="R50" s="1321"/>
      <c r="S50" s="1321"/>
      <c r="T50" s="1321"/>
      <c r="U50" s="1321"/>
      <c r="V50" s="1321"/>
      <c r="W50" s="1322"/>
      <c r="X50" s="580">
        <f t="shared" si="8"/>
        <v>0</v>
      </c>
      <c r="Y50" s="148"/>
      <c r="Z50" s="148" t="s">
        <v>995</v>
      </c>
      <c r="AA50" s="148" t="s">
        <v>996</v>
      </c>
      <c r="AB50" s="148" t="s">
        <v>997</v>
      </c>
      <c r="AC50" s="148" t="s">
        <v>998</v>
      </c>
      <c r="AD50" s="148" t="s">
        <v>898</v>
      </c>
      <c r="AE50" s="591" t="s">
        <v>1023</v>
      </c>
      <c r="AJ50" s="148">
        <f>SUM(AJ44:AJ49)</f>
        <v>69</v>
      </c>
    </row>
    <row r="51" spans="2:49" ht="6" customHeight="1">
      <c r="D51" s="126"/>
      <c r="E51" s="126"/>
      <c r="K51" s="126"/>
      <c r="L51" s="126"/>
      <c r="O51" s="148"/>
      <c r="Q51" s="126"/>
      <c r="R51" s="126"/>
      <c r="V51" s="126"/>
      <c r="X51" s="580">
        <f t="shared" si="8"/>
        <v>0</v>
      </c>
      <c r="AG51" s="148"/>
      <c r="AH51" s="148"/>
      <c r="AI51" s="148"/>
      <c r="AJ51" s="148"/>
    </row>
    <row r="52" spans="2:49" ht="15" customHeight="1">
      <c r="B52" s="1323">
        <f>C35</f>
        <v>0</v>
      </c>
      <c r="C52" s="1323"/>
      <c r="D52" s="1323"/>
      <c r="E52" s="1323"/>
      <c r="F52" s="1323"/>
      <c r="G52" s="1323"/>
      <c r="H52" s="1323"/>
      <c r="I52" s="1323"/>
      <c r="J52" s="1323"/>
      <c r="K52" s="1323"/>
      <c r="L52" s="1323"/>
      <c r="O52" s="1320">
        <f>B52</f>
        <v>0</v>
      </c>
      <c r="P52" s="1321"/>
      <c r="Q52" s="1321"/>
      <c r="R52" s="1321"/>
      <c r="S52" s="1321"/>
      <c r="T52" s="1321"/>
      <c r="U52" s="1321"/>
      <c r="V52" s="1321"/>
      <c r="W52" s="1322"/>
      <c r="X52" s="580">
        <f t="shared" si="8"/>
        <v>0</v>
      </c>
      <c r="Y52" s="148" t="s">
        <v>618</v>
      </c>
      <c r="Z52" s="148">
        <f>ENERGÍA!AA56</f>
        <v>0</v>
      </c>
      <c r="AA52" s="148">
        <f>ENERGÍA!AB56</f>
        <v>933</v>
      </c>
      <c r="AB52" s="148">
        <f>ENERGÍA!AC56</f>
        <v>25</v>
      </c>
      <c r="AC52" s="148">
        <f>AA52*AB52/100</f>
        <v>233.25</v>
      </c>
      <c r="AD52" s="148">
        <f>AC52*Z52</f>
        <v>0</v>
      </c>
      <c r="AE52" s="1282">
        <f>SUM(AD52:AD57)</f>
        <v>366.75</v>
      </c>
      <c r="AG52" s="580" t="s">
        <v>1522</v>
      </c>
      <c r="AH52" s="590">
        <f>SUM(G35:J38)</f>
        <v>0</v>
      </c>
      <c r="AI52" s="590">
        <f>SUM(W56:W90)</f>
        <v>0</v>
      </c>
      <c r="AJ52" s="580">
        <f>IF(AH52=AI52,0,((AI52*100)/AH52)/1000)</f>
        <v>0</v>
      </c>
    </row>
    <row r="53" spans="2:49" ht="6" customHeight="1">
      <c r="B53" s="584"/>
      <c r="C53" s="584"/>
      <c r="D53" s="584"/>
      <c r="E53" s="126"/>
      <c r="L53" s="126"/>
      <c r="O53" s="148"/>
      <c r="P53" s="581"/>
      <c r="Q53" s="126"/>
      <c r="R53" s="126"/>
      <c r="V53" s="126"/>
      <c r="X53" s="580">
        <f t="shared" si="8"/>
        <v>0</v>
      </c>
      <c r="AE53" s="1282"/>
    </row>
    <row r="54" spans="2:49" ht="15" customHeight="1">
      <c r="B54" s="1360"/>
      <c r="C54" s="1363" t="s">
        <v>222</v>
      </c>
      <c r="D54" s="1364"/>
      <c r="E54" s="1364"/>
      <c r="F54" s="1364"/>
      <c r="G54" s="1365"/>
      <c r="H54" s="1357" t="s">
        <v>1788</v>
      </c>
      <c r="I54" s="1358"/>
      <c r="J54" s="1360" t="s">
        <v>594</v>
      </c>
      <c r="K54" s="1360" t="s">
        <v>1356</v>
      </c>
      <c r="L54" s="1275" t="s">
        <v>644</v>
      </c>
      <c r="O54" s="1360" t="s">
        <v>1354</v>
      </c>
      <c r="P54" s="1360" t="s">
        <v>729</v>
      </c>
      <c r="Q54" s="1360" t="s">
        <v>849</v>
      </c>
      <c r="R54" s="1360" t="s">
        <v>850</v>
      </c>
      <c r="S54" s="1360" t="s">
        <v>1357</v>
      </c>
      <c r="T54" s="1360" t="s">
        <v>851</v>
      </c>
      <c r="U54" s="1360" t="s">
        <v>891</v>
      </c>
      <c r="V54" s="1360" t="s">
        <v>1359</v>
      </c>
      <c r="W54" s="1360" t="s">
        <v>1358</v>
      </c>
      <c r="X54" s="580">
        <f t="shared" si="8"/>
        <v>1</v>
      </c>
      <c r="Y54" s="148" t="s">
        <v>572</v>
      </c>
      <c r="Z54" s="148">
        <f>ENERGÍA!AA58</f>
        <v>1</v>
      </c>
      <c r="AA54" s="148">
        <f>ENERGÍA!AB58</f>
        <v>977</v>
      </c>
      <c r="AB54" s="148">
        <f>ENERGÍA!AC58</f>
        <v>25</v>
      </c>
      <c r="AC54" s="148">
        <f>AA54*AB54/100</f>
        <v>244.25</v>
      </c>
      <c r="AD54" s="148">
        <f>AC54*Z54</f>
        <v>244.25</v>
      </c>
      <c r="AE54" s="1282"/>
      <c r="AG54" s="580" t="s">
        <v>1523</v>
      </c>
      <c r="AH54" s="1320" t="e">
        <f>(AVERAGEIF(X46:X90,1,P46:P90))/5</f>
        <v>#DIV/0!</v>
      </c>
      <c r="AI54" s="1321"/>
      <c r="AJ54" s="1322"/>
    </row>
    <row r="55" spans="2:49" ht="15" customHeight="1">
      <c r="B55" s="1361"/>
      <c r="C55" s="1366"/>
      <c r="D55" s="1367"/>
      <c r="E55" s="1367"/>
      <c r="F55" s="1367"/>
      <c r="G55" s="1368"/>
      <c r="H55" s="1357" t="s">
        <v>731</v>
      </c>
      <c r="I55" s="1358"/>
      <c r="J55" s="1361"/>
      <c r="K55" s="1361"/>
      <c r="L55" s="1277"/>
      <c r="O55" s="1361"/>
      <c r="P55" s="1361"/>
      <c r="Q55" s="1361"/>
      <c r="R55" s="1361"/>
      <c r="S55" s="1361"/>
      <c r="T55" s="1361"/>
      <c r="U55" s="1361"/>
      <c r="V55" s="1361"/>
      <c r="W55" s="1361"/>
      <c r="X55" s="580">
        <f t="shared" si="8"/>
        <v>0</v>
      </c>
      <c r="Y55" s="580"/>
      <c r="Z55" s="580"/>
      <c r="AA55" s="580"/>
      <c r="AB55" s="580"/>
      <c r="AC55" s="580"/>
      <c r="AD55" s="580"/>
      <c r="AE55" s="1282"/>
      <c r="AG55" s="580"/>
      <c r="AH55" s="592"/>
      <c r="AI55" s="593"/>
      <c r="AJ55" s="594"/>
    </row>
    <row r="56" spans="2:49" ht="15" customHeight="1">
      <c r="B56" s="581" t="s">
        <v>223</v>
      </c>
      <c r="C56" s="1359"/>
      <c r="D56" s="1359"/>
      <c r="E56" s="1359"/>
      <c r="F56" s="1359"/>
      <c r="G56" s="1359"/>
      <c r="H56" s="1274" t="str">
        <f>IF(J56=0,"-","Nivel B")</f>
        <v>-</v>
      </c>
      <c r="I56" s="1274"/>
      <c r="J56" s="589">
        <f>ENERGÍA!L60</f>
        <v>0</v>
      </c>
      <c r="K56" s="589">
        <f>ENERGÍA!M60</f>
        <v>0</v>
      </c>
      <c r="L56" s="589"/>
      <c r="O56" s="176">
        <f>IF(J56=0,0,VLOOKUP(K56,adyacentem,2,FALSE))</f>
        <v>0</v>
      </c>
      <c r="P56" s="590">
        <f>VLOOKUP('BASE DE DATOS'!GY54,COLORESEXT,2,FALSE)</f>
        <v>0.9</v>
      </c>
      <c r="Q56" s="176">
        <f>IF('BASE DE DATOS'!GX55="A",'Materiales Personalizados'!AV37,IF('BASE DE DATOS'!GX55="B",'Materiales Personalizados'!AV38,'Materiales Personalizados'!$AV$39))</f>
        <v>1</v>
      </c>
      <c r="R56" s="590">
        <f>Q56*J56</f>
        <v>0</v>
      </c>
      <c r="S56" s="590">
        <f>IF(J56=0,0,(O56*R56))</f>
        <v>0</v>
      </c>
      <c r="T56" s="590">
        <f>Q56</f>
        <v>1</v>
      </c>
      <c r="U56" s="590">
        <f>T56*J56</f>
        <v>0</v>
      </c>
      <c r="V56" s="590">
        <f>IF(J56=0,0,(O56*U56))</f>
        <v>0</v>
      </c>
      <c r="W56" s="590">
        <f>IF(K56=BASE!$DA$7,J56,0)</f>
        <v>0</v>
      </c>
      <c r="X56" s="580">
        <f t="shared" si="8"/>
        <v>0</v>
      </c>
      <c r="Y56" s="148" t="s">
        <v>620</v>
      </c>
      <c r="Z56" s="148">
        <f>ENERGÍA!AA60</f>
        <v>1</v>
      </c>
      <c r="AA56" s="148">
        <f>ENERGÍA!AB60</f>
        <v>300</v>
      </c>
      <c r="AB56" s="148">
        <f>ENERGÍA!AC60</f>
        <v>15</v>
      </c>
      <c r="AC56" s="148">
        <f>AA56*AB56/100</f>
        <v>45</v>
      </c>
      <c r="AD56" s="148">
        <f>AC56*Z56</f>
        <v>45</v>
      </c>
      <c r="AE56" s="1282"/>
    </row>
    <row r="57" spans="2:49" ht="15" customHeight="1">
      <c r="B57" s="581" t="s">
        <v>224</v>
      </c>
      <c r="C57" s="1359"/>
      <c r="D57" s="1359"/>
      <c r="E57" s="1359"/>
      <c r="F57" s="1359"/>
      <c r="G57" s="1359"/>
      <c r="H57" s="1274" t="str">
        <f t="shared" ref="H57:H60" si="9">IF(J57=0,"-","Nivel B")</f>
        <v>-</v>
      </c>
      <c r="I57" s="1274"/>
      <c r="J57" s="589">
        <f>ENERGÍA!L61</f>
        <v>0</v>
      </c>
      <c r="K57" s="589">
        <f>ENERGÍA!M61</f>
        <v>0</v>
      </c>
      <c r="L57" s="589"/>
      <c r="O57" s="176">
        <f>IF(J57=0,0,VLOOKUP(K57,adyacentem,2,FALSE))</f>
        <v>0</v>
      </c>
      <c r="P57" s="590">
        <f>P56</f>
        <v>0.9</v>
      </c>
      <c r="Q57" s="176">
        <f>Q56</f>
        <v>1</v>
      </c>
      <c r="R57" s="590">
        <f>Q57*J57</f>
        <v>0</v>
      </c>
      <c r="S57" s="590">
        <f t="shared" ref="S57:S60" si="10">IF(J57=0,0,(O57*R57))</f>
        <v>0</v>
      </c>
      <c r="T57" s="590">
        <f>Q57</f>
        <v>1</v>
      </c>
      <c r="U57" s="590">
        <f>T57*J57</f>
        <v>0</v>
      </c>
      <c r="V57" s="590">
        <f t="shared" ref="V57:V60" si="11">IF(J57=0,0,(O57*U57))</f>
        <v>0</v>
      </c>
      <c r="W57" s="590">
        <f>IF(K57=BASE!$DA$7,J57,0)</f>
        <v>0</v>
      </c>
      <c r="X57" s="580">
        <f t="shared" si="8"/>
        <v>0</v>
      </c>
      <c r="Y57" s="148" t="s">
        <v>619</v>
      </c>
      <c r="Z57" s="148">
        <f>ENERGÍA!AA61</f>
        <v>1</v>
      </c>
      <c r="AA57" s="148">
        <f>ENERGÍA!AB61</f>
        <v>310</v>
      </c>
      <c r="AB57" s="148">
        <f>ENERGÍA!AC61</f>
        <v>25</v>
      </c>
      <c r="AC57" s="148">
        <f>AA57*AB57/100</f>
        <v>77.5</v>
      </c>
      <c r="AD57" s="148">
        <f>AC57*Z57</f>
        <v>77.5</v>
      </c>
      <c r="AE57" s="1282"/>
    </row>
    <row r="58" spans="2:49" ht="15" customHeight="1">
      <c r="B58" s="581" t="s">
        <v>1516</v>
      </c>
      <c r="C58" s="1342"/>
      <c r="D58" s="1340"/>
      <c r="E58" s="1340"/>
      <c r="F58" s="1340"/>
      <c r="G58" s="1340"/>
      <c r="H58" s="1274" t="str">
        <f t="shared" si="9"/>
        <v>-</v>
      </c>
      <c r="I58" s="1274"/>
      <c r="J58" s="589">
        <f>ENERGÍA!L62</f>
        <v>0</v>
      </c>
      <c r="K58" s="589">
        <f>ENERGÍA!M62</f>
        <v>0</v>
      </c>
      <c r="L58" s="589"/>
      <c r="O58" s="176">
        <f>IF(J58=0,0,VLOOKUP(K58,adyacentem,2,FALSE))</f>
        <v>0</v>
      </c>
      <c r="P58" s="590">
        <f t="shared" ref="P58:Q60" si="12">P57</f>
        <v>0.9</v>
      </c>
      <c r="Q58" s="176">
        <f t="shared" si="12"/>
        <v>1</v>
      </c>
      <c r="R58" s="590">
        <f>Q58*J58</f>
        <v>0</v>
      </c>
      <c r="S58" s="590">
        <f t="shared" si="10"/>
        <v>0</v>
      </c>
      <c r="T58" s="590">
        <f>Q58</f>
        <v>1</v>
      </c>
      <c r="U58" s="590">
        <f>T58*J58</f>
        <v>0</v>
      </c>
      <c r="V58" s="590">
        <f t="shared" si="11"/>
        <v>0</v>
      </c>
      <c r="W58" s="590">
        <f>IF(K58=BASE!$DA$7,J58,0)</f>
        <v>0</v>
      </c>
      <c r="X58" s="580">
        <f t="shared" si="8"/>
        <v>0</v>
      </c>
      <c r="Y58" s="581"/>
    </row>
    <row r="59" spans="2:49" ht="15" customHeight="1">
      <c r="B59" s="581" t="s">
        <v>632</v>
      </c>
      <c r="C59" s="1342"/>
      <c r="D59" s="1340"/>
      <c r="E59" s="1340"/>
      <c r="F59" s="1340"/>
      <c r="G59" s="1340"/>
      <c r="H59" s="1274" t="str">
        <f t="shared" si="9"/>
        <v>-</v>
      </c>
      <c r="I59" s="1274"/>
      <c r="J59" s="589">
        <f>ENERGÍA!L63</f>
        <v>0</v>
      </c>
      <c r="K59" s="589">
        <f>ENERGÍA!M63</f>
        <v>0</v>
      </c>
      <c r="L59" s="589"/>
      <c r="O59" s="176">
        <f>IF(J59=0,0,VLOOKUP(K59,adyacentem,2,FALSE))</f>
        <v>0</v>
      </c>
      <c r="P59" s="590">
        <f t="shared" si="12"/>
        <v>0.9</v>
      </c>
      <c r="Q59" s="176">
        <f t="shared" si="12"/>
        <v>1</v>
      </c>
      <c r="R59" s="590">
        <f>Q59*J59</f>
        <v>0</v>
      </c>
      <c r="S59" s="590">
        <f t="shared" si="10"/>
        <v>0</v>
      </c>
      <c r="T59" s="590">
        <f>Q59</f>
        <v>1</v>
      </c>
      <c r="U59" s="590">
        <f>T59*J59</f>
        <v>0</v>
      </c>
      <c r="V59" s="590">
        <f t="shared" si="11"/>
        <v>0</v>
      </c>
      <c r="W59" s="590">
        <f>IF(K59=BASE!$DA$7,J59,0)</f>
        <v>0</v>
      </c>
      <c r="X59" s="580">
        <f t="shared" si="8"/>
        <v>0</v>
      </c>
      <c r="Y59" s="1377" t="s">
        <v>601</v>
      </c>
      <c r="Z59" s="1377"/>
      <c r="AA59" s="581"/>
      <c r="AB59" s="581"/>
      <c r="AC59" s="1377" t="s">
        <v>602</v>
      </c>
      <c r="AD59" s="1377"/>
      <c r="AE59" s="581"/>
      <c r="AG59" s="1378" t="s">
        <v>1054</v>
      </c>
      <c r="AH59" s="1378"/>
      <c r="AI59" s="1378"/>
      <c r="AJ59" s="1378"/>
      <c r="AK59" s="1378"/>
      <c r="AL59" s="1378"/>
      <c r="AM59" s="1378"/>
      <c r="AN59" s="1378"/>
      <c r="AO59" s="1378"/>
      <c r="AP59" s="1378"/>
      <c r="AQ59" s="1378"/>
      <c r="AR59" s="1378"/>
      <c r="AS59" s="1378"/>
      <c r="AV59" s="595" t="s">
        <v>888</v>
      </c>
      <c r="AW59" s="166">
        <v>18</v>
      </c>
    </row>
    <row r="60" spans="2:49" ht="15" customHeight="1">
      <c r="B60" s="581" t="s">
        <v>631</v>
      </c>
      <c r="C60" s="1342"/>
      <c r="D60" s="1340"/>
      <c r="E60" s="1340"/>
      <c r="F60" s="1340"/>
      <c r="G60" s="1340"/>
      <c r="H60" s="1274" t="str">
        <f t="shared" si="9"/>
        <v>-</v>
      </c>
      <c r="I60" s="1274"/>
      <c r="J60" s="589">
        <f>ENERGÍA!L64</f>
        <v>0</v>
      </c>
      <c r="K60" s="589">
        <f>ENERGÍA!M64</f>
        <v>0</v>
      </c>
      <c r="L60" s="589"/>
      <c r="O60" s="176">
        <f>IF(J60=0,0,VLOOKUP(K60,adyacentem,2,FALSE))</f>
        <v>0</v>
      </c>
      <c r="P60" s="590">
        <f t="shared" si="12"/>
        <v>0.9</v>
      </c>
      <c r="Q60" s="176">
        <f t="shared" si="12"/>
        <v>1</v>
      </c>
      <c r="R60" s="590">
        <f>Q60*J60</f>
        <v>0</v>
      </c>
      <c r="S60" s="590">
        <f t="shared" si="10"/>
        <v>0</v>
      </c>
      <c r="T60" s="590">
        <f>Q60</f>
        <v>1</v>
      </c>
      <c r="U60" s="590">
        <f>T60*J60</f>
        <v>0</v>
      </c>
      <c r="V60" s="590">
        <f t="shared" si="11"/>
        <v>0</v>
      </c>
      <c r="W60" s="590">
        <f>IF(K60=BASE!$DA$7,J60,0)</f>
        <v>0</v>
      </c>
      <c r="X60" s="580">
        <f t="shared" si="8"/>
        <v>0</v>
      </c>
      <c r="Y60" s="588" t="s">
        <v>1023</v>
      </c>
      <c r="Z60" s="175">
        <f>(AB175*365)*0.55</f>
        <v>0</v>
      </c>
      <c r="AA60" s="581"/>
      <c r="AB60" s="581"/>
      <c r="AC60" s="588" t="s">
        <v>1023</v>
      </c>
      <c r="AD60" s="175">
        <f>ENERGÍA!AE64</f>
        <v>0</v>
      </c>
      <c r="AE60" s="581"/>
      <c r="AG60" s="580" t="s">
        <v>848</v>
      </c>
      <c r="AH60" s="596" t="s">
        <v>823</v>
      </c>
      <c r="AI60" s="596" t="s">
        <v>824</v>
      </c>
      <c r="AJ60" s="596" t="s">
        <v>825</v>
      </c>
      <c r="AK60" s="226" t="s">
        <v>826</v>
      </c>
      <c r="AL60" s="226" t="s">
        <v>827</v>
      </c>
      <c r="AM60" s="226" t="s">
        <v>828</v>
      </c>
      <c r="AN60" s="226" t="s">
        <v>829</v>
      </c>
      <c r="AO60" s="226" t="s">
        <v>830</v>
      </c>
      <c r="AP60" s="226" t="s">
        <v>831</v>
      </c>
      <c r="AQ60" s="226" t="s">
        <v>832</v>
      </c>
      <c r="AR60" s="226" t="s">
        <v>833</v>
      </c>
      <c r="AS60" s="226" t="s">
        <v>834</v>
      </c>
      <c r="AV60" s="595" t="s">
        <v>889</v>
      </c>
      <c r="AW60" s="166">
        <v>24</v>
      </c>
    </row>
    <row r="61" spans="2:49" ht="6" customHeight="1">
      <c r="L61" s="126"/>
      <c r="O61" s="148"/>
      <c r="P61" s="581"/>
      <c r="Q61" s="597"/>
      <c r="R61" s="597"/>
      <c r="S61" s="597"/>
      <c r="X61" s="580">
        <f t="shared" si="8"/>
        <v>0</v>
      </c>
      <c r="Y61" s="581"/>
      <c r="Z61" s="581"/>
      <c r="AA61" s="581"/>
      <c r="AB61" s="581"/>
      <c r="AC61" s="581"/>
      <c r="AD61" s="581"/>
      <c r="AE61" s="581"/>
    </row>
    <row r="62" spans="2:49" ht="15" customHeight="1">
      <c r="B62" s="1323">
        <f>C36</f>
        <v>0</v>
      </c>
      <c r="C62" s="1323"/>
      <c r="D62" s="1323"/>
      <c r="E62" s="1323"/>
      <c r="F62" s="1323"/>
      <c r="G62" s="1323"/>
      <c r="H62" s="1323"/>
      <c r="I62" s="1323"/>
      <c r="J62" s="1323"/>
      <c r="K62" s="1323"/>
      <c r="L62" s="1323"/>
      <c r="O62" s="1320">
        <f>B62</f>
        <v>0</v>
      </c>
      <c r="P62" s="1321"/>
      <c r="Q62" s="1321"/>
      <c r="R62" s="1321"/>
      <c r="S62" s="1321"/>
      <c r="T62" s="1321"/>
      <c r="U62" s="1321"/>
      <c r="V62" s="1321"/>
      <c r="W62" s="1322"/>
      <c r="X62" s="580">
        <f t="shared" si="8"/>
        <v>0</v>
      </c>
      <c r="Y62" s="581"/>
      <c r="Z62" s="581"/>
      <c r="AA62" s="581"/>
      <c r="AB62" s="581"/>
      <c r="AC62" s="581"/>
      <c r="AD62" s="581"/>
      <c r="AE62" s="581"/>
      <c r="AG62" s="598" t="s">
        <v>1035</v>
      </c>
      <c r="AH62" s="176">
        <f>ENERGÍA!AJ66</f>
        <v>0</v>
      </c>
      <c r="AI62" s="176">
        <f>ENERGÍA!AK66</f>
        <v>0</v>
      </c>
      <c r="AJ62" s="176">
        <f>ENERGÍA!AL66</f>
        <v>0</v>
      </c>
      <c r="AK62" s="176">
        <f>ENERGÍA!AM66</f>
        <v>0</v>
      </c>
      <c r="AL62" s="176">
        <f>ENERGÍA!AN66</f>
        <v>0</v>
      </c>
      <c r="AM62" s="176">
        <f>ENERGÍA!AO66</f>
        <v>0</v>
      </c>
      <c r="AN62" s="176">
        <f>ENERGÍA!AP66</f>
        <v>0</v>
      </c>
      <c r="AO62" s="176">
        <f>ENERGÍA!AQ66</f>
        <v>0</v>
      </c>
      <c r="AP62" s="176">
        <f>ENERGÍA!AR66</f>
        <v>0</v>
      </c>
      <c r="AQ62" s="176">
        <f>ENERGÍA!AS66</f>
        <v>0</v>
      </c>
      <c r="AR62" s="176">
        <f>ENERGÍA!AT66</f>
        <v>0</v>
      </c>
      <c r="AS62" s="176">
        <f>ENERGÍA!AU66</f>
        <v>0</v>
      </c>
      <c r="AV62" s="582" t="s">
        <v>1018</v>
      </c>
      <c r="AW62" s="176">
        <v>50</v>
      </c>
    </row>
    <row r="63" spans="2:49" ht="6" customHeight="1">
      <c r="B63" s="584"/>
      <c r="C63" s="584"/>
      <c r="D63" s="584"/>
      <c r="E63" s="126"/>
      <c r="K63" s="126"/>
      <c r="L63" s="126"/>
      <c r="O63" s="580"/>
      <c r="P63" s="581"/>
      <c r="Q63" s="126"/>
      <c r="R63" s="126"/>
      <c r="V63" s="126"/>
      <c r="X63" s="580">
        <f t="shared" si="8"/>
        <v>0</v>
      </c>
      <c r="AG63" s="597"/>
      <c r="AH63" s="597"/>
      <c r="AI63" s="597"/>
      <c r="AJ63" s="597"/>
      <c r="AK63" s="597"/>
      <c r="AL63" s="597"/>
      <c r="AM63" s="597"/>
      <c r="AN63" s="597"/>
      <c r="AO63" s="597"/>
      <c r="AP63" s="597"/>
      <c r="AQ63" s="597"/>
      <c r="AR63" s="597"/>
      <c r="AS63" s="597"/>
    </row>
    <row r="64" spans="2:49" ht="15" customHeight="1">
      <c r="B64" s="1360"/>
      <c r="C64" s="1363" t="s">
        <v>222</v>
      </c>
      <c r="D64" s="1364"/>
      <c r="E64" s="1364"/>
      <c r="F64" s="1364"/>
      <c r="G64" s="1365"/>
      <c r="H64" s="1357" t="s">
        <v>1788</v>
      </c>
      <c r="I64" s="1358"/>
      <c r="J64" s="1360" t="s">
        <v>594</v>
      </c>
      <c r="K64" s="1360" t="s">
        <v>1356</v>
      </c>
      <c r="L64" s="1275" t="s">
        <v>644</v>
      </c>
      <c r="O64" s="1360" t="s">
        <v>1354</v>
      </c>
      <c r="P64" s="1360" t="s">
        <v>729</v>
      </c>
      <c r="Q64" s="1360" t="s">
        <v>849</v>
      </c>
      <c r="R64" s="1360" t="s">
        <v>850</v>
      </c>
      <c r="S64" s="1360" t="s">
        <v>1357</v>
      </c>
      <c r="T64" s="1360" t="s">
        <v>851</v>
      </c>
      <c r="U64" s="1360" t="s">
        <v>891</v>
      </c>
      <c r="V64" s="1360" t="s">
        <v>1359</v>
      </c>
      <c r="W64" s="1360" t="s">
        <v>1358</v>
      </c>
      <c r="X64" s="580">
        <f t="shared" si="8"/>
        <v>1</v>
      </c>
      <c r="Y64" s="1369" t="s">
        <v>992</v>
      </c>
      <c r="Z64" s="1370"/>
      <c r="AA64" s="1370"/>
      <c r="AB64" s="1370"/>
      <c r="AC64" s="1370"/>
      <c r="AD64" s="1371"/>
      <c r="AE64" s="1375" t="s">
        <v>1023</v>
      </c>
      <c r="AG64" s="597"/>
      <c r="AH64" s="176">
        <f>IF(AH62&lt;=$AW$60,0,AH62-$AW$60)</f>
        <v>0</v>
      </c>
      <c r="AI64" s="176">
        <f t="shared" ref="AI64:AS64" si="13">IF(AI62&lt;=$AW$60,0,AI62-$AW$60)</f>
        <v>0</v>
      </c>
      <c r="AJ64" s="176">
        <f t="shared" si="13"/>
        <v>0</v>
      </c>
      <c r="AK64" s="176">
        <f t="shared" si="13"/>
        <v>0</v>
      </c>
      <c r="AL64" s="176">
        <f t="shared" si="13"/>
        <v>0</v>
      </c>
      <c r="AM64" s="176">
        <f t="shared" si="13"/>
        <v>0</v>
      </c>
      <c r="AN64" s="176">
        <f t="shared" si="13"/>
        <v>0</v>
      </c>
      <c r="AO64" s="176">
        <f t="shared" si="13"/>
        <v>0</v>
      </c>
      <c r="AP64" s="176">
        <f t="shared" si="13"/>
        <v>0</v>
      </c>
      <c r="AQ64" s="176">
        <f t="shared" si="13"/>
        <v>0</v>
      </c>
      <c r="AR64" s="176">
        <f t="shared" si="13"/>
        <v>0</v>
      </c>
      <c r="AS64" s="176">
        <f t="shared" si="13"/>
        <v>0</v>
      </c>
      <c r="AV64" s="595" t="s">
        <v>890</v>
      </c>
      <c r="AW64" s="176">
        <f>DATOS!C26*DATOS!G29</f>
        <v>0</v>
      </c>
    </row>
    <row r="65" spans="2:49" ht="15" customHeight="1">
      <c r="B65" s="1361"/>
      <c r="C65" s="1366"/>
      <c r="D65" s="1367"/>
      <c r="E65" s="1367"/>
      <c r="F65" s="1367"/>
      <c r="G65" s="1368"/>
      <c r="H65" s="1357" t="s">
        <v>731</v>
      </c>
      <c r="I65" s="1358"/>
      <c r="J65" s="1361"/>
      <c r="K65" s="1361"/>
      <c r="L65" s="1277"/>
      <c r="O65" s="1361"/>
      <c r="P65" s="1361"/>
      <c r="Q65" s="1361"/>
      <c r="R65" s="1361"/>
      <c r="S65" s="1361"/>
      <c r="T65" s="1361"/>
      <c r="U65" s="1361"/>
      <c r="V65" s="1361"/>
      <c r="W65" s="1361"/>
      <c r="X65" s="580">
        <f t="shared" si="8"/>
        <v>0</v>
      </c>
      <c r="Y65" s="1372"/>
      <c r="Z65" s="1373"/>
      <c r="AA65" s="1373"/>
      <c r="AB65" s="1373"/>
      <c r="AC65" s="1373"/>
      <c r="AD65" s="1374"/>
      <c r="AE65" s="1376"/>
      <c r="AG65" s="597"/>
      <c r="AH65" s="597"/>
      <c r="AI65" s="597"/>
      <c r="AJ65" s="597"/>
      <c r="AK65" s="597"/>
      <c r="AL65" s="597"/>
      <c r="AM65" s="597"/>
      <c r="AN65" s="597"/>
      <c r="AO65" s="597"/>
      <c r="AP65" s="597"/>
      <c r="AQ65" s="597"/>
      <c r="AR65" s="597"/>
      <c r="AS65" s="597"/>
    </row>
    <row r="66" spans="2:49" ht="15" customHeight="1">
      <c r="B66" s="581" t="s">
        <v>223</v>
      </c>
      <c r="C66" s="1359"/>
      <c r="D66" s="1359"/>
      <c r="E66" s="1359"/>
      <c r="F66" s="1359"/>
      <c r="G66" s="1359"/>
      <c r="H66" s="1274" t="str">
        <f>IF(J66=0,"-","Nivel B")</f>
        <v>-</v>
      </c>
      <c r="I66" s="1274"/>
      <c r="J66" s="589">
        <f>ENERGÍA!L70</f>
        <v>0</v>
      </c>
      <c r="K66" s="589">
        <f>ENERGÍA!M70</f>
        <v>0</v>
      </c>
      <c r="L66" s="589"/>
      <c r="O66" s="176">
        <f>IF(J66=0,0,VLOOKUP(K66,adyacentem,2,FALSE))</f>
        <v>0</v>
      </c>
      <c r="P66" s="590">
        <f>P60</f>
        <v>0.9</v>
      </c>
      <c r="Q66" s="176">
        <f>'Materiales Personalizados'!$AV$38</f>
        <v>1</v>
      </c>
      <c r="R66" s="590">
        <f>Q66*J66</f>
        <v>0</v>
      </c>
      <c r="S66" s="590">
        <f>IF(J66=0,0,(O66*R66))</f>
        <v>0</v>
      </c>
      <c r="T66" s="590">
        <f>Q66</f>
        <v>1</v>
      </c>
      <c r="U66" s="590">
        <f>T66*J66</f>
        <v>0</v>
      </c>
      <c r="V66" s="590">
        <f>IF(J66=0,0,(O66*U66))</f>
        <v>0</v>
      </c>
      <c r="W66" s="590">
        <f>IF(K66=BASE!$DA$7,J66,0)</f>
        <v>0</v>
      </c>
      <c r="X66" s="580">
        <f t="shared" si="8"/>
        <v>0</v>
      </c>
      <c r="Y66" s="599" t="s">
        <v>1183</v>
      </c>
      <c r="Z66" s="148">
        <f>DATOS!C29</f>
        <v>0</v>
      </c>
      <c r="AA66" s="599" t="s">
        <v>1120</v>
      </c>
      <c r="AB66" s="1284">
        <f>ENERGÍA!AC70</f>
        <v>47</v>
      </c>
      <c r="AC66" s="1338"/>
      <c r="AD66" s="1285"/>
      <c r="AE66" s="175">
        <f>AB66*Z66</f>
        <v>0</v>
      </c>
      <c r="AG66" s="597"/>
      <c r="AH66" s="176">
        <f t="shared" ref="AH66:AS66" si="14">IF(AH62&lt;=$AW$59,(AH62-$AW$59)*-1,0)</f>
        <v>18</v>
      </c>
      <c r="AI66" s="176">
        <f t="shared" si="14"/>
        <v>18</v>
      </c>
      <c r="AJ66" s="176">
        <f t="shared" si="14"/>
        <v>18</v>
      </c>
      <c r="AK66" s="176">
        <f t="shared" si="14"/>
        <v>18</v>
      </c>
      <c r="AL66" s="176">
        <f t="shared" si="14"/>
        <v>18</v>
      </c>
      <c r="AM66" s="176">
        <f t="shared" si="14"/>
        <v>18</v>
      </c>
      <c r="AN66" s="176">
        <f t="shared" si="14"/>
        <v>18</v>
      </c>
      <c r="AO66" s="176">
        <f t="shared" si="14"/>
        <v>18</v>
      </c>
      <c r="AP66" s="176">
        <f t="shared" si="14"/>
        <v>18</v>
      </c>
      <c r="AQ66" s="176">
        <f t="shared" si="14"/>
        <v>18</v>
      </c>
      <c r="AR66" s="176">
        <f t="shared" si="14"/>
        <v>18</v>
      </c>
      <c r="AS66" s="176">
        <f t="shared" si="14"/>
        <v>18</v>
      </c>
    </row>
    <row r="67" spans="2:49" ht="15" customHeight="1">
      <c r="B67" s="581" t="s">
        <v>224</v>
      </c>
      <c r="C67" s="1359"/>
      <c r="D67" s="1359"/>
      <c r="E67" s="1359"/>
      <c r="F67" s="1359"/>
      <c r="G67" s="1359"/>
      <c r="H67" s="1274" t="str">
        <f t="shared" ref="H67:H70" si="15">IF(J67=0,"-","Nivel B")</f>
        <v>-</v>
      </c>
      <c r="I67" s="1274"/>
      <c r="J67" s="589">
        <f>ENERGÍA!L71</f>
        <v>0</v>
      </c>
      <c r="K67" s="589">
        <f>ENERGÍA!M71</f>
        <v>0</v>
      </c>
      <c r="L67" s="589"/>
      <c r="O67" s="176">
        <f>IF(J67=0,0,VLOOKUP(K67,adyacentem,2,FALSE))</f>
        <v>0</v>
      </c>
      <c r="P67" s="590">
        <f>P66</f>
        <v>0.9</v>
      </c>
      <c r="Q67" s="176">
        <f>Q66</f>
        <v>1</v>
      </c>
      <c r="R67" s="590">
        <f>Q67*J67</f>
        <v>0</v>
      </c>
      <c r="S67" s="590">
        <f t="shared" ref="S67:S70" si="16">IF(J67=0,0,(O67*R67))</f>
        <v>0</v>
      </c>
      <c r="T67" s="590">
        <f>Q67</f>
        <v>1</v>
      </c>
      <c r="U67" s="590">
        <f>T67*J67</f>
        <v>0</v>
      </c>
      <c r="V67" s="590">
        <f t="shared" ref="V67:V70" si="17">IF(J67=0,0,(O67*U67))</f>
        <v>0</v>
      </c>
      <c r="W67" s="590">
        <f>IF(K67=BASE!$DA$7,J67,0)</f>
        <v>0</v>
      </c>
      <c r="X67" s="580">
        <f t="shared" si="8"/>
        <v>0</v>
      </c>
      <c r="AG67" s="598" t="s">
        <v>1028</v>
      </c>
      <c r="AH67" s="176">
        <f>-(AM67-AI67)/4+AI67</f>
        <v>0</v>
      </c>
      <c r="AI67" s="176">
        <f>ENERGÍA!AK71</f>
        <v>0</v>
      </c>
      <c r="AJ67" s="176">
        <f>(AM67-AI67)/4+AI67</f>
        <v>0</v>
      </c>
      <c r="AK67" s="176">
        <f>(AN67-AI67)*2/4+AI67</f>
        <v>0</v>
      </c>
      <c r="AL67" s="176">
        <f>(AO67-AI67)*3/4+AI67</f>
        <v>0</v>
      </c>
      <c r="AM67" s="176">
        <f>ENERGÍA!AO71</f>
        <v>0</v>
      </c>
      <c r="AN67" s="176">
        <f>(AM67-AI67)/4+AM67</f>
        <v>0</v>
      </c>
      <c r="AO67" s="176">
        <f>AM67</f>
        <v>0</v>
      </c>
      <c r="AP67" s="176">
        <f>AL67</f>
        <v>0</v>
      </c>
      <c r="AQ67" s="176">
        <f>AK67</f>
        <v>0</v>
      </c>
      <c r="AR67" s="176">
        <f>AJ67</f>
        <v>0</v>
      </c>
      <c r="AS67" s="176">
        <f>ENERGÍA!AU71</f>
        <v>0</v>
      </c>
      <c r="AV67" s="582" t="s">
        <v>986</v>
      </c>
      <c r="AW67" s="148">
        <f>ENERGÍA!AY71</f>
        <v>1</v>
      </c>
    </row>
    <row r="68" spans="2:49" ht="15" customHeight="1">
      <c r="B68" s="581" t="s">
        <v>1516</v>
      </c>
      <c r="C68" s="1342"/>
      <c r="D68" s="1340"/>
      <c r="E68" s="1340"/>
      <c r="F68" s="1340"/>
      <c r="G68" s="1340"/>
      <c r="H68" s="1274" t="str">
        <f t="shared" si="15"/>
        <v>-</v>
      </c>
      <c r="I68" s="1274"/>
      <c r="J68" s="589">
        <f>ENERGÍA!L72</f>
        <v>0</v>
      </c>
      <c r="K68" s="589">
        <f>ENERGÍA!M72</f>
        <v>0</v>
      </c>
      <c r="L68" s="589"/>
      <c r="O68" s="176">
        <f>IF(J68=0,0,VLOOKUP(K68,adyacentem,2,FALSE))</f>
        <v>0</v>
      </c>
      <c r="P68" s="590">
        <f t="shared" ref="P68:Q70" si="18">P67</f>
        <v>0.9</v>
      </c>
      <c r="Q68" s="176">
        <f t="shared" si="18"/>
        <v>1</v>
      </c>
      <c r="R68" s="590">
        <f>Q68*J68</f>
        <v>0</v>
      </c>
      <c r="S68" s="590">
        <f t="shared" si="16"/>
        <v>0</v>
      </c>
      <c r="T68" s="590">
        <f>Q68</f>
        <v>1</v>
      </c>
      <c r="U68" s="590">
        <f>T68*J68</f>
        <v>0</v>
      </c>
      <c r="V68" s="590">
        <f t="shared" si="17"/>
        <v>0</v>
      </c>
      <c r="W68" s="590">
        <f>IF(K68=BASE!$DA$7,J68,0)</f>
        <v>0</v>
      </c>
      <c r="X68" s="580">
        <f t="shared" si="8"/>
        <v>0</v>
      </c>
      <c r="Y68" s="1350" t="s">
        <v>1101</v>
      </c>
      <c r="Z68" s="1350"/>
      <c r="AA68" s="1350"/>
      <c r="AB68" s="1350"/>
      <c r="AC68" s="1350"/>
      <c r="AD68" s="588" t="s">
        <v>999</v>
      </c>
      <c r="AE68" s="175" t="e">
        <f>AE70</f>
        <v>#N/A</v>
      </c>
      <c r="AG68" s="598" t="s">
        <v>1029</v>
      </c>
      <c r="AH68" s="176">
        <f t="shared" ref="AH68:AS68" si="19">(6.108*EXP((17.27*AH62)/(AH62+237.3)))*AH67/100</f>
        <v>0</v>
      </c>
      <c r="AI68" s="176">
        <f t="shared" si="19"/>
        <v>0</v>
      </c>
      <c r="AJ68" s="176">
        <f t="shared" si="19"/>
        <v>0</v>
      </c>
      <c r="AK68" s="176">
        <f t="shared" si="19"/>
        <v>0</v>
      </c>
      <c r="AL68" s="176">
        <f t="shared" si="19"/>
        <v>0</v>
      </c>
      <c r="AM68" s="176">
        <f t="shared" si="19"/>
        <v>0</v>
      </c>
      <c r="AN68" s="176">
        <f t="shared" si="19"/>
        <v>0</v>
      </c>
      <c r="AO68" s="176">
        <f t="shared" si="19"/>
        <v>0</v>
      </c>
      <c r="AP68" s="176">
        <f t="shared" si="19"/>
        <v>0</v>
      </c>
      <c r="AQ68" s="176">
        <f t="shared" si="19"/>
        <v>0</v>
      </c>
      <c r="AR68" s="176">
        <f t="shared" si="19"/>
        <v>0</v>
      </c>
      <c r="AS68" s="176">
        <f t="shared" si="19"/>
        <v>0</v>
      </c>
    </row>
    <row r="69" spans="2:49" ht="15" customHeight="1">
      <c r="B69" s="581" t="s">
        <v>632</v>
      </c>
      <c r="C69" s="1342"/>
      <c r="D69" s="1340"/>
      <c r="E69" s="1340"/>
      <c r="F69" s="1340"/>
      <c r="G69" s="1340"/>
      <c r="H69" s="1274" t="str">
        <f t="shared" si="15"/>
        <v>-</v>
      </c>
      <c r="I69" s="1274"/>
      <c r="J69" s="589">
        <f>ENERGÍA!L73</f>
        <v>0</v>
      </c>
      <c r="K69" s="589">
        <f>ENERGÍA!M73</f>
        <v>0</v>
      </c>
      <c r="L69" s="589"/>
      <c r="O69" s="176">
        <f>IF(J69=0,0,VLOOKUP(K69,adyacentem,2,FALSE))</f>
        <v>0</v>
      </c>
      <c r="P69" s="590">
        <f t="shared" si="18"/>
        <v>0.9</v>
      </c>
      <c r="Q69" s="176">
        <f t="shared" si="18"/>
        <v>1</v>
      </c>
      <c r="R69" s="590">
        <f>Q69*J69</f>
        <v>0</v>
      </c>
      <c r="S69" s="590">
        <f t="shared" si="16"/>
        <v>0</v>
      </c>
      <c r="T69" s="590">
        <f>Q69</f>
        <v>1</v>
      </c>
      <c r="U69" s="590">
        <f>T69*J69</f>
        <v>0</v>
      </c>
      <c r="V69" s="590">
        <f t="shared" si="17"/>
        <v>0</v>
      </c>
      <c r="W69" s="590">
        <f>IF(K69=BASE!$DA$7,J69,0)</f>
        <v>0</v>
      </c>
      <c r="X69" s="580">
        <f t="shared" si="8"/>
        <v>0</v>
      </c>
      <c r="Y69" s="148" t="s">
        <v>589</v>
      </c>
      <c r="Z69" s="148" t="s">
        <v>1011</v>
      </c>
      <c r="AA69" s="148" t="s">
        <v>897</v>
      </c>
      <c r="AB69" s="1273" t="s">
        <v>1017</v>
      </c>
      <c r="AC69" s="1273"/>
      <c r="AD69" s="148" t="s">
        <v>898</v>
      </c>
      <c r="AE69" s="226" t="s">
        <v>1023</v>
      </c>
      <c r="AG69" s="598" t="s">
        <v>1030</v>
      </c>
      <c r="AH69" s="176">
        <f>622*AH68/('Modelo de Radiación Solar'!$BM$11-0.37804*AH68)</f>
        <v>0</v>
      </c>
      <c r="AI69" s="176">
        <f>622*AI68/('Modelo de Radiación Solar'!$BM$11-0.37804*AI68)</f>
        <v>0</v>
      </c>
      <c r="AJ69" s="176">
        <f>622*AJ68/('Modelo de Radiación Solar'!$BM$11-0.37804*AJ68)</f>
        <v>0</v>
      </c>
      <c r="AK69" s="176">
        <f>622*AK68/('Modelo de Radiación Solar'!$BM$11-0.37804*AK68)</f>
        <v>0</v>
      </c>
      <c r="AL69" s="176">
        <f>622*AL68/('Modelo de Radiación Solar'!$BM$11-0.37804*AL68)</f>
        <v>0</v>
      </c>
      <c r="AM69" s="176">
        <f>622*AM68/('Modelo de Radiación Solar'!$BM$11-0.37804*AM68)</f>
        <v>0</v>
      </c>
      <c r="AN69" s="176">
        <f>622*AN68/('Modelo de Radiación Solar'!$BM$11-0.37804*AN68)</f>
        <v>0</v>
      </c>
      <c r="AO69" s="176">
        <f>622*AO68/('Modelo de Radiación Solar'!$BM$11-0.37804*AO68)</f>
        <v>0</v>
      </c>
      <c r="AP69" s="176">
        <f>622*AP68/('Modelo de Radiación Solar'!$BM$11-0.37804*AP68)</f>
        <v>0</v>
      </c>
      <c r="AQ69" s="176">
        <f>622*AQ68/('Modelo de Radiación Solar'!$BM$11-0.37804*AQ68)</f>
        <v>0</v>
      </c>
      <c r="AR69" s="176">
        <f>622*AR68/('Modelo de Radiación Solar'!$BM$11-0.37804*AR68)</f>
        <v>0</v>
      </c>
      <c r="AS69" s="176">
        <f>622*AS68/('Modelo de Radiación Solar'!$BM$11-0.37804*AS68)</f>
        <v>0</v>
      </c>
      <c r="AV69" s="582" t="s">
        <v>1013</v>
      </c>
      <c r="AW69" s="148">
        <f>ENERGÍA!AY73</f>
        <v>0</v>
      </c>
    </row>
    <row r="70" spans="2:49" ht="15" customHeight="1">
      <c r="B70" s="581" t="s">
        <v>631</v>
      </c>
      <c r="C70" s="1342"/>
      <c r="D70" s="1340"/>
      <c r="E70" s="1340"/>
      <c r="F70" s="1340"/>
      <c r="G70" s="1340"/>
      <c r="H70" s="1274" t="str">
        <f t="shared" si="15"/>
        <v>-</v>
      </c>
      <c r="I70" s="1274"/>
      <c r="J70" s="589">
        <f>ENERGÍA!L74</f>
        <v>0</v>
      </c>
      <c r="K70" s="589">
        <f>ENERGÍA!M74</f>
        <v>0</v>
      </c>
      <c r="L70" s="589"/>
      <c r="M70" s="126" t="s">
        <v>1786</v>
      </c>
      <c r="O70" s="176">
        <f>IF(J70=0,0,VLOOKUP(K70,adyacentem,2,FALSE))</f>
        <v>0</v>
      </c>
      <c r="P70" s="590">
        <f t="shared" si="18"/>
        <v>0.9</v>
      </c>
      <c r="Q70" s="176">
        <f t="shared" si="18"/>
        <v>1</v>
      </c>
      <c r="R70" s="590">
        <f>Q70*J70</f>
        <v>0</v>
      </c>
      <c r="S70" s="590">
        <f t="shared" si="16"/>
        <v>0</v>
      </c>
      <c r="T70" s="590">
        <f>Q70</f>
        <v>1</v>
      </c>
      <c r="U70" s="590">
        <f>T70*J70</f>
        <v>0</v>
      </c>
      <c r="V70" s="590">
        <f t="shared" si="17"/>
        <v>0</v>
      </c>
      <c r="W70" s="590">
        <f>IF(K70=BASE!$DA$7,J70,0)</f>
        <v>0</v>
      </c>
      <c r="X70" s="580">
        <f t="shared" si="8"/>
        <v>0</v>
      </c>
      <c r="Y70" s="148">
        <f>C35</f>
        <v>0</v>
      </c>
      <c r="Z70" s="176" t="e">
        <f>O35</f>
        <v>#N/A</v>
      </c>
      <c r="AA70" s="176" t="e">
        <f>'Modelo de Radiación Solar'!O148*'LINEAS BASE 6'!$AW$67</f>
        <v>#N/A</v>
      </c>
      <c r="AB70" s="1274" t="e">
        <f>1-AE103-AB27</f>
        <v>#N/A</v>
      </c>
      <c r="AC70" s="1274"/>
      <c r="AD70" s="176" t="e">
        <f>Z70*AA70</f>
        <v>#N/A</v>
      </c>
      <c r="AE70" s="1282" t="e">
        <f>AD70+AD72+AD74+AD76</f>
        <v>#N/A</v>
      </c>
      <c r="AG70" s="598" t="s">
        <v>1031</v>
      </c>
      <c r="AH70" s="176">
        <f>AH69-'LINEAS BASE 6'!$AW$79</f>
        <v>-9.2098978806022647</v>
      </c>
      <c r="AI70" s="176">
        <f>AI69-'LINEAS BASE 6'!$AW$79</f>
        <v>-9.2098978806022647</v>
      </c>
      <c r="AJ70" s="176">
        <f>AJ69-'LINEAS BASE 6'!$AW$79</f>
        <v>-9.2098978806022647</v>
      </c>
      <c r="AK70" s="176">
        <f>AK69-'LINEAS BASE 6'!$AW$79</f>
        <v>-9.2098978806022647</v>
      </c>
      <c r="AL70" s="176">
        <f>AL69-'LINEAS BASE 6'!$AW$79</f>
        <v>-9.2098978806022647</v>
      </c>
      <c r="AM70" s="176">
        <f>AM69-'LINEAS BASE 6'!$AW$79</f>
        <v>-9.2098978806022647</v>
      </c>
      <c r="AN70" s="176">
        <f>AN69-'LINEAS BASE 6'!$AW$79</f>
        <v>-9.2098978806022647</v>
      </c>
      <c r="AO70" s="176">
        <f>AO69-'LINEAS BASE 6'!$AW$79</f>
        <v>-9.2098978806022647</v>
      </c>
      <c r="AP70" s="176">
        <f>AP69-'LINEAS BASE 6'!$AW$79</f>
        <v>-9.2098978806022647</v>
      </c>
      <c r="AQ70" s="176">
        <f>AQ69-'LINEAS BASE 6'!$AW$79</f>
        <v>-9.2098978806022647</v>
      </c>
      <c r="AR70" s="176">
        <f>AR69-'LINEAS BASE 6'!$AW$79</f>
        <v>-9.2098978806022647</v>
      </c>
      <c r="AS70" s="176">
        <f>AS69-'LINEAS BASE 6'!$AW$79</f>
        <v>-9.2098978806022647</v>
      </c>
      <c r="AV70" s="582" t="s">
        <v>1014</v>
      </c>
      <c r="AW70" s="148">
        <f>ENERGÍA!AY74</f>
        <v>0</v>
      </c>
    </row>
    <row r="71" spans="2:49" ht="6" customHeight="1">
      <c r="L71" s="126"/>
      <c r="O71" s="580"/>
      <c r="P71" s="581"/>
      <c r="Q71" s="597"/>
      <c r="R71" s="597"/>
      <c r="S71" s="597"/>
      <c r="V71" s="126"/>
      <c r="X71" s="580">
        <f t="shared" si="8"/>
        <v>0</v>
      </c>
      <c r="AB71" s="597"/>
      <c r="AC71" s="597"/>
      <c r="AE71" s="1282"/>
      <c r="AG71" s="597"/>
      <c r="AH71" s="597"/>
      <c r="AI71" s="597"/>
      <c r="AJ71" s="597"/>
      <c r="AK71" s="597"/>
      <c r="AL71" s="597"/>
      <c r="AM71" s="597"/>
      <c r="AN71" s="597"/>
      <c r="AO71" s="597"/>
      <c r="AP71" s="597"/>
      <c r="AQ71" s="597"/>
      <c r="AR71" s="597"/>
      <c r="AS71" s="597"/>
    </row>
    <row r="72" spans="2:49" ht="15" customHeight="1">
      <c r="B72" s="1323">
        <f>C37</f>
        <v>0</v>
      </c>
      <c r="C72" s="1323"/>
      <c r="D72" s="1323"/>
      <c r="E72" s="1323"/>
      <c r="F72" s="1323"/>
      <c r="G72" s="1323"/>
      <c r="H72" s="1323"/>
      <c r="I72" s="1323"/>
      <c r="J72" s="1323"/>
      <c r="K72" s="1323"/>
      <c r="L72" s="1323"/>
      <c r="O72" s="1320">
        <f>B72</f>
        <v>0</v>
      </c>
      <c r="P72" s="1321"/>
      <c r="Q72" s="1321"/>
      <c r="R72" s="1321"/>
      <c r="S72" s="1321"/>
      <c r="T72" s="1321"/>
      <c r="U72" s="1321"/>
      <c r="V72" s="1321"/>
      <c r="W72" s="1322"/>
      <c r="X72" s="580">
        <f t="shared" si="8"/>
        <v>0</v>
      </c>
      <c r="Y72" s="148">
        <f>C36</f>
        <v>0</v>
      </c>
      <c r="Z72" s="176" t="e">
        <f>O36</f>
        <v>#N/A</v>
      </c>
      <c r="AA72" s="176" t="e">
        <f>'Modelo de Radiación Solar'!AD148*'LINEAS BASE 6'!$AW$67</f>
        <v>#N/A</v>
      </c>
      <c r="AB72" s="1274" t="e">
        <f>1-AE121-AB27</f>
        <v>#N/A</v>
      </c>
      <c r="AC72" s="1274"/>
      <c r="AD72" s="176" t="e">
        <f>Z72*AA72*AB72</f>
        <v>#N/A</v>
      </c>
      <c r="AE72" s="1282"/>
      <c r="AG72" s="598" t="s">
        <v>1121</v>
      </c>
      <c r="AH72" s="176">
        <v>31</v>
      </c>
      <c r="AI72" s="176">
        <v>28</v>
      </c>
      <c r="AJ72" s="176">
        <v>31</v>
      </c>
      <c r="AK72" s="176">
        <v>30</v>
      </c>
      <c r="AL72" s="176">
        <v>31</v>
      </c>
      <c r="AM72" s="176">
        <v>30</v>
      </c>
      <c r="AN72" s="176">
        <v>31</v>
      </c>
      <c r="AO72" s="176">
        <v>31</v>
      </c>
      <c r="AP72" s="176">
        <v>30</v>
      </c>
      <c r="AQ72" s="176">
        <v>31</v>
      </c>
      <c r="AR72" s="176">
        <v>30</v>
      </c>
      <c r="AS72" s="176">
        <v>31</v>
      </c>
      <c r="AV72" s="582" t="s">
        <v>1015</v>
      </c>
      <c r="AW72" s="176">
        <f>AW60</f>
        <v>24</v>
      </c>
    </row>
    <row r="73" spans="2:49" ht="6" customHeight="1">
      <c r="B73" s="584"/>
      <c r="C73" s="584"/>
      <c r="D73" s="584"/>
      <c r="E73" s="126"/>
      <c r="K73" s="126"/>
      <c r="L73" s="126"/>
      <c r="O73" s="580"/>
      <c r="P73" s="581"/>
      <c r="Q73" s="126"/>
      <c r="R73" s="126"/>
      <c r="V73" s="126"/>
      <c r="X73" s="580">
        <f t="shared" si="8"/>
        <v>0</v>
      </c>
      <c r="Y73" s="584"/>
      <c r="Z73" s="584"/>
      <c r="AB73" s="597"/>
      <c r="AC73" s="597"/>
      <c r="AE73" s="1282"/>
      <c r="AG73" s="597"/>
      <c r="AH73" s="597"/>
      <c r="AI73" s="597"/>
      <c r="AJ73" s="597"/>
      <c r="AK73" s="597"/>
      <c r="AL73" s="597"/>
      <c r="AM73" s="597"/>
      <c r="AN73" s="597"/>
      <c r="AO73" s="597"/>
      <c r="AP73" s="597"/>
      <c r="AQ73" s="597"/>
      <c r="AR73" s="597"/>
      <c r="AS73" s="597"/>
      <c r="AT73" s="173"/>
      <c r="AU73" s="173"/>
    </row>
    <row r="74" spans="2:49" ht="15" customHeight="1">
      <c r="B74" s="1360"/>
      <c r="C74" s="1363" t="s">
        <v>222</v>
      </c>
      <c r="D74" s="1364"/>
      <c r="E74" s="1364"/>
      <c r="F74" s="1364"/>
      <c r="G74" s="1365"/>
      <c r="H74" s="1357" t="s">
        <v>1788</v>
      </c>
      <c r="I74" s="1358"/>
      <c r="J74" s="1360" t="s">
        <v>594</v>
      </c>
      <c r="K74" s="1360" t="s">
        <v>1356</v>
      </c>
      <c r="L74" s="1275" t="s">
        <v>644</v>
      </c>
      <c r="O74" s="1360" t="s">
        <v>1354</v>
      </c>
      <c r="P74" s="1360" t="s">
        <v>729</v>
      </c>
      <c r="Q74" s="1360" t="s">
        <v>849</v>
      </c>
      <c r="R74" s="1360" t="s">
        <v>850</v>
      </c>
      <c r="S74" s="1360" t="s">
        <v>1357</v>
      </c>
      <c r="T74" s="1360" t="s">
        <v>851</v>
      </c>
      <c r="U74" s="1360" t="s">
        <v>891</v>
      </c>
      <c r="V74" s="1360" t="s">
        <v>1359</v>
      </c>
      <c r="W74" s="1360" t="s">
        <v>1358</v>
      </c>
      <c r="X74" s="580">
        <f t="shared" si="8"/>
        <v>1</v>
      </c>
      <c r="Y74" s="148">
        <f>C37</f>
        <v>0</v>
      </c>
      <c r="Z74" s="176" t="e">
        <f>O37</f>
        <v>#N/A</v>
      </c>
      <c r="AA74" s="176" t="e">
        <f>'Modelo de Radiación Solar'!AS148*'LINEAS BASE 6'!$AW$67</f>
        <v>#N/A</v>
      </c>
      <c r="AB74" s="1274" t="e">
        <f>1-AE139-AB27</f>
        <v>#N/A</v>
      </c>
      <c r="AC74" s="1274"/>
      <c r="AD74" s="176" t="e">
        <f>Z74*AA74*AB74</f>
        <v>#N/A</v>
      </c>
      <c r="AE74" s="1282"/>
      <c r="AG74" s="1274" t="s">
        <v>1485</v>
      </c>
      <c r="AH74" s="1274"/>
      <c r="AI74" s="1274"/>
      <c r="AJ74" s="1274"/>
      <c r="AK74" s="1274"/>
      <c r="AL74" s="1274"/>
      <c r="AM74" s="1274"/>
      <c r="AN74" s="1274"/>
      <c r="AO74" s="1274"/>
      <c r="AP74" s="1274"/>
      <c r="AQ74" s="1274"/>
      <c r="AR74" s="1274"/>
      <c r="AS74" s="1274"/>
      <c r="AV74" s="582" t="s">
        <v>1016</v>
      </c>
      <c r="AW74" s="176">
        <f>AW70-AW72</f>
        <v>-24</v>
      </c>
    </row>
    <row r="75" spans="2:49" ht="15" customHeight="1">
      <c r="B75" s="1361"/>
      <c r="C75" s="1366"/>
      <c r="D75" s="1367"/>
      <c r="E75" s="1367"/>
      <c r="F75" s="1367"/>
      <c r="G75" s="1368"/>
      <c r="H75" s="1357" t="s">
        <v>731</v>
      </c>
      <c r="I75" s="1358"/>
      <c r="J75" s="1361"/>
      <c r="K75" s="1361"/>
      <c r="L75" s="1277"/>
      <c r="O75" s="1361"/>
      <c r="P75" s="1361"/>
      <c r="Q75" s="1361"/>
      <c r="R75" s="1361"/>
      <c r="S75" s="1361"/>
      <c r="T75" s="1361"/>
      <c r="U75" s="1361"/>
      <c r="V75" s="1361"/>
      <c r="W75" s="1361"/>
      <c r="X75" s="580">
        <f t="shared" si="8"/>
        <v>0</v>
      </c>
      <c r="Y75" s="148"/>
      <c r="Z75" s="176"/>
      <c r="AA75" s="176"/>
      <c r="AB75" s="176"/>
      <c r="AC75" s="176"/>
      <c r="AD75" s="176"/>
      <c r="AE75" s="1282"/>
      <c r="AG75" s="176"/>
      <c r="AH75" s="176"/>
      <c r="AI75" s="176"/>
      <c r="AJ75" s="176"/>
      <c r="AK75" s="176"/>
      <c r="AL75" s="176"/>
      <c r="AM75" s="176"/>
      <c r="AN75" s="176"/>
      <c r="AO75" s="176"/>
      <c r="AP75" s="176"/>
      <c r="AQ75" s="176"/>
      <c r="AR75" s="176"/>
      <c r="AS75" s="176"/>
    </row>
    <row r="76" spans="2:49" ht="15" customHeight="1">
      <c r="B76" s="581" t="s">
        <v>223</v>
      </c>
      <c r="C76" s="1359"/>
      <c r="D76" s="1359"/>
      <c r="E76" s="1359"/>
      <c r="F76" s="1359"/>
      <c r="G76" s="1359"/>
      <c r="H76" s="1274" t="str">
        <f>IF(J76=0,"-","Nivel B")</f>
        <v>-</v>
      </c>
      <c r="I76" s="1274"/>
      <c r="J76" s="589">
        <f>ENERGÍA!L80</f>
        <v>0</v>
      </c>
      <c r="K76" s="589">
        <f>ENERGÍA!M80</f>
        <v>0</v>
      </c>
      <c r="L76" s="589"/>
      <c r="O76" s="176">
        <f>IF(J76=0,0,VLOOKUP(K76,adyacentem,2,FALSE))</f>
        <v>0</v>
      </c>
      <c r="P76" s="590">
        <f>P70</f>
        <v>0.9</v>
      </c>
      <c r="Q76" s="176">
        <f>'Materiales Personalizados'!$AV$38</f>
        <v>1</v>
      </c>
      <c r="R76" s="590">
        <f>Q76*J76</f>
        <v>0</v>
      </c>
      <c r="S76" s="590">
        <f>IF(J76=0,0,(O76*R76))</f>
        <v>0</v>
      </c>
      <c r="T76" s="590">
        <f>Q76</f>
        <v>1</v>
      </c>
      <c r="U76" s="590">
        <f>T76*J76</f>
        <v>0</v>
      </c>
      <c r="V76" s="590">
        <f>IF(J76=0,0,(O76*U76))</f>
        <v>0</v>
      </c>
      <c r="W76" s="590">
        <f>IF(K76=BASE!$DA$7,J76,0)</f>
        <v>0</v>
      </c>
      <c r="X76" s="580">
        <f t="shared" si="8"/>
        <v>0</v>
      </c>
      <c r="Y76" s="148">
        <f>C38</f>
        <v>0</v>
      </c>
      <c r="Z76" s="176" t="e">
        <f>O38</f>
        <v>#N/A</v>
      </c>
      <c r="AA76" s="176" t="e">
        <f>'Modelo de Radiación Solar'!BH148*'LINEAS BASE 6'!$AW$67</f>
        <v>#N/A</v>
      </c>
      <c r="AB76" s="1274" t="e">
        <f>1-AE157-AB27</f>
        <v>#N/A</v>
      </c>
      <c r="AC76" s="1274"/>
      <c r="AD76" s="176" t="e">
        <f>Z76*AA76*AB76</f>
        <v>#N/A</v>
      </c>
      <c r="AE76" s="1282"/>
      <c r="AG76" s="598">
        <f>'LINEAS BASE 6'!C35</f>
        <v>0</v>
      </c>
      <c r="AH76" s="176" t="e">
        <f>'Modelo de Radiación Solar'!D160*'LINEAS BASE 6'!$Z$70*'LINEAS BASE 6'!$AB$70</f>
        <v>#N/A</v>
      </c>
      <c r="AI76" s="176" t="e">
        <f>'Modelo de Radiación Solar'!E160*'LINEAS BASE 6'!$Z$70*'LINEAS BASE 6'!$AB$70</f>
        <v>#N/A</v>
      </c>
      <c r="AJ76" s="176" t="e">
        <f>'Modelo de Radiación Solar'!F160*'LINEAS BASE 6'!$Z$70*'LINEAS BASE 6'!$AB$70</f>
        <v>#N/A</v>
      </c>
      <c r="AK76" s="176" t="e">
        <f>'Modelo de Radiación Solar'!G160*'LINEAS BASE 6'!$Z$70*'LINEAS BASE 6'!$AB$70</f>
        <v>#N/A</v>
      </c>
      <c r="AL76" s="176" t="e">
        <f>'Modelo de Radiación Solar'!H160*'LINEAS BASE 6'!$Z$70*'LINEAS BASE 6'!$AB$70</f>
        <v>#N/A</v>
      </c>
      <c r="AM76" s="176" t="e">
        <f>'Modelo de Radiación Solar'!I160*'LINEAS BASE 6'!$Z$70*'LINEAS BASE 6'!$AB$70</f>
        <v>#N/A</v>
      </c>
      <c r="AN76" s="176" t="e">
        <f>'Modelo de Radiación Solar'!J160*'LINEAS BASE 6'!$Z$70*'LINEAS BASE 6'!$AB$70</f>
        <v>#N/A</v>
      </c>
      <c r="AO76" s="176" t="e">
        <f>'Modelo de Radiación Solar'!K160*'LINEAS BASE 6'!$Z$70*'LINEAS BASE 6'!$AB$70</f>
        <v>#N/A</v>
      </c>
      <c r="AP76" s="176" t="e">
        <f>'Modelo de Radiación Solar'!L160*'LINEAS BASE 6'!$Z$70*'LINEAS BASE 6'!$AB$70</f>
        <v>#N/A</v>
      </c>
      <c r="AQ76" s="176" t="e">
        <f>'Modelo de Radiación Solar'!M160*'LINEAS BASE 6'!$Z$70*'LINEAS BASE 6'!$AB$70</f>
        <v>#N/A</v>
      </c>
      <c r="AR76" s="176" t="e">
        <f>'Modelo de Radiación Solar'!N160*'LINEAS BASE 6'!$Z$70*'LINEAS BASE 6'!$AB$70</f>
        <v>#N/A</v>
      </c>
      <c r="AS76" s="176" t="e">
        <f>'Modelo de Radiación Solar'!O160*'LINEAS BASE 6'!$Z$70*'LINEAS BASE 6'!$AB$70</f>
        <v>#N/A</v>
      </c>
    </row>
    <row r="77" spans="2:49" ht="15" customHeight="1">
      <c r="B77" s="581" t="s">
        <v>224</v>
      </c>
      <c r="C77" s="1359"/>
      <c r="D77" s="1359"/>
      <c r="E77" s="1359"/>
      <c r="F77" s="1359"/>
      <c r="G77" s="1359"/>
      <c r="H77" s="1274" t="str">
        <f t="shared" ref="H77:H80" si="20">IF(J77=0,"-","Nivel B")</f>
        <v>-</v>
      </c>
      <c r="I77" s="1274"/>
      <c r="J77" s="589">
        <f>ENERGÍA!L81</f>
        <v>0</v>
      </c>
      <c r="K77" s="589">
        <f>ENERGÍA!M81</f>
        <v>0</v>
      </c>
      <c r="L77" s="589"/>
      <c r="O77" s="176">
        <f>IF(J77=0,0,VLOOKUP(K77,adyacentem,2,FALSE))</f>
        <v>0</v>
      </c>
      <c r="P77" s="590">
        <f>P76</f>
        <v>0.9</v>
      </c>
      <c r="Q77" s="176">
        <f>Q76</f>
        <v>1</v>
      </c>
      <c r="R77" s="590">
        <f>Q77*J77</f>
        <v>0</v>
      </c>
      <c r="S77" s="590">
        <f t="shared" ref="S77:S80" si="21">IF(J77=0,0,(O77*R77))</f>
        <v>0</v>
      </c>
      <c r="T77" s="590">
        <f>Q77</f>
        <v>1</v>
      </c>
      <c r="U77" s="590">
        <f>T77*J77</f>
        <v>0</v>
      </c>
      <c r="V77" s="590">
        <f t="shared" ref="V77:V80" si="22">IF(J77=0,0,(O77*U77))</f>
        <v>0</v>
      </c>
      <c r="W77" s="590">
        <f>IF(K77=BASE!$DA$7,J77,0)</f>
        <v>0</v>
      </c>
      <c r="X77" s="580">
        <f t="shared" si="8"/>
        <v>0</v>
      </c>
      <c r="AG77" s="598">
        <f>'LINEAS BASE 6'!C36</f>
        <v>0</v>
      </c>
      <c r="AH77" s="176" t="e">
        <f>'Modelo de Radiación Solar'!S160*'LINEAS BASE 6'!$Z$72*'LINEAS BASE 6'!$AB$72</f>
        <v>#N/A</v>
      </c>
      <c r="AI77" s="176" t="e">
        <f>'Modelo de Radiación Solar'!T160*'LINEAS BASE 6'!$Z$72*'LINEAS BASE 6'!$AB$72</f>
        <v>#N/A</v>
      </c>
      <c r="AJ77" s="176" t="e">
        <f>'Modelo de Radiación Solar'!U160*'LINEAS BASE 6'!$Z$72*'LINEAS BASE 6'!$AB$72</f>
        <v>#N/A</v>
      </c>
      <c r="AK77" s="176" t="e">
        <f>'Modelo de Radiación Solar'!V160*'LINEAS BASE 6'!$Z$72*'LINEAS BASE 6'!$AB$72</f>
        <v>#N/A</v>
      </c>
      <c r="AL77" s="176" t="e">
        <f>'Modelo de Radiación Solar'!W160*'LINEAS BASE 6'!$Z$72*'LINEAS BASE 6'!$AB$72</f>
        <v>#N/A</v>
      </c>
      <c r="AM77" s="176" t="e">
        <f>'Modelo de Radiación Solar'!X160*'LINEAS BASE 6'!$Z$72*'LINEAS BASE 6'!$AB$72</f>
        <v>#N/A</v>
      </c>
      <c r="AN77" s="176" t="e">
        <f>'Modelo de Radiación Solar'!Y160*'LINEAS BASE 6'!$Z$72*'LINEAS BASE 6'!$AB$72</f>
        <v>#N/A</v>
      </c>
      <c r="AO77" s="176" t="e">
        <f>'Modelo de Radiación Solar'!Z160*'LINEAS BASE 6'!$Z$72*'LINEAS BASE 6'!$AB$72</f>
        <v>#N/A</v>
      </c>
      <c r="AP77" s="176" t="e">
        <f>'Modelo de Radiación Solar'!AA160*'LINEAS BASE 6'!$Z$72*'LINEAS BASE 6'!$AB$72</f>
        <v>#N/A</v>
      </c>
      <c r="AQ77" s="176" t="e">
        <f>'Modelo de Radiación Solar'!AB160*'LINEAS BASE 6'!$Z$72*'LINEAS BASE 6'!$AB$72</f>
        <v>#N/A</v>
      </c>
      <c r="AR77" s="176" t="e">
        <f>'Modelo de Radiación Solar'!AC160*'LINEAS BASE 6'!$Z$72*'LINEAS BASE 6'!$AB$72</f>
        <v>#N/A</v>
      </c>
      <c r="AS77" s="176" t="e">
        <f>'Modelo de Radiación Solar'!AD160*'LINEAS BASE 6'!$Z$72*'LINEAS BASE 6'!$AB$72</f>
        <v>#N/A</v>
      </c>
      <c r="AV77" s="582" t="s">
        <v>1019</v>
      </c>
      <c r="AW77" s="148">
        <f>ENERGÍA!AY81</f>
        <v>0</v>
      </c>
    </row>
    <row r="78" spans="2:49" ht="15" customHeight="1">
      <c r="B78" s="581" t="s">
        <v>1516</v>
      </c>
      <c r="C78" s="1342"/>
      <c r="D78" s="1340"/>
      <c r="E78" s="1340"/>
      <c r="F78" s="1340"/>
      <c r="G78" s="1340"/>
      <c r="H78" s="1274" t="str">
        <f t="shared" si="20"/>
        <v>-</v>
      </c>
      <c r="I78" s="1274"/>
      <c r="J78" s="589">
        <f>ENERGÍA!L82</f>
        <v>0</v>
      </c>
      <c r="K78" s="589">
        <f>ENERGÍA!M82</f>
        <v>0</v>
      </c>
      <c r="L78" s="589"/>
      <c r="O78" s="176">
        <f>IF(J78=0,0,VLOOKUP(K78,adyacentem,2,FALSE))</f>
        <v>0</v>
      </c>
      <c r="P78" s="590">
        <f t="shared" ref="P78:Q80" si="23">P77</f>
        <v>0.9</v>
      </c>
      <c r="Q78" s="176">
        <f t="shared" si="23"/>
        <v>1</v>
      </c>
      <c r="R78" s="590">
        <f>Q78*J78</f>
        <v>0</v>
      </c>
      <c r="S78" s="590">
        <f t="shared" si="21"/>
        <v>0</v>
      </c>
      <c r="T78" s="590">
        <f>Q78</f>
        <v>1</v>
      </c>
      <c r="U78" s="590">
        <f>T78*J78</f>
        <v>0</v>
      </c>
      <c r="V78" s="590">
        <f t="shared" si="22"/>
        <v>0</v>
      </c>
      <c r="W78" s="590">
        <f>IF(K78=BASE!$DA$7,J78,0)</f>
        <v>0</v>
      </c>
      <c r="X78" s="580">
        <f t="shared" si="8"/>
        <v>0</v>
      </c>
      <c r="Y78" s="1350" t="s">
        <v>1001</v>
      </c>
      <c r="Z78" s="1350"/>
      <c r="AA78" s="1350"/>
      <c r="AB78" s="1350"/>
      <c r="AC78" s="1350"/>
      <c r="AD78" s="588" t="s">
        <v>999</v>
      </c>
      <c r="AE78" s="175">
        <f>AE92+AE82+Z60</f>
        <v>118</v>
      </c>
      <c r="AG78" s="598">
        <f>'LINEAS BASE 6'!C37</f>
        <v>0</v>
      </c>
      <c r="AH78" s="176" t="e">
        <f>'Modelo de Radiación Solar'!AH160*'LINEAS BASE 6'!$Z$74*'LINEAS BASE 6'!$AB$74</f>
        <v>#N/A</v>
      </c>
      <c r="AI78" s="176" t="e">
        <f>'Modelo de Radiación Solar'!AI160*'LINEAS BASE 6'!$Z$74*'LINEAS BASE 6'!$AB$74</f>
        <v>#N/A</v>
      </c>
      <c r="AJ78" s="176" t="e">
        <f>'Modelo de Radiación Solar'!AJ160*'LINEAS BASE 6'!$Z$74*'LINEAS BASE 6'!$AB$74</f>
        <v>#N/A</v>
      </c>
      <c r="AK78" s="176" t="e">
        <f>'Modelo de Radiación Solar'!AK160*'LINEAS BASE 6'!$Z$74*'LINEAS BASE 6'!$AB$74</f>
        <v>#N/A</v>
      </c>
      <c r="AL78" s="176" t="e">
        <f>'Modelo de Radiación Solar'!AL160*'LINEAS BASE 6'!$Z$74*'LINEAS BASE 6'!$AB$74</f>
        <v>#N/A</v>
      </c>
      <c r="AM78" s="176" t="e">
        <f>'Modelo de Radiación Solar'!AM160*'LINEAS BASE 6'!$Z$74*'LINEAS BASE 6'!$AB$74</f>
        <v>#N/A</v>
      </c>
      <c r="AN78" s="176" t="e">
        <f>'Modelo de Radiación Solar'!AN160*'LINEAS BASE 6'!$Z$74*'LINEAS BASE 6'!$AB$74</f>
        <v>#N/A</v>
      </c>
      <c r="AO78" s="176" t="e">
        <f>'Modelo de Radiación Solar'!AO160*'LINEAS BASE 6'!$Z$74*'LINEAS BASE 6'!$AB$74</f>
        <v>#N/A</v>
      </c>
      <c r="AP78" s="176" t="e">
        <f>'Modelo de Radiación Solar'!AP160*'LINEAS BASE 6'!$Z$74*'LINEAS BASE 6'!$AB$74</f>
        <v>#N/A</v>
      </c>
      <c r="AQ78" s="176" t="e">
        <f>'Modelo de Radiación Solar'!AQ160*'LINEAS BASE 6'!$Z$74*'LINEAS BASE 6'!$AB$74</f>
        <v>#N/A</v>
      </c>
      <c r="AR78" s="176" t="e">
        <f>'Modelo de Radiación Solar'!AR160*'LINEAS BASE 6'!$Z$74*'LINEAS BASE 6'!$AB$74</f>
        <v>#N/A</v>
      </c>
      <c r="AS78" s="176" t="e">
        <f>'Modelo de Radiación Solar'!AS160*'LINEAS BASE 6'!$Z$74*'LINEAS BASE 6'!$AB$74</f>
        <v>#N/A</v>
      </c>
      <c r="AV78" s="582" t="s">
        <v>1021</v>
      </c>
      <c r="AW78" s="176">
        <f>'Modelo de Radiación Solar'!BU16</f>
        <v>0</v>
      </c>
    </row>
    <row r="79" spans="2:49" ht="15" customHeight="1">
      <c r="B79" s="581" t="s">
        <v>632</v>
      </c>
      <c r="C79" s="1342"/>
      <c r="D79" s="1340"/>
      <c r="E79" s="1340"/>
      <c r="F79" s="1340"/>
      <c r="G79" s="1340"/>
      <c r="H79" s="1274" t="str">
        <f t="shared" si="20"/>
        <v>-</v>
      </c>
      <c r="I79" s="1274"/>
      <c r="J79" s="589">
        <f>ENERGÍA!L83</f>
        <v>0</v>
      </c>
      <c r="K79" s="589">
        <f>ENERGÍA!M83</f>
        <v>0</v>
      </c>
      <c r="L79" s="589"/>
      <c r="O79" s="176">
        <f>IF(J79=0,0,VLOOKUP(K79,adyacentem,2,FALSE))</f>
        <v>0</v>
      </c>
      <c r="P79" s="590">
        <f t="shared" si="23"/>
        <v>0.9</v>
      </c>
      <c r="Q79" s="176">
        <f t="shared" si="23"/>
        <v>1</v>
      </c>
      <c r="R79" s="590">
        <f>Q79*J79</f>
        <v>0</v>
      </c>
      <c r="S79" s="590">
        <f t="shared" si="21"/>
        <v>0</v>
      </c>
      <c r="T79" s="590">
        <f>Q79</f>
        <v>1</v>
      </c>
      <c r="U79" s="590">
        <f>T79*J79</f>
        <v>0</v>
      </c>
      <c r="V79" s="590">
        <f t="shared" si="22"/>
        <v>0</v>
      </c>
      <c r="W79" s="590">
        <f>IF(K79=BASE!$DA$7,J79,0)</f>
        <v>0</v>
      </c>
      <c r="X79" s="580">
        <f t="shared" si="8"/>
        <v>0</v>
      </c>
      <c r="Y79" s="1350" t="s">
        <v>994</v>
      </c>
      <c r="Z79" s="1350"/>
      <c r="AA79" s="1350"/>
      <c r="AB79" s="1350"/>
      <c r="AC79" s="1350"/>
      <c r="AD79" s="1350"/>
      <c r="AE79" s="1350"/>
      <c r="AG79" s="598">
        <f>'LINEAS BASE 6'!C38</f>
        <v>0</v>
      </c>
      <c r="AH79" s="176" t="e">
        <f>'Modelo de Radiación Solar'!AW160*'LINEAS BASE 6'!$Z$76*'LINEAS BASE 6'!$AB$76</f>
        <v>#N/A</v>
      </c>
      <c r="AI79" s="176" t="e">
        <f>'Modelo de Radiación Solar'!AX160*'LINEAS BASE 6'!$Z$76*'LINEAS BASE 6'!$AB$76</f>
        <v>#N/A</v>
      </c>
      <c r="AJ79" s="176" t="e">
        <f>'Modelo de Radiación Solar'!AY160*'LINEAS BASE 6'!$Z$76*'LINEAS BASE 6'!$AB$76</f>
        <v>#N/A</v>
      </c>
      <c r="AK79" s="176" t="e">
        <f>'Modelo de Radiación Solar'!AZ160*'LINEAS BASE 6'!$Z$76*'LINEAS BASE 6'!$AB$76</f>
        <v>#N/A</v>
      </c>
      <c r="AL79" s="176" t="e">
        <f>'Modelo de Radiación Solar'!BA160*'LINEAS BASE 6'!$Z$76*'LINEAS BASE 6'!$AB$76</f>
        <v>#N/A</v>
      </c>
      <c r="AM79" s="176" t="e">
        <f>'Modelo de Radiación Solar'!BB160*'LINEAS BASE 6'!$Z$76*'LINEAS BASE 6'!$AB$76</f>
        <v>#N/A</v>
      </c>
      <c r="AN79" s="176" t="e">
        <f>'Modelo de Radiación Solar'!BC160*'LINEAS BASE 6'!$Z$76*'LINEAS BASE 6'!$AB$76</f>
        <v>#N/A</v>
      </c>
      <c r="AO79" s="176" t="e">
        <f>'Modelo de Radiación Solar'!BD160*'LINEAS BASE 6'!$Z$76*'LINEAS BASE 6'!$AB$76</f>
        <v>#N/A</v>
      </c>
      <c r="AP79" s="176" t="e">
        <f>'Modelo de Radiación Solar'!BE160*'LINEAS BASE 6'!$Z$76*'LINEAS BASE 6'!$AB$76</f>
        <v>#N/A</v>
      </c>
      <c r="AQ79" s="176" t="e">
        <f>'Modelo de Radiación Solar'!BF160*'LINEAS BASE 6'!$Z$76*'LINEAS BASE 6'!$AB$76</f>
        <v>#N/A</v>
      </c>
      <c r="AR79" s="176" t="e">
        <f>'Modelo de Radiación Solar'!BG160*'LINEAS BASE 6'!$Z$76*'LINEAS BASE 6'!$AB$76</f>
        <v>#N/A</v>
      </c>
      <c r="AS79" s="176" t="e">
        <f>'Modelo de Radiación Solar'!BH160*'LINEAS BASE 6'!$Z$76*'LINEAS BASE 6'!$AB$76</f>
        <v>#N/A</v>
      </c>
      <c r="AV79" s="582" t="s">
        <v>1022</v>
      </c>
      <c r="AW79" s="176">
        <f>'Modelo de Radiación Solar'!BU13</f>
        <v>9.2098978806022647</v>
      </c>
    </row>
    <row r="80" spans="2:49" ht="15" customHeight="1">
      <c r="B80" s="581" t="s">
        <v>631</v>
      </c>
      <c r="C80" s="1342"/>
      <c r="D80" s="1340"/>
      <c r="E80" s="1340"/>
      <c r="F80" s="1340"/>
      <c r="G80" s="1340"/>
      <c r="H80" s="1274" t="str">
        <f t="shared" si="20"/>
        <v>-</v>
      </c>
      <c r="I80" s="1274"/>
      <c r="J80" s="589">
        <f>ENERGÍA!L84</f>
        <v>0</v>
      </c>
      <c r="K80" s="589">
        <f>ENERGÍA!M84</f>
        <v>0</v>
      </c>
      <c r="L80" s="589"/>
      <c r="O80" s="176">
        <f>IF(J80=0,0,VLOOKUP(K80,adyacentem,2,FALSE))</f>
        <v>0</v>
      </c>
      <c r="P80" s="590">
        <f t="shared" si="23"/>
        <v>0.9</v>
      </c>
      <c r="Q80" s="176">
        <f t="shared" si="23"/>
        <v>1</v>
      </c>
      <c r="R80" s="590">
        <f>Q80*J80</f>
        <v>0</v>
      </c>
      <c r="S80" s="590">
        <f t="shared" si="21"/>
        <v>0</v>
      </c>
      <c r="T80" s="590">
        <f>Q80</f>
        <v>1</v>
      </c>
      <c r="U80" s="590">
        <f>T80*J80</f>
        <v>0</v>
      </c>
      <c r="V80" s="590">
        <f t="shared" si="22"/>
        <v>0</v>
      </c>
      <c r="W80" s="590">
        <f>IF(K80=BASE!$DA$7,J80,0)</f>
        <v>0</v>
      </c>
      <c r="X80" s="580">
        <f t="shared" si="8"/>
        <v>0</v>
      </c>
      <c r="Y80" s="148"/>
      <c r="Z80" s="148" t="s">
        <v>995</v>
      </c>
      <c r="AA80" s="148" t="s">
        <v>996</v>
      </c>
      <c r="AB80" s="148" t="s">
        <v>997</v>
      </c>
      <c r="AC80" s="148" t="s">
        <v>998</v>
      </c>
      <c r="AD80" s="148" t="s">
        <v>898</v>
      </c>
      <c r="AE80" s="591" t="s">
        <v>1023</v>
      </c>
      <c r="AG80" s="600" t="s">
        <v>1032</v>
      </c>
      <c r="AH80" s="176" t="e">
        <f t="shared" ref="AH80:AS80" si="24">SUM(AH76:AH79)*$AW$67</f>
        <v>#N/A</v>
      </c>
      <c r="AI80" s="176" t="e">
        <f t="shared" si="24"/>
        <v>#N/A</v>
      </c>
      <c r="AJ80" s="176" t="e">
        <f t="shared" si="24"/>
        <v>#N/A</v>
      </c>
      <c r="AK80" s="176" t="e">
        <f t="shared" si="24"/>
        <v>#N/A</v>
      </c>
      <c r="AL80" s="176" t="e">
        <f t="shared" si="24"/>
        <v>#N/A</v>
      </c>
      <c r="AM80" s="176" t="e">
        <f t="shared" si="24"/>
        <v>#N/A</v>
      </c>
      <c r="AN80" s="176" t="e">
        <f t="shared" si="24"/>
        <v>#N/A</v>
      </c>
      <c r="AO80" s="176" t="e">
        <f t="shared" si="24"/>
        <v>#N/A</v>
      </c>
      <c r="AP80" s="176" t="e">
        <f t="shared" si="24"/>
        <v>#N/A</v>
      </c>
      <c r="AQ80" s="176" t="e">
        <f t="shared" si="24"/>
        <v>#N/A</v>
      </c>
      <c r="AR80" s="176" t="e">
        <f t="shared" si="24"/>
        <v>#N/A</v>
      </c>
      <c r="AS80" s="176" t="e">
        <f t="shared" si="24"/>
        <v>#N/A</v>
      </c>
      <c r="AV80" s="582" t="s">
        <v>1020</v>
      </c>
      <c r="AW80" s="176">
        <f>AW78-AW79</f>
        <v>-9.2098978806022647</v>
      </c>
    </row>
    <row r="81" spans="2:49" ht="6" customHeight="1">
      <c r="L81" s="126"/>
      <c r="O81" s="580"/>
      <c r="P81" s="581"/>
      <c r="Q81" s="597"/>
      <c r="R81" s="597"/>
      <c r="S81" s="597"/>
      <c r="V81" s="126"/>
      <c r="X81" s="580">
        <f t="shared" si="8"/>
        <v>0</v>
      </c>
      <c r="AG81" s="597"/>
      <c r="AH81" s="597"/>
      <c r="AI81" s="597"/>
      <c r="AJ81" s="597"/>
      <c r="AK81" s="597"/>
      <c r="AL81" s="597"/>
      <c r="AM81" s="597"/>
      <c r="AN81" s="597"/>
      <c r="AO81" s="597"/>
      <c r="AP81" s="597"/>
      <c r="AQ81" s="597"/>
      <c r="AR81" s="597"/>
      <c r="AS81" s="597"/>
    </row>
    <row r="82" spans="2:49" ht="15" customHeight="1">
      <c r="B82" s="1323">
        <f>C38</f>
        <v>0</v>
      </c>
      <c r="C82" s="1323"/>
      <c r="D82" s="1323"/>
      <c r="E82" s="1323"/>
      <c r="F82" s="1323"/>
      <c r="G82" s="1323"/>
      <c r="H82" s="1323"/>
      <c r="I82" s="1323"/>
      <c r="J82" s="1323"/>
      <c r="K82" s="1323"/>
      <c r="L82" s="1323"/>
      <c r="O82" s="1320">
        <f>B82</f>
        <v>0</v>
      </c>
      <c r="P82" s="1321"/>
      <c r="Q82" s="1321"/>
      <c r="R82" s="1321"/>
      <c r="S82" s="1321"/>
      <c r="T82" s="1321"/>
      <c r="U82" s="1321"/>
      <c r="V82" s="1321"/>
      <c r="W82" s="1322"/>
      <c r="X82" s="580">
        <f t="shared" si="8"/>
        <v>0</v>
      </c>
      <c r="Y82" s="148" t="s">
        <v>618</v>
      </c>
      <c r="Z82" s="148">
        <f>Z52</f>
        <v>0</v>
      </c>
      <c r="AA82" s="148">
        <f>ENERGÍA!AB86</f>
        <v>450</v>
      </c>
      <c r="AB82" s="148">
        <f>AB52</f>
        <v>25</v>
      </c>
      <c r="AC82" s="148">
        <f>AA82*AB82/100</f>
        <v>112.5</v>
      </c>
      <c r="AD82" s="148">
        <f>AC82*Z82</f>
        <v>0</v>
      </c>
      <c r="AE82" s="1282">
        <f>SUM(AD82:AD87)</f>
        <v>118</v>
      </c>
      <c r="AG82" s="1362" t="s">
        <v>1650</v>
      </c>
      <c r="AH82" s="1362"/>
      <c r="AI82" s="1362"/>
      <c r="AJ82" s="1362"/>
      <c r="AK82" s="1362"/>
      <c r="AL82" s="1362"/>
      <c r="AM82" s="1362"/>
      <c r="AN82" s="1362"/>
      <c r="AO82" s="1362"/>
      <c r="AP82" s="1362"/>
      <c r="AQ82" s="1362"/>
      <c r="AR82" s="1362"/>
      <c r="AS82" s="1362"/>
    </row>
    <row r="83" spans="2:49" ht="6" customHeight="1">
      <c r="B83" s="584"/>
      <c r="C83" s="584"/>
      <c r="D83" s="584"/>
      <c r="E83" s="126"/>
      <c r="K83" s="126"/>
      <c r="L83" s="126"/>
      <c r="O83" s="580"/>
      <c r="P83" s="581"/>
      <c r="Q83" s="126"/>
      <c r="R83" s="126"/>
      <c r="V83" s="126"/>
      <c r="X83" s="580">
        <f t="shared" si="8"/>
        <v>0</v>
      </c>
      <c r="AE83" s="1282"/>
    </row>
    <row r="84" spans="2:49" ht="15" customHeight="1">
      <c r="B84" s="1360"/>
      <c r="C84" s="1363" t="s">
        <v>222</v>
      </c>
      <c r="D84" s="1364"/>
      <c r="E84" s="1364"/>
      <c r="F84" s="1364"/>
      <c r="G84" s="1365"/>
      <c r="H84" s="1357" t="s">
        <v>1788</v>
      </c>
      <c r="I84" s="1358"/>
      <c r="J84" s="1360" t="s">
        <v>594</v>
      </c>
      <c r="K84" s="1360" t="s">
        <v>1356</v>
      </c>
      <c r="L84" s="1275" t="s">
        <v>644</v>
      </c>
      <c r="O84" s="1360" t="s">
        <v>1354</v>
      </c>
      <c r="P84" s="1360" t="s">
        <v>729</v>
      </c>
      <c r="Q84" s="1360" t="s">
        <v>849</v>
      </c>
      <c r="R84" s="1360" t="s">
        <v>850</v>
      </c>
      <c r="S84" s="1360" t="s">
        <v>1357</v>
      </c>
      <c r="T84" s="1360" t="s">
        <v>851</v>
      </c>
      <c r="U84" s="1360" t="s">
        <v>891</v>
      </c>
      <c r="V84" s="1360" t="s">
        <v>1359</v>
      </c>
      <c r="W84" s="1360" t="s">
        <v>1358</v>
      </c>
      <c r="X84" s="580">
        <f t="shared" si="8"/>
        <v>1</v>
      </c>
      <c r="Y84" s="148" t="s">
        <v>572</v>
      </c>
      <c r="Z84" s="148">
        <f>Z54</f>
        <v>1</v>
      </c>
      <c r="AA84" s="148">
        <f>ENERGÍA!AB88</f>
        <v>472</v>
      </c>
      <c r="AB84" s="148">
        <f>AB54</f>
        <v>25</v>
      </c>
      <c r="AC84" s="148">
        <f>AA84*AB84/100</f>
        <v>118</v>
      </c>
      <c r="AD84" s="148">
        <f>AC84*Z84</f>
        <v>118</v>
      </c>
      <c r="AE84" s="1282"/>
      <c r="AG84" s="1339" t="s">
        <v>1521</v>
      </c>
      <c r="AH84" s="1339"/>
      <c r="AI84" s="1339"/>
      <c r="AJ84" s="1339"/>
      <c r="AK84" s="1339"/>
      <c r="AL84" s="1339"/>
      <c r="AM84" s="1339"/>
      <c r="AN84" s="1339"/>
      <c r="AO84" s="1339"/>
      <c r="AP84" s="1339"/>
      <c r="AQ84" s="1339"/>
      <c r="AR84" s="1339"/>
      <c r="AS84" s="1339"/>
      <c r="AV84" s="1351" t="s">
        <v>1024</v>
      </c>
      <c r="AW84" s="1352"/>
    </row>
    <row r="85" spans="2:49" ht="15" customHeight="1">
      <c r="B85" s="1361"/>
      <c r="C85" s="1366"/>
      <c r="D85" s="1367"/>
      <c r="E85" s="1367"/>
      <c r="F85" s="1367"/>
      <c r="G85" s="1368"/>
      <c r="H85" s="1357" t="s">
        <v>731</v>
      </c>
      <c r="I85" s="1358"/>
      <c r="J85" s="1361"/>
      <c r="K85" s="1361"/>
      <c r="L85" s="1277"/>
      <c r="O85" s="1361"/>
      <c r="P85" s="1361"/>
      <c r="Q85" s="1361"/>
      <c r="R85" s="1361"/>
      <c r="S85" s="1361"/>
      <c r="T85" s="1361"/>
      <c r="U85" s="1361"/>
      <c r="V85" s="1361"/>
      <c r="W85" s="1361"/>
      <c r="X85" s="580">
        <f t="shared" si="8"/>
        <v>0</v>
      </c>
      <c r="Y85" s="148"/>
      <c r="Z85" s="148"/>
      <c r="AA85" s="148"/>
      <c r="AB85" s="148"/>
      <c r="AC85" s="148"/>
      <c r="AD85" s="148"/>
      <c r="AE85" s="1282"/>
      <c r="AG85" s="601"/>
      <c r="AH85" s="601"/>
      <c r="AI85" s="601"/>
      <c r="AJ85" s="601"/>
      <c r="AK85" s="601"/>
      <c r="AL85" s="601"/>
      <c r="AM85" s="601"/>
      <c r="AN85" s="601"/>
      <c r="AO85" s="601"/>
      <c r="AP85" s="601"/>
      <c r="AQ85" s="601"/>
      <c r="AR85" s="601"/>
      <c r="AS85" s="601"/>
      <c r="AV85" s="1353"/>
      <c r="AW85" s="1354"/>
    </row>
    <row r="86" spans="2:49" ht="15" customHeight="1">
      <c r="B86" s="581" t="s">
        <v>223</v>
      </c>
      <c r="C86" s="1359"/>
      <c r="D86" s="1359"/>
      <c r="E86" s="1359"/>
      <c r="F86" s="1359"/>
      <c r="G86" s="1359"/>
      <c r="H86" s="1274" t="str">
        <f>IF(J86=0,"-","Nivel B")</f>
        <v>-</v>
      </c>
      <c r="I86" s="1274"/>
      <c r="J86" s="589">
        <f>ENERGÍA!L90</f>
        <v>0</v>
      </c>
      <c r="K86" s="589">
        <f>ENERGÍA!M90</f>
        <v>0</v>
      </c>
      <c r="L86" s="589"/>
      <c r="O86" s="176">
        <f>IF(J86=0,0,VLOOKUP(K86,adyacentem,2,FALSE))</f>
        <v>0</v>
      </c>
      <c r="P86" s="590">
        <f>P80</f>
        <v>0.9</v>
      </c>
      <c r="Q86" s="176">
        <f>'Materiales Personalizados'!$AV$38</f>
        <v>1</v>
      </c>
      <c r="R86" s="590">
        <f>Q86*J86</f>
        <v>0</v>
      </c>
      <c r="S86" s="590">
        <f>IF(J86=0,0,(O86*R86))</f>
        <v>0</v>
      </c>
      <c r="T86" s="590">
        <f>Q86</f>
        <v>1</v>
      </c>
      <c r="U86" s="590">
        <f>T86*J86</f>
        <v>0</v>
      </c>
      <c r="V86" s="590">
        <f>IF(J86=0,0,(O86*U86))</f>
        <v>0</v>
      </c>
      <c r="W86" s="590">
        <f>IF(K86=BASE!$DA$7,J86,0)</f>
        <v>0</v>
      </c>
      <c r="X86" s="580">
        <f t="shared" si="8"/>
        <v>0</v>
      </c>
      <c r="Y86" s="148" t="s">
        <v>620</v>
      </c>
      <c r="Z86" s="148">
        <f>Z56</f>
        <v>1</v>
      </c>
      <c r="AA86" s="148">
        <f>ENERGÍA!AB90</f>
        <v>0</v>
      </c>
      <c r="AB86" s="148">
        <f>AB56</f>
        <v>15</v>
      </c>
      <c r="AC86" s="148">
        <f>AA86*AB86/100</f>
        <v>0</v>
      </c>
      <c r="AD86" s="148">
        <f>AC86*Z86</f>
        <v>0</v>
      </c>
      <c r="AE86" s="1282"/>
      <c r="AG86" s="598" t="s">
        <v>1032</v>
      </c>
      <c r="AH86" s="176" t="e">
        <f>AH80</f>
        <v>#N/A</v>
      </c>
      <c r="AI86" s="176" t="e">
        <f t="shared" ref="AI86:AS86" si="25">AI80</f>
        <v>#N/A</v>
      </c>
      <c r="AJ86" s="176" t="e">
        <f t="shared" si="25"/>
        <v>#N/A</v>
      </c>
      <c r="AK86" s="176" t="e">
        <f t="shared" si="25"/>
        <v>#N/A</v>
      </c>
      <c r="AL86" s="176" t="e">
        <f t="shared" si="25"/>
        <v>#N/A</v>
      </c>
      <c r="AM86" s="176" t="e">
        <f t="shared" si="25"/>
        <v>#N/A</v>
      </c>
      <c r="AN86" s="176" t="e">
        <f t="shared" si="25"/>
        <v>#N/A</v>
      </c>
      <c r="AO86" s="176" t="e">
        <f t="shared" si="25"/>
        <v>#N/A</v>
      </c>
      <c r="AP86" s="176" t="e">
        <f t="shared" si="25"/>
        <v>#N/A</v>
      </c>
      <c r="AQ86" s="176" t="e">
        <f t="shared" si="25"/>
        <v>#N/A</v>
      </c>
      <c r="AR86" s="176" t="e">
        <f t="shared" si="25"/>
        <v>#N/A</v>
      </c>
      <c r="AS86" s="176" t="e">
        <f t="shared" si="25"/>
        <v>#N/A</v>
      </c>
      <c r="AV86" s="1353"/>
      <c r="AW86" s="1354"/>
    </row>
    <row r="87" spans="2:49" ht="15" customHeight="1">
      <c r="B87" s="581" t="s">
        <v>224</v>
      </c>
      <c r="C87" s="1359"/>
      <c r="D87" s="1359"/>
      <c r="E87" s="1359"/>
      <c r="F87" s="1359"/>
      <c r="G87" s="1359"/>
      <c r="H87" s="1274" t="str">
        <f t="shared" ref="H87:H90" si="26">IF(J87=0,"-","Nivel B")</f>
        <v>-</v>
      </c>
      <c r="I87" s="1274"/>
      <c r="J87" s="589">
        <f>ENERGÍA!L91</f>
        <v>0</v>
      </c>
      <c r="K87" s="589">
        <f>ENERGÍA!M91</f>
        <v>0</v>
      </c>
      <c r="L87" s="589"/>
      <c r="O87" s="176">
        <f>IF(J87=0,0,VLOOKUP(K87,adyacentem,2,FALSE))</f>
        <v>0</v>
      </c>
      <c r="P87" s="590">
        <f>P86</f>
        <v>0.9</v>
      </c>
      <c r="Q87" s="176">
        <f>Q86</f>
        <v>1</v>
      </c>
      <c r="R87" s="590">
        <f>Q87*J87</f>
        <v>0</v>
      </c>
      <c r="S87" s="590">
        <f t="shared" ref="S87:S90" si="27">IF(J87=0,0,(O87*R87))</f>
        <v>0</v>
      </c>
      <c r="T87" s="590">
        <f>Q87</f>
        <v>1</v>
      </c>
      <c r="U87" s="590">
        <f>T87*J87</f>
        <v>0</v>
      </c>
      <c r="V87" s="590">
        <f t="shared" ref="V87:V90" si="28">IF(J87=0,0,(O87*U87))</f>
        <v>0</v>
      </c>
      <c r="W87" s="590">
        <f>IF(K87=BASE!$DA$7,J87,0)</f>
        <v>0</v>
      </c>
      <c r="X87" s="580">
        <f t="shared" si="8"/>
        <v>0</v>
      </c>
      <c r="Y87" s="148" t="s">
        <v>619</v>
      </c>
      <c r="Z87" s="148">
        <f>Z57</f>
        <v>1</v>
      </c>
      <c r="AA87" s="148">
        <f>ENERGÍA!AB91</f>
        <v>0</v>
      </c>
      <c r="AB87" s="148">
        <f>AB57</f>
        <v>25</v>
      </c>
      <c r="AC87" s="148">
        <f>AA87*AB87/100</f>
        <v>0</v>
      </c>
      <c r="AD87" s="148">
        <f>AC87*Z87</f>
        <v>0</v>
      </c>
      <c r="AE87" s="1282"/>
      <c r="AG87" s="581" t="s">
        <v>991</v>
      </c>
      <c r="AH87" s="580">
        <f>(AD60+AE92)*12/24</f>
        <v>0</v>
      </c>
      <c r="AI87" s="580">
        <f>AH87</f>
        <v>0</v>
      </c>
      <c r="AJ87" s="580">
        <f t="shared" ref="AJ87:AS87" si="29">AI87</f>
        <v>0</v>
      </c>
      <c r="AK87" s="580">
        <f t="shared" si="29"/>
        <v>0</v>
      </c>
      <c r="AL87" s="580">
        <f t="shared" si="29"/>
        <v>0</v>
      </c>
      <c r="AM87" s="580">
        <f t="shared" si="29"/>
        <v>0</v>
      </c>
      <c r="AN87" s="580">
        <f t="shared" si="29"/>
        <v>0</v>
      </c>
      <c r="AO87" s="580">
        <f t="shared" si="29"/>
        <v>0</v>
      </c>
      <c r="AP87" s="580">
        <f t="shared" si="29"/>
        <v>0</v>
      </c>
      <c r="AQ87" s="580">
        <f t="shared" si="29"/>
        <v>0</v>
      </c>
      <c r="AR87" s="580">
        <f t="shared" si="29"/>
        <v>0</v>
      </c>
      <c r="AS87" s="580">
        <f t="shared" si="29"/>
        <v>0</v>
      </c>
      <c r="AV87" s="1355"/>
      <c r="AW87" s="1356"/>
    </row>
    <row r="88" spans="2:49" ht="15" customHeight="1">
      <c r="B88" s="581" t="s">
        <v>1516</v>
      </c>
      <c r="C88" s="1342"/>
      <c r="D88" s="1340"/>
      <c r="E88" s="1340"/>
      <c r="F88" s="1340"/>
      <c r="G88" s="1340"/>
      <c r="H88" s="1274" t="str">
        <f t="shared" si="26"/>
        <v>-</v>
      </c>
      <c r="I88" s="1274"/>
      <c r="J88" s="589">
        <f>ENERGÍA!L92</f>
        <v>0</v>
      </c>
      <c r="K88" s="589">
        <f>ENERGÍA!M92</f>
        <v>0</v>
      </c>
      <c r="L88" s="589"/>
      <c r="O88" s="176">
        <f>IF(J88=0,0,VLOOKUP(K88,adyacentem,2,FALSE))</f>
        <v>0</v>
      </c>
      <c r="P88" s="590">
        <f t="shared" ref="P88:Q90" si="30">P87</f>
        <v>0.9</v>
      </c>
      <c r="Q88" s="176">
        <f t="shared" si="30"/>
        <v>1</v>
      </c>
      <c r="R88" s="590">
        <f>Q88*J88</f>
        <v>0</v>
      </c>
      <c r="S88" s="590">
        <f t="shared" si="27"/>
        <v>0</v>
      </c>
      <c r="T88" s="590">
        <f>Q88</f>
        <v>1</v>
      </c>
      <c r="U88" s="590">
        <f>T88*J88</f>
        <v>0</v>
      </c>
      <c r="V88" s="590">
        <f t="shared" si="28"/>
        <v>0</v>
      </c>
      <c r="W88" s="590">
        <f>IF(K88=BASE!$DA$7,J88,0)</f>
        <v>0</v>
      </c>
      <c r="X88" s="580">
        <f t="shared" si="8"/>
        <v>0</v>
      </c>
      <c r="AG88" s="581" t="s">
        <v>760</v>
      </c>
      <c r="AH88" s="590">
        <f>($AH$120*1000)/24/AH72</f>
        <v>0</v>
      </c>
      <c r="AI88" s="590">
        <f t="shared" ref="AI88:AS88" si="31">($AH$120*1000)/24/AI72</f>
        <v>0</v>
      </c>
      <c r="AJ88" s="590">
        <f t="shared" si="31"/>
        <v>0</v>
      </c>
      <c r="AK88" s="590">
        <f t="shared" si="31"/>
        <v>0</v>
      </c>
      <c r="AL88" s="590">
        <f t="shared" si="31"/>
        <v>0</v>
      </c>
      <c r="AM88" s="590">
        <f t="shared" si="31"/>
        <v>0</v>
      </c>
      <c r="AN88" s="590">
        <f t="shared" si="31"/>
        <v>0</v>
      </c>
      <c r="AO88" s="590">
        <f t="shared" si="31"/>
        <v>0</v>
      </c>
      <c r="AP88" s="590">
        <f t="shared" si="31"/>
        <v>0</v>
      </c>
      <c r="AQ88" s="590">
        <f t="shared" si="31"/>
        <v>0</v>
      </c>
      <c r="AR88" s="590">
        <f t="shared" si="31"/>
        <v>0</v>
      </c>
      <c r="AS88" s="590">
        <f t="shared" si="31"/>
        <v>0</v>
      </c>
      <c r="AV88" s="1280" t="s">
        <v>892</v>
      </c>
      <c r="AW88" s="1282" t="e">
        <f>SUM(S46:S90)+SUM(R95:R96)+SUM(AC104:AC170)</f>
        <v>#N/A</v>
      </c>
    </row>
    <row r="89" spans="2:49" ht="15" customHeight="1">
      <c r="B89" s="581" t="s">
        <v>632</v>
      </c>
      <c r="C89" s="1342"/>
      <c r="D89" s="1340"/>
      <c r="E89" s="1340"/>
      <c r="F89" s="1340"/>
      <c r="G89" s="1340"/>
      <c r="H89" s="1274" t="str">
        <f t="shared" si="26"/>
        <v>-</v>
      </c>
      <c r="I89" s="1274"/>
      <c r="J89" s="589">
        <f>ENERGÍA!L93</f>
        <v>0</v>
      </c>
      <c r="K89" s="589">
        <f>ENERGÍA!M93</f>
        <v>0</v>
      </c>
      <c r="L89" s="589"/>
      <c r="O89" s="176">
        <f>IF(J89=0,0,VLOOKUP(K89,adyacentem,2,FALSE))</f>
        <v>0</v>
      </c>
      <c r="P89" s="590">
        <f t="shared" si="30"/>
        <v>0.9</v>
      </c>
      <c r="Q89" s="176">
        <f t="shared" si="30"/>
        <v>1</v>
      </c>
      <c r="R89" s="590">
        <f>Q89*J89</f>
        <v>0</v>
      </c>
      <c r="S89" s="590">
        <f t="shared" si="27"/>
        <v>0</v>
      </c>
      <c r="T89" s="590">
        <f>Q89</f>
        <v>1</v>
      </c>
      <c r="U89" s="590">
        <f>T89*J89</f>
        <v>0</v>
      </c>
      <c r="V89" s="590">
        <f t="shared" si="28"/>
        <v>0</v>
      </c>
      <c r="W89" s="590">
        <f>IF(K89=BASE!$DA$7,J89,0)</f>
        <v>0</v>
      </c>
      <c r="X89" s="580">
        <f t="shared" si="8"/>
        <v>0</v>
      </c>
      <c r="Y89" s="1350" t="s">
        <v>992</v>
      </c>
      <c r="Z89" s="1350"/>
      <c r="AA89" s="1350"/>
      <c r="AB89" s="1350"/>
      <c r="AC89" s="1350"/>
      <c r="AD89" s="1350"/>
      <c r="AE89" s="1350"/>
      <c r="AG89" s="581" t="s">
        <v>762</v>
      </c>
      <c r="AH89" s="590">
        <f t="shared" ref="AH89:AS89" si="32">($AH$121*1000)/24/AH72</f>
        <v>95.833333333333343</v>
      </c>
      <c r="AI89" s="590">
        <f t="shared" si="32"/>
        <v>106.10119047619048</v>
      </c>
      <c r="AJ89" s="590">
        <f t="shared" si="32"/>
        <v>95.833333333333343</v>
      </c>
      <c r="AK89" s="590">
        <f t="shared" si="32"/>
        <v>99.027777777777786</v>
      </c>
      <c r="AL89" s="590">
        <f t="shared" si="32"/>
        <v>95.833333333333343</v>
      </c>
      <c r="AM89" s="590">
        <f t="shared" si="32"/>
        <v>99.027777777777786</v>
      </c>
      <c r="AN89" s="590">
        <f t="shared" si="32"/>
        <v>95.833333333333343</v>
      </c>
      <c r="AO89" s="590">
        <f t="shared" si="32"/>
        <v>95.833333333333343</v>
      </c>
      <c r="AP89" s="590">
        <f t="shared" si="32"/>
        <v>99.027777777777786</v>
      </c>
      <c r="AQ89" s="590">
        <f t="shared" si="32"/>
        <v>95.833333333333343</v>
      </c>
      <c r="AR89" s="590">
        <f t="shared" si="32"/>
        <v>99.027777777777786</v>
      </c>
      <c r="AS89" s="590">
        <f t="shared" si="32"/>
        <v>95.833333333333343</v>
      </c>
      <c r="AV89" s="1280"/>
      <c r="AW89" s="1282"/>
    </row>
    <row r="90" spans="2:49" ht="15" customHeight="1">
      <c r="B90" s="581" t="s">
        <v>631</v>
      </c>
      <c r="C90" s="1342"/>
      <c r="D90" s="1340"/>
      <c r="E90" s="1340"/>
      <c r="F90" s="1340"/>
      <c r="G90" s="1340"/>
      <c r="H90" s="1274" t="str">
        <f t="shared" si="26"/>
        <v>-</v>
      </c>
      <c r="I90" s="1274"/>
      <c r="J90" s="589">
        <f>ENERGÍA!L94</f>
        <v>0</v>
      </c>
      <c r="K90" s="589">
        <f>ENERGÍA!M94</f>
        <v>0</v>
      </c>
      <c r="L90" s="589"/>
      <c r="O90" s="176">
        <f>IF(J90=0,0,VLOOKUP(K90,adyacentem,2,FALSE))</f>
        <v>0</v>
      </c>
      <c r="P90" s="590">
        <f t="shared" si="30"/>
        <v>0.9</v>
      </c>
      <c r="Q90" s="176">
        <f t="shared" si="30"/>
        <v>1</v>
      </c>
      <c r="R90" s="590">
        <f>Q90*J90</f>
        <v>0</v>
      </c>
      <c r="S90" s="590">
        <f t="shared" si="27"/>
        <v>0</v>
      </c>
      <c r="T90" s="590">
        <f>Q90</f>
        <v>1</v>
      </c>
      <c r="U90" s="590">
        <f>T90*J90</f>
        <v>0</v>
      </c>
      <c r="V90" s="590">
        <f t="shared" si="28"/>
        <v>0</v>
      </c>
      <c r="W90" s="590">
        <f>IF(K90=BASE!$DA$7,J90,0)</f>
        <v>0</v>
      </c>
      <c r="X90" s="580">
        <f t="shared" si="8"/>
        <v>0</v>
      </c>
      <c r="Y90" s="1343" t="s">
        <v>1119</v>
      </c>
      <c r="Z90" s="1343"/>
      <c r="AA90" s="1343"/>
      <c r="AB90" s="1343" t="s">
        <v>1120</v>
      </c>
      <c r="AC90" s="1343"/>
      <c r="AD90" s="1343"/>
      <c r="AE90" s="591" t="s">
        <v>1023</v>
      </c>
      <c r="AG90" s="581" t="s">
        <v>896</v>
      </c>
      <c r="AH90" s="590" t="e">
        <f>SUM(AH86:AH89)</f>
        <v>#N/A</v>
      </c>
      <c r="AI90" s="590" t="e">
        <f t="shared" ref="AI90:AS90" si="33">SUM(AI86:AI89)</f>
        <v>#N/A</v>
      </c>
      <c r="AJ90" s="590" t="e">
        <f t="shared" si="33"/>
        <v>#N/A</v>
      </c>
      <c r="AK90" s="590" t="e">
        <f t="shared" si="33"/>
        <v>#N/A</v>
      </c>
      <c r="AL90" s="590" t="e">
        <f t="shared" si="33"/>
        <v>#N/A</v>
      </c>
      <c r="AM90" s="590" t="e">
        <f t="shared" si="33"/>
        <v>#N/A</v>
      </c>
      <c r="AN90" s="590" t="e">
        <f t="shared" si="33"/>
        <v>#N/A</v>
      </c>
      <c r="AO90" s="590" t="e">
        <f t="shared" si="33"/>
        <v>#N/A</v>
      </c>
      <c r="AP90" s="590" t="e">
        <f t="shared" si="33"/>
        <v>#N/A</v>
      </c>
      <c r="AQ90" s="590" t="e">
        <f t="shared" si="33"/>
        <v>#N/A</v>
      </c>
      <c r="AR90" s="590" t="e">
        <f t="shared" si="33"/>
        <v>#N/A</v>
      </c>
      <c r="AS90" s="590" t="e">
        <f t="shared" si="33"/>
        <v>#N/A</v>
      </c>
      <c r="AV90" s="1280" t="s">
        <v>893</v>
      </c>
      <c r="AW90" s="1282" t="e">
        <f>SUM(V46:V90)+SUM(U95:U96)+SUM(AD104:AD170)</f>
        <v>#N/A</v>
      </c>
    </row>
    <row r="91" spans="2:49" ht="6" customHeight="1">
      <c r="L91" s="126"/>
      <c r="O91" s="148"/>
      <c r="P91" s="581"/>
      <c r="Q91" s="597"/>
      <c r="R91" s="597"/>
      <c r="S91" s="597"/>
      <c r="AV91" s="1280"/>
      <c r="AW91" s="1282"/>
    </row>
    <row r="92" spans="2:49" ht="15" customHeight="1">
      <c r="B92" s="1323" t="s">
        <v>593</v>
      </c>
      <c r="C92" s="1323"/>
      <c r="D92" s="1323"/>
      <c r="E92" s="1323"/>
      <c r="F92" s="1323"/>
      <c r="G92" s="1323"/>
      <c r="H92" s="1323"/>
      <c r="I92" s="1323"/>
      <c r="J92" s="1323"/>
      <c r="K92" s="1323"/>
      <c r="L92" s="1323"/>
      <c r="O92" s="1320" t="s">
        <v>593</v>
      </c>
      <c r="P92" s="1321"/>
      <c r="Q92" s="1321"/>
      <c r="R92" s="1321"/>
      <c r="S92" s="1321"/>
      <c r="T92" s="1321"/>
      <c r="U92" s="1321"/>
      <c r="V92" s="1321"/>
      <c r="W92" s="1322"/>
      <c r="Y92" s="1273">
        <f>Z66</f>
        <v>0</v>
      </c>
      <c r="Z92" s="1273"/>
      <c r="AA92" s="1273"/>
      <c r="AB92" s="1273">
        <f>ENERGÍA!AC96</f>
        <v>39</v>
      </c>
      <c r="AC92" s="1273"/>
      <c r="AD92" s="1273"/>
      <c r="AE92" s="226">
        <f>AB92*Y92</f>
        <v>0</v>
      </c>
      <c r="AG92" s="1339" t="s">
        <v>1487</v>
      </c>
      <c r="AH92" s="1339"/>
      <c r="AI92" s="1339"/>
      <c r="AJ92" s="1339"/>
      <c r="AK92" s="1339"/>
      <c r="AL92" s="1339"/>
      <c r="AM92" s="1339"/>
      <c r="AN92" s="1339"/>
      <c r="AO92" s="1339"/>
      <c r="AP92" s="1339"/>
      <c r="AQ92" s="1339"/>
      <c r="AR92" s="1339"/>
      <c r="AS92" s="1339"/>
    </row>
    <row r="93" spans="2:49" ht="6" customHeight="1">
      <c r="B93" s="584"/>
      <c r="C93" s="584"/>
      <c r="D93" s="584"/>
      <c r="E93" s="126"/>
      <c r="L93" s="126"/>
      <c r="O93" s="148"/>
      <c r="P93" s="581"/>
      <c r="Q93" s="126"/>
      <c r="R93" s="126"/>
    </row>
    <row r="94" spans="2:49" ht="15" customHeight="1">
      <c r="B94" s="584"/>
      <c r="C94" s="1273" t="s">
        <v>222</v>
      </c>
      <c r="D94" s="1273"/>
      <c r="E94" s="1273"/>
      <c r="F94" s="1273"/>
      <c r="G94" s="1273"/>
      <c r="H94" s="1273"/>
      <c r="I94" s="1273"/>
      <c r="J94" s="1273"/>
      <c r="K94" s="148" t="s">
        <v>594</v>
      </c>
      <c r="L94" s="166" t="s">
        <v>1356</v>
      </c>
      <c r="O94" s="166" t="s">
        <v>1354</v>
      </c>
      <c r="P94" s="166" t="s">
        <v>849</v>
      </c>
      <c r="Q94" s="166" t="s">
        <v>850</v>
      </c>
      <c r="R94" s="166" t="s">
        <v>1357</v>
      </c>
      <c r="S94" s="166" t="s">
        <v>851</v>
      </c>
      <c r="T94" s="166" t="s">
        <v>891</v>
      </c>
      <c r="U94" s="166" t="s">
        <v>1359</v>
      </c>
      <c r="V94" s="148"/>
      <c r="Y94" s="1341" t="s">
        <v>1053</v>
      </c>
      <c r="Z94" s="1341"/>
      <c r="AA94" s="1341"/>
      <c r="AB94" s="1341"/>
      <c r="AC94" s="1341"/>
      <c r="AD94" s="1341"/>
      <c r="AE94" s="175" t="e">
        <f>AE78+AE47+AE68+AE42</f>
        <v>#N/A</v>
      </c>
      <c r="AG94" s="581" t="s">
        <v>219</v>
      </c>
      <c r="AH94" s="590" t="e">
        <f>IF(AH62&gt;=18,$AW$90,$AW$88)</f>
        <v>#N/A</v>
      </c>
      <c r="AI94" s="590" t="e">
        <f t="shared" ref="AI94:AS94" si="34">IF(AI62&gt;=18,$AW$90,$AW$88)</f>
        <v>#N/A</v>
      </c>
      <c r="AJ94" s="590" t="e">
        <f t="shared" si="34"/>
        <v>#N/A</v>
      </c>
      <c r="AK94" s="590" t="e">
        <f t="shared" si="34"/>
        <v>#N/A</v>
      </c>
      <c r="AL94" s="590" t="e">
        <f t="shared" si="34"/>
        <v>#N/A</v>
      </c>
      <c r="AM94" s="590" t="e">
        <f t="shared" si="34"/>
        <v>#N/A</v>
      </c>
      <c r="AN94" s="590" t="e">
        <f t="shared" si="34"/>
        <v>#N/A</v>
      </c>
      <c r="AO94" s="590" t="e">
        <f t="shared" si="34"/>
        <v>#N/A</v>
      </c>
      <c r="AP94" s="590" t="e">
        <f t="shared" si="34"/>
        <v>#N/A</v>
      </c>
      <c r="AQ94" s="590" t="e">
        <f t="shared" si="34"/>
        <v>#N/A</v>
      </c>
      <c r="AR94" s="590" t="e">
        <f t="shared" si="34"/>
        <v>#N/A</v>
      </c>
      <c r="AS94" s="590" t="e">
        <f t="shared" si="34"/>
        <v>#N/A</v>
      </c>
      <c r="AV94" s="1273" t="s">
        <v>1025</v>
      </c>
      <c r="AW94" s="1273"/>
    </row>
    <row r="95" spans="2:49" ht="15" customHeight="1">
      <c r="B95" s="581" t="s">
        <v>595</v>
      </c>
      <c r="C95" s="1340"/>
      <c r="D95" s="1340"/>
      <c r="E95" s="1340"/>
      <c r="F95" s="1340"/>
      <c r="G95" s="1340"/>
      <c r="H95" s="1340"/>
      <c r="I95" s="1340"/>
      <c r="J95" s="1340"/>
      <c r="K95" s="589">
        <f>ENERGÍA!M99</f>
        <v>0</v>
      </c>
      <c r="L95" s="589">
        <f>ENERGÍA!N99</f>
        <v>0</v>
      </c>
      <c r="O95" s="176">
        <f>IF(K95=0,0,VLOOKUP(L95,adyacentem,2,FALSE))</f>
        <v>0</v>
      </c>
      <c r="P95" s="176">
        <f>'Materiales Personalizados'!AA6</f>
        <v>1</v>
      </c>
      <c r="Q95" s="590">
        <f>P95*K95</f>
        <v>0</v>
      </c>
      <c r="R95" s="580">
        <f>Q95*O95</f>
        <v>0</v>
      </c>
      <c r="S95" s="590">
        <f>P95</f>
        <v>1</v>
      </c>
      <c r="T95" s="590">
        <f>S95*K95</f>
        <v>0</v>
      </c>
      <c r="U95" s="148">
        <f>T95*O95</f>
        <v>0</v>
      </c>
      <c r="V95" s="148"/>
      <c r="AG95" s="581" t="s">
        <v>1528</v>
      </c>
      <c r="AH95" s="580">
        <f>AJ52</f>
        <v>0</v>
      </c>
      <c r="AI95" s="580">
        <f>AH95</f>
        <v>0</v>
      </c>
      <c r="AJ95" s="580">
        <f t="shared" ref="AJ95:AS96" si="35">AI95</f>
        <v>0</v>
      </c>
      <c r="AK95" s="580">
        <f t="shared" si="35"/>
        <v>0</v>
      </c>
      <c r="AL95" s="580">
        <f t="shared" si="35"/>
        <v>0</v>
      </c>
      <c r="AM95" s="580">
        <f t="shared" si="35"/>
        <v>0</v>
      </c>
      <c r="AN95" s="580">
        <f t="shared" si="35"/>
        <v>0</v>
      </c>
      <c r="AO95" s="580">
        <f t="shared" si="35"/>
        <v>0</v>
      </c>
      <c r="AP95" s="580">
        <f t="shared" si="35"/>
        <v>0</v>
      </c>
      <c r="AQ95" s="580">
        <f t="shared" si="35"/>
        <v>0</v>
      </c>
      <c r="AR95" s="580">
        <f t="shared" si="35"/>
        <v>0</v>
      </c>
      <c r="AS95" s="580">
        <f t="shared" si="35"/>
        <v>0</v>
      </c>
      <c r="AU95" s="580" t="str">
        <f>'BASE DE DATOS'!HA59</f>
        <v>Si</v>
      </c>
      <c r="AV95" s="1273"/>
      <c r="AW95" s="1273"/>
    </row>
    <row r="96" spans="2:49" ht="15" customHeight="1">
      <c r="B96" s="581" t="s">
        <v>1517</v>
      </c>
      <c r="C96" s="1340"/>
      <c r="D96" s="1340"/>
      <c r="E96" s="1340"/>
      <c r="F96" s="1340"/>
      <c r="G96" s="1340"/>
      <c r="H96" s="1340"/>
      <c r="I96" s="1340"/>
      <c r="J96" s="1340"/>
      <c r="K96" s="589">
        <f>ENERGÍA!M102</f>
        <v>0</v>
      </c>
      <c r="L96" s="589">
        <f>ENERGÍA!N102</f>
        <v>0</v>
      </c>
      <c r="O96" s="176">
        <f>IF(K96=0,0,VLOOKUP(L96,adyacentem,2,FALSE))</f>
        <v>0</v>
      </c>
      <c r="P96" s="176">
        <f>P95</f>
        <v>1</v>
      </c>
      <c r="Q96" s="590">
        <f>P96*K96</f>
        <v>0</v>
      </c>
      <c r="R96" s="580">
        <f>Q96*O96</f>
        <v>0</v>
      </c>
      <c r="S96" s="590">
        <f>P96</f>
        <v>1</v>
      </c>
      <c r="T96" s="590">
        <f>S96*K96</f>
        <v>0</v>
      </c>
      <c r="U96" s="148">
        <f>T96*O96</f>
        <v>0</v>
      </c>
      <c r="V96" s="148"/>
      <c r="AG96" s="581" t="s">
        <v>1486</v>
      </c>
      <c r="AH96" s="580" t="e">
        <f>AH54</f>
        <v>#DIV/0!</v>
      </c>
      <c r="AI96" s="580" t="e">
        <f>AH96</f>
        <v>#DIV/0!</v>
      </c>
      <c r="AJ96" s="580" t="e">
        <f t="shared" si="35"/>
        <v>#DIV/0!</v>
      </c>
      <c r="AK96" s="580" t="e">
        <f t="shared" si="35"/>
        <v>#DIV/0!</v>
      </c>
      <c r="AL96" s="580" t="e">
        <f t="shared" si="35"/>
        <v>#DIV/0!</v>
      </c>
      <c r="AM96" s="580" t="e">
        <f t="shared" si="35"/>
        <v>#DIV/0!</v>
      </c>
      <c r="AN96" s="580" t="e">
        <f t="shared" si="35"/>
        <v>#DIV/0!</v>
      </c>
      <c r="AO96" s="580" t="e">
        <f t="shared" si="35"/>
        <v>#DIV/0!</v>
      </c>
      <c r="AP96" s="580" t="e">
        <f t="shared" si="35"/>
        <v>#DIV/0!</v>
      </c>
      <c r="AQ96" s="580" t="e">
        <f t="shared" si="35"/>
        <v>#DIV/0!</v>
      </c>
      <c r="AR96" s="580" t="e">
        <f t="shared" si="35"/>
        <v>#DIV/0!</v>
      </c>
      <c r="AS96" s="580" t="e">
        <f t="shared" si="35"/>
        <v>#DIV/0!</v>
      </c>
      <c r="AU96" s="580" t="s">
        <v>1816</v>
      </c>
      <c r="AV96" s="148" t="s">
        <v>233</v>
      </c>
      <c r="AW96" s="176" t="e">
        <f>IF(AU95="Si",(AW88/AW64)-((AW88/AW64)*0.05),AW88/AW64)</f>
        <v>#N/A</v>
      </c>
    </row>
    <row r="97" spans="2:50" ht="6" customHeight="1">
      <c r="D97" s="126"/>
      <c r="E97" s="126"/>
      <c r="L97" s="126"/>
      <c r="O97" s="148"/>
      <c r="P97" s="581"/>
      <c r="Q97" s="126"/>
      <c r="R97" s="126"/>
      <c r="V97" s="148"/>
      <c r="X97" s="126"/>
    </row>
    <row r="98" spans="2:50" ht="15" customHeight="1">
      <c r="B98" s="1283" t="s">
        <v>645</v>
      </c>
      <c r="C98" s="1283"/>
      <c r="D98" s="1283"/>
      <c r="E98" s="1283"/>
      <c r="F98" s="1283"/>
      <c r="G98" s="1283"/>
      <c r="H98" s="1283"/>
      <c r="I98" s="1283"/>
      <c r="J98" s="1283"/>
      <c r="K98" s="1283"/>
      <c r="L98" s="1283"/>
      <c r="O98" s="1317" t="s">
        <v>645</v>
      </c>
      <c r="P98" s="1318"/>
      <c r="Q98" s="1318"/>
      <c r="R98" s="1318"/>
      <c r="S98" s="1318"/>
      <c r="T98" s="1318"/>
      <c r="U98" s="1318"/>
      <c r="V98" s="1318"/>
      <c r="W98" s="1318"/>
      <c r="X98" s="1318"/>
      <c r="Y98" s="1318"/>
      <c r="Z98" s="1318"/>
      <c r="AA98" s="1318"/>
      <c r="AB98" s="1318"/>
      <c r="AC98" s="1318"/>
      <c r="AD98" s="1318"/>
      <c r="AE98" s="1319"/>
      <c r="AG98" s="581" t="s">
        <v>1524</v>
      </c>
      <c r="AH98" s="590" t="e">
        <f>AH94-(AH94*AH95)+(AH94*AH96)</f>
        <v>#N/A</v>
      </c>
      <c r="AI98" s="590" t="e">
        <f t="shared" ref="AI98:AS98" si="36">AI94-(AI94*AI95)+(AI94*AI96)</f>
        <v>#N/A</v>
      </c>
      <c r="AJ98" s="590" t="e">
        <f t="shared" si="36"/>
        <v>#N/A</v>
      </c>
      <c r="AK98" s="590" t="e">
        <f t="shared" si="36"/>
        <v>#N/A</v>
      </c>
      <c r="AL98" s="590" t="e">
        <f t="shared" si="36"/>
        <v>#N/A</v>
      </c>
      <c r="AM98" s="590" t="e">
        <f t="shared" si="36"/>
        <v>#N/A</v>
      </c>
      <c r="AN98" s="590" t="e">
        <f t="shared" si="36"/>
        <v>#N/A</v>
      </c>
      <c r="AO98" s="590" t="e">
        <f t="shared" si="36"/>
        <v>#N/A</v>
      </c>
      <c r="AP98" s="590" t="e">
        <f t="shared" si="36"/>
        <v>#N/A</v>
      </c>
      <c r="AQ98" s="590" t="e">
        <f t="shared" si="36"/>
        <v>#N/A</v>
      </c>
      <c r="AR98" s="590" t="e">
        <f t="shared" si="36"/>
        <v>#N/A</v>
      </c>
      <c r="AS98" s="590" t="e">
        <f t="shared" si="36"/>
        <v>#N/A</v>
      </c>
      <c r="AT98" s="173"/>
      <c r="AU98" s="173"/>
      <c r="AV98" s="148" t="s">
        <v>235</v>
      </c>
      <c r="AW98" s="176" t="e">
        <f>AE94/AW64</f>
        <v>#N/A</v>
      </c>
    </row>
    <row r="99" spans="2:50" ht="6" customHeight="1">
      <c r="L99" s="126"/>
      <c r="O99" s="148"/>
      <c r="P99" s="581"/>
      <c r="Q99" s="126"/>
      <c r="R99" s="126"/>
      <c r="V99" s="148"/>
      <c r="X99" s="126"/>
      <c r="AG99" s="581"/>
      <c r="AH99" s="580"/>
      <c r="AI99" s="580"/>
      <c r="AJ99" s="580"/>
      <c r="AK99" s="580"/>
      <c r="AL99" s="580"/>
      <c r="AM99" s="580"/>
      <c r="AN99" s="580"/>
      <c r="AO99" s="580"/>
      <c r="AP99" s="580"/>
      <c r="AQ99" s="580"/>
      <c r="AR99" s="580"/>
      <c r="AS99" s="580"/>
    </row>
    <row r="100" spans="2:50" s="159" customFormat="1" ht="15" customHeight="1">
      <c r="B100" s="1273">
        <f>C35</f>
        <v>0</v>
      </c>
      <c r="C100" s="1273"/>
      <c r="D100" s="1273"/>
      <c r="E100" s="1273"/>
      <c r="F100" s="1273"/>
      <c r="G100" s="1273"/>
      <c r="H100" s="1273"/>
      <c r="I100" s="1273"/>
      <c r="J100" s="1273"/>
      <c r="K100" s="1273"/>
      <c r="L100" s="1273"/>
      <c r="M100" s="126"/>
      <c r="N100" s="126"/>
      <c r="O100" s="1284">
        <f>B100</f>
        <v>0</v>
      </c>
      <c r="P100" s="1338"/>
      <c r="Q100" s="1338"/>
      <c r="R100" s="1338"/>
      <c r="S100" s="1338"/>
      <c r="T100" s="1338"/>
      <c r="U100" s="1338"/>
      <c r="V100" s="1338"/>
      <c r="W100" s="1338"/>
      <c r="X100" s="1338"/>
      <c r="Y100" s="1338"/>
      <c r="Z100" s="1338"/>
      <c r="AA100" s="1338"/>
      <c r="AB100" s="1338"/>
      <c r="AC100" s="1338"/>
      <c r="AD100" s="1338"/>
      <c r="AE100" s="1285"/>
      <c r="AG100" s="581" t="s">
        <v>1034</v>
      </c>
      <c r="AH100" s="175">
        <f>Z60</f>
        <v>0</v>
      </c>
      <c r="AI100" s="175">
        <f>AH100</f>
        <v>0</v>
      </c>
      <c r="AJ100" s="175">
        <f t="shared" ref="AJ100:AS100" si="37">AI100</f>
        <v>0</v>
      </c>
      <c r="AK100" s="175">
        <f t="shared" si="37"/>
        <v>0</v>
      </c>
      <c r="AL100" s="175">
        <f t="shared" si="37"/>
        <v>0</v>
      </c>
      <c r="AM100" s="175">
        <f t="shared" si="37"/>
        <v>0</v>
      </c>
      <c r="AN100" s="175">
        <f t="shared" si="37"/>
        <v>0</v>
      </c>
      <c r="AO100" s="175">
        <f t="shared" si="37"/>
        <v>0</v>
      </c>
      <c r="AP100" s="175">
        <f t="shared" si="37"/>
        <v>0</v>
      </c>
      <c r="AQ100" s="175">
        <f t="shared" si="37"/>
        <v>0</v>
      </c>
      <c r="AR100" s="175">
        <f t="shared" si="37"/>
        <v>0</v>
      </c>
      <c r="AS100" s="175">
        <f t="shared" si="37"/>
        <v>0</v>
      </c>
      <c r="AX100" s="126"/>
    </row>
    <row r="101" spans="2:50" ht="6" customHeight="1">
      <c r="L101" s="126"/>
      <c r="V101" s="148"/>
      <c r="AA101" s="580"/>
    </row>
    <row r="102" spans="2:50" ht="15" customHeight="1">
      <c r="B102" s="1273"/>
      <c r="C102" s="1323" t="s">
        <v>1184</v>
      </c>
      <c r="D102" s="1323"/>
      <c r="E102" s="1323"/>
      <c r="F102" s="1323" t="s">
        <v>1188</v>
      </c>
      <c r="G102" s="1323"/>
      <c r="H102" s="1323" t="s">
        <v>1203</v>
      </c>
      <c r="I102" s="1323"/>
      <c r="J102" s="1281" t="s">
        <v>790</v>
      </c>
      <c r="K102" s="1281" t="s">
        <v>1136</v>
      </c>
      <c r="L102" s="1281"/>
      <c r="O102" s="580" t="s">
        <v>1651</v>
      </c>
      <c r="P102" s="1281" t="s">
        <v>1064</v>
      </c>
      <c r="Q102" s="580" t="s">
        <v>1652</v>
      </c>
      <c r="R102" s="1273" t="s">
        <v>1191</v>
      </c>
      <c r="S102" s="580" t="s">
        <v>1190</v>
      </c>
      <c r="T102" s="1273" t="s">
        <v>1192</v>
      </c>
      <c r="U102" s="1323" t="s">
        <v>1653</v>
      </c>
      <c r="V102" s="1323"/>
      <c r="W102" s="580" t="s">
        <v>1654</v>
      </c>
      <c r="X102" s="1273" t="s">
        <v>1403</v>
      </c>
      <c r="Y102" s="1273" t="s">
        <v>1404</v>
      </c>
      <c r="Z102" s="1273" t="s">
        <v>1210</v>
      </c>
      <c r="AA102" s="1273" t="s">
        <v>1201</v>
      </c>
      <c r="AB102" s="1273" t="s">
        <v>1202</v>
      </c>
      <c r="AC102" s="1281" t="s">
        <v>850</v>
      </c>
      <c r="AD102" s="1281" t="str">
        <f>AC102</f>
        <v>W/K Inv</v>
      </c>
      <c r="AE102" s="226" t="s">
        <v>1017</v>
      </c>
      <c r="AG102" s="581" t="s">
        <v>1525</v>
      </c>
      <c r="AH102" s="590" t="e">
        <f>AH98+AH100</f>
        <v>#N/A</v>
      </c>
      <c r="AI102" s="590" t="e">
        <f t="shared" ref="AI102:AS102" si="38">AI98+AI100</f>
        <v>#N/A</v>
      </c>
      <c r="AJ102" s="590" t="e">
        <f t="shared" si="38"/>
        <v>#N/A</v>
      </c>
      <c r="AK102" s="590" t="e">
        <f t="shared" si="38"/>
        <v>#N/A</v>
      </c>
      <c r="AL102" s="590" t="e">
        <f t="shared" si="38"/>
        <v>#N/A</v>
      </c>
      <c r="AM102" s="590" t="e">
        <f t="shared" si="38"/>
        <v>#N/A</v>
      </c>
      <c r="AN102" s="590" t="e">
        <f t="shared" si="38"/>
        <v>#N/A</v>
      </c>
      <c r="AO102" s="590" t="e">
        <f t="shared" si="38"/>
        <v>#N/A</v>
      </c>
      <c r="AP102" s="590" t="e">
        <f t="shared" si="38"/>
        <v>#N/A</v>
      </c>
      <c r="AQ102" s="590" t="e">
        <f t="shared" si="38"/>
        <v>#N/A</v>
      </c>
      <c r="AR102" s="590" t="e">
        <f t="shared" si="38"/>
        <v>#N/A</v>
      </c>
      <c r="AS102" s="590" t="e">
        <f t="shared" si="38"/>
        <v>#N/A</v>
      </c>
    </row>
    <row r="103" spans="2:50" ht="15" customHeight="1">
      <c r="B103" s="1273"/>
      <c r="C103" s="148" t="s">
        <v>623</v>
      </c>
      <c r="D103" s="580" t="s">
        <v>1185</v>
      </c>
      <c r="E103" s="580" t="s">
        <v>1186</v>
      </c>
      <c r="F103" s="580" t="s">
        <v>623</v>
      </c>
      <c r="G103" s="580" t="s">
        <v>1189</v>
      </c>
      <c r="H103" s="580" t="s">
        <v>757</v>
      </c>
      <c r="I103" s="580" t="s">
        <v>650</v>
      </c>
      <c r="J103" s="1281"/>
      <c r="K103" s="166" t="s">
        <v>623</v>
      </c>
      <c r="L103" s="602" t="s">
        <v>1122</v>
      </c>
      <c r="O103" s="580" t="s">
        <v>1187</v>
      </c>
      <c r="P103" s="1281"/>
      <c r="Q103" s="580" t="s">
        <v>1187</v>
      </c>
      <c r="R103" s="1273"/>
      <c r="S103" s="580" t="s">
        <v>18</v>
      </c>
      <c r="T103" s="1273"/>
      <c r="U103" s="580" t="s">
        <v>1199</v>
      </c>
      <c r="V103" s="148" t="s">
        <v>1200</v>
      </c>
      <c r="W103" s="176" t="s">
        <v>1187</v>
      </c>
      <c r="X103" s="1273"/>
      <c r="Y103" s="1273"/>
      <c r="Z103" s="1273"/>
      <c r="AA103" s="1273"/>
      <c r="AB103" s="1273"/>
      <c r="AC103" s="1281"/>
      <c r="AD103" s="1281"/>
      <c r="AE103" s="603" t="e">
        <f>Q35</f>
        <v>#N/A</v>
      </c>
    </row>
    <row r="104" spans="2:50" ht="15" customHeight="1">
      <c r="B104" s="581" t="s">
        <v>225</v>
      </c>
      <c r="C104" s="604"/>
      <c r="D104" s="604"/>
      <c r="E104" s="604"/>
      <c r="F104" s="604"/>
      <c r="G104" s="604"/>
      <c r="H104" s="176" t="e">
        <f t="shared" ref="H104:H112" si="39">IF(W104=0,"-",IF($O$4=6,"No Aplica",HLOOKUP(AA104,ZONA2,2,TRUE)))</f>
        <v>#N/A</v>
      </c>
      <c r="I104" s="176" t="e">
        <f t="shared" ref="I104:I112" si="40">IF(W104=0,"-",IF($O$4=6,HLOOKUP(AB104,ZONA3,2,TRUE),HLOOKUP(AB104,ZONA1,2,TRUE)))</f>
        <v>#N/A</v>
      </c>
      <c r="J104" s="604"/>
      <c r="K104" s="604"/>
      <c r="L104" s="604"/>
      <c r="O104" s="590" t="e">
        <f t="shared" ref="O104:O112" si="41">$W$104-Q104</f>
        <v>#N/A</v>
      </c>
      <c r="P104" s="176">
        <f>IF('BASE DE DATOS'!HC53="B",2.9,IF('BASE DE DATOS'!HC53="D",3.23,6))</f>
        <v>3.23</v>
      </c>
      <c r="Q104" s="580" t="e">
        <f t="shared" ref="Q104:Q112" si="42">W104*0.02</f>
        <v>#N/A</v>
      </c>
      <c r="R104" s="580">
        <f>IF('BASE DE DATOS'!HC53="B",2.2,IF('BASE DE DATOS'!HC53="D",3.3,5.8))</f>
        <v>3.3</v>
      </c>
      <c r="S104" s="590" t="e">
        <f t="shared" ref="S104:S112" si="43">(W104/2)+2</f>
        <v>#N/A</v>
      </c>
      <c r="T104" s="176" t="e">
        <f t="shared" ref="T104:T112" si="44">((O104*P104)+(Q104*R104)+(S104*0.02))/W104</f>
        <v>#N/A</v>
      </c>
      <c r="U104" s="580">
        <f>IF('BASE DE DATOS'!HC53="B",100,IF('BASE DE DATOS'!HC53="D",200,300))</f>
        <v>200</v>
      </c>
      <c r="V104" s="176" t="e">
        <f t="shared" ref="V104:V112" si="45">IF(W104=0,0,U104*W104)</f>
        <v>#N/A</v>
      </c>
      <c r="W104" s="605" t="e">
        <f>IF($R$35=2,$O$35/2,IF($R$35=4,$O$35/4,IF($R$35=6,$O$35/6,IF($R$35=8,$O$35/8,IF($R$35=9,$O$35/9)))))</f>
        <v>#N/A</v>
      </c>
      <c r="X104" s="606" t="e">
        <f t="shared" ref="X104:X112" si="46">(V104*$AW$112)</f>
        <v>#N/A</v>
      </c>
      <c r="Y104" s="606" t="e">
        <f t="shared" ref="Y104:Y112" si="47">V104*$AW$114</f>
        <v>#N/A</v>
      </c>
      <c r="Z104" s="148">
        <f>IF('BASE DE DATOS'!HC53="B",0.5,IF('BASE DE DATOS'!HC53="D",2,3))</f>
        <v>2</v>
      </c>
      <c r="AA104" s="176" t="e">
        <f t="shared" ref="AA104:AA112" si="48">IF(W104=0,0,(($AW$104*Z104)+X104+(T104*$AW$108))/W104)</f>
        <v>#N/A</v>
      </c>
      <c r="AB104" s="176" t="e">
        <f>IF(W104=0,0,(($AW$106*Z104)-(X104+T104)*$AW$110)/W104)</f>
        <v>#N/A</v>
      </c>
      <c r="AC104" s="590" t="e">
        <f>IF(W104=0,0,(T104*O104))</f>
        <v>#N/A</v>
      </c>
      <c r="AD104" s="590" t="e">
        <f t="shared" ref="AD104:AD112" si="49">AC104</f>
        <v>#N/A</v>
      </c>
      <c r="AG104" s="581" t="s">
        <v>1527</v>
      </c>
      <c r="AH104" s="590" t="e">
        <f>AH90/AH102</f>
        <v>#N/A</v>
      </c>
      <c r="AI104" s="590" t="e">
        <f t="shared" ref="AI104:AS104" si="50">AI90/AI102</f>
        <v>#N/A</v>
      </c>
      <c r="AJ104" s="590" t="e">
        <f t="shared" si="50"/>
        <v>#N/A</v>
      </c>
      <c r="AK104" s="590" t="e">
        <f t="shared" si="50"/>
        <v>#N/A</v>
      </c>
      <c r="AL104" s="590" t="e">
        <f t="shared" si="50"/>
        <v>#N/A</v>
      </c>
      <c r="AM104" s="590" t="e">
        <f t="shared" si="50"/>
        <v>#N/A</v>
      </c>
      <c r="AN104" s="590" t="e">
        <f t="shared" si="50"/>
        <v>#N/A</v>
      </c>
      <c r="AO104" s="590" t="e">
        <f t="shared" si="50"/>
        <v>#N/A</v>
      </c>
      <c r="AP104" s="590" t="e">
        <f t="shared" si="50"/>
        <v>#N/A</v>
      </c>
      <c r="AQ104" s="590" t="e">
        <f t="shared" si="50"/>
        <v>#N/A</v>
      </c>
      <c r="AR104" s="590" t="e">
        <f t="shared" si="50"/>
        <v>#N/A</v>
      </c>
      <c r="AS104" s="590" t="e">
        <f t="shared" si="50"/>
        <v>#N/A</v>
      </c>
      <c r="AV104" s="148" t="s">
        <v>1205</v>
      </c>
      <c r="AW104" s="148">
        <f>ENERGÍA!AY110</f>
        <v>0</v>
      </c>
    </row>
    <row r="105" spans="2:50" ht="15" customHeight="1">
      <c r="B105" s="581" t="s">
        <v>225</v>
      </c>
      <c r="C105" s="604"/>
      <c r="D105" s="604"/>
      <c r="E105" s="604"/>
      <c r="F105" s="604"/>
      <c r="G105" s="604"/>
      <c r="H105" s="176" t="e">
        <f t="shared" si="39"/>
        <v>#N/A</v>
      </c>
      <c r="I105" s="176" t="e">
        <f t="shared" si="40"/>
        <v>#N/A</v>
      </c>
      <c r="J105" s="604"/>
      <c r="K105" s="604"/>
      <c r="L105" s="604"/>
      <c r="O105" s="590" t="e">
        <f t="shared" si="41"/>
        <v>#N/A</v>
      </c>
      <c r="P105" s="176">
        <f>P104</f>
        <v>3.23</v>
      </c>
      <c r="Q105" s="580" t="e">
        <f t="shared" si="42"/>
        <v>#N/A</v>
      </c>
      <c r="R105" s="580">
        <f>R104</f>
        <v>3.3</v>
      </c>
      <c r="S105" s="590" t="e">
        <f t="shared" si="43"/>
        <v>#N/A</v>
      </c>
      <c r="T105" s="176" t="e">
        <f t="shared" si="44"/>
        <v>#N/A</v>
      </c>
      <c r="U105" s="580">
        <f>U104</f>
        <v>200</v>
      </c>
      <c r="V105" s="176" t="e">
        <f t="shared" si="45"/>
        <v>#N/A</v>
      </c>
      <c r="W105" s="605" t="e">
        <f t="shared" ref="W105" si="51">IF($R$35=2,$O$35/2,IF($R$35=4,$O$35/4,IF($R$35=6,$O$35/6,IF($R$35=8,$O$35/8,IF($R$35=9,$O$35/9)))))</f>
        <v>#N/A</v>
      </c>
      <c r="X105" s="606" t="e">
        <f t="shared" si="46"/>
        <v>#N/A</v>
      </c>
      <c r="Y105" s="606" t="e">
        <f t="shared" si="47"/>
        <v>#N/A</v>
      </c>
      <c r="Z105" s="580">
        <f>Z104</f>
        <v>2</v>
      </c>
      <c r="AA105" s="176" t="e">
        <f t="shared" si="48"/>
        <v>#N/A</v>
      </c>
      <c r="AB105" s="176" t="e">
        <f t="shared" ref="AB105:AB112" si="52">IF(W105=0,0,(($AW$106*Z105)-(X105+T105)*$AW$110)/W105)</f>
        <v>#N/A</v>
      </c>
      <c r="AC105" s="590" t="e">
        <f t="shared" ref="AC105:AC112" si="53">IF(W105=0,0,(T105*O105))</f>
        <v>#N/A</v>
      </c>
      <c r="AD105" s="590" t="e">
        <f t="shared" si="49"/>
        <v>#N/A</v>
      </c>
      <c r="AG105" s="607" t="s">
        <v>1526</v>
      </c>
      <c r="AH105" s="603" t="e">
        <f>AH62+AH104</f>
        <v>#N/A</v>
      </c>
      <c r="AI105" s="603" t="e">
        <f t="shared" ref="AI105:AS105" si="54">AI62+AI104</f>
        <v>#N/A</v>
      </c>
      <c r="AJ105" s="603" t="e">
        <f t="shared" si="54"/>
        <v>#N/A</v>
      </c>
      <c r="AK105" s="603" t="e">
        <f t="shared" si="54"/>
        <v>#N/A</v>
      </c>
      <c r="AL105" s="603" t="e">
        <f t="shared" si="54"/>
        <v>#N/A</v>
      </c>
      <c r="AM105" s="603" t="e">
        <f t="shared" si="54"/>
        <v>#N/A</v>
      </c>
      <c r="AN105" s="603" t="e">
        <f t="shared" si="54"/>
        <v>#N/A</v>
      </c>
      <c r="AO105" s="603" t="e">
        <f t="shared" si="54"/>
        <v>#N/A</v>
      </c>
      <c r="AP105" s="603" t="e">
        <f t="shared" si="54"/>
        <v>#N/A</v>
      </c>
      <c r="AQ105" s="603" t="e">
        <f t="shared" si="54"/>
        <v>#N/A</v>
      </c>
      <c r="AR105" s="603" t="e">
        <f t="shared" si="54"/>
        <v>#N/A</v>
      </c>
      <c r="AS105" s="603" t="e">
        <f t="shared" si="54"/>
        <v>#N/A</v>
      </c>
      <c r="AW105" s="580"/>
    </row>
    <row r="106" spans="2:50" ht="15" customHeight="1">
      <c r="B106" s="581" t="s">
        <v>225</v>
      </c>
      <c r="C106" s="604"/>
      <c r="D106" s="604"/>
      <c r="E106" s="604"/>
      <c r="F106" s="604"/>
      <c r="G106" s="604"/>
      <c r="H106" s="176" t="e">
        <f t="shared" si="39"/>
        <v>#N/A</v>
      </c>
      <c r="I106" s="176" t="e">
        <f t="shared" si="40"/>
        <v>#N/A</v>
      </c>
      <c r="J106" s="604"/>
      <c r="K106" s="604"/>
      <c r="L106" s="604"/>
      <c r="O106" s="590" t="e">
        <f t="shared" si="41"/>
        <v>#N/A</v>
      </c>
      <c r="P106" s="176">
        <f t="shared" ref="P106:P112" si="55">P105</f>
        <v>3.23</v>
      </c>
      <c r="Q106" s="580" t="e">
        <f t="shared" si="42"/>
        <v>#N/A</v>
      </c>
      <c r="R106" s="580">
        <f t="shared" ref="R106:R112" si="56">R105</f>
        <v>3.3</v>
      </c>
      <c r="S106" s="590" t="e">
        <f t="shared" si="43"/>
        <v>#N/A</v>
      </c>
      <c r="T106" s="176" t="e">
        <f t="shared" si="44"/>
        <v>#N/A</v>
      </c>
      <c r="U106" s="580">
        <f t="shared" ref="U106:U112" si="57">U105</f>
        <v>200</v>
      </c>
      <c r="V106" s="176" t="e">
        <f t="shared" si="45"/>
        <v>#N/A</v>
      </c>
      <c r="W106" s="605" t="e">
        <f>IF($R$35=2,0,IF($R$35=4,$O$35/4,IF($R$35=6,$O$35/6,IF($R$35=8,$O$35/8,IF($R$35=9,$O$35/9)))))</f>
        <v>#N/A</v>
      </c>
      <c r="X106" s="606" t="e">
        <f t="shared" si="46"/>
        <v>#N/A</v>
      </c>
      <c r="Y106" s="606" t="e">
        <f t="shared" si="47"/>
        <v>#N/A</v>
      </c>
      <c r="Z106" s="580">
        <f t="shared" ref="Z106:Z112" si="58">Z105</f>
        <v>2</v>
      </c>
      <c r="AA106" s="176" t="e">
        <f t="shared" si="48"/>
        <v>#N/A</v>
      </c>
      <c r="AB106" s="176" t="e">
        <f t="shared" si="52"/>
        <v>#N/A</v>
      </c>
      <c r="AC106" s="590" t="e">
        <f t="shared" si="53"/>
        <v>#N/A</v>
      </c>
      <c r="AD106" s="590" t="e">
        <f t="shared" si="49"/>
        <v>#N/A</v>
      </c>
      <c r="AG106" s="581" t="s">
        <v>1529</v>
      </c>
      <c r="AH106" s="590" t="e">
        <f>IF((AH105-$AW$60)&lt;0,0,AH105-$AW$60)</f>
        <v>#N/A</v>
      </c>
      <c r="AI106" s="590" t="e">
        <f t="shared" ref="AI106:AS106" si="59">IF((AI105-$AW$60)&lt;0,0,AI105-$AW$60)</f>
        <v>#N/A</v>
      </c>
      <c r="AJ106" s="590" t="e">
        <f t="shared" si="59"/>
        <v>#N/A</v>
      </c>
      <c r="AK106" s="590" t="e">
        <f t="shared" si="59"/>
        <v>#N/A</v>
      </c>
      <c r="AL106" s="590" t="e">
        <f t="shared" si="59"/>
        <v>#N/A</v>
      </c>
      <c r="AM106" s="590" t="e">
        <f t="shared" si="59"/>
        <v>#N/A</v>
      </c>
      <c r="AN106" s="590" t="e">
        <f t="shared" si="59"/>
        <v>#N/A</v>
      </c>
      <c r="AO106" s="590" t="e">
        <f t="shared" si="59"/>
        <v>#N/A</v>
      </c>
      <c r="AP106" s="590" t="e">
        <f t="shared" si="59"/>
        <v>#N/A</v>
      </c>
      <c r="AQ106" s="590" t="e">
        <f t="shared" si="59"/>
        <v>#N/A</v>
      </c>
      <c r="AR106" s="590" t="e">
        <f t="shared" si="59"/>
        <v>#N/A</v>
      </c>
      <c r="AS106" s="590" t="e">
        <f t="shared" si="59"/>
        <v>#N/A</v>
      </c>
      <c r="AV106" s="148" t="s">
        <v>1209</v>
      </c>
      <c r="AW106" s="148">
        <f>ENERGÍA!AY112</f>
        <v>0</v>
      </c>
    </row>
    <row r="107" spans="2:50" ht="15" customHeight="1">
      <c r="B107" s="581" t="s">
        <v>225</v>
      </c>
      <c r="C107" s="604"/>
      <c r="D107" s="604"/>
      <c r="E107" s="604"/>
      <c r="F107" s="604"/>
      <c r="G107" s="604"/>
      <c r="H107" s="176" t="e">
        <f t="shared" si="39"/>
        <v>#N/A</v>
      </c>
      <c r="I107" s="176" t="e">
        <f t="shared" si="40"/>
        <v>#N/A</v>
      </c>
      <c r="J107" s="604"/>
      <c r="K107" s="604"/>
      <c r="L107" s="604"/>
      <c r="O107" s="590" t="e">
        <f t="shared" si="41"/>
        <v>#N/A</v>
      </c>
      <c r="P107" s="176">
        <f t="shared" si="55"/>
        <v>3.23</v>
      </c>
      <c r="Q107" s="580" t="e">
        <f t="shared" si="42"/>
        <v>#N/A</v>
      </c>
      <c r="R107" s="580">
        <f t="shared" si="56"/>
        <v>3.3</v>
      </c>
      <c r="S107" s="590" t="e">
        <f t="shared" si="43"/>
        <v>#N/A</v>
      </c>
      <c r="T107" s="176" t="e">
        <f t="shared" si="44"/>
        <v>#N/A</v>
      </c>
      <c r="U107" s="580">
        <f t="shared" si="57"/>
        <v>200</v>
      </c>
      <c r="V107" s="176" t="e">
        <f t="shared" si="45"/>
        <v>#N/A</v>
      </c>
      <c r="W107" s="605" t="e">
        <f>IF($R$35=2,0,IF($R$35=4,$O$35/4,IF($R$35=6,$O$35/6,IF($R$35=8,$O$35/8,IF($R$35=9,$O$35/9)))))</f>
        <v>#N/A</v>
      </c>
      <c r="X107" s="606" t="e">
        <f t="shared" si="46"/>
        <v>#N/A</v>
      </c>
      <c r="Y107" s="606" t="e">
        <f t="shared" si="47"/>
        <v>#N/A</v>
      </c>
      <c r="Z107" s="580">
        <f t="shared" si="58"/>
        <v>2</v>
      </c>
      <c r="AA107" s="176" t="e">
        <f t="shared" si="48"/>
        <v>#N/A</v>
      </c>
      <c r="AB107" s="176" t="e">
        <f t="shared" si="52"/>
        <v>#N/A</v>
      </c>
      <c r="AC107" s="590" t="e">
        <f t="shared" si="53"/>
        <v>#N/A</v>
      </c>
      <c r="AD107" s="590" t="e">
        <f t="shared" si="49"/>
        <v>#N/A</v>
      </c>
      <c r="AG107" s="581" t="s">
        <v>1530</v>
      </c>
      <c r="AH107" s="590" t="e">
        <f>IF(AH105&gt;$AW$60,0,IF(AH105&lt;$AW$59,$AW$59-AH105,0))</f>
        <v>#N/A</v>
      </c>
      <c r="AI107" s="590" t="e">
        <f t="shared" ref="AI107:AS107" si="60">IF(AI105&gt;$AW$60,0,IF(AI105&lt;$AW$59,$AW$59-AI105,0))</f>
        <v>#N/A</v>
      </c>
      <c r="AJ107" s="590" t="e">
        <f t="shared" si="60"/>
        <v>#N/A</v>
      </c>
      <c r="AK107" s="590" t="e">
        <f t="shared" si="60"/>
        <v>#N/A</v>
      </c>
      <c r="AL107" s="590" t="e">
        <f t="shared" si="60"/>
        <v>#N/A</v>
      </c>
      <c r="AM107" s="590" t="e">
        <f t="shared" si="60"/>
        <v>#N/A</v>
      </c>
      <c r="AN107" s="590" t="e">
        <f t="shared" si="60"/>
        <v>#N/A</v>
      </c>
      <c r="AO107" s="590" t="e">
        <f t="shared" si="60"/>
        <v>#N/A</v>
      </c>
      <c r="AP107" s="590" t="e">
        <f t="shared" si="60"/>
        <v>#N/A</v>
      </c>
      <c r="AQ107" s="590" t="e">
        <f t="shared" si="60"/>
        <v>#N/A</v>
      </c>
      <c r="AR107" s="590" t="e">
        <f t="shared" si="60"/>
        <v>#N/A</v>
      </c>
      <c r="AS107" s="590" t="e">
        <f t="shared" si="60"/>
        <v>#N/A</v>
      </c>
      <c r="AW107" s="580"/>
    </row>
    <row r="108" spans="2:50" ht="15" customHeight="1">
      <c r="B108" s="581" t="s">
        <v>225</v>
      </c>
      <c r="C108" s="604"/>
      <c r="D108" s="604"/>
      <c r="E108" s="604"/>
      <c r="F108" s="604"/>
      <c r="G108" s="604"/>
      <c r="H108" s="176" t="e">
        <f t="shared" si="39"/>
        <v>#N/A</v>
      </c>
      <c r="I108" s="176" t="e">
        <f t="shared" si="40"/>
        <v>#N/A</v>
      </c>
      <c r="J108" s="604"/>
      <c r="K108" s="604"/>
      <c r="L108" s="604"/>
      <c r="O108" s="590" t="e">
        <f t="shared" si="41"/>
        <v>#N/A</v>
      </c>
      <c r="P108" s="176">
        <f t="shared" si="55"/>
        <v>3.23</v>
      </c>
      <c r="Q108" s="580" t="e">
        <f t="shared" si="42"/>
        <v>#N/A</v>
      </c>
      <c r="R108" s="580">
        <f t="shared" si="56"/>
        <v>3.3</v>
      </c>
      <c r="S108" s="590" t="e">
        <f t="shared" si="43"/>
        <v>#N/A</v>
      </c>
      <c r="T108" s="176" t="e">
        <f t="shared" si="44"/>
        <v>#N/A</v>
      </c>
      <c r="U108" s="580">
        <f t="shared" si="57"/>
        <v>200</v>
      </c>
      <c r="V108" s="176" t="e">
        <f t="shared" si="45"/>
        <v>#N/A</v>
      </c>
      <c r="W108" s="605" t="e">
        <f>IF($R$35=2,0,IF($R$35=4,0,IF($R$35=6,$O$35/6,IF($R$35=8,$O$35/8,IF($R$35=9,$O$35/9)))))</f>
        <v>#N/A</v>
      </c>
      <c r="X108" s="606" t="e">
        <f t="shared" si="46"/>
        <v>#N/A</v>
      </c>
      <c r="Y108" s="606" t="e">
        <f t="shared" si="47"/>
        <v>#N/A</v>
      </c>
      <c r="Z108" s="580">
        <f t="shared" si="58"/>
        <v>2</v>
      </c>
      <c r="AA108" s="176" t="e">
        <f t="shared" si="48"/>
        <v>#N/A</v>
      </c>
      <c r="AB108" s="176" t="e">
        <f t="shared" si="52"/>
        <v>#N/A</v>
      </c>
      <c r="AC108" s="590" t="e">
        <f t="shared" si="53"/>
        <v>#N/A</v>
      </c>
      <c r="AD108" s="590" t="e">
        <f t="shared" si="49"/>
        <v>#N/A</v>
      </c>
      <c r="AG108" s="581" t="s">
        <v>1540</v>
      </c>
      <c r="AH108" s="590" t="e">
        <f>(AH106+AH107)*24</f>
        <v>#N/A</v>
      </c>
      <c r="AI108" s="590" t="e">
        <f t="shared" ref="AI108:AS108" si="61">(AI106+AI107)*24</f>
        <v>#N/A</v>
      </c>
      <c r="AJ108" s="590" t="e">
        <f t="shared" si="61"/>
        <v>#N/A</v>
      </c>
      <c r="AK108" s="590" t="e">
        <f t="shared" si="61"/>
        <v>#N/A</v>
      </c>
      <c r="AL108" s="590" t="e">
        <f t="shared" si="61"/>
        <v>#N/A</v>
      </c>
      <c r="AM108" s="590" t="e">
        <f t="shared" si="61"/>
        <v>#N/A</v>
      </c>
      <c r="AN108" s="590" t="e">
        <f t="shared" si="61"/>
        <v>#N/A</v>
      </c>
      <c r="AO108" s="590" t="e">
        <f t="shared" si="61"/>
        <v>#N/A</v>
      </c>
      <c r="AP108" s="590" t="e">
        <f t="shared" si="61"/>
        <v>#N/A</v>
      </c>
      <c r="AQ108" s="590" t="e">
        <f t="shared" si="61"/>
        <v>#N/A</v>
      </c>
      <c r="AR108" s="590" t="e">
        <f t="shared" si="61"/>
        <v>#N/A</v>
      </c>
      <c r="AS108" s="590" t="e">
        <f t="shared" si="61"/>
        <v>#N/A</v>
      </c>
      <c r="AV108" s="148" t="s">
        <v>1207</v>
      </c>
      <c r="AW108" s="148">
        <f>ENERGÍA!AY114</f>
        <v>0</v>
      </c>
    </row>
    <row r="109" spans="2:50" ht="15" customHeight="1">
      <c r="B109" s="581" t="s">
        <v>225</v>
      </c>
      <c r="C109" s="604"/>
      <c r="D109" s="604"/>
      <c r="E109" s="604"/>
      <c r="F109" s="604"/>
      <c r="G109" s="604"/>
      <c r="H109" s="176" t="e">
        <f t="shared" si="39"/>
        <v>#N/A</v>
      </c>
      <c r="I109" s="176" t="e">
        <f t="shared" si="40"/>
        <v>#N/A</v>
      </c>
      <c r="J109" s="604"/>
      <c r="K109" s="604"/>
      <c r="L109" s="604"/>
      <c r="O109" s="590" t="e">
        <f t="shared" si="41"/>
        <v>#N/A</v>
      </c>
      <c r="P109" s="176">
        <f t="shared" si="55"/>
        <v>3.23</v>
      </c>
      <c r="Q109" s="580" t="e">
        <f t="shared" si="42"/>
        <v>#N/A</v>
      </c>
      <c r="R109" s="580">
        <f t="shared" si="56"/>
        <v>3.3</v>
      </c>
      <c r="S109" s="590" t="e">
        <f t="shared" si="43"/>
        <v>#N/A</v>
      </c>
      <c r="T109" s="176" t="e">
        <f t="shared" si="44"/>
        <v>#N/A</v>
      </c>
      <c r="U109" s="580">
        <f t="shared" si="57"/>
        <v>200</v>
      </c>
      <c r="V109" s="176" t="e">
        <f t="shared" si="45"/>
        <v>#N/A</v>
      </c>
      <c r="W109" s="605" t="e">
        <f>IF($R$35=2,0,IF($R$35=4,0,IF($R$35=6,$O$35/6,IF($R$35=8,$O$35/8,IF($R$35=9,$O$35/9)))))</f>
        <v>#N/A</v>
      </c>
      <c r="X109" s="606" t="e">
        <f t="shared" si="46"/>
        <v>#N/A</v>
      </c>
      <c r="Y109" s="606" t="e">
        <f t="shared" si="47"/>
        <v>#N/A</v>
      </c>
      <c r="Z109" s="580">
        <f t="shared" si="58"/>
        <v>2</v>
      </c>
      <c r="AA109" s="176" t="e">
        <f t="shared" si="48"/>
        <v>#N/A</v>
      </c>
      <c r="AB109" s="176" t="e">
        <f t="shared" si="52"/>
        <v>#N/A</v>
      </c>
      <c r="AC109" s="590" t="e">
        <f t="shared" si="53"/>
        <v>#N/A</v>
      </c>
      <c r="AD109" s="590" t="e">
        <f t="shared" si="49"/>
        <v>#N/A</v>
      </c>
      <c r="AW109" s="580"/>
    </row>
    <row r="110" spans="2:50" ht="15" customHeight="1">
      <c r="B110" s="581" t="s">
        <v>225</v>
      </c>
      <c r="C110" s="604"/>
      <c r="D110" s="604"/>
      <c r="E110" s="604"/>
      <c r="F110" s="604"/>
      <c r="G110" s="604"/>
      <c r="H110" s="176" t="e">
        <f t="shared" si="39"/>
        <v>#N/A</v>
      </c>
      <c r="I110" s="176" t="e">
        <f t="shared" si="40"/>
        <v>#N/A</v>
      </c>
      <c r="J110" s="604"/>
      <c r="K110" s="604"/>
      <c r="L110" s="604"/>
      <c r="O110" s="590" t="e">
        <f t="shared" si="41"/>
        <v>#N/A</v>
      </c>
      <c r="P110" s="176">
        <f t="shared" si="55"/>
        <v>3.23</v>
      </c>
      <c r="Q110" s="580" t="e">
        <f t="shared" si="42"/>
        <v>#N/A</v>
      </c>
      <c r="R110" s="580">
        <f t="shared" si="56"/>
        <v>3.3</v>
      </c>
      <c r="S110" s="590" t="e">
        <f t="shared" si="43"/>
        <v>#N/A</v>
      </c>
      <c r="T110" s="176" t="e">
        <f t="shared" si="44"/>
        <v>#N/A</v>
      </c>
      <c r="U110" s="580">
        <f t="shared" si="57"/>
        <v>200</v>
      </c>
      <c r="V110" s="176" t="e">
        <f t="shared" si="45"/>
        <v>#N/A</v>
      </c>
      <c r="W110" s="605" t="e">
        <f>IF($R$35=2,0,IF($R$35=4,0,IF($R$35=6,0,IF($R$35=8,$O$35/8,IF($R$35=9,$O$35/9)))))</f>
        <v>#N/A</v>
      </c>
      <c r="X110" s="606" t="e">
        <f t="shared" si="46"/>
        <v>#N/A</v>
      </c>
      <c r="Y110" s="606" t="e">
        <f t="shared" si="47"/>
        <v>#N/A</v>
      </c>
      <c r="Z110" s="580">
        <f t="shared" si="58"/>
        <v>2</v>
      </c>
      <c r="AA110" s="176" t="e">
        <f t="shared" si="48"/>
        <v>#N/A</v>
      </c>
      <c r="AB110" s="176" t="e">
        <f t="shared" si="52"/>
        <v>#N/A</v>
      </c>
      <c r="AC110" s="590" t="e">
        <f t="shared" si="53"/>
        <v>#N/A</v>
      </c>
      <c r="AD110" s="590" t="e">
        <f t="shared" si="49"/>
        <v>#N/A</v>
      </c>
      <c r="AV110" s="148" t="s">
        <v>1206</v>
      </c>
      <c r="AW110" s="148">
        <f>ENERGÍA!AY116</f>
        <v>0</v>
      </c>
    </row>
    <row r="111" spans="2:50" ht="15" customHeight="1">
      <c r="B111" s="581" t="s">
        <v>225</v>
      </c>
      <c r="C111" s="604"/>
      <c r="D111" s="604"/>
      <c r="E111" s="604"/>
      <c r="F111" s="604"/>
      <c r="G111" s="604"/>
      <c r="H111" s="176" t="e">
        <f t="shared" si="39"/>
        <v>#N/A</v>
      </c>
      <c r="I111" s="176" t="e">
        <f t="shared" si="40"/>
        <v>#N/A</v>
      </c>
      <c r="J111" s="604"/>
      <c r="K111" s="604"/>
      <c r="L111" s="604"/>
      <c r="O111" s="590" t="e">
        <f t="shared" si="41"/>
        <v>#N/A</v>
      </c>
      <c r="P111" s="176">
        <f t="shared" si="55"/>
        <v>3.23</v>
      </c>
      <c r="Q111" s="580" t="e">
        <f t="shared" si="42"/>
        <v>#N/A</v>
      </c>
      <c r="R111" s="580">
        <f t="shared" si="56"/>
        <v>3.3</v>
      </c>
      <c r="S111" s="590" t="e">
        <f t="shared" si="43"/>
        <v>#N/A</v>
      </c>
      <c r="T111" s="176" t="e">
        <f t="shared" si="44"/>
        <v>#N/A</v>
      </c>
      <c r="U111" s="580">
        <f t="shared" si="57"/>
        <v>200</v>
      </c>
      <c r="V111" s="176" t="e">
        <f t="shared" si="45"/>
        <v>#N/A</v>
      </c>
      <c r="W111" s="605" t="e">
        <f>IF($R$35=2,0,IF($R$35=4,0,IF($R$35=6,0,IF($R$35=8,$O$35/8,IF($R$35=9,$O$35/9)))))</f>
        <v>#N/A</v>
      </c>
      <c r="X111" s="606" t="e">
        <f t="shared" si="46"/>
        <v>#N/A</v>
      </c>
      <c r="Y111" s="606" t="e">
        <f t="shared" si="47"/>
        <v>#N/A</v>
      </c>
      <c r="Z111" s="580">
        <f t="shared" si="58"/>
        <v>2</v>
      </c>
      <c r="AA111" s="176" t="e">
        <f t="shared" si="48"/>
        <v>#N/A</v>
      </c>
      <c r="AB111" s="176" t="e">
        <f t="shared" si="52"/>
        <v>#N/A</v>
      </c>
      <c r="AC111" s="590" t="e">
        <f t="shared" si="53"/>
        <v>#N/A</v>
      </c>
      <c r="AD111" s="590" t="e">
        <f t="shared" si="49"/>
        <v>#N/A</v>
      </c>
      <c r="AG111" s="581" t="s">
        <v>1541</v>
      </c>
      <c r="AH111" s="580">
        <f t="shared" ref="AH111:AS111" si="62">AH64*24</f>
        <v>0</v>
      </c>
      <c r="AI111" s="580">
        <f t="shared" si="62"/>
        <v>0</v>
      </c>
      <c r="AJ111" s="580">
        <f t="shared" si="62"/>
        <v>0</v>
      </c>
      <c r="AK111" s="580">
        <f t="shared" si="62"/>
        <v>0</v>
      </c>
      <c r="AL111" s="580">
        <f t="shared" si="62"/>
        <v>0</v>
      </c>
      <c r="AM111" s="580">
        <f t="shared" si="62"/>
        <v>0</v>
      </c>
      <c r="AN111" s="580">
        <f t="shared" si="62"/>
        <v>0</v>
      </c>
      <c r="AO111" s="580">
        <f t="shared" si="62"/>
        <v>0</v>
      </c>
      <c r="AP111" s="580">
        <f t="shared" si="62"/>
        <v>0</v>
      </c>
      <c r="AQ111" s="580">
        <f t="shared" si="62"/>
        <v>0</v>
      </c>
      <c r="AR111" s="580">
        <f t="shared" si="62"/>
        <v>0</v>
      </c>
      <c r="AS111" s="580">
        <f t="shared" si="62"/>
        <v>0</v>
      </c>
      <c r="AW111" s="580"/>
    </row>
    <row r="112" spans="2:50" ht="15" customHeight="1">
      <c r="B112" s="581" t="s">
        <v>225</v>
      </c>
      <c r="C112" s="604"/>
      <c r="D112" s="604"/>
      <c r="E112" s="604"/>
      <c r="F112" s="604"/>
      <c r="G112" s="604"/>
      <c r="H112" s="176" t="e">
        <f t="shared" si="39"/>
        <v>#N/A</v>
      </c>
      <c r="I112" s="176" t="e">
        <f t="shared" si="40"/>
        <v>#N/A</v>
      </c>
      <c r="J112" s="604"/>
      <c r="K112" s="604"/>
      <c r="L112" s="604"/>
      <c r="O112" s="590" t="e">
        <f t="shared" si="41"/>
        <v>#N/A</v>
      </c>
      <c r="P112" s="176">
        <f t="shared" si="55"/>
        <v>3.23</v>
      </c>
      <c r="Q112" s="580" t="e">
        <f t="shared" si="42"/>
        <v>#N/A</v>
      </c>
      <c r="R112" s="580">
        <f t="shared" si="56"/>
        <v>3.3</v>
      </c>
      <c r="S112" s="590" t="e">
        <f t="shared" si="43"/>
        <v>#N/A</v>
      </c>
      <c r="T112" s="176" t="e">
        <f t="shared" si="44"/>
        <v>#N/A</v>
      </c>
      <c r="U112" s="580">
        <f t="shared" si="57"/>
        <v>200</v>
      </c>
      <c r="V112" s="176" t="e">
        <f t="shared" si="45"/>
        <v>#N/A</v>
      </c>
      <c r="W112" s="605" t="e">
        <f>IF($R$35=2,0,IF($R$35=4,0,IF($R$35=6,0,IF($R$35=8,0,IF($R$35=9,$O$35/9)))))</f>
        <v>#N/A</v>
      </c>
      <c r="X112" s="606" t="e">
        <f t="shared" si="46"/>
        <v>#N/A</v>
      </c>
      <c r="Y112" s="606" t="e">
        <f t="shared" si="47"/>
        <v>#N/A</v>
      </c>
      <c r="Z112" s="580">
        <f t="shared" si="58"/>
        <v>2</v>
      </c>
      <c r="AA112" s="176" t="e">
        <f t="shared" si="48"/>
        <v>#N/A</v>
      </c>
      <c r="AB112" s="176" t="e">
        <f t="shared" si="52"/>
        <v>#N/A</v>
      </c>
      <c r="AC112" s="590" t="e">
        <f t="shared" si="53"/>
        <v>#N/A</v>
      </c>
      <c r="AD112" s="590" t="e">
        <f t="shared" si="49"/>
        <v>#N/A</v>
      </c>
      <c r="AG112" s="581" t="s">
        <v>1545</v>
      </c>
      <c r="AH112" s="580">
        <f>(AH66*24/100)</f>
        <v>4.32</v>
      </c>
      <c r="AI112" s="580">
        <f t="shared" ref="AI112:AS112" si="63">(AI66*24/100)</f>
        <v>4.32</v>
      </c>
      <c r="AJ112" s="580">
        <f t="shared" si="63"/>
        <v>4.32</v>
      </c>
      <c r="AK112" s="580">
        <f t="shared" si="63"/>
        <v>4.32</v>
      </c>
      <c r="AL112" s="580">
        <f t="shared" si="63"/>
        <v>4.32</v>
      </c>
      <c r="AM112" s="580">
        <f t="shared" si="63"/>
        <v>4.32</v>
      </c>
      <c r="AN112" s="580">
        <f t="shared" si="63"/>
        <v>4.32</v>
      </c>
      <c r="AO112" s="580">
        <f t="shared" si="63"/>
        <v>4.32</v>
      </c>
      <c r="AP112" s="580">
        <f t="shared" si="63"/>
        <v>4.32</v>
      </c>
      <c r="AQ112" s="580">
        <f t="shared" si="63"/>
        <v>4.32</v>
      </c>
      <c r="AR112" s="580">
        <f t="shared" si="63"/>
        <v>4.32</v>
      </c>
      <c r="AS112" s="580">
        <f t="shared" si="63"/>
        <v>4.32</v>
      </c>
      <c r="AV112" s="580" t="s">
        <v>1405</v>
      </c>
      <c r="AW112" s="148">
        <f>ENERGÍA!AY118</f>
        <v>0</v>
      </c>
    </row>
    <row r="113" spans="1:50" ht="15" customHeight="1">
      <c r="D113" s="126"/>
      <c r="E113" s="126"/>
      <c r="K113" s="126"/>
      <c r="L113" s="126"/>
      <c r="Q113" s="126"/>
      <c r="R113" s="126"/>
      <c r="V113" s="126"/>
      <c r="X113" s="126"/>
      <c r="AV113" s="580"/>
      <c r="AW113" s="580"/>
    </row>
    <row r="114" spans="1:50" ht="15" customHeight="1">
      <c r="D114" s="126"/>
      <c r="E114" s="126"/>
      <c r="K114" s="126"/>
      <c r="L114" s="126"/>
      <c r="Q114" s="126"/>
      <c r="R114" s="126"/>
      <c r="V114" s="126"/>
      <c r="X114" s="126"/>
      <c r="AG114" s="581" t="s">
        <v>1544</v>
      </c>
      <c r="AH114" s="590" t="e">
        <f>IF(($AW$59-AH62)&lt;0,0,(($AW$59-AH62)*24)*AH112-AH108)</f>
        <v>#N/A</v>
      </c>
      <c r="AI114" s="590" t="e">
        <f t="shared" ref="AI114:AS114" si="64">IF(($AW$59-AI62)&lt;0,0,(($AW$59-AI62)*24)*AI112-AI108)</f>
        <v>#N/A</v>
      </c>
      <c r="AJ114" s="590" t="e">
        <f t="shared" si="64"/>
        <v>#N/A</v>
      </c>
      <c r="AK114" s="590" t="e">
        <f t="shared" si="64"/>
        <v>#N/A</v>
      </c>
      <c r="AL114" s="590" t="e">
        <f t="shared" si="64"/>
        <v>#N/A</v>
      </c>
      <c r="AM114" s="590" t="e">
        <f t="shared" si="64"/>
        <v>#N/A</v>
      </c>
      <c r="AN114" s="590" t="e">
        <f t="shared" si="64"/>
        <v>#N/A</v>
      </c>
      <c r="AO114" s="590" t="e">
        <f t="shared" si="64"/>
        <v>#N/A</v>
      </c>
      <c r="AP114" s="590" t="e">
        <f t="shared" si="64"/>
        <v>#N/A</v>
      </c>
      <c r="AQ114" s="590" t="e">
        <f t="shared" si="64"/>
        <v>#N/A</v>
      </c>
      <c r="AR114" s="590" t="e">
        <f t="shared" si="64"/>
        <v>#N/A</v>
      </c>
      <c r="AS114" s="590" t="e">
        <f t="shared" si="64"/>
        <v>#N/A</v>
      </c>
      <c r="AV114" s="580" t="s">
        <v>1406</v>
      </c>
      <c r="AW114" s="148">
        <f>ENERGÍA!AY120</f>
        <v>0</v>
      </c>
    </row>
    <row r="115" spans="1:50" ht="15" customHeight="1">
      <c r="C115" s="1323" t="s">
        <v>1204</v>
      </c>
      <c r="D115" s="1323"/>
      <c r="E115" s="580" t="s">
        <v>1185</v>
      </c>
      <c r="F115" s="580" t="s">
        <v>1186</v>
      </c>
      <c r="G115" s="580" t="s">
        <v>227</v>
      </c>
      <c r="K115" s="126"/>
      <c r="L115" s="126"/>
      <c r="Q115" s="126"/>
      <c r="R115" s="126"/>
      <c r="V115" s="126"/>
      <c r="X115" s="126"/>
      <c r="AH115" s="590" t="e">
        <f>IF(AH114&lt;0,0,AH114)</f>
        <v>#N/A</v>
      </c>
      <c r="AI115" s="590" t="e">
        <f t="shared" ref="AI115:AS115" si="65">IF(AI114&lt;0,0,AI114)</f>
        <v>#N/A</v>
      </c>
      <c r="AJ115" s="590" t="e">
        <f t="shared" si="65"/>
        <v>#N/A</v>
      </c>
      <c r="AK115" s="590" t="e">
        <f t="shared" si="65"/>
        <v>#N/A</v>
      </c>
      <c r="AL115" s="590" t="e">
        <f t="shared" si="65"/>
        <v>#N/A</v>
      </c>
      <c r="AM115" s="590" t="e">
        <f t="shared" si="65"/>
        <v>#N/A</v>
      </c>
      <c r="AN115" s="590" t="e">
        <f t="shared" si="65"/>
        <v>#N/A</v>
      </c>
      <c r="AO115" s="590" t="e">
        <f t="shared" si="65"/>
        <v>#N/A</v>
      </c>
      <c r="AP115" s="590" t="e">
        <f t="shared" si="65"/>
        <v>#N/A</v>
      </c>
      <c r="AQ115" s="590" t="e">
        <f t="shared" si="65"/>
        <v>#N/A</v>
      </c>
      <c r="AR115" s="590" t="e">
        <f t="shared" si="65"/>
        <v>#N/A</v>
      </c>
      <c r="AS115" s="590" t="e">
        <f t="shared" si="65"/>
        <v>#N/A</v>
      </c>
      <c r="AW115" s="580"/>
    </row>
    <row r="116" spans="1:50" ht="15" customHeight="1">
      <c r="B116" s="581" t="s">
        <v>768</v>
      </c>
      <c r="C116" s="1324"/>
      <c r="D116" s="1324"/>
      <c r="E116" s="589">
        <f>ENERGÍA!F122</f>
        <v>0</v>
      </c>
      <c r="F116" s="589">
        <f>ENERGÍA!G122</f>
        <v>0</v>
      </c>
      <c r="G116" s="589">
        <f>ENERGÍA!H122</f>
        <v>0</v>
      </c>
      <c r="K116" s="126"/>
      <c r="L116" s="126"/>
      <c r="T116" s="590">
        <f>ENERGÍA!U122</f>
        <v>0</v>
      </c>
      <c r="V116" s="126"/>
      <c r="X116" s="126"/>
      <c r="AC116" s="590">
        <f>T116*E116*F116</f>
        <v>0</v>
      </c>
      <c r="AD116" s="590">
        <f>AC116</f>
        <v>0</v>
      </c>
      <c r="AG116" s="1339" t="s">
        <v>1542</v>
      </c>
      <c r="AH116" s="1339"/>
      <c r="AI116" s="1339"/>
      <c r="AJ116" s="1339"/>
      <c r="AK116" s="1339"/>
      <c r="AL116" s="1339"/>
      <c r="AM116" s="1339"/>
      <c r="AN116" s="1339"/>
      <c r="AO116" s="1339"/>
      <c r="AP116" s="1339"/>
      <c r="AQ116" s="1339"/>
      <c r="AR116" s="1339"/>
      <c r="AS116" s="1339"/>
      <c r="AW116" s="580"/>
    </row>
    <row r="117" spans="1:50" ht="6" customHeight="1">
      <c r="J117" s="580"/>
      <c r="L117" s="126"/>
      <c r="V117" s="148"/>
      <c r="Z117" s="580"/>
      <c r="AA117" s="580"/>
      <c r="AW117" s="580"/>
    </row>
    <row r="118" spans="1:50" ht="15" customHeight="1">
      <c r="B118" s="1323">
        <f>C36</f>
        <v>0</v>
      </c>
      <c r="C118" s="1323"/>
      <c r="D118" s="1323"/>
      <c r="E118" s="1323"/>
      <c r="F118" s="1323"/>
      <c r="G118" s="1323"/>
      <c r="H118" s="1323"/>
      <c r="I118" s="1323"/>
      <c r="J118" s="1323"/>
      <c r="K118" s="1323"/>
      <c r="L118" s="1323"/>
      <c r="O118" s="1284">
        <f>B118</f>
        <v>0</v>
      </c>
      <c r="P118" s="1338"/>
      <c r="Q118" s="1338"/>
      <c r="R118" s="1338"/>
      <c r="S118" s="1338"/>
      <c r="T118" s="1338"/>
      <c r="U118" s="1338"/>
      <c r="V118" s="1338"/>
      <c r="W118" s="1338"/>
      <c r="X118" s="1338"/>
      <c r="Y118" s="1338"/>
      <c r="Z118" s="1338"/>
      <c r="AA118" s="1338"/>
      <c r="AB118" s="1338"/>
      <c r="AC118" s="1338"/>
      <c r="AD118" s="1338"/>
      <c r="AE118" s="1285"/>
      <c r="AG118" s="581" t="s">
        <v>1656</v>
      </c>
      <c r="AH118" s="590" t="e">
        <f>AH98*AH108*24/500</f>
        <v>#N/A</v>
      </c>
      <c r="AI118" s="590" t="e">
        <f t="shared" ref="AI118:AS118" si="66">AI98*AI108*24/500</f>
        <v>#N/A</v>
      </c>
      <c r="AJ118" s="590" t="e">
        <f t="shared" si="66"/>
        <v>#N/A</v>
      </c>
      <c r="AK118" s="590" t="e">
        <f t="shared" si="66"/>
        <v>#N/A</v>
      </c>
      <c r="AL118" s="590" t="e">
        <f t="shared" si="66"/>
        <v>#N/A</v>
      </c>
      <c r="AM118" s="590" t="e">
        <f t="shared" si="66"/>
        <v>#N/A</v>
      </c>
      <c r="AN118" s="590" t="e">
        <f t="shared" si="66"/>
        <v>#N/A</v>
      </c>
      <c r="AO118" s="590" t="e">
        <f t="shared" si="66"/>
        <v>#N/A</v>
      </c>
      <c r="AP118" s="590" t="e">
        <f t="shared" si="66"/>
        <v>#N/A</v>
      </c>
      <c r="AQ118" s="590" t="e">
        <f t="shared" si="66"/>
        <v>#N/A</v>
      </c>
      <c r="AR118" s="590" t="e">
        <f t="shared" si="66"/>
        <v>#N/A</v>
      </c>
      <c r="AS118" s="590" t="e">
        <f t="shared" si="66"/>
        <v>#N/A</v>
      </c>
      <c r="AW118" s="580"/>
    </row>
    <row r="119" spans="1:50" ht="6" customHeight="1">
      <c r="L119" s="126"/>
      <c r="V119" s="148"/>
      <c r="Z119" s="580"/>
      <c r="AA119" s="580"/>
      <c r="AF119" s="597"/>
      <c r="AW119" s="580"/>
    </row>
    <row r="120" spans="1:50" ht="15" customHeight="1">
      <c r="B120" s="1273"/>
      <c r="C120" s="1323" t="s">
        <v>1184</v>
      </c>
      <c r="D120" s="1323"/>
      <c r="E120" s="1323"/>
      <c r="F120" s="1323" t="s">
        <v>1188</v>
      </c>
      <c r="G120" s="1323"/>
      <c r="H120" s="1323" t="s">
        <v>1203</v>
      </c>
      <c r="I120" s="1323"/>
      <c r="J120" s="1281" t="s">
        <v>790</v>
      </c>
      <c r="K120" s="1281" t="s">
        <v>1136</v>
      </c>
      <c r="L120" s="1281"/>
      <c r="O120" s="580" t="s">
        <v>1651</v>
      </c>
      <c r="P120" s="1281" t="s">
        <v>1064</v>
      </c>
      <c r="Q120" s="580" t="s">
        <v>1652</v>
      </c>
      <c r="R120" s="1273" t="s">
        <v>1191</v>
      </c>
      <c r="S120" s="580" t="s">
        <v>1190</v>
      </c>
      <c r="T120" s="1273" t="s">
        <v>1192</v>
      </c>
      <c r="U120" s="1323" t="s">
        <v>1653</v>
      </c>
      <c r="V120" s="1323"/>
      <c r="W120" s="580" t="s">
        <v>1654</v>
      </c>
      <c r="X120" s="1273" t="s">
        <v>1403</v>
      </c>
      <c r="Y120" s="1273" t="s">
        <v>1404</v>
      </c>
      <c r="Z120" s="1273" t="s">
        <v>1210</v>
      </c>
      <c r="AA120" s="1273" t="s">
        <v>1201</v>
      </c>
      <c r="AB120" s="1273" t="s">
        <v>1202</v>
      </c>
      <c r="AC120" s="1281" t="s">
        <v>850</v>
      </c>
      <c r="AD120" s="1281" t="str">
        <f>AC120</f>
        <v>W/K Inv</v>
      </c>
      <c r="AE120" s="226" t="s">
        <v>1017</v>
      </c>
      <c r="AF120" s="597"/>
      <c r="AG120" s="581" t="s">
        <v>760</v>
      </c>
      <c r="AH120" s="590">
        <f>(AD60/0.2)*31/1000*(6.1/6)</f>
        <v>0</v>
      </c>
      <c r="AI120" s="590">
        <f>AH120</f>
        <v>0</v>
      </c>
      <c r="AJ120" s="590">
        <f t="shared" ref="AJ120:AS120" si="67">AI120</f>
        <v>0</v>
      </c>
      <c r="AK120" s="590">
        <f t="shared" si="67"/>
        <v>0</v>
      </c>
      <c r="AL120" s="590">
        <f t="shared" si="67"/>
        <v>0</v>
      </c>
      <c r="AM120" s="590">
        <f t="shared" si="67"/>
        <v>0</v>
      </c>
      <c r="AN120" s="590">
        <f t="shared" si="67"/>
        <v>0</v>
      </c>
      <c r="AO120" s="590">
        <f t="shared" si="67"/>
        <v>0</v>
      </c>
      <c r="AP120" s="590">
        <f t="shared" si="67"/>
        <v>0</v>
      </c>
      <c r="AQ120" s="590">
        <f t="shared" si="67"/>
        <v>0</v>
      </c>
      <c r="AR120" s="590">
        <f t="shared" si="67"/>
        <v>0</v>
      </c>
      <c r="AS120" s="590">
        <f t="shared" si="67"/>
        <v>0</v>
      </c>
    </row>
    <row r="121" spans="1:50" ht="15" customHeight="1">
      <c r="B121" s="1273"/>
      <c r="C121" s="148" t="s">
        <v>623</v>
      </c>
      <c r="D121" s="580" t="s">
        <v>1185</v>
      </c>
      <c r="E121" s="580" t="s">
        <v>1186</v>
      </c>
      <c r="F121" s="580" t="s">
        <v>623</v>
      </c>
      <c r="G121" s="580" t="s">
        <v>1189</v>
      </c>
      <c r="H121" s="580" t="s">
        <v>757</v>
      </c>
      <c r="I121" s="580" t="s">
        <v>650</v>
      </c>
      <c r="J121" s="1281"/>
      <c r="K121" s="166" t="s">
        <v>623</v>
      </c>
      <c r="L121" s="602" t="s">
        <v>1122</v>
      </c>
      <c r="O121" s="580" t="s">
        <v>1187</v>
      </c>
      <c r="P121" s="1281"/>
      <c r="Q121" s="580" t="s">
        <v>1187</v>
      </c>
      <c r="R121" s="1273"/>
      <c r="S121" s="580" t="s">
        <v>18</v>
      </c>
      <c r="T121" s="1273"/>
      <c r="U121" s="580" t="s">
        <v>1199</v>
      </c>
      <c r="V121" s="148" t="s">
        <v>1200</v>
      </c>
      <c r="W121" s="176" t="s">
        <v>1187</v>
      </c>
      <c r="X121" s="1273"/>
      <c r="Y121" s="1273"/>
      <c r="Z121" s="1273"/>
      <c r="AA121" s="1273"/>
      <c r="AB121" s="1273"/>
      <c r="AC121" s="1281"/>
      <c r="AD121" s="1281"/>
      <c r="AE121" s="603" t="e">
        <f>Q36</f>
        <v>#N/A</v>
      </c>
      <c r="AF121" s="597"/>
      <c r="AG121" s="608" t="s">
        <v>762</v>
      </c>
      <c r="AH121" s="590">
        <f>AK121*AH72/30</f>
        <v>71.3</v>
      </c>
      <c r="AI121" s="590">
        <f>AK121*AI72/30</f>
        <v>64.400000000000006</v>
      </c>
      <c r="AJ121" s="590">
        <f>AH121</f>
        <v>71.3</v>
      </c>
      <c r="AK121" s="590">
        <f>AJ50</f>
        <v>69</v>
      </c>
      <c r="AL121" s="590">
        <f>AJ121</f>
        <v>71.3</v>
      </c>
      <c r="AM121" s="590">
        <f>AK121</f>
        <v>69</v>
      </c>
      <c r="AN121" s="590">
        <f>AJ121</f>
        <v>71.3</v>
      </c>
      <c r="AO121" s="590">
        <f>AJ121</f>
        <v>71.3</v>
      </c>
      <c r="AP121" s="590">
        <f>AK121</f>
        <v>69</v>
      </c>
      <c r="AQ121" s="590">
        <f>AJ121</f>
        <v>71.3</v>
      </c>
      <c r="AR121" s="590">
        <f>AK121</f>
        <v>69</v>
      </c>
      <c r="AS121" s="590">
        <f>AJ121</f>
        <v>71.3</v>
      </c>
    </row>
    <row r="122" spans="1:50" s="173" customFormat="1" ht="15" customHeight="1">
      <c r="A122" s="126"/>
      <c r="B122" s="581" t="s">
        <v>225</v>
      </c>
      <c r="C122" s="604"/>
      <c r="D122" s="604"/>
      <c r="E122" s="604"/>
      <c r="F122" s="604"/>
      <c r="G122" s="604"/>
      <c r="H122" s="176" t="e">
        <f t="shared" ref="H122:H130" si="68">IF(W122=0,"-",IF($O$4=6,"No Aplica",HLOOKUP(AA122,ZONA2,2,TRUE)))</f>
        <v>#N/A</v>
      </c>
      <c r="I122" s="176" t="e">
        <f t="shared" ref="I122:I130" si="69">IF(W122=0,"-",IF($O$4=6,HLOOKUP(AB122,ZONA3,2,TRUE),HLOOKUP(AB122,ZONA1,2,TRUE)))</f>
        <v>#N/A</v>
      </c>
      <c r="J122" s="604"/>
      <c r="K122" s="604"/>
      <c r="L122" s="604"/>
      <c r="M122" s="126"/>
      <c r="N122" s="126"/>
      <c r="O122" s="590" t="e">
        <f t="shared" ref="O122:O130" si="70">$W$104-Q122</f>
        <v>#N/A</v>
      </c>
      <c r="P122" s="176">
        <f>P104</f>
        <v>3.23</v>
      </c>
      <c r="Q122" s="580" t="e">
        <f t="shared" ref="Q122:Q130" si="71">W122*0.02</f>
        <v>#N/A</v>
      </c>
      <c r="R122" s="176">
        <f>R104</f>
        <v>3.3</v>
      </c>
      <c r="S122" s="590" t="e">
        <f t="shared" ref="S122:S130" si="72">(W122/2)+2</f>
        <v>#N/A</v>
      </c>
      <c r="T122" s="176" t="e">
        <f t="shared" ref="T122:T130" si="73">((O122*P122)+(Q122*R122)+(S122*0.02))/W122</f>
        <v>#N/A</v>
      </c>
      <c r="U122" s="176">
        <f>U104</f>
        <v>200</v>
      </c>
      <c r="V122" s="176" t="e">
        <f t="shared" ref="V122:V130" si="74">IF(W122=0,0,U122*W122)</f>
        <v>#N/A</v>
      </c>
      <c r="W122" s="605" t="e">
        <f t="shared" ref="W122:W123" si="75">IF($R$36=2,$O$36/2,IF($R$36=4,$O$36/4,IF($R$36=6,$O$36/6,IF($R$36=8,$O$36/8,IF($R$36=9,$O$36/9)))))</f>
        <v>#N/A</v>
      </c>
      <c r="X122" s="606" t="e">
        <f t="shared" ref="X122:X130" si="76">(V122*$AW$112)</f>
        <v>#N/A</v>
      </c>
      <c r="Y122" s="606" t="e">
        <f t="shared" ref="Y122:Y130" si="77">V122*$AW$114</f>
        <v>#N/A</v>
      </c>
      <c r="Z122" s="176">
        <f>Z104</f>
        <v>2</v>
      </c>
      <c r="AA122" s="176" t="e">
        <f t="shared" ref="AA122:AA130" si="78">IF(W122=0,0,(($AW$104*Z122)+X122+(T122*$AW$108))/W122)</f>
        <v>#N/A</v>
      </c>
      <c r="AB122" s="176" t="e">
        <f t="shared" ref="AB122:AB130" si="79">IF(W122=0,0,(($AW$106*Z122)-(X122+T122)*$AW$110)/W122)</f>
        <v>#N/A</v>
      </c>
      <c r="AC122" s="590" t="e">
        <f t="shared" ref="AC122:AC130" si="80">IF(W122=0,0,(T122*O122))</f>
        <v>#N/A</v>
      </c>
      <c r="AD122" s="590" t="e">
        <f t="shared" ref="AD122:AD130" si="81">AC122</f>
        <v>#N/A</v>
      </c>
      <c r="AE122" s="126"/>
      <c r="AF122" s="126"/>
      <c r="AG122" s="581" t="s">
        <v>1033</v>
      </c>
      <c r="AH122" s="590" t="e">
        <f t="shared" ref="AH122:AS122" si="82">AH80*23*AH72/1000</f>
        <v>#N/A</v>
      </c>
      <c r="AI122" s="590" t="e">
        <f t="shared" si="82"/>
        <v>#N/A</v>
      </c>
      <c r="AJ122" s="590" t="e">
        <f t="shared" si="82"/>
        <v>#N/A</v>
      </c>
      <c r="AK122" s="590" t="e">
        <f t="shared" si="82"/>
        <v>#N/A</v>
      </c>
      <c r="AL122" s="590" t="e">
        <f t="shared" si="82"/>
        <v>#N/A</v>
      </c>
      <c r="AM122" s="590" t="e">
        <f t="shared" si="82"/>
        <v>#N/A</v>
      </c>
      <c r="AN122" s="590" t="e">
        <f t="shared" si="82"/>
        <v>#N/A</v>
      </c>
      <c r="AO122" s="590" t="e">
        <f t="shared" si="82"/>
        <v>#N/A</v>
      </c>
      <c r="AP122" s="590" t="e">
        <f t="shared" si="82"/>
        <v>#N/A</v>
      </c>
      <c r="AQ122" s="590" t="e">
        <f t="shared" si="82"/>
        <v>#N/A</v>
      </c>
      <c r="AR122" s="590" t="e">
        <f t="shared" si="82"/>
        <v>#N/A</v>
      </c>
      <c r="AS122" s="590" t="e">
        <f t="shared" si="82"/>
        <v>#N/A</v>
      </c>
      <c r="AX122" s="126"/>
    </row>
    <row r="123" spans="1:50" ht="15" customHeight="1">
      <c r="B123" s="581" t="s">
        <v>225</v>
      </c>
      <c r="C123" s="604"/>
      <c r="D123" s="604"/>
      <c r="E123" s="604"/>
      <c r="F123" s="604"/>
      <c r="G123" s="604"/>
      <c r="H123" s="176" t="e">
        <f t="shared" si="68"/>
        <v>#N/A</v>
      </c>
      <c r="I123" s="176" t="e">
        <f t="shared" si="69"/>
        <v>#N/A</v>
      </c>
      <c r="J123" s="604"/>
      <c r="K123" s="604"/>
      <c r="L123" s="604"/>
      <c r="O123" s="590" t="e">
        <f t="shared" si="70"/>
        <v>#N/A</v>
      </c>
      <c r="P123" s="176">
        <f>P122</f>
        <v>3.23</v>
      </c>
      <c r="Q123" s="580" t="e">
        <f t="shared" si="71"/>
        <v>#N/A</v>
      </c>
      <c r="R123" s="176">
        <f>R122</f>
        <v>3.3</v>
      </c>
      <c r="S123" s="590" t="e">
        <f t="shared" si="72"/>
        <v>#N/A</v>
      </c>
      <c r="T123" s="176" t="e">
        <f t="shared" si="73"/>
        <v>#N/A</v>
      </c>
      <c r="U123" s="176">
        <f>U122</f>
        <v>200</v>
      </c>
      <c r="V123" s="176" t="e">
        <f t="shared" si="74"/>
        <v>#N/A</v>
      </c>
      <c r="W123" s="605" t="e">
        <f t="shared" si="75"/>
        <v>#N/A</v>
      </c>
      <c r="X123" s="606" t="e">
        <f t="shared" si="76"/>
        <v>#N/A</v>
      </c>
      <c r="Y123" s="606" t="e">
        <f t="shared" si="77"/>
        <v>#N/A</v>
      </c>
      <c r="Z123" s="176">
        <f>Z122</f>
        <v>2</v>
      </c>
      <c r="AA123" s="176" t="e">
        <f t="shared" si="78"/>
        <v>#N/A</v>
      </c>
      <c r="AB123" s="176" t="e">
        <f t="shared" si="79"/>
        <v>#N/A</v>
      </c>
      <c r="AC123" s="590" t="e">
        <f t="shared" si="80"/>
        <v>#N/A</v>
      </c>
      <c r="AD123" s="590" t="e">
        <f t="shared" si="81"/>
        <v>#N/A</v>
      </c>
      <c r="AF123" s="597"/>
      <c r="AG123" s="581" t="s">
        <v>991</v>
      </c>
      <c r="AH123" s="590">
        <f t="shared" ref="AH123:AS123" si="83">AH87*31*24/1000</f>
        <v>0</v>
      </c>
      <c r="AI123" s="590">
        <f t="shared" si="83"/>
        <v>0</v>
      </c>
      <c r="AJ123" s="590">
        <f t="shared" si="83"/>
        <v>0</v>
      </c>
      <c r="AK123" s="590">
        <f t="shared" si="83"/>
        <v>0</v>
      </c>
      <c r="AL123" s="590">
        <f t="shared" si="83"/>
        <v>0</v>
      </c>
      <c r="AM123" s="590">
        <f t="shared" si="83"/>
        <v>0</v>
      </c>
      <c r="AN123" s="590">
        <f t="shared" si="83"/>
        <v>0</v>
      </c>
      <c r="AO123" s="590">
        <f t="shared" si="83"/>
        <v>0</v>
      </c>
      <c r="AP123" s="590">
        <f t="shared" si="83"/>
        <v>0</v>
      </c>
      <c r="AQ123" s="590">
        <f t="shared" si="83"/>
        <v>0</v>
      </c>
      <c r="AR123" s="590">
        <f t="shared" si="83"/>
        <v>0</v>
      </c>
      <c r="AS123" s="590">
        <f t="shared" si="83"/>
        <v>0</v>
      </c>
    </row>
    <row r="124" spans="1:50" ht="15" customHeight="1">
      <c r="B124" s="581" t="s">
        <v>225</v>
      </c>
      <c r="C124" s="604"/>
      <c r="D124" s="604"/>
      <c r="E124" s="604"/>
      <c r="F124" s="604"/>
      <c r="G124" s="604"/>
      <c r="H124" s="176" t="e">
        <f t="shared" si="68"/>
        <v>#N/A</v>
      </c>
      <c r="I124" s="176" t="e">
        <f t="shared" si="69"/>
        <v>#N/A</v>
      </c>
      <c r="J124" s="604"/>
      <c r="K124" s="604"/>
      <c r="L124" s="604"/>
      <c r="O124" s="590" t="e">
        <f t="shared" si="70"/>
        <v>#N/A</v>
      </c>
      <c r="P124" s="176">
        <f t="shared" ref="P124:R130" si="84">P123</f>
        <v>3.23</v>
      </c>
      <c r="Q124" s="580" t="e">
        <f t="shared" si="71"/>
        <v>#N/A</v>
      </c>
      <c r="R124" s="176">
        <f t="shared" si="84"/>
        <v>3.3</v>
      </c>
      <c r="S124" s="590" t="e">
        <f t="shared" si="72"/>
        <v>#N/A</v>
      </c>
      <c r="T124" s="176" t="e">
        <f t="shared" si="73"/>
        <v>#N/A</v>
      </c>
      <c r="U124" s="176">
        <f t="shared" ref="U124:U130" si="85">U123</f>
        <v>200</v>
      </c>
      <c r="V124" s="176" t="e">
        <f t="shared" si="74"/>
        <v>#N/A</v>
      </c>
      <c r="W124" s="605" t="e">
        <f>IF($R$36=2,0,IF($R$36=4,$O$36/4,IF($R$36=6,$O$36/6,IF($R$36=8,$O$36/8,IF($R$36=9,$O$36/9)))))</f>
        <v>#N/A</v>
      </c>
      <c r="X124" s="606" t="e">
        <f t="shared" si="76"/>
        <v>#N/A</v>
      </c>
      <c r="Y124" s="606" t="e">
        <f t="shared" si="77"/>
        <v>#N/A</v>
      </c>
      <c r="Z124" s="176">
        <f t="shared" ref="Z124:Z130" si="86">Z123</f>
        <v>2</v>
      </c>
      <c r="AA124" s="176" t="e">
        <f t="shared" si="78"/>
        <v>#N/A</v>
      </c>
      <c r="AB124" s="176" t="e">
        <f t="shared" si="79"/>
        <v>#N/A</v>
      </c>
      <c r="AC124" s="590" t="e">
        <f t="shared" si="80"/>
        <v>#N/A</v>
      </c>
      <c r="AD124" s="590" t="e">
        <f t="shared" si="81"/>
        <v>#N/A</v>
      </c>
    </row>
    <row r="125" spans="1:50" ht="15" customHeight="1">
      <c r="B125" s="581" t="s">
        <v>225</v>
      </c>
      <c r="C125" s="604"/>
      <c r="D125" s="604"/>
      <c r="E125" s="604"/>
      <c r="F125" s="604"/>
      <c r="G125" s="604"/>
      <c r="H125" s="176" t="e">
        <f t="shared" si="68"/>
        <v>#N/A</v>
      </c>
      <c r="I125" s="176" t="e">
        <f t="shared" si="69"/>
        <v>#N/A</v>
      </c>
      <c r="J125" s="604"/>
      <c r="K125" s="604"/>
      <c r="L125" s="604"/>
      <c r="O125" s="590" t="e">
        <f t="shared" si="70"/>
        <v>#N/A</v>
      </c>
      <c r="P125" s="176">
        <f t="shared" si="84"/>
        <v>3.23</v>
      </c>
      <c r="Q125" s="580" t="e">
        <f t="shared" si="71"/>
        <v>#N/A</v>
      </c>
      <c r="R125" s="176">
        <f t="shared" si="84"/>
        <v>3.3</v>
      </c>
      <c r="S125" s="590" t="e">
        <f t="shared" si="72"/>
        <v>#N/A</v>
      </c>
      <c r="T125" s="176" t="e">
        <f t="shared" si="73"/>
        <v>#N/A</v>
      </c>
      <c r="U125" s="176">
        <f t="shared" si="85"/>
        <v>200</v>
      </c>
      <c r="V125" s="176" t="e">
        <f t="shared" si="74"/>
        <v>#N/A</v>
      </c>
      <c r="W125" s="605" t="e">
        <f t="shared" ref="W125" si="87">IF($R$36=2,0,IF($R$36=4,$O$36/4,IF($R$36=6,$O$36/6,IF($R$36=8,$O$36/8,IF($R$36=9,$O$36/9)))))</f>
        <v>#N/A</v>
      </c>
      <c r="X125" s="606" t="e">
        <f t="shared" si="76"/>
        <v>#N/A</v>
      </c>
      <c r="Y125" s="606" t="e">
        <f t="shared" si="77"/>
        <v>#N/A</v>
      </c>
      <c r="Z125" s="176">
        <f t="shared" si="86"/>
        <v>2</v>
      </c>
      <c r="AA125" s="176" t="e">
        <f t="shared" si="78"/>
        <v>#N/A</v>
      </c>
      <c r="AB125" s="176" t="e">
        <f t="shared" si="79"/>
        <v>#N/A</v>
      </c>
      <c r="AC125" s="590" t="e">
        <f t="shared" si="80"/>
        <v>#N/A</v>
      </c>
      <c r="AD125" s="590" t="e">
        <f t="shared" si="81"/>
        <v>#N/A</v>
      </c>
      <c r="AF125" s="597"/>
      <c r="AG125" s="581" t="s">
        <v>1620</v>
      </c>
      <c r="AH125" s="590">
        <v>0</v>
      </c>
      <c r="AI125" s="590">
        <v>0</v>
      </c>
      <c r="AJ125" s="590">
        <v>0</v>
      </c>
      <c r="AK125" s="590">
        <v>0</v>
      </c>
      <c r="AL125" s="590">
        <v>0</v>
      </c>
      <c r="AM125" s="590">
        <v>0</v>
      </c>
      <c r="AN125" s="590">
        <v>0</v>
      </c>
      <c r="AO125" s="590">
        <v>0</v>
      </c>
      <c r="AP125" s="590">
        <v>0</v>
      </c>
      <c r="AQ125" s="590">
        <v>0</v>
      </c>
      <c r="AR125" s="590">
        <v>0</v>
      </c>
      <c r="AS125" s="590">
        <v>0</v>
      </c>
    </row>
    <row r="126" spans="1:50" ht="15" customHeight="1">
      <c r="B126" s="581" t="s">
        <v>225</v>
      </c>
      <c r="C126" s="604"/>
      <c r="D126" s="604"/>
      <c r="E126" s="604"/>
      <c r="F126" s="604"/>
      <c r="G126" s="604"/>
      <c r="H126" s="176" t="e">
        <f t="shared" si="68"/>
        <v>#N/A</v>
      </c>
      <c r="I126" s="176" t="e">
        <f t="shared" si="69"/>
        <v>#N/A</v>
      </c>
      <c r="J126" s="604"/>
      <c r="K126" s="604"/>
      <c r="L126" s="604"/>
      <c r="O126" s="590" t="e">
        <f t="shared" si="70"/>
        <v>#N/A</v>
      </c>
      <c r="P126" s="176">
        <f t="shared" si="84"/>
        <v>3.23</v>
      </c>
      <c r="Q126" s="580" t="e">
        <f t="shared" si="71"/>
        <v>#N/A</v>
      </c>
      <c r="R126" s="176">
        <f t="shared" si="84"/>
        <v>3.3</v>
      </c>
      <c r="S126" s="590" t="e">
        <f t="shared" si="72"/>
        <v>#N/A</v>
      </c>
      <c r="T126" s="176" t="e">
        <f t="shared" si="73"/>
        <v>#N/A</v>
      </c>
      <c r="U126" s="176">
        <f t="shared" si="85"/>
        <v>200</v>
      </c>
      <c r="V126" s="176" t="e">
        <f t="shared" si="74"/>
        <v>#N/A</v>
      </c>
      <c r="W126" s="605" t="e">
        <f>IF($R$36=2,0,IF($R$36=4,0,IF($R$36=6,$O$36/6,IF($R$36=8,$O$36/8,IF($R$36=9,$O$36/9)))))</f>
        <v>#N/A</v>
      </c>
      <c r="X126" s="606" t="e">
        <f t="shared" si="76"/>
        <v>#N/A</v>
      </c>
      <c r="Y126" s="606" t="e">
        <f t="shared" si="77"/>
        <v>#N/A</v>
      </c>
      <c r="Z126" s="176">
        <f t="shared" si="86"/>
        <v>2</v>
      </c>
      <c r="AA126" s="176" t="e">
        <f t="shared" si="78"/>
        <v>#N/A</v>
      </c>
      <c r="AB126" s="176" t="e">
        <f t="shared" si="79"/>
        <v>#N/A</v>
      </c>
      <c r="AC126" s="590" t="e">
        <f t="shared" si="80"/>
        <v>#N/A</v>
      </c>
      <c r="AD126" s="590" t="e">
        <f t="shared" si="81"/>
        <v>#N/A</v>
      </c>
    </row>
    <row r="127" spans="1:50" ht="15" customHeight="1">
      <c r="B127" s="581" t="s">
        <v>225</v>
      </c>
      <c r="C127" s="604"/>
      <c r="D127" s="604"/>
      <c r="E127" s="604"/>
      <c r="F127" s="604"/>
      <c r="G127" s="604"/>
      <c r="H127" s="176" t="e">
        <f t="shared" si="68"/>
        <v>#N/A</v>
      </c>
      <c r="I127" s="176" t="e">
        <f t="shared" si="69"/>
        <v>#N/A</v>
      </c>
      <c r="J127" s="604"/>
      <c r="K127" s="604"/>
      <c r="L127" s="604"/>
      <c r="O127" s="590" t="e">
        <f t="shared" si="70"/>
        <v>#N/A</v>
      </c>
      <c r="P127" s="176">
        <f t="shared" si="84"/>
        <v>3.23</v>
      </c>
      <c r="Q127" s="580" t="e">
        <f t="shared" si="71"/>
        <v>#N/A</v>
      </c>
      <c r="R127" s="176">
        <f t="shared" si="84"/>
        <v>3.3</v>
      </c>
      <c r="S127" s="590" t="e">
        <f t="shared" si="72"/>
        <v>#N/A</v>
      </c>
      <c r="T127" s="176" t="e">
        <f t="shared" si="73"/>
        <v>#N/A</v>
      </c>
      <c r="U127" s="176">
        <f t="shared" si="85"/>
        <v>200</v>
      </c>
      <c r="V127" s="176" t="e">
        <f t="shared" si="74"/>
        <v>#N/A</v>
      </c>
      <c r="W127" s="605" t="e">
        <f>IF($R$36=2,0,IF($R$36=4,0,IF($R$36=6,$O$36/6,IF($R$36=8,$O$36/8,IF($R$36=9,$O$36/9)))))</f>
        <v>#N/A</v>
      </c>
      <c r="X127" s="606" t="e">
        <f t="shared" si="76"/>
        <v>#N/A</v>
      </c>
      <c r="Y127" s="606" t="e">
        <f t="shared" si="77"/>
        <v>#N/A</v>
      </c>
      <c r="Z127" s="176">
        <f t="shared" si="86"/>
        <v>2</v>
      </c>
      <c r="AA127" s="176" t="e">
        <f t="shared" si="78"/>
        <v>#N/A</v>
      </c>
      <c r="AB127" s="176" t="e">
        <f t="shared" si="79"/>
        <v>#N/A</v>
      </c>
      <c r="AC127" s="590" t="e">
        <f t="shared" si="80"/>
        <v>#N/A</v>
      </c>
      <c r="AD127" s="590" t="e">
        <f t="shared" si="81"/>
        <v>#N/A</v>
      </c>
      <c r="AF127" s="597"/>
    </row>
    <row r="128" spans="1:50" ht="15" customHeight="1">
      <c r="B128" s="581" t="s">
        <v>225</v>
      </c>
      <c r="C128" s="604"/>
      <c r="D128" s="604"/>
      <c r="E128" s="604"/>
      <c r="F128" s="604"/>
      <c r="G128" s="604"/>
      <c r="H128" s="176" t="e">
        <f t="shared" si="68"/>
        <v>#N/A</v>
      </c>
      <c r="I128" s="176" t="e">
        <f t="shared" si="69"/>
        <v>#N/A</v>
      </c>
      <c r="J128" s="604"/>
      <c r="K128" s="604"/>
      <c r="L128" s="604"/>
      <c r="O128" s="590" t="e">
        <f t="shared" si="70"/>
        <v>#N/A</v>
      </c>
      <c r="P128" s="176">
        <f t="shared" si="84"/>
        <v>3.23</v>
      </c>
      <c r="Q128" s="580" t="e">
        <f t="shared" si="71"/>
        <v>#N/A</v>
      </c>
      <c r="R128" s="176">
        <f t="shared" si="84"/>
        <v>3.3</v>
      </c>
      <c r="S128" s="590" t="e">
        <f t="shared" si="72"/>
        <v>#N/A</v>
      </c>
      <c r="T128" s="176" t="e">
        <f t="shared" si="73"/>
        <v>#N/A</v>
      </c>
      <c r="U128" s="176">
        <f t="shared" si="85"/>
        <v>200</v>
      </c>
      <c r="V128" s="176" t="e">
        <f t="shared" si="74"/>
        <v>#N/A</v>
      </c>
      <c r="W128" s="605" t="e">
        <f>IF($R$36=2,0,IF($R$36=4,0,IF($R$36=6,0,IF($R$36=8,$O$36/8,IF($R$36=9,$O$36/9)))))</f>
        <v>#N/A</v>
      </c>
      <c r="X128" s="606" t="e">
        <f t="shared" si="76"/>
        <v>#N/A</v>
      </c>
      <c r="Y128" s="606" t="e">
        <f t="shared" si="77"/>
        <v>#N/A</v>
      </c>
      <c r="Z128" s="176">
        <f t="shared" si="86"/>
        <v>2</v>
      </c>
      <c r="AA128" s="176" t="e">
        <f t="shared" si="78"/>
        <v>#N/A</v>
      </c>
      <c r="AB128" s="176" t="e">
        <f t="shared" si="79"/>
        <v>#N/A</v>
      </c>
      <c r="AC128" s="590" t="e">
        <f t="shared" si="80"/>
        <v>#N/A</v>
      </c>
      <c r="AD128" s="590" t="e">
        <f t="shared" si="81"/>
        <v>#N/A</v>
      </c>
      <c r="AG128" s="581" t="s">
        <v>1784</v>
      </c>
      <c r="AH128" s="590">
        <f>IF(AH62&lt;=$AW$59,(($AF$175*AH70*24*($Q$175*0.5)*AH72/(2.5*1000))*-1),0)</f>
        <v>0</v>
      </c>
      <c r="AI128" s="590">
        <f t="shared" ref="AI128:AS128" si="88">IF(AI62&lt;=$AW$59,(($AF$175*AI70*24*($Q$175*0.5)*AI72/(2.5*1000))*-1),0)</f>
        <v>0</v>
      </c>
      <c r="AJ128" s="590">
        <f t="shared" si="88"/>
        <v>0</v>
      </c>
      <c r="AK128" s="590">
        <f t="shared" si="88"/>
        <v>0</v>
      </c>
      <c r="AL128" s="590">
        <f t="shared" si="88"/>
        <v>0</v>
      </c>
      <c r="AM128" s="590">
        <f t="shared" si="88"/>
        <v>0</v>
      </c>
      <c r="AN128" s="590">
        <f t="shared" si="88"/>
        <v>0</v>
      </c>
      <c r="AO128" s="590">
        <f t="shared" si="88"/>
        <v>0</v>
      </c>
      <c r="AP128" s="590">
        <f t="shared" si="88"/>
        <v>0</v>
      </c>
      <c r="AQ128" s="590">
        <f t="shared" si="88"/>
        <v>0</v>
      </c>
      <c r="AR128" s="590">
        <f t="shared" si="88"/>
        <v>0</v>
      </c>
      <c r="AS128" s="590">
        <f t="shared" si="88"/>
        <v>0</v>
      </c>
    </row>
    <row r="129" spans="1:46" ht="15" customHeight="1">
      <c r="B129" s="581" t="s">
        <v>225</v>
      </c>
      <c r="C129" s="604"/>
      <c r="D129" s="604"/>
      <c r="E129" s="604"/>
      <c r="F129" s="604"/>
      <c r="G129" s="604"/>
      <c r="H129" s="176" t="e">
        <f t="shared" si="68"/>
        <v>#N/A</v>
      </c>
      <c r="I129" s="176" t="e">
        <f t="shared" si="69"/>
        <v>#N/A</v>
      </c>
      <c r="J129" s="604"/>
      <c r="K129" s="604"/>
      <c r="L129" s="604"/>
      <c r="O129" s="590" t="e">
        <f t="shared" si="70"/>
        <v>#N/A</v>
      </c>
      <c r="P129" s="176">
        <f t="shared" si="84"/>
        <v>3.23</v>
      </c>
      <c r="Q129" s="580" t="e">
        <f t="shared" si="71"/>
        <v>#N/A</v>
      </c>
      <c r="R129" s="176">
        <f t="shared" si="84"/>
        <v>3.3</v>
      </c>
      <c r="S129" s="590" t="e">
        <f t="shared" si="72"/>
        <v>#N/A</v>
      </c>
      <c r="T129" s="176" t="e">
        <f t="shared" si="73"/>
        <v>#N/A</v>
      </c>
      <c r="U129" s="176">
        <f t="shared" si="85"/>
        <v>200</v>
      </c>
      <c r="V129" s="176" t="e">
        <f t="shared" si="74"/>
        <v>#N/A</v>
      </c>
      <c r="W129" s="605" t="e">
        <f t="shared" ref="W129" si="89">IF($R$36=2,0,IF($R$36=4,0,IF($R$36=6,0,IF($R$36=8,$O$36/8,IF($R$36=9,$O$36/9)))))</f>
        <v>#N/A</v>
      </c>
      <c r="X129" s="606" t="e">
        <f t="shared" si="76"/>
        <v>#N/A</v>
      </c>
      <c r="Y129" s="606" t="e">
        <f t="shared" si="77"/>
        <v>#N/A</v>
      </c>
      <c r="Z129" s="176">
        <f t="shared" si="86"/>
        <v>2</v>
      </c>
      <c r="AA129" s="176" t="e">
        <f t="shared" si="78"/>
        <v>#N/A</v>
      </c>
      <c r="AB129" s="176" t="e">
        <f t="shared" si="79"/>
        <v>#N/A</v>
      </c>
      <c r="AC129" s="590" t="e">
        <f t="shared" si="80"/>
        <v>#N/A</v>
      </c>
      <c r="AD129" s="590" t="e">
        <f t="shared" si="81"/>
        <v>#N/A</v>
      </c>
      <c r="AF129" s="597"/>
      <c r="AG129" s="176"/>
      <c r="AH129" s="176"/>
      <c r="AI129" s="176"/>
      <c r="AJ129" s="176"/>
      <c r="AK129" s="176"/>
      <c r="AL129" s="176"/>
      <c r="AM129" s="176"/>
      <c r="AN129" s="176"/>
      <c r="AO129" s="176"/>
      <c r="AP129" s="176"/>
      <c r="AQ129" s="176"/>
      <c r="AR129" s="176"/>
      <c r="AS129" s="176"/>
    </row>
    <row r="130" spans="1:46" ht="15" customHeight="1">
      <c r="B130" s="581" t="s">
        <v>225</v>
      </c>
      <c r="C130" s="604"/>
      <c r="D130" s="604"/>
      <c r="E130" s="604"/>
      <c r="F130" s="604"/>
      <c r="G130" s="604"/>
      <c r="H130" s="176" t="e">
        <f t="shared" si="68"/>
        <v>#N/A</v>
      </c>
      <c r="I130" s="176" t="e">
        <f t="shared" si="69"/>
        <v>#N/A</v>
      </c>
      <c r="J130" s="604"/>
      <c r="K130" s="604"/>
      <c r="L130" s="604"/>
      <c r="O130" s="590" t="e">
        <f t="shared" si="70"/>
        <v>#N/A</v>
      </c>
      <c r="P130" s="176">
        <f t="shared" si="84"/>
        <v>3.23</v>
      </c>
      <c r="Q130" s="580" t="e">
        <f t="shared" si="71"/>
        <v>#N/A</v>
      </c>
      <c r="R130" s="176">
        <f t="shared" si="84"/>
        <v>3.3</v>
      </c>
      <c r="S130" s="590" t="e">
        <f t="shared" si="72"/>
        <v>#N/A</v>
      </c>
      <c r="T130" s="176" t="e">
        <f t="shared" si="73"/>
        <v>#N/A</v>
      </c>
      <c r="U130" s="176">
        <f t="shared" si="85"/>
        <v>200</v>
      </c>
      <c r="V130" s="176" t="e">
        <f t="shared" si="74"/>
        <v>#N/A</v>
      </c>
      <c r="W130" s="605" t="e">
        <f>IF($R$36=2,0,IF($R$36=4,0,IF($R$36=6,0,IF($R$36=8,0,IF($R$36=9,$O$36/9)))))</f>
        <v>#N/A</v>
      </c>
      <c r="X130" s="606" t="e">
        <f t="shared" si="76"/>
        <v>#N/A</v>
      </c>
      <c r="Y130" s="606" t="e">
        <f t="shared" si="77"/>
        <v>#N/A</v>
      </c>
      <c r="Z130" s="176">
        <f t="shared" si="86"/>
        <v>2</v>
      </c>
      <c r="AA130" s="176" t="e">
        <f t="shared" si="78"/>
        <v>#N/A</v>
      </c>
      <c r="AB130" s="176" t="e">
        <f t="shared" si="79"/>
        <v>#N/A</v>
      </c>
      <c r="AC130" s="590" t="e">
        <f t="shared" si="80"/>
        <v>#N/A</v>
      </c>
      <c r="AD130" s="590" t="e">
        <f t="shared" si="81"/>
        <v>#N/A</v>
      </c>
      <c r="AG130" s="581" t="s">
        <v>1785</v>
      </c>
      <c r="AH130" s="590">
        <f>IF(($Z$60*AH70*24*AH72/(2.5*1000))&lt;0,0,$Z$60*AH70*24*AH72/(2.5*1000))</f>
        <v>0</v>
      </c>
      <c r="AI130" s="590">
        <f t="shared" ref="AI130:AS130" si="90">IF(($Z$60*AI70*24*AI72/(2.5*1000))&lt;0,0,$Z$60*AI70*24*AI72/(2.5*1000))</f>
        <v>0</v>
      </c>
      <c r="AJ130" s="590">
        <f t="shared" si="90"/>
        <v>0</v>
      </c>
      <c r="AK130" s="590">
        <f t="shared" si="90"/>
        <v>0</v>
      </c>
      <c r="AL130" s="590">
        <f t="shared" si="90"/>
        <v>0</v>
      </c>
      <c r="AM130" s="590">
        <f t="shared" si="90"/>
        <v>0</v>
      </c>
      <c r="AN130" s="590">
        <f t="shared" si="90"/>
        <v>0</v>
      </c>
      <c r="AO130" s="590">
        <f t="shared" si="90"/>
        <v>0</v>
      </c>
      <c r="AP130" s="590">
        <f t="shared" si="90"/>
        <v>0</v>
      </c>
      <c r="AQ130" s="590">
        <f t="shared" si="90"/>
        <v>0</v>
      </c>
      <c r="AR130" s="590">
        <f t="shared" si="90"/>
        <v>0</v>
      </c>
      <c r="AS130" s="590">
        <f t="shared" si="90"/>
        <v>0</v>
      </c>
    </row>
    <row r="131" spans="1:46" ht="15" customHeight="1">
      <c r="D131" s="126"/>
      <c r="E131" s="126"/>
      <c r="K131" s="126"/>
      <c r="L131" s="126"/>
      <c r="Q131" s="126"/>
      <c r="R131" s="126"/>
      <c r="V131" s="126"/>
      <c r="X131" s="126"/>
      <c r="AF131" s="597"/>
    </row>
    <row r="132" spans="1:46" ht="15" customHeight="1">
      <c r="D132" s="126"/>
      <c r="E132" s="126"/>
      <c r="K132" s="126"/>
      <c r="L132" s="126"/>
      <c r="Q132" s="126"/>
      <c r="R132" s="126"/>
      <c r="V132" s="126"/>
      <c r="X132" s="126"/>
      <c r="AF132" s="597"/>
      <c r="AG132" s="581" t="s">
        <v>1543</v>
      </c>
      <c r="AH132" s="590" t="e">
        <f>($AW$90*AH111*24/1000)+(AH118*0.05)</f>
        <v>#N/A</v>
      </c>
      <c r="AI132" s="590" t="e">
        <f t="shared" ref="AI132:AS132" si="91">($AW$90*AI111*24/1000)+(AI118*0.05)</f>
        <v>#N/A</v>
      </c>
      <c r="AJ132" s="590" t="e">
        <f t="shared" si="91"/>
        <v>#N/A</v>
      </c>
      <c r="AK132" s="590" t="e">
        <f t="shared" si="91"/>
        <v>#N/A</v>
      </c>
      <c r="AL132" s="590" t="e">
        <f t="shared" si="91"/>
        <v>#N/A</v>
      </c>
      <c r="AM132" s="590" t="e">
        <f t="shared" si="91"/>
        <v>#N/A</v>
      </c>
      <c r="AN132" s="590" t="e">
        <f t="shared" si="91"/>
        <v>#N/A</v>
      </c>
      <c r="AO132" s="590" t="e">
        <f t="shared" si="91"/>
        <v>#N/A</v>
      </c>
      <c r="AP132" s="590" t="e">
        <f t="shared" si="91"/>
        <v>#N/A</v>
      </c>
      <c r="AQ132" s="590" t="e">
        <f t="shared" si="91"/>
        <v>#N/A</v>
      </c>
      <c r="AR132" s="590" t="e">
        <f t="shared" si="91"/>
        <v>#N/A</v>
      </c>
      <c r="AS132" s="590" t="e">
        <f t="shared" si="91"/>
        <v>#N/A</v>
      </c>
    </row>
    <row r="133" spans="1:46" ht="15" customHeight="1">
      <c r="C133" s="1323" t="s">
        <v>1204</v>
      </c>
      <c r="D133" s="1323"/>
      <c r="E133" s="580" t="s">
        <v>1185</v>
      </c>
      <c r="F133" s="580" t="s">
        <v>1186</v>
      </c>
      <c r="G133" s="580" t="s">
        <v>227</v>
      </c>
      <c r="K133" s="126"/>
      <c r="L133" s="126"/>
      <c r="Q133" s="126"/>
      <c r="R133" s="126"/>
      <c r="V133" s="126"/>
      <c r="X133" s="126"/>
      <c r="AF133" s="597"/>
      <c r="AG133" s="580" t="s">
        <v>1816</v>
      </c>
      <c r="AH133" s="590">
        <f t="shared" ref="AH133:AS133" si="92">$Z$60*AH111*24/(7.2*1000)</f>
        <v>0</v>
      </c>
      <c r="AI133" s="590">
        <f t="shared" si="92"/>
        <v>0</v>
      </c>
      <c r="AJ133" s="590">
        <f t="shared" si="92"/>
        <v>0</v>
      </c>
      <c r="AK133" s="590">
        <f t="shared" si="92"/>
        <v>0</v>
      </c>
      <c r="AL133" s="590">
        <f t="shared" si="92"/>
        <v>0</v>
      </c>
      <c r="AM133" s="590">
        <f t="shared" si="92"/>
        <v>0</v>
      </c>
      <c r="AN133" s="590">
        <f t="shared" si="92"/>
        <v>0</v>
      </c>
      <c r="AO133" s="590">
        <f t="shared" si="92"/>
        <v>0</v>
      </c>
      <c r="AP133" s="590">
        <f t="shared" si="92"/>
        <v>0</v>
      </c>
      <c r="AQ133" s="590">
        <f t="shared" si="92"/>
        <v>0</v>
      </c>
      <c r="AR133" s="590">
        <f t="shared" si="92"/>
        <v>0</v>
      </c>
      <c r="AS133" s="590">
        <f t="shared" si="92"/>
        <v>0</v>
      </c>
    </row>
    <row r="134" spans="1:46" ht="15" customHeight="1">
      <c r="B134" s="581" t="s">
        <v>768</v>
      </c>
      <c r="C134" s="1324"/>
      <c r="D134" s="1324"/>
      <c r="E134" s="589">
        <f>ENERGÍA!F140</f>
        <v>0</v>
      </c>
      <c r="F134" s="589">
        <f>ENERGÍA!G140</f>
        <v>0</v>
      </c>
      <c r="G134" s="589">
        <f>ENERGÍA!H140</f>
        <v>0</v>
      </c>
      <c r="K134" s="126"/>
      <c r="L134" s="126"/>
      <c r="T134" s="590">
        <f>ENERGÍA!U140</f>
        <v>0</v>
      </c>
      <c r="V134" s="126"/>
      <c r="X134" s="126"/>
      <c r="AC134" s="590">
        <f>T134*E134*F134</f>
        <v>0</v>
      </c>
      <c r="AD134" s="590">
        <f>AC134</f>
        <v>0</v>
      </c>
    </row>
    <row r="135" spans="1:46" ht="6" customHeight="1">
      <c r="L135" s="126"/>
      <c r="V135" s="148"/>
      <c r="Z135" s="580"/>
      <c r="AA135" s="580"/>
    </row>
    <row r="136" spans="1:46" ht="15" customHeight="1">
      <c r="B136" s="1323">
        <f>C37</f>
        <v>0</v>
      </c>
      <c r="C136" s="1323"/>
      <c r="D136" s="1323"/>
      <c r="E136" s="1323"/>
      <c r="F136" s="1323"/>
      <c r="G136" s="1323"/>
      <c r="H136" s="1323"/>
      <c r="I136" s="1323"/>
      <c r="J136" s="1323"/>
      <c r="K136" s="1323"/>
      <c r="L136" s="1323"/>
      <c r="O136" s="1320">
        <f>B136</f>
        <v>0</v>
      </c>
      <c r="P136" s="1321"/>
      <c r="Q136" s="1321"/>
      <c r="R136" s="1321"/>
      <c r="S136" s="1321"/>
      <c r="T136" s="1321"/>
      <c r="U136" s="1321"/>
      <c r="V136" s="1321"/>
      <c r="W136" s="1321"/>
      <c r="X136" s="1321"/>
      <c r="Y136" s="1321"/>
      <c r="Z136" s="1321"/>
      <c r="AA136" s="1321"/>
      <c r="AB136" s="1321"/>
      <c r="AC136" s="1321"/>
      <c r="AD136" s="1321"/>
      <c r="AE136" s="1322"/>
      <c r="AG136" s="581" t="s">
        <v>1621</v>
      </c>
      <c r="AH136" s="590" t="e">
        <f>IF(AH62&gt;$AW$59,0,($AW$96*$AW$64*(24/1000)*AH112*AH115)-AH125-(AH128*0.15))</f>
        <v>#N/A</v>
      </c>
      <c r="AI136" s="590" t="e">
        <f t="shared" ref="AI136:AS136" si="93">IF(AI62&gt;$AW$59,0,($AW$96*$AW$64*(24/1000)*AI112*AI115)-AI125-(AI128*0.15))</f>
        <v>#N/A</v>
      </c>
      <c r="AJ136" s="590" t="e">
        <f t="shared" si="93"/>
        <v>#N/A</v>
      </c>
      <c r="AK136" s="590" t="e">
        <f t="shared" si="93"/>
        <v>#N/A</v>
      </c>
      <c r="AL136" s="590" t="e">
        <f t="shared" si="93"/>
        <v>#N/A</v>
      </c>
      <c r="AM136" s="590" t="e">
        <f>IF(AM62&gt;$AW$59,0,($AW$96*$AW$64*(24/1000)*AM112*AM115)-AM125-(AM128*0.15))</f>
        <v>#N/A</v>
      </c>
      <c r="AN136" s="590" t="e">
        <f t="shared" si="93"/>
        <v>#N/A</v>
      </c>
      <c r="AO136" s="590" t="e">
        <f t="shared" si="93"/>
        <v>#N/A</v>
      </c>
      <c r="AP136" s="590" t="e">
        <f t="shared" si="93"/>
        <v>#N/A</v>
      </c>
      <c r="AQ136" s="590" t="e">
        <f t="shared" si="93"/>
        <v>#N/A</v>
      </c>
      <c r="AR136" s="590" t="e">
        <f t="shared" si="93"/>
        <v>#N/A</v>
      </c>
      <c r="AS136" s="590" t="e">
        <f t="shared" si="93"/>
        <v>#N/A</v>
      </c>
    </row>
    <row r="137" spans="1:46" ht="6" customHeight="1">
      <c r="L137" s="126"/>
      <c r="V137" s="148"/>
      <c r="Z137" s="580"/>
      <c r="AA137" s="580"/>
    </row>
    <row r="138" spans="1:46" ht="15" customHeight="1">
      <c r="B138" s="1273"/>
      <c r="C138" s="1323" t="s">
        <v>1184</v>
      </c>
      <c r="D138" s="1323"/>
      <c r="E138" s="1323"/>
      <c r="F138" s="1323" t="s">
        <v>1188</v>
      </c>
      <c r="G138" s="1323"/>
      <c r="H138" s="1323" t="s">
        <v>1203</v>
      </c>
      <c r="I138" s="1323"/>
      <c r="J138" s="1281" t="s">
        <v>790</v>
      </c>
      <c r="K138" s="1281" t="s">
        <v>1136</v>
      </c>
      <c r="L138" s="1281"/>
      <c r="O138" s="580" t="s">
        <v>1651</v>
      </c>
      <c r="P138" s="1281" t="s">
        <v>1064</v>
      </c>
      <c r="Q138" s="580" t="s">
        <v>1652</v>
      </c>
      <c r="R138" s="1273" t="s">
        <v>1191</v>
      </c>
      <c r="S138" s="580" t="s">
        <v>1190</v>
      </c>
      <c r="T138" s="1273" t="s">
        <v>1192</v>
      </c>
      <c r="U138" s="1323" t="s">
        <v>1653</v>
      </c>
      <c r="V138" s="1323"/>
      <c r="W138" s="580" t="s">
        <v>1654</v>
      </c>
      <c r="X138" s="1273" t="s">
        <v>1403</v>
      </c>
      <c r="Y138" s="1273" t="s">
        <v>1404</v>
      </c>
      <c r="Z138" s="1273" t="s">
        <v>1210</v>
      </c>
      <c r="AA138" s="1273" t="s">
        <v>1201</v>
      </c>
      <c r="AB138" s="1273" t="s">
        <v>1202</v>
      </c>
      <c r="AC138" s="1281" t="s">
        <v>850</v>
      </c>
      <c r="AD138" s="1281" t="str">
        <f>AC138</f>
        <v>W/K Inv</v>
      </c>
      <c r="AE138" s="226" t="s">
        <v>1017</v>
      </c>
    </row>
    <row r="139" spans="1:46" ht="15" customHeight="1">
      <c r="B139" s="1273"/>
      <c r="C139" s="148" t="s">
        <v>623</v>
      </c>
      <c r="D139" s="580" t="s">
        <v>1185</v>
      </c>
      <c r="E139" s="580" t="s">
        <v>1186</v>
      </c>
      <c r="F139" s="580" t="s">
        <v>623</v>
      </c>
      <c r="G139" s="580" t="s">
        <v>1189</v>
      </c>
      <c r="H139" s="580" t="s">
        <v>757</v>
      </c>
      <c r="I139" s="580" t="s">
        <v>650</v>
      </c>
      <c r="J139" s="1281"/>
      <c r="K139" s="166" t="s">
        <v>623</v>
      </c>
      <c r="L139" s="602" t="s">
        <v>1122</v>
      </c>
      <c r="O139" s="580" t="s">
        <v>1187</v>
      </c>
      <c r="P139" s="1281"/>
      <c r="Q139" s="580" t="s">
        <v>1187</v>
      </c>
      <c r="R139" s="1273"/>
      <c r="S139" s="580" t="s">
        <v>18</v>
      </c>
      <c r="T139" s="1273"/>
      <c r="U139" s="580" t="s">
        <v>1199</v>
      </c>
      <c r="V139" s="148" t="s">
        <v>1200</v>
      </c>
      <c r="W139" s="176" t="s">
        <v>1187</v>
      </c>
      <c r="X139" s="1273"/>
      <c r="Y139" s="1273"/>
      <c r="Z139" s="1273"/>
      <c r="AA139" s="1273"/>
      <c r="AB139" s="1273"/>
      <c r="AC139" s="1281"/>
      <c r="AD139" s="1281"/>
      <c r="AE139" s="603" t="e">
        <f>Q37</f>
        <v>#N/A</v>
      </c>
      <c r="AG139" s="1329" t="s">
        <v>1065</v>
      </c>
      <c r="AH139" s="1330"/>
      <c r="AI139" s="1330"/>
      <c r="AJ139" s="1330"/>
      <c r="AK139" s="1330"/>
      <c r="AL139" s="1330"/>
      <c r="AM139" s="1330"/>
      <c r="AN139" s="1330"/>
      <c r="AO139" s="1330"/>
      <c r="AP139" s="1330"/>
      <c r="AQ139" s="1330"/>
      <c r="AR139" s="1330"/>
      <c r="AS139" s="1331"/>
    </row>
    <row r="140" spans="1:46" s="173" customFormat="1" ht="15" customHeight="1">
      <c r="A140" s="126"/>
      <c r="B140" s="581" t="s">
        <v>225</v>
      </c>
      <c r="C140" s="604"/>
      <c r="D140" s="604"/>
      <c r="E140" s="604"/>
      <c r="F140" s="604"/>
      <c r="G140" s="604"/>
      <c r="H140" s="176" t="e">
        <f t="shared" ref="H140:H148" si="94">IF(W140=0,"-",IF($O$4=6,"No Aplica",HLOOKUP(AA140,ZONA2,2,TRUE)))</f>
        <v>#N/A</v>
      </c>
      <c r="I140" s="176" t="e">
        <f t="shared" ref="I140:I148" si="95">IF(W140=0,"-",IF($O$4=6,HLOOKUP(AB140,ZONA3,2,TRUE),HLOOKUP(AB140,ZONA1,2,TRUE)))</f>
        <v>#N/A</v>
      </c>
      <c r="J140" s="604"/>
      <c r="K140" s="604"/>
      <c r="L140" s="604"/>
      <c r="M140" s="126"/>
      <c r="N140" s="126"/>
      <c r="O140" s="590" t="e">
        <f t="shared" ref="O140:O148" si="96">$W$104-Q140</f>
        <v>#N/A</v>
      </c>
      <c r="P140" s="176">
        <f>P122</f>
        <v>3.23</v>
      </c>
      <c r="Q140" s="580" t="e">
        <f t="shared" ref="Q140:Q148" si="97">W140*0.02</f>
        <v>#N/A</v>
      </c>
      <c r="R140" s="176">
        <f>R122</f>
        <v>3.3</v>
      </c>
      <c r="S140" s="590" t="e">
        <f t="shared" ref="S140:S148" si="98">(W140/2)+2</f>
        <v>#N/A</v>
      </c>
      <c r="T140" s="176" t="e">
        <f t="shared" ref="T140:T148" si="99">((O140*P140)+(Q140*R140)+(S140*0.02))/W140</f>
        <v>#N/A</v>
      </c>
      <c r="U140" s="176">
        <f>U122</f>
        <v>200</v>
      </c>
      <c r="V140" s="176" t="e">
        <f t="shared" ref="V140:V148" si="100">IF(W140=0,0,U140*W140)</f>
        <v>#N/A</v>
      </c>
      <c r="W140" s="605" t="e">
        <f t="shared" ref="W140:W141" si="101">IF($R$36=2,$O$36/2,IF($R$36=4,$O$36/4,IF($R$36=6,$O$36/6,IF($R$36=8,$O$36/8,IF($R$36=9,$O$36/9)))))</f>
        <v>#N/A</v>
      </c>
      <c r="X140" s="606" t="e">
        <f t="shared" ref="X140:X148" si="102">(V140*$AW$112)</f>
        <v>#N/A</v>
      </c>
      <c r="Y140" s="606" t="e">
        <f t="shared" ref="Y140:Y148" si="103">V140*$AW$114</f>
        <v>#N/A</v>
      </c>
      <c r="Z140" s="176">
        <f>Z122</f>
        <v>2</v>
      </c>
      <c r="AA140" s="176" t="e">
        <f t="shared" ref="AA140:AA148" si="104">IF(W140=0,0,(($AW$104*Z140)+X140+(T140*$AW$108))/W140)</f>
        <v>#N/A</v>
      </c>
      <c r="AB140" s="176" t="e">
        <f t="shared" ref="AB140:AB148" si="105">IF(W140=0,0,(($AW$106*Z140)-(X140+T140)*$AW$110)/W140)</f>
        <v>#N/A</v>
      </c>
      <c r="AC140" s="590" t="e">
        <f t="shared" ref="AC140:AC148" si="106">IF(W140=0,0,(T140*O140))</f>
        <v>#N/A</v>
      </c>
      <c r="AD140" s="590" t="e">
        <f t="shared" ref="AD140:AD148" si="107">AC140</f>
        <v>#N/A</v>
      </c>
      <c r="AE140" s="126"/>
      <c r="AG140" s="1332"/>
      <c r="AH140" s="1333"/>
      <c r="AI140" s="1333"/>
      <c r="AJ140" s="1333"/>
      <c r="AK140" s="1333"/>
      <c r="AL140" s="1333"/>
      <c r="AM140" s="1333"/>
      <c r="AN140" s="1333"/>
      <c r="AO140" s="1333"/>
      <c r="AP140" s="1333"/>
      <c r="AQ140" s="1333"/>
      <c r="AR140" s="1333"/>
      <c r="AS140" s="1334"/>
    </row>
    <row r="141" spans="1:46" s="173" customFormat="1" ht="15" customHeight="1">
      <c r="A141" s="126"/>
      <c r="B141" s="581" t="s">
        <v>225</v>
      </c>
      <c r="C141" s="604"/>
      <c r="D141" s="604"/>
      <c r="E141" s="604"/>
      <c r="F141" s="604"/>
      <c r="G141" s="604"/>
      <c r="H141" s="176" t="e">
        <f t="shared" si="94"/>
        <v>#N/A</v>
      </c>
      <c r="I141" s="176" t="e">
        <f t="shared" si="95"/>
        <v>#N/A</v>
      </c>
      <c r="J141" s="604"/>
      <c r="K141" s="604"/>
      <c r="L141" s="604"/>
      <c r="M141" s="126"/>
      <c r="N141" s="126"/>
      <c r="O141" s="590" t="e">
        <f t="shared" si="96"/>
        <v>#N/A</v>
      </c>
      <c r="P141" s="176">
        <f>P140</f>
        <v>3.23</v>
      </c>
      <c r="Q141" s="580" t="e">
        <f t="shared" si="97"/>
        <v>#N/A</v>
      </c>
      <c r="R141" s="176">
        <f>R140</f>
        <v>3.3</v>
      </c>
      <c r="S141" s="590" t="e">
        <f t="shared" si="98"/>
        <v>#N/A</v>
      </c>
      <c r="T141" s="176" t="e">
        <f t="shared" si="99"/>
        <v>#N/A</v>
      </c>
      <c r="U141" s="176">
        <f>U140</f>
        <v>200</v>
      </c>
      <c r="V141" s="176" t="e">
        <f t="shared" si="100"/>
        <v>#N/A</v>
      </c>
      <c r="W141" s="605" t="e">
        <f t="shared" si="101"/>
        <v>#N/A</v>
      </c>
      <c r="X141" s="606" t="e">
        <f t="shared" si="102"/>
        <v>#N/A</v>
      </c>
      <c r="Y141" s="606" t="e">
        <f t="shared" si="103"/>
        <v>#N/A</v>
      </c>
      <c r="Z141" s="176">
        <f>Z140</f>
        <v>2</v>
      </c>
      <c r="AA141" s="176" t="e">
        <f t="shared" si="104"/>
        <v>#N/A</v>
      </c>
      <c r="AB141" s="176" t="e">
        <f t="shared" si="105"/>
        <v>#N/A</v>
      </c>
      <c r="AC141" s="590" t="e">
        <f t="shared" si="106"/>
        <v>#N/A</v>
      </c>
      <c r="AD141" s="590" t="e">
        <f t="shared" si="107"/>
        <v>#N/A</v>
      </c>
      <c r="AE141" s="126"/>
      <c r="AG141" s="1335"/>
      <c r="AH141" s="1336"/>
      <c r="AI141" s="1336"/>
      <c r="AJ141" s="1336"/>
      <c r="AK141" s="1336"/>
      <c r="AL141" s="1336"/>
      <c r="AM141" s="1336"/>
      <c r="AN141" s="1336"/>
      <c r="AO141" s="1336"/>
      <c r="AP141" s="1336"/>
      <c r="AQ141" s="1336"/>
      <c r="AR141" s="1336"/>
      <c r="AS141" s="1337"/>
    </row>
    <row r="142" spans="1:46" s="173" customFormat="1" ht="15" customHeight="1">
      <c r="A142" s="126"/>
      <c r="B142" s="581" t="s">
        <v>225</v>
      </c>
      <c r="C142" s="604"/>
      <c r="D142" s="604"/>
      <c r="E142" s="604"/>
      <c r="F142" s="604"/>
      <c r="G142" s="604"/>
      <c r="H142" s="176" t="e">
        <f t="shared" si="94"/>
        <v>#N/A</v>
      </c>
      <c r="I142" s="176" t="e">
        <f t="shared" si="95"/>
        <v>#N/A</v>
      </c>
      <c r="J142" s="604"/>
      <c r="K142" s="604"/>
      <c r="L142" s="604"/>
      <c r="M142" s="126"/>
      <c r="N142" s="126"/>
      <c r="O142" s="590" t="e">
        <f t="shared" si="96"/>
        <v>#N/A</v>
      </c>
      <c r="P142" s="176">
        <f t="shared" ref="P142:P148" si="108">P141</f>
        <v>3.23</v>
      </c>
      <c r="Q142" s="580" t="e">
        <f t="shared" si="97"/>
        <v>#N/A</v>
      </c>
      <c r="R142" s="176">
        <f t="shared" ref="R142:R148" si="109">R141</f>
        <v>3.3</v>
      </c>
      <c r="S142" s="590" t="e">
        <f t="shared" si="98"/>
        <v>#N/A</v>
      </c>
      <c r="T142" s="176" t="e">
        <f t="shared" si="99"/>
        <v>#N/A</v>
      </c>
      <c r="U142" s="176">
        <f t="shared" ref="U142:U148" si="110">U141</f>
        <v>200</v>
      </c>
      <c r="V142" s="176" t="e">
        <f t="shared" si="100"/>
        <v>#N/A</v>
      </c>
      <c r="W142" s="605" t="e">
        <f>IF($R$36=2,0,IF($R$36=4,$O$36/4,IF($R$36=6,$O$36/6,IF($R$36=8,$O$36/8,IF($R$36=9,$O$36/9)))))</f>
        <v>#N/A</v>
      </c>
      <c r="X142" s="606" t="e">
        <f t="shared" si="102"/>
        <v>#N/A</v>
      </c>
      <c r="Y142" s="606" t="e">
        <f t="shared" si="103"/>
        <v>#N/A</v>
      </c>
      <c r="Z142" s="176">
        <f t="shared" ref="Z142:Z148" si="111">Z141</f>
        <v>2</v>
      </c>
      <c r="AA142" s="176" t="e">
        <f t="shared" si="104"/>
        <v>#N/A</v>
      </c>
      <c r="AB142" s="176" t="e">
        <f t="shared" si="105"/>
        <v>#N/A</v>
      </c>
      <c r="AC142" s="590" t="e">
        <f t="shared" si="106"/>
        <v>#N/A</v>
      </c>
      <c r="AD142" s="590" t="e">
        <f t="shared" si="107"/>
        <v>#N/A</v>
      </c>
      <c r="AE142" s="126"/>
      <c r="AG142" s="126"/>
      <c r="AH142" s="126"/>
      <c r="AI142" s="126"/>
      <c r="AJ142" s="126"/>
      <c r="AK142" s="126"/>
      <c r="AL142" s="126"/>
      <c r="AM142" s="126"/>
      <c r="AN142" s="126"/>
      <c r="AO142" s="126"/>
      <c r="AP142" s="126"/>
      <c r="AQ142" s="126"/>
      <c r="AR142" s="126"/>
      <c r="AS142" s="126"/>
    </row>
    <row r="143" spans="1:46" ht="15" customHeight="1">
      <c r="B143" s="581" t="s">
        <v>225</v>
      </c>
      <c r="C143" s="604"/>
      <c r="D143" s="604"/>
      <c r="E143" s="604"/>
      <c r="F143" s="604"/>
      <c r="G143" s="604"/>
      <c r="H143" s="176" t="e">
        <f t="shared" si="94"/>
        <v>#N/A</v>
      </c>
      <c r="I143" s="176" t="e">
        <f t="shared" si="95"/>
        <v>#N/A</v>
      </c>
      <c r="J143" s="604"/>
      <c r="K143" s="604"/>
      <c r="L143" s="604"/>
      <c r="O143" s="590" t="e">
        <f t="shared" si="96"/>
        <v>#N/A</v>
      </c>
      <c r="P143" s="176">
        <f t="shared" si="108"/>
        <v>3.23</v>
      </c>
      <c r="Q143" s="580" t="e">
        <f t="shared" si="97"/>
        <v>#N/A</v>
      </c>
      <c r="R143" s="176">
        <f t="shared" si="109"/>
        <v>3.3</v>
      </c>
      <c r="S143" s="590" t="e">
        <f t="shared" si="98"/>
        <v>#N/A</v>
      </c>
      <c r="T143" s="176" t="e">
        <f t="shared" si="99"/>
        <v>#N/A</v>
      </c>
      <c r="U143" s="176">
        <f t="shared" si="110"/>
        <v>200</v>
      </c>
      <c r="V143" s="176" t="e">
        <f t="shared" si="100"/>
        <v>#N/A</v>
      </c>
      <c r="W143" s="605" t="e">
        <f t="shared" ref="W143" si="112">IF($R$36=2,0,IF($R$36=4,$O$36/4,IF($R$36=6,$O$36/6,IF($R$36=8,$O$36/8,IF($R$36=9,$O$36/9)))))</f>
        <v>#N/A</v>
      </c>
      <c r="X143" s="606" t="e">
        <f t="shared" si="102"/>
        <v>#N/A</v>
      </c>
      <c r="Y143" s="606" t="e">
        <f t="shared" si="103"/>
        <v>#N/A</v>
      </c>
      <c r="Z143" s="176">
        <f t="shared" si="111"/>
        <v>2</v>
      </c>
      <c r="AA143" s="176" t="e">
        <f t="shared" si="104"/>
        <v>#N/A</v>
      </c>
      <c r="AB143" s="176" t="e">
        <f t="shared" si="105"/>
        <v>#N/A</v>
      </c>
      <c r="AC143" s="590" t="e">
        <f t="shared" si="106"/>
        <v>#N/A</v>
      </c>
      <c r="AD143" s="590" t="e">
        <f t="shared" si="107"/>
        <v>#N/A</v>
      </c>
      <c r="AG143" s="174" t="s">
        <v>1026</v>
      </c>
      <c r="AH143" s="175" t="e">
        <f>IF(AH136&lt;0,0,AH136)</f>
        <v>#N/A</v>
      </c>
      <c r="AI143" s="175" t="e">
        <f t="shared" ref="AI143:AS143" si="113">IF(AI136&lt;0,0,AI136)</f>
        <v>#N/A</v>
      </c>
      <c r="AJ143" s="175" t="e">
        <f t="shared" si="113"/>
        <v>#N/A</v>
      </c>
      <c r="AK143" s="175" t="e">
        <f t="shared" si="113"/>
        <v>#N/A</v>
      </c>
      <c r="AL143" s="175" t="e">
        <f t="shared" si="113"/>
        <v>#N/A</v>
      </c>
      <c r="AM143" s="175" t="e">
        <f t="shared" si="113"/>
        <v>#N/A</v>
      </c>
      <c r="AN143" s="175" t="e">
        <f t="shared" si="113"/>
        <v>#N/A</v>
      </c>
      <c r="AO143" s="175" t="e">
        <f t="shared" si="113"/>
        <v>#N/A</v>
      </c>
      <c r="AP143" s="175" t="e">
        <f t="shared" si="113"/>
        <v>#N/A</v>
      </c>
      <c r="AQ143" s="175" t="e">
        <f t="shared" si="113"/>
        <v>#N/A</v>
      </c>
      <c r="AR143" s="175" t="e">
        <f t="shared" si="113"/>
        <v>#N/A</v>
      </c>
      <c r="AS143" s="175" t="e">
        <f t="shared" si="113"/>
        <v>#N/A</v>
      </c>
      <c r="AT143" s="590" t="e">
        <f>SUM(AH143:AS143)</f>
        <v>#N/A</v>
      </c>
    </row>
    <row r="144" spans="1:46" ht="15" customHeight="1">
      <c r="B144" s="581" t="s">
        <v>225</v>
      </c>
      <c r="C144" s="604"/>
      <c r="D144" s="604"/>
      <c r="E144" s="604"/>
      <c r="F144" s="604"/>
      <c r="G144" s="604"/>
      <c r="H144" s="176" t="e">
        <f t="shared" si="94"/>
        <v>#N/A</v>
      </c>
      <c r="I144" s="176" t="e">
        <f t="shared" si="95"/>
        <v>#N/A</v>
      </c>
      <c r="J144" s="604"/>
      <c r="K144" s="604"/>
      <c r="L144" s="604"/>
      <c r="O144" s="590" t="e">
        <f t="shared" si="96"/>
        <v>#N/A</v>
      </c>
      <c r="P144" s="176">
        <f t="shared" si="108"/>
        <v>3.23</v>
      </c>
      <c r="Q144" s="580" t="e">
        <f t="shared" si="97"/>
        <v>#N/A</v>
      </c>
      <c r="R144" s="176">
        <f t="shared" si="109"/>
        <v>3.3</v>
      </c>
      <c r="S144" s="590" t="e">
        <f t="shared" si="98"/>
        <v>#N/A</v>
      </c>
      <c r="T144" s="176" t="e">
        <f t="shared" si="99"/>
        <v>#N/A</v>
      </c>
      <c r="U144" s="176">
        <f t="shared" si="110"/>
        <v>200</v>
      </c>
      <c r="V144" s="176" t="e">
        <f t="shared" si="100"/>
        <v>#N/A</v>
      </c>
      <c r="W144" s="605" t="e">
        <f>IF($R$36=2,0,IF($R$36=4,0,IF($R$36=6,$O$36/6,IF($R$36=8,$O$36/8,IF($R$36=9,$O$36/9)))))</f>
        <v>#N/A</v>
      </c>
      <c r="X144" s="606" t="e">
        <f t="shared" si="102"/>
        <v>#N/A</v>
      </c>
      <c r="Y144" s="606" t="e">
        <f t="shared" si="103"/>
        <v>#N/A</v>
      </c>
      <c r="Z144" s="176">
        <f t="shared" si="111"/>
        <v>2</v>
      </c>
      <c r="AA144" s="176" t="e">
        <f t="shared" si="104"/>
        <v>#N/A</v>
      </c>
      <c r="AB144" s="176" t="e">
        <f t="shared" si="105"/>
        <v>#N/A</v>
      </c>
      <c r="AC144" s="590" t="e">
        <f t="shared" si="106"/>
        <v>#N/A</v>
      </c>
      <c r="AD144" s="590" t="e">
        <f t="shared" si="107"/>
        <v>#N/A</v>
      </c>
      <c r="AG144" s="176"/>
      <c r="AH144" s="176"/>
      <c r="AI144" s="176"/>
      <c r="AJ144" s="176"/>
      <c r="AK144" s="176"/>
      <c r="AL144" s="176"/>
      <c r="AM144" s="176"/>
      <c r="AN144" s="176"/>
      <c r="AO144" s="176"/>
      <c r="AP144" s="176"/>
      <c r="AQ144" s="176"/>
      <c r="AR144" s="176"/>
      <c r="AS144" s="176"/>
    </row>
    <row r="145" spans="1:46" ht="15" customHeight="1">
      <c r="B145" s="581" t="s">
        <v>225</v>
      </c>
      <c r="C145" s="604"/>
      <c r="D145" s="604"/>
      <c r="E145" s="604"/>
      <c r="F145" s="604"/>
      <c r="G145" s="604"/>
      <c r="H145" s="176" t="e">
        <f t="shared" si="94"/>
        <v>#N/A</v>
      </c>
      <c r="I145" s="176" t="e">
        <f t="shared" si="95"/>
        <v>#N/A</v>
      </c>
      <c r="J145" s="604"/>
      <c r="K145" s="604"/>
      <c r="L145" s="604"/>
      <c r="O145" s="590" t="e">
        <f t="shared" si="96"/>
        <v>#N/A</v>
      </c>
      <c r="P145" s="176">
        <f t="shared" si="108"/>
        <v>3.23</v>
      </c>
      <c r="Q145" s="580" t="e">
        <f t="shared" si="97"/>
        <v>#N/A</v>
      </c>
      <c r="R145" s="176">
        <f t="shared" si="109"/>
        <v>3.3</v>
      </c>
      <c r="S145" s="590" t="e">
        <f t="shared" si="98"/>
        <v>#N/A</v>
      </c>
      <c r="T145" s="176" t="e">
        <f t="shared" si="99"/>
        <v>#N/A</v>
      </c>
      <c r="U145" s="176">
        <f t="shared" si="110"/>
        <v>200</v>
      </c>
      <c r="V145" s="176" t="e">
        <f t="shared" si="100"/>
        <v>#N/A</v>
      </c>
      <c r="W145" s="605" t="e">
        <f>IF($R$36=2,0,IF($R$36=4,0,IF($R$36=6,$O$36/6,IF($R$36=8,$O$36/8,IF($R$36=9,$O$36/9)))))</f>
        <v>#N/A</v>
      </c>
      <c r="X145" s="606" t="e">
        <f t="shared" si="102"/>
        <v>#N/A</v>
      </c>
      <c r="Y145" s="606" t="e">
        <f t="shared" si="103"/>
        <v>#N/A</v>
      </c>
      <c r="Z145" s="176">
        <f t="shared" si="111"/>
        <v>2</v>
      </c>
      <c r="AA145" s="176" t="e">
        <f t="shared" si="104"/>
        <v>#N/A</v>
      </c>
      <c r="AB145" s="176" t="e">
        <f t="shared" si="105"/>
        <v>#N/A</v>
      </c>
      <c r="AC145" s="590" t="e">
        <f t="shared" si="106"/>
        <v>#N/A</v>
      </c>
      <c r="AD145" s="590" t="e">
        <f t="shared" si="107"/>
        <v>#N/A</v>
      </c>
      <c r="AG145" s="174" t="s">
        <v>1027</v>
      </c>
      <c r="AH145" s="175" t="e">
        <f>IF(AH105&gt;$AW$60,SUM(AH118:AH123)+SUM(AH132:AH133)+AH108-(AH130*0.01),0)</f>
        <v>#N/A</v>
      </c>
      <c r="AI145" s="175" t="e">
        <f t="shared" ref="AI145:AS145" si="114">IF(AI105&gt;$AW$60,SUM(AI118:AI123)+SUM(AI132:AI133)+AI108-(AI130*0.01),0)</f>
        <v>#N/A</v>
      </c>
      <c r="AJ145" s="175" t="e">
        <f t="shared" si="114"/>
        <v>#N/A</v>
      </c>
      <c r="AK145" s="175" t="e">
        <f t="shared" si="114"/>
        <v>#N/A</v>
      </c>
      <c r="AL145" s="175" t="e">
        <f t="shared" si="114"/>
        <v>#N/A</v>
      </c>
      <c r="AM145" s="175" t="e">
        <f t="shared" si="114"/>
        <v>#N/A</v>
      </c>
      <c r="AN145" s="175" t="e">
        <f t="shared" si="114"/>
        <v>#N/A</v>
      </c>
      <c r="AO145" s="175" t="e">
        <f t="shared" si="114"/>
        <v>#N/A</v>
      </c>
      <c r="AP145" s="175" t="e">
        <f t="shared" si="114"/>
        <v>#N/A</v>
      </c>
      <c r="AQ145" s="175" t="e">
        <f t="shared" si="114"/>
        <v>#N/A</v>
      </c>
      <c r="AR145" s="175" t="e">
        <f t="shared" si="114"/>
        <v>#N/A</v>
      </c>
      <c r="AS145" s="175" t="e">
        <f t="shared" si="114"/>
        <v>#N/A</v>
      </c>
      <c r="AT145" s="590" t="e">
        <f>SUM(AH145:AS145)</f>
        <v>#N/A</v>
      </c>
    </row>
    <row r="146" spans="1:46" ht="15" customHeight="1">
      <c r="B146" s="581" t="s">
        <v>225</v>
      </c>
      <c r="C146" s="604"/>
      <c r="D146" s="604"/>
      <c r="E146" s="604"/>
      <c r="F146" s="604"/>
      <c r="G146" s="604"/>
      <c r="H146" s="176" t="e">
        <f t="shared" si="94"/>
        <v>#N/A</v>
      </c>
      <c r="I146" s="176" t="e">
        <f t="shared" si="95"/>
        <v>#N/A</v>
      </c>
      <c r="J146" s="604"/>
      <c r="K146" s="604"/>
      <c r="L146" s="604"/>
      <c r="O146" s="590" t="e">
        <f t="shared" si="96"/>
        <v>#N/A</v>
      </c>
      <c r="P146" s="176">
        <f t="shared" si="108"/>
        <v>3.23</v>
      </c>
      <c r="Q146" s="580" t="e">
        <f t="shared" si="97"/>
        <v>#N/A</v>
      </c>
      <c r="R146" s="176">
        <f t="shared" si="109"/>
        <v>3.3</v>
      </c>
      <c r="S146" s="590" t="e">
        <f t="shared" si="98"/>
        <v>#N/A</v>
      </c>
      <c r="T146" s="176" t="e">
        <f t="shared" si="99"/>
        <v>#N/A</v>
      </c>
      <c r="U146" s="176">
        <f t="shared" si="110"/>
        <v>200</v>
      </c>
      <c r="V146" s="176" t="e">
        <f t="shared" si="100"/>
        <v>#N/A</v>
      </c>
      <c r="W146" s="605" t="e">
        <f>IF($R$36=2,0,IF($R$36=4,0,IF($R$36=6,0,IF($R$36=8,$O$36/8,IF($R$36=9,$O$36/9)))))</f>
        <v>#N/A</v>
      </c>
      <c r="X146" s="606" t="e">
        <f t="shared" si="102"/>
        <v>#N/A</v>
      </c>
      <c r="Y146" s="606" t="e">
        <f t="shared" si="103"/>
        <v>#N/A</v>
      </c>
      <c r="Z146" s="176">
        <f t="shared" si="111"/>
        <v>2</v>
      </c>
      <c r="AA146" s="176" t="e">
        <f t="shared" si="104"/>
        <v>#N/A</v>
      </c>
      <c r="AB146" s="176" t="e">
        <f t="shared" si="105"/>
        <v>#N/A</v>
      </c>
      <c r="AC146" s="590" t="e">
        <f t="shared" si="106"/>
        <v>#N/A</v>
      </c>
      <c r="AD146" s="590" t="e">
        <f t="shared" si="107"/>
        <v>#N/A</v>
      </c>
    </row>
    <row r="147" spans="1:46" ht="15" customHeight="1">
      <c r="B147" s="581" t="s">
        <v>225</v>
      </c>
      <c r="C147" s="604"/>
      <c r="D147" s="604"/>
      <c r="E147" s="604"/>
      <c r="F147" s="604"/>
      <c r="G147" s="604"/>
      <c r="H147" s="176" t="e">
        <f t="shared" si="94"/>
        <v>#N/A</v>
      </c>
      <c r="I147" s="176" t="e">
        <f t="shared" si="95"/>
        <v>#N/A</v>
      </c>
      <c r="J147" s="604"/>
      <c r="K147" s="604"/>
      <c r="L147" s="604"/>
      <c r="O147" s="590" t="e">
        <f t="shared" si="96"/>
        <v>#N/A</v>
      </c>
      <c r="P147" s="176">
        <f t="shared" si="108"/>
        <v>3.23</v>
      </c>
      <c r="Q147" s="580" t="e">
        <f t="shared" si="97"/>
        <v>#N/A</v>
      </c>
      <c r="R147" s="176">
        <f t="shared" si="109"/>
        <v>3.3</v>
      </c>
      <c r="S147" s="590" t="e">
        <f t="shared" si="98"/>
        <v>#N/A</v>
      </c>
      <c r="T147" s="176" t="e">
        <f t="shared" si="99"/>
        <v>#N/A</v>
      </c>
      <c r="U147" s="176">
        <f t="shared" si="110"/>
        <v>200</v>
      </c>
      <c r="V147" s="176" t="e">
        <f t="shared" si="100"/>
        <v>#N/A</v>
      </c>
      <c r="W147" s="605" t="e">
        <f t="shared" ref="W147" si="115">IF($R$36=2,0,IF($R$36=4,0,IF($R$36=6,0,IF($R$36=8,$O$36/8,IF($R$36=9,$O$36/9)))))</f>
        <v>#N/A</v>
      </c>
      <c r="X147" s="606" t="e">
        <f t="shared" si="102"/>
        <v>#N/A</v>
      </c>
      <c r="Y147" s="606" t="e">
        <f t="shared" si="103"/>
        <v>#N/A</v>
      </c>
      <c r="Z147" s="176">
        <f t="shared" si="111"/>
        <v>2</v>
      </c>
      <c r="AA147" s="176" t="e">
        <f t="shared" si="104"/>
        <v>#N/A</v>
      </c>
      <c r="AB147" s="176" t="e">
        <f t="shared" si="105"/>
        <v>#N/A</v>
      </c>
      <c r="AC147" s="590" t="e">
        <f t="shared" si="106"/>
        <v>#N/A</v>
      </c>
      <c r="AD147" s="590" t="e">
        <f t="shared" si="107"/>
        <v>#N/A</v>
      </c>
    </row>
    <row r="148" spans="1:46" s="173" customFormat="1" ht="15" customHeight="1">
      <c r="A148" s="126"/>
      <c r="B148" s="581" t="s">
        <v>225</v>
      </c>
      <c r="C148" s="604"/>
      <c r="D148" s="604"/>
      <c r="E148" s="604"/>
      <c r="F148" s="604"/>
      <c r="G148" s="604"/>
      <c r="H148" s="176" t="e">
        <f t="shared" si="94"/>
        <v>#N/A</v>
      </c>
      <c r="I148" s="176" t="e">
        <f t="shared" si="95"/>
        <v>#N/A</v>
      </c>
      <c r="J148" s="604"/>
      <c r="K148" s="604"/>
      <c r="L148" s="604"/>
      <c r="M148" s="126"/>
      <c r="N148" s="126"/>
      <c r="O148" s="590" t="e">
        <f t="shared" si="96"/>
        <v>#N/A</v>
      </c>
      <c r="P148" s="176">
        <f t="shared" si="108"/>
        <v>3.23</v>
      </c>
      <c r="Q148" s="580" t="e">
        <f t="shared" si="97"/>
        <v>#N/A</v>
      </c>
      <c r="R148" s="176">
        <f t="shared" si="109"/>
        <v>3.3</v>
      </c>
      <c r="S148" s="590" t="e">
        <f t="shared" si="98"/>
        <v>#N/A</v>
      </c>
      <c r="T148" s="176" t="e">
        <f t="shared" si="99"/>
        <v>#N/A</v>
      </c>
      <c r="U148" s="176">
        <f t="shared" si="110"/>
        <v>200</v>
      </c>
      <c r="V148" s="176" t="e">
        <f t="shared" si="100"/>
        <v>#N/A</v>
      </c>
      <c r="W148" s="605" t="e">
        <f>IF($R$36=2,0,IF($R$36=4,0,IF($R$36=6,0,IF($R$36=8,0,IF($R$36=9,$O$36/9)))))</f>
        <v>#N/A</v>
      </c>
      <c r="X148" s="606" t="e">
        <f t="shared" si="102"/>
        <v>#N/A</v>
      </c>
      <c r="Y148" s="606" t="e">
        <f t="shared" si="103"/>
        <v>#N/A</v>
      </c>
      <c r="Z148" s="176">
        <f t="shared" si="111"/>
        <v>2</v>
      </c>
      <c r="AA148" s="176" t="e">
        <f t="shared" si="104"/>
        <v>#N/A</v>
      </c>
      <c r="AB148" s="176" t="e">
        <f t="shared" si="105"/>
        <v>#N/A</v>
      </c>
      <c r="AC148" s="590" t="e">
        <f t="shared" si="106"/>
        <v>#N/A</v>
      </c>
      <c r="AD148" s="590" t="e">
        <f t="shared" si="107"/>
        <v>#N/A</v>
      </c>
      <c r="AE148" s="126"/>
    </row>
    <row r="149" spans="1:46" ht="15" customHeight="1">
      <c r="D149" s="126"/>
      <c r="E149" s="126"/>
      <c r="K149" s="126"/>
      <c r="L149" s="126"/>
      <c r="Q149" s="126"/>
      <c r="R149" s="126"/>
      <c r="V149" s="126"/>
      <c r="X149" s="126"/>
    </row>
    <row r="150" spans="1:46" ht="15" customHeight="1">
      <c r="D150" s="126"/>
      <c r="E150" s="126"/>
      <c r="K150" s="126"/>
      <c r="L150" s="126"/>
      <c r="Q150" s="126"/>
      <c r="R150" s="126"/>
      <c r="V150" s="126"/>
      <c r="X150" s="126"/>
    </row>
    <row r="151" spans="1:46" ht="15" customHeight="1">
      <c r="C151" s="1323" t="s">
        <v>1204</v>
      </c>
      <c r="D151" s="1323"/>
      <c r="E151" s="580" t="s">
        <v>1185</v>
      </c>
      <c r="F151" s="580" t="s">
        <v>1186</v>
      </c>
      <c r="G151" s="580" t="s">
        <v>227</v>
      </c>
      <c r="K151" s="126"/>
      <c r="L151" s="126"/>
      <c r="Q151" s="126"/>
      <c r="R151" s="126"/>
      <c r="V151" s="126"/>
      <c r="X151" s="126"/>
    </row>
    <row r="152" spans="1:46" ht="15" customHeight="1">
      <c r="B152" s="581" t="s">
        <v>768</v>
      </c>
      <c r="C152" s="1324"/>
      <c r="D152" s="1324"/>
      <c r="E152" s="589">
        <f>ENERGÍA!F158</f>
        <v>0</v>
      </c>
      <c r="F152" s="589">
        <f>ENERGÍA!G158</f>
        <v>0</v>
      </c>
      <c r="G152" s="589">
        <f>ENERGÍA!H158</f>
        <v>0</v>
      </c>
      <c r="K152" s="126"/>
      <c r="L152" s="126"/>
      <c r="T152" s="590">
        <f>ENERGÍA!U158</f>
        <v>0</v>
      </c>
      <c r="V152" s="126"/>
      <c r="X152" s="126"/>
      <c r="AC152" s="590">
        <f>T152*E152*F152</f>
        <v>0</v>
      </c>
      <c r="AD152" s="590">
        <f>AC152</f>
        <v>0</v>
      </c>
    </row>
    <row r="153" spans="1:46" ht="6" customHeight="1">
      <c r="L153" s="126"/>
      <c r="V153" s="148"/>
      <c r="Z153" s="580"/>
      <c r="AA153" s="580"/>
    </row>
    <row r="154" spans="1:46" ht="15" customHeight="1">
      <c r="B154" s="1323">
        <f>C38</f>
        <v>0</v>
      </c>
      <c r="C154" s="1323"/>
      <c r="D154" s="1323"/>
      <c r="E154" s="1323"/>
      <c r="F154" s="1323"/>
      <c r="G154" s="1323"/>
      <c r="H154" s="1323"/>
      <c r="I154" s="1323"/>
      <c r="J154" s="1323"/>
      <c r="K154" s="1323"/>
      <c r="L154" s="1323"/>
      <c r="O154" s="1320">
        <f>B154</f>
        <v>0</v>
      </c>
      <c r="P154" s="1321"/>
      <c r="Q154" s="1321"/>
      <c r="R154" s="1321"/>
      <c r="S154" s="1321"/>
      <c r="T154" s="1321"/>
      <c r="U154" s="1321"/>
      <c r="V154" s="1321"/>
      <c r="W154" s="1321"/>
      <c r="X154" s="1321"/>
      <c r="Y154" s="1321"/>
      <c r="Z154" s="1321"/>
      <c r="AA154" s="1321"/>
      <c r="AB154" s="1321"/>
      <c r="AC154" s="1321"/>
      <c r="AD154" s="1321"/>
      <c r="AE154" s="1322"/>
    </row>
    <row r="155" spans="1:46" ht="6" customHeight="1">
      <c r="L155" s="126"/>
      <c r="V155" s="148"/>
      <c r="Z155" s="580"/>
      <c r="AA155" s="580"/>
    </row>
    <row r="156" spans="1:46" ht="15" customHeight="1">
      <c r="B156" s="1273"/>
      <c r="C156" s="1323" t="s">
        <v>1184</v>
      </c>
      <c r="D156" s="1323"/>
      <c r="E156" s="1323"/>
      <c r="F156" s="1323" t="s">
        <v>1188</v>
      </c>
      <c r="G156" s="1323"/>
      <c r="H156" s="1323" t="s">
        <v>1203</v>
      </c>
      <c r="I156" s="1323"/>
      <c r="J156" s="1281" t="s">
        <v>790</v>
      </c>
      <c r="K156" s="1281" t="s">
        <v>1136</v>
      </c>
      <c r="L156" s="1281"/>
      <c r="O156" s="580" t="s">
        <v>1651</v>
      </c>
      <c r="P156" s="1281" t="s">
        <v>1064</v>
      </c>
      <c r="Q156" s="580" t="s">
        <v>1652</v>
      </c>
      <c r="R156" s="1273" t="s">
        <v>1191</v>
      </c>
      <c r="S156" s="580" t="s">
        <v>1190</v>
      </c>
      <c r="T156" s="1273" t="s">
        <v>1192</v>
      </c>
      <c r="U156" s="1323" t="s">
        <v>1653</v>
      </c>
      <c r="V156" s="1323"/>
      <c r="W156" s="580" t="s">
        <v>1654</v>
      </c>
      <c r="X156" s="1273" t="s">
        <v>1403</v>
      </c>
      <c r="Y156" s="1273" t="s">
        <v>1404</v>
      </c>
      <c r="Z156" s="1273" t="s">
        <v>1210</v>
      </c>
      <c r="AA156" s="1273" t="s">
        <v>1201</v>
      </c>
      <c r="AB156" s="1273" t="s">
        <v>1202</v>
      </c>
      <c r="AC156" s="1281" t="s">
        <v>850</v>
      </c>
      <c r="AD156" s="1281" t="str">
        <f>AC156</f>
        <v>W/K Inv</v>
      </c>
      <c r="AE156" s="226" t="s">
        <v>1017</v>
      </c>
    </row>
    <row r="157" spans="1:46" ht="15" customHeight="1">
      <c r="B157" s="1273"/>
      <c r="C157" s="148" t="s">
        <v>623</v>
      </c>
      <c r="D157" s="580" t="s">
        <v>1185</v>
      </c>
      <c r="E157" s="580" t="s">
        <v>1186</v>
      </c>
      <c r="F157" s="580" t="s">
        <v>623</v>
      </c>
      <c r="G157" s="580" t="s">
        <v>1189</v>
      </c>
      <c r="H157" s="580" t="s">
        <v>757</v>
      </c>
      <c r="I157" s="580" t="s">
        <v>650</v>
      </c>
      <c r="J157" s="1281"/>
      <c r="K157" s="166" t="s">
        <v>623</v>
      </c>
      <c r="L157" s="602" t="s">
        <v>1122</v>
      </c>
      <c r="O157" s="580" t="s">
        <v>1187</v>
      </c>
      <c r="P157" s="1281"/>
      <c r="Q157" s="580" t="s">
        <v>1187</v>
      </c>
      <c r="R157" s="1273"/>
      <c r="S157" s="580" t="s">
        <v>18</v>
      </c>
      <c r="T157" s="1273"/>
      <c r="U157" s="580" t="s">
        <v>1199</v>
      </c>
      <c r="V157" s="148" t="s">
        <v>1200</v>
      </c>
      <c r="W157" s="176" t="s">
        <v>1187</v>
      </c>
      <c r="X157" s="1273"/>
      <c r="Y157" s="1273"/>
      <c r="Z157" s="1273"/>
      <c r="AA157" s="1273"/>
      <c r="AB157" s="1273"/>
      <c r="AC157" s="1281"/>
      <c r="AD157" s="1281"/>
      <c r="AE157" s="603" t="e">
        <f>Q38</f>
        <v>#N/A</v>
      </c>
    </row>
    <row r="158" spans="1:46" ht="15" customHeight="1">
      <c r="B158" s="581" t="s">
        <v>225</v>
      </c>
      <c r="C158" s="604"/>
      <c r="D158" s="604"/>
      <c r="E158" s="604"/>
      <c r="F158" s="604"/>
      <c r="G158" s="604"/>
      <c r="H158" s="176" t="e">
        <f t="shared" ref="H158:H166" si="116">IF(W158=0,"-",IF($O$4=6,"No Aplica",HLOOKUP(AA158,ZONA2,2,TRUE)))</f>
        <v>#N/A</v>
      </c>
      <c r="I158" s="176" t="e">
        <f t="shared" ref="I158:I166" si="117">IF(W158=0,"-",IF($O$4=6,HLOOKUP(AB158,ZONA3,2,TRUE),HLOOKUP(AB158,ZONA1,2,TRUE)))</f>
        <v>#N/A</v>
      </c>
      <c r="J158" s="604"/>
      <c r="K158" s="604"/>
      <c r="L158" s="604"/>
      <c r="O158" s="590" t="e">
        <f t="shared" ref="O158:O166" si="118">$W$104-Q158</f>
        <v>#N/A</v>
      </c>
      <c r="P158" s="176">
        <f>P140</f>
        <v>3.23</v>
      </c>
      <c r="Q158" s="580" t="e">
        <f t="shared" ref="Q158:Q166" si="119">W158*0.02</f>
        <v>#N/A</v>
      </c>
      <c r="R158" s="176">
        <f>R140</f>
        <v>3.3</v>
      </c>
      <c r="S158" s="590" t="e">
        <f t="shared" ref="S158:S166" si="120">(W158/2)+2</f>
        <v>#N/A</v>
      </c>
      <c r="T158" s="176" t="e">
        <f t="shared" ref="T158:T166" si="121">((O158*P158)+(Q158*R158)+(S158*0.02))/W158</f>
        <v>#N/A</v>
      </c>
      <c r="U158" s="176">
        <f>U140</f>
        <v>200</v>
      </c>
      <c r="V158" s="176" t="e">
        <f t="shared" ref="V158:V166" si="122">IF(W158=0,0,U158*W158)</f>
        <v>#N/A</v>
      </c>
      <c r="W158" s="605" t="e">
        <f t="shared" ref="W158:W159" si="123">IF($R$36=2,$O$36/2,IF($R$36=4,$O$36/4,IF($R$36=6,$O$36/6,IF($R$36=8,$O$36/8,IF($R$36=9,$O$36/9)))))</f>
        <v>#N/A</v>
      </c>
      <c r="X158" s="606" t="e">
        <f t="shared" ref="X158:X166" si="124">(V158*$AW$112)</f>
        <v>#N/A</v>
      </c>
      <c r="Y158" s="606" t="e">
        <f t="shared" ref="Y158:Y166" si="125">V158*$AW$114</f>
        <v>#N/A</v>
      </c>
      <c r="Z158" s="176">
        <f>Z140</f>
        <v>2</v>
      </c>
      <c r="AA158" s="176" t="e">
        <f t="shared" ref="AA158:AA166" si="126">IF(W158=0,0,(($AW$104*Z158)+X158+(T158*$AW$108))/W158)</f>
        <v>#N/A</v>
      </c>
      <c r="AB158" s="176" t="e">
        <f>IF(W158=0,0,(($AW$106*Z158)-(X158+T158)*$AW$110)/W158)</f>
        <v>#N/A</v>
      </c>
      <c r="AC158" s="590" t="e">
        <f>IF(W158=0,0,(T158*O158))</f>
        <v>#N/A</v>
      </c>
      <c r="AD158" s="590" t="e">
        <f t="shared" ref="AD158:AD166" si="127">AC158</f>
        <v>#N/A</v>
      </c>
    </row>
    <row r="159" spans="1:46" ht="15" customHeight="1">
      <c r="B159" s="581" t="s">
        <v>225</v>
      </c>
      <c r="C159" s="604"/>
      <c r="D159" s="604"/>
      <c r="E159" s="604"/>
      <c r="F159" s="604"/>
      <c r="G159" s="604"/>
      <c r="H159" s="176" t="e">
        <f t="shared" si="116"/>
        <v>#N/A</v>
      </c>
      <c r="I159" s="176" t="e">
        <f t="shared" si="117"/>
        <v>#N/A</v>
      </c>
      <c r="J159" s="604"/>
      <c r="K159" s="604"/>
      <c r="L159" s="604"/>
      <c r="O159" s="590" t="e">
        <f t="shared" si="118"/>
        <v>#N/A</v>
      </c>
      <c r="P159" s="176">
        <f>P158</f>
        <v>3.23</v>
      </c>
      <c r="Q159" s="580" t="e">
        <f t="shared" si="119"/>
        <v>#N/A</v>
      </c>
      <c r="R159" s="176">
        <f>R158</f>
        <v>3.3</v>
      </c>
      <c r="S159" s="590" t="e">
        <f t="shared" si="120"/>
        <v>#N/A</v>
      </c>
      <c r="T159" s="176" t="e">
        <f t="shared" si="121"/>
        <v>#N/A</v>
      </c>
      <c r="U159" s="176">
        <f>U158</f>
        <v>200</v>
      </c>
      <c r="V159" s="176" t="e">
        <f t="shared" si="122"/>
        <v>#N/A</v>
      </c>
      <c r="W159" s="605" t="e">
        <f t="shared" si="123"/>
        <v>#N/A</v>
      </c>
      <c r="X159" s="606" t="e">
        <f t="shared" si="124"/>
        <v>#N/A</v>
      </c>
      <c r="Y159" s="606" t="e">
        <f t="shared" si="125"/>
        <v>#N/A</v>
      </c>
      <c r="Z159" s="176">
        <f>Z158</f>
        <v>2</v>
      </c>
      <c r="AA159" s="176" t="e">
        <f t="shared" si="126"/>
        <v>#N/A</v>
      </c>
      <c r="AB159" s="176" t="e">
        <f t="shared" ref="AB159:AB166" si="128">IF(W159=0,0,(($AW$106*Z159)-(X159+T159)*$AW$110)/W159)</f>
        <v>#N/A</v>
      </c>
      <c r="AC159" s="590" t="e">
        <f t="shared" ref="AC159:AC166" si="129">IF(W159=0,0,(T159*O159))</f>
        <v>#N/A</v>
      </c>
      <c r="AD159" s="590" t="e">
        <f t="shared" si="127"/>
        <v>#N/A</v>
      </c>
    </row>
    <row r="160" spans="1:46" ht="15" customHeight="1">
      <c r="B160" s="581" t="s">
        <v>225</v>
      </c>
      <c r="C160" s="604"/>
      <c r="D160" s="604"/>
      <c r="E160" s="604"/>
      <c r="F160" s="604"/>
      <c r="G160" s="604"/>
      <c r="H160" s="176" t="e">
        <f t="shared" si="116"/>
        <v>#N/A</v>
      </c>
      <c r="I160" s="176" t="e">
        <f t="shared" si="117"/>
        <v>#N/A</v>
      </c>
      <c r="J160" s="604"/>
      <c r="K160" s="604"/>
      <c r="L160" s="604"/>
      <c r="O160" s="590" t="e">
        <f t="shared" si="118"/>
        <v>#N/A</v>
      </c>
      <c r="P160" s="176">
        <f t="shared" ref="P160:P166" si="130">P159</f>
        <v>3.23</v>
      </c>
      <c r="Q160" s="580" t="e">
        <f t="shared" si="119"/>
        <v>#N/A</v>
      </c>
      <c r="R160" s="176">
        <f t="shared" ref="R160:R166" si="131">R159</f>
        <v>3.3</v>
      </c>
      <c r="S160" s="590" t="e">
        <f t="shared" si="120"/>
        <v>#N/A</v>
      </c>
      <c r="T160" s="176" t="e">
        <f t="shared" si="121"/>
        <v>#N/A</v>
      </c>
      <c r="U160" s="176">
        <f t="shared" ref="U160:U166" si="132">U159</f>
        <v>200</v>
      </c>
      <c r="V160" s="176" t="e">
        <f t="shared" si="122"/>
        <v>#N/A</v>
      </c>
      <c r="W160" s="605" t="e">
        <f>IF($R$36=2,0,IF($R$36=4,$O$36/4,IF($R$36=6,$O$36/6,IF($R$36=8,$O$36/8,IF($R$36=9,$O$36/9)))))</f>
        <v>#N/A</v>
      </c>
      <c r="X160" s="606" t="e">
        <f t="shared" si="124"/>
        <v>#N/A</v>
      </c>
      <c r="Y160" s="606" t="e">
        <f t="shared" si="125"/>
        <v>#N/A</v>
      </c>
      <c r="Z160" s="176">
        <f t="shared" ref="Z160:Z166" si="133">Z159</f>
        <v>2</v>
      </c>
      <c r="AA160" s="176" t="e">
        <f t="shared" si="126"/>
        <v>#N/A</v>
      </c>
      <c r="AB160" s="176" t="e">
        <f t="shared" si="128"/>
        <v>#N/A</v>
      </c>
      <c r="AC160" s="590" t="e">
        <f t="shared" si="129"/>
        <v>#N/A</v>
      </c>
      <c r="AD160" s="590" t="e">
        <f t="shared" si="127"/>
        <v>#N/A</v>
      </c>
    </row>
    <row r="161" spans="1:32" ht="15" customHeight="1">
      <c r="B161" s="581" t="s">
        <v>225</v>
      </c>
      <c r="C161" s="604"/>
      <c r="D161" s="604"/>
      <c r="E161" s="604"/>
      <c r="F161" s="604"/>
      <c r="G161" s="604"/>
      <c r="H161" s="176" t="e">
        <f t="shared" si="116"/>
        <v>#N/A</v>
      </c>
      <c r="I161" s="176" t="e">
        <f t="shared" si="117"/>
        <v>#N/A</v>
      </c>
      <c r="J161" s="604"/>
      <c r="K161" s="604"/>
      <c r="L161" s="604"/>
      <c r="O161" s="590" t="e">
        <f t="shared" si="118"/>
        <v>#N/A</v>
      </c>
      <c r="P161" s="176">
        <f t="shared" si="130"/>
        <v>3.23</v>
      </c>
      <c r="Q161" s="580" t="e">
        <f t="shared" si="119"/>
        <v>#N/A</v>
      </c>
      <c r="R161" s="176">
        <f t="shared" si="131"/>
        <v>3.3</v>
      </c>
      <c r="S161" s="590" t="e">
        <f t="shared" si="120"/>
        <v>#N/A</v>
      </c>
      <c r="T161" s="176" t="e">
        <f t="shared" si="121"/>
        <v>#N/A</v>
      </c>
      <c r="U161" s="176">
        <f t="shared" si="132"/>
        <v>200</v>
      </c>
      <c r="V161" s="176" t="e">
        <f t="shared" si="122"/>
        <v>#N/A</v>
      </c>
      <c r="W161" s="605" t="e">
        <f t="shared" ref="W161" si="134">IF($R$36=2,0,IF($R$36=4,$O$36/4,IF($R$36=6,$O$36/6,IF($R$36=8,$O$36/8,IF($R$36=9,$O$36/9)))))</f>
        <v>#N/A</v>
      </c>
      <c r="X161" s="606" t="e">
        <f t="shared" si="124"/>
        <v>#N/A</v>
      </c>
      <c r="Y161" s="606" t="e">
        <f t="shared" si="125"/>
        <v>#N/A</v>
      </c>
      <c r="Z161" s="176">
        <f t="shared" si="133"/>
        <v>2</v>
      </c>
      <c r="AA161" s="176" t="e">
        <f t="shared" si="126"/>
        <v>#N/A</v>
      </c>
      <c r="AB161" s="176" t="e">
        <f t="shared" si="128"/>
        <v>#N/A</v>
      </c>
      <c r="AC161" s="590" t="e">
        <f t="shared" si="129"/>
        <v>#N/A</v>
      </c>
      <c r="AD161" s="590" t="e">
        <f t="shared" si="127"/>
        <v>#N/A</v>
      </c>
    </row>
    <row r="162" spans="1:32" ht="15" customHeight="1">
      <c r="B162" s="581" t="s">
        <v>225</v>
      </c>
      <c r="C162" s="604"/>
      <c r="D162" s="604"/>
      <c r="E162" s="604"/>
      <c r="F162" s="604"/>
      <c r="G162" s="604"/>
      <c r="H162" s="176" t="e">
        <f t="shared" si="116"/>
        <v>#N/A</v>
      </c>
      <c r="I162" s="176" t="e">
        <f t="shared" si="117"/>
        <v>#N/A</v>
      </c>
      <c r="J162" s="604"/>
      <c r="K162" s="604"/>
      <c r="L162" s="604"/>
      <c r="O162" s="590" t="e">
        <f t="shared" si="118"/>
        <v>#N/A</v>
      </c>
      <c r="P162" s="176">
        <f t="shared" si="130"/>
        <v>3.23</v>
      </c>
      <c r="Q162" s="580" t="e">
        <f t="shared" si="119"/>
        <v>#N/A</v>
      </c>
      <c r="R162" s="176">
        <f t="shared" si="131"/>
        <v>3.3</v>
      </c>
      <c r="S162" s="590" t="e">
        <f t="shared" si="120"/>
        <v>#N/A</v>
      </c>
      <c r="T162" s="176" t="e">
        <f t="shared" si="121"/>
        <v>#N/A</v>
      </c>
      <c r="U162" s="176">
        <f t="shared" si="132"/>
        <v>200</v>
      </c>
      <c r="V162" s="176" t="e">
        <f t="shared" si="122"/>
        <v>#N/A</v>
      </c>
      <c r="W162" s="605" t="e">
        <f>IF($R$36=2,0,IF($R$36=4,0,IF($R$36=6,$O$36/6,IF($R$36=8,$O$36/8,IF($R$36=9,$O$36/9)))))</f>
        <v>#N/A</v>
      </c>
      <c r="X162" s="606" t="e">
        <f t="shared" si="124"/>
        <v>#N/A</v>
      </c>
      <c r="Y162" s="606" t="e">
        <f t="shared" si="125"/>
        <v>#N/A</v>
      </c>
      <c r="Z162" s="176">
        <f t="shared" si="133"/>
        <v>2</v>
      </c>
      <c r="AA162" s="176" t="e">
        <f t="shared" si="126"/>
        <v>#N/A</v>
      </c>
      <c r="AB162" s="176" t="e">
        <f t="shared" si="128"/>
        <v>#N/A</v>
      </c>
      <c r="AC162" s="590" t="e">
        <f t="shared" si="129"/>
        <v>#N/A</v>
      </c>
      <c r="AD162" s="590" t="e">
        <f t="shared" si="127"/>
        <v>#N/A</v>
      </c>
    </row>
    <row r="163" spans="1:32" ht="15" customHeight="1">
      <c r="B163" s="581" t="s">
        <v>225</v>
      </c>
      <c r="C163" s="604"/>
      <c r="D163" s="604"/>
      <c r="E163" s="604"/>
      <c r="F163" s="604"/>
      <c r="G163" s="604"/>
      <c r="H163" s="176" t="e">
        <f t="shared" si="116"/>
        <v>#N/A</v>
      </c>
      <c r="I163" s="176" t="e">
        <f t="shared" si="117"/>
        <v>#N/A</v>
      </c>
      <c r="J163" s="604"/>
      <c r="K163" s="604"/>
      <c r="L163" s="604"/>
      <c r="O163" s="590" t="e">
        <f t="shared" si="118"/>
        <v>#N/A</v>
      </c>
      <c r="P163" s="176">
        <f t="shared" si="130"/>
        <v>3.23</v>
      </c>
      <c r="Q163" s="580" t="e">
        <f t="shared" si="119"/>
        <v>#N/A</v>
      </c>
      <c r="R163" s="176">
        <f t="shared" si="131"/>
        <v>3.3</v>
      </c>
      <c r="S163" s="590" t="e">
        <f t="shared" si="120"/>
        <v>#N/A</v>
      </c>
      <c r="T163" s="176" t="e">
        <f t="shared" si="121"/>
        <v>#N/A</v>
      </c>
      <c r="U163" s="176">
        <f t="shared" si="132"/>
        <v>200</v>
      </c>
      <c r="V163" s="176" t="e">
        <f t="shared" si="122"/>
        <v>#N/A</v>
      </c>
      <c r="W163" s="605" t="e">
        <f>IF($R$36=2,0,IF($R$36=4,0,IF($R$36=6,$O$36/6,IF($R$36=8,$O$36/8,IF($R$36=9,$O$36/9)))))</f>
        <v>#N/A</v>
      </c>
      <c r="X163" s="606" t="e">
        <f t="shared" si="124"/>
        <v>#N/A</v>
      </c>
      <c r="Y163" s="606" t="e">
        <f t="shared" si="125"/>
        <v>#N/A</v>
      </c>
      <c r="Z163" s="176">
        <f t="shared" si="133"/>
        <v>2</v>
      </c>
      <c r="AA163" s="176" t="e">
        <f t="shared" si="126"/>
        <v>#N/A</v>
      </c>
      <c r="AB163" s="176" t="e">
        <f t="shared" si="128"/>
        <v>#N/A</v>
      </c>
      <c r="AC163" s="590" t="e">
        <f t="shared" si="129"/>
        <v>#N/A</v>
      </c>
      <c r="AD163" s="590" t="e">
        <f t="shared" si="127"/>
        <v>#N/A</v>
      </c>
    </row>
    <row r="164" spans="1:32" ht="15" customHeight="1">
      <c r="B164" s="581" t="s">
        <v>225</v>
      </c>
      <c r="C164" s="604"/>
      <c r="D164" s="604"/>
      <c r="E164" s="604"/>
      <c r="F164" s="604"/>
      <c r="G164" s="604"/>
      <c r="H164" s="176" t="e">
        <f t="shared" si="116"/>
        <v>#N/A</v>
      </c>
      <c r="I164" s="176" t="e">
        <f t="shared" si="117"/>
        <v>#N/A</v>
      </c>
      <c r="J164" s="604"/>
      <c r="K164" s="604"/>
      <c r="L164" s="604"/>
      <c r="O164" s="590" t="e">
        <f t="shared" si="118"/>
        <v>#N/A</v>
      </c>
      <c r="P164" s="176">
        <f t="shared" si="130"/>
        <v>3.23</v>
      </c>
      <c r="Q164" s="580" t="e">
        <f t="shared" si="119"/>
        <v>#N/A</v>
      </c>
      <c r="R164" s="176">
        <f t="shared" si="131"/>
        <v>3.3</v>
      </c>
      <c r="S164" s="590" t="e">
        <f t="shared" si="120"/>
        <v>#N/A</v>
      </c>
      <c r="T164" s="176" t="e">
        <f t="shared" si="121"/>
        <v>#N/A</v>
      </c>
      <c r="U164" s="176">
        <f t="shared" si="132"/>
        <v>200</v>
      </c>
      <c r="V164" s="176" t="e">
        <f t="shared" si="122"/>
        <v>#N/A</v>
      </c>
      <c r="W164" s="605" t="e">
        <f>IF($R$36=2,0,IF($R$36=4,0,IF($R$36=6,0,IF($R$36=8,$O$36/8,IF($R$36=9,$O$36/9)))))</f>
        <v>#N/A</v>
      </c>
      <c r="X164" s="606" t="e">
        <f t="shared" si="124"/>
        <v>#N/A</v>
      </c>
      <c r="Y164" s="606" t="e">
        <f t="shared" si="125"/>
        <v>#N/A</v>
      </c>
      <c r="Z164" s="176">
        <f t="shared" si="133"/>
        <v>2</v>
      </c>
      <c r="AA164" s="176" t="e">
        <f t="shared" si="126"/>
        <v>#N/A</v>
      </c>
      <c r="AB164" s="176" t="e">
        <f t="shared" si="128"/>
        <v>#N/A</v>
      </c>
      <c r="AC164" s="590" t="e">
        <f t="shared" si="129"/>
        <v>#N/A</v>
      </c>
      <c r="AD164" s="590" t="e">
        <f t="shared" si="127"/>
        <v>#N/A</v>
      </c>
    </row>
    <row r="165" spans="1:32" ht="15" customHeight="1">
      <c r="B165" s="581" t="s">
        <v>225</v>
      </c>
      <c r="C165" s="604"/>
      <c r="D165" s="604"/>
      <c r="E165" s="604"/>
      <c r="F165" s="604"/>
      <c r="G165" s="604"/>
      <c r="H165" s="176" t="e">
        <f t="shared" si="116"/>
        <v>#N/A</v>
      </c>
      <c r="I165" s="176" t="e">
        <f t="shared" si="117"/>
        <v>#N/A</v>
      </c>
      <c r="J165" s="604"/>
      <c r="K165" s="604"/>
      <c r="L165" s="604"/>
      <c r="O165" s="590" t="e">
        <f t="shared" si="118"/>
        <v>#N/A</v>
      </c>
      <c r="P165" s="176">
        <f t="shared" si="130"/>
        <v>3.23</v>
      </c>
      <c r="Q165" s="580" t="e">
        <f t="shared" si="119"/>
        <v>#N/A</v>
      </c>
      <c r="R165" s="176">
        <f t="shared" si="131"/>
        <v>3.3</v>
      </c>
      <c r="S165" s="590" t="e">
        <f t="shared" si="120"/>
        <v>#N/A</v>
      </c>
      <c r="T165" s="176" t="e">
        <f t="shared" si="121"/>
        <v>#N/A</v>
      </c>
      <c r="U165" s="176">
        <f t="shared" si="132"/>
        <v>200</v>
      </c>
      <c r="V165" s="176" t="e">
        <f t="shared" si="122"/>
        <v>#N/A</v>
      </c>
      <c r="W165" s="605" t="e">
        <f t="shared" ref="W165" si="135">IF($R$36=2,0,IF($R$36=4,0,IF($R$36=6,0,IF($R$36=8,$O$36/8,IF($R$36=9,$O$36/9)))))</f>
        <v>#N/A</v>
      </c>
      <c r="X165" s="606" t="e">
        <f t="shared" si="124"/>
        <v>#N/A</v>
      </c>
      <c r="Y165" s="606" t="e">
        <f t="shared" si="125"/>
        <v>#N/A</v>
      </c>
      <c r="Z165" s="176">
        <f t="shared" si="133"/>
        <v>2</v>
      </c>
      <c r="AA165" s="176" t="e">
        <f t="shared" si="126"/>
        <v>#N/A</v>
      </c>
      <c r="AB165" s="176" t="e">
        <f t="shared" si="128"/>
        <v>#N/A</v>
      </c>
      <c r="AC165" s="590" t="e">
        <f t="shared" si="129"/>
        <v>#N/A</v>
      </c>
      <c r="AD165" s="590" t="e">
        <f t="shared" si="127"/>
        <v>#N/A</v>
      </c>
    </row>
    <row r="166" spans="1:32" s="173" customFormat="1" ht="15" customHeight="1">
      <c r="A166" s="126"/>
      <c r="B166" s="581" t="s">
        <v>225</v>
      </c>
      <c r="C166" s="604"/>
      <c r="D166" s="604"/>
      <c r="E166" s="604"/>
      <c r="F166" s="604"/>
      <c r="G166" s="604"/>
      <c r="H166" s="176" t="e">
        <f t="shared" si="116"/>
        <v>#N/A</v>
      </c>
      <c r="I166" s="176" t="e">
        <f t="shared" si="117"/>
        <v>#N/A</v>
      </c>
      <c r="J166" s="604"/>
      <c r="K166" s="604"/>
      <c r="L166" s="604"/>
      <c r="M166" s="126"/>
      <c r="N166" s="126"/>
      <c r="O166" s="590" t="e">
        <f t="shared" si="118"/>
        <v>#N/A</v>
      </c>
      <c r="P166" s="176">
        <f t="shared" si="130"/>
        <v>3.23</v>
      </c>
      <c r="Q166" s="580" t="e">
        <f t="shared" si="119"/>
        <v>#N/A</v>
      </c>
      <c r="R166" s="176">
        <f t="shared" si="131"/>
        <v>3.3</v>
      </c>
      <c r="S166" s="590" t="e">
        <f t="shared" si="120"/>
        <v>#N/A</v>
      </c>
      <c r="T166" s="176" t="e">
        <f t="shared" si="121"/>
        <v>#N/A</v>
      </c>
      <c r="U166" s="176">
        <f t="shared" si="132"/>
        <v>200</v>
      </c>
      <c r="V166" s="176" t="e">
        <f t="shared" si="122"/>
        <v>#N/A</v>
      </c>
      <c r="W166" s="605" t="e">
        <f>IF($R$36=2,0,IF($R$36=4,0,IF($R$36=6,0,IF($R$36=8,0,IF($R$36=9,$O$36/9)))))</f>
        <v>#N/A</v>
      </c>
      <c r="X166" s="606" t="e">
        <f t="shared" si="124"/>
        <v>#N/A</v>
      </c>
      <c r="Y166" s="606" t="e">
        <f t="shared" si="125"/>
        <v>#N/A</v>
      </c>
      <c r="Z166" s="176">
        <f t="shared" si="133"/>
        <v>2</v>
      </c>
      <c r="AA166" s="176" t="e">
        <f t="shared" si="126"/>
        <v>#N/A</v>
      </c>
      <c r="AB166" s="176" t="e">
        <f t="shared" si="128"/>
        <v>#N/A</v>
      </c>
      <c r="AC166" s="590" t="e">
        <f t="shared" si="129"/>
        <v>#N/A</v>
      </c>
      <c r="AD166" s="590" t="e">
        <f t="shared" si="127"/>
        <v>#N/A</v>
      </c>
      <c r="AE166" s="126"/>
    </row>
    <row r="167" spans="1:32" ht="15" customHeight="1">
      <c r="D167" s="126"/>
      <c r="E167" s="126"/>
      <c r="K167" s="126"/>
      <c r="L167" s="126"/>
      <c r="Q167" s="126"/>
      <c r="R167" s="126"/>
      <c r="V167" s="126"/>
      <c r="X167" s="126"/>
    </row>
    <row r="168" spans="1:32" ht="15" customHeight="1">
      <c r="D168" s="126"/>
      <c r="E168" s="126"/>
      <c r="K168" s="126"/>
      <c r="L168" s="126"/>
      <c r="Q168" s="126"/>
      <c r="R168" s="126"/>
      <c r="V168" s="126"/>
      <c r="X168" s="126"/>
    </row>
    <row r="169" spans="1:32" ht="15" customHeight="1">
      <c r="C169" s="1323" t="s">
        <v>1204</v>
      </c>
      <c r="D169" s="1323"/>
      <c r="E169" s="580" t="s">
        <v>1185</v>
      </c>
      <c r="F169" s="580" t="s">
        <v>1186</v>
      </c>
      <c r="G169" s="580" t="s">
        <v>227</v>
      </c>
      <c r="K169" s="126"/>
      <c r="L169" s="126"/>
      <c r="Q169" s="126"/>
      <c r="R169" s="126"/>
      <c r="V169" s="126"/>
      <c r="X169" s="126"/>
    </row>
    <row r="170" spans="1:32" ht="15" customHeight="1">
      <c r="B170" s="581" t="s">
        <v>768</v>
      </c>
      <c r="C170" s="1324"/>
      <c r="D170" s="1324"/>
      <c r="E170" s="589">
        <f>ENERGÍA!F176</f>
        <v>0</v>
      </c>
      <c r="F170" s="589">
        <f>ENERGÍA!G176</f>
        <v>0</v>
      </c>
      <c r="G170" s="589">
        <f>ENERGÍA!H176</f>
        <v>0</v>
      </c>
      <c r="K170" s="126"/>
      <c r="L170" s="126"/>
      <c r="T170" s="590">
        <f>ENERGÍA!U176</f>
        <v>0</v>
      </c>
      <c r="V170" s="126"/>
      <c r="X170" s="126"/>
      <c r="AC170" s="590">
        <f>T170*E170*F170</f>
        <v>0</v>
      </c>
      <c r="AD170" s="590">
        <f>AC170</f>
        <v>0</v>
      </c>
    </row>
    <row r="171" spans="1:32" ht="6" customHeight="1">
      <c r="D171" s="126"/>
      <c r="E171" s="126"/>
      <c r="O171" s="148"/>
      <c r="P171" s="581"/>
      <c r="Q171" s="126"/>
      <c r="R171" s="126"/>
      <c r="V171" s="148"/>
    </row>
    <row r="172" spans="1:32" ht="15" customHeight="1">
      <c r="B172" s="1280" t="s">
        <v>601</v>
      </c>
      <c r="C172" s="1280"/>
      <c r="D172" s="1280"/>
      <c r="E172" s="1280"/>
      <c r="F172" s="1280"/>
      <c r="G172" s="1280"/>
      <c r="H172" s="1280"/>
      <c r="I172" s="1280"/>
      <c r="J172" s="1280"/>
      <c r="K172" s="1280"/>
      <c r="L172" s="1280"/>
      <c r="O172" s="1317" t="s">
        <v>601</v>
      </c>
      <c r="P172" s="1318"/>
      <c r="Q172" s="1318"/>
      <c r="R172" s="1318"/>
      <c r="S172" s="1318"/>
      <c r="T172" s="1318"/>
      <c r="U172" s="1318"/>
      <c r="V172" s="1318"/>
      <c r="W172" s="1318"/>
      <c r="X172" s="1318"/>
      <c r="Y172" s="1318"/>
      <c r="Z172" s="1318"/>
      <c r="AA172" s="1318"/>
      <c r="AB172" s="1318"/>
      <c r="AC172" s="1318"/>
      <c r="AD172" s="1318"/>
      <c r="AE172" s="1318"/>
      <c r="AF172" s="1319"/>
    </row>
    <row r="173" spans="1:32" ht="6" customHeight="1">
      <c r="O173" s="148"/>
      <c r="Q173" s="126"/>
      <c r="R173" s="126"/>
      <c r="V173" s="148"/>
    </row>
    <row r="174" spans="1:32" ht="15" customHeight="1">
      <c r="B174" s="580" t="s">
        <v>598</v>
      </c>
      <c r="C174" s="1320" t="s">
        <v>1034</v>
      </c>
      <c r="D174" s="1321"/>
      <c r="E174" s="1321"/>
      <c r="F174" s="1321"/>
      <c r="G174" s="1321"/>
      <c r="H174" s="1321"/>
      <c r="I174" s="1321"/>
      <c r="J174" s="1321"/>
      <c r="K174" s="1321"/>
      <c r="L174" s="1322"/>
      <c r="P174" s="580" t="s">
        <v>1388</v>
      </c>
      <c r="Q174" s="148" t="s">
        <v>1389</v>
      </c>
      <c r="X174" s="580" t="s">
        <v>1392</v>
      </c>
      <c r="Z174" s="148" t="s">
        <v>1393</v>
      </c>
      <c r="AA174" s="580" t="s">
        <v>1391</v>
      </c>
      <c r="AB174" s="148" t="s">
        <v>1390</v>
      </c>
      <c r="AD174" s="148" t="s">
        <v>1393</v>
      </c>
      <c r="AE174" s="580" t="s">
        <v>1391</v>
      </c>
      <c r="AF174" s="148" t="s">
        <v>1394</v>
      </c>
    </row>
    <row r="175" spans="1:32" ht="15" customHeight="1">
      <c r="B175" s="581" t="s">
        <v>574</v>
      </c>
      <c r="C175" s="1326" t="str">
        <f>'BASE DE DATOS'!GW59</f>
        <v>Sin Ventilación</v>
      </c>
      <c r="D175" s="1327"/>
      <c r="E175" s="1327"/>
      <c r="F175" s="1327"/>
      <c r="G175" s="1327"/>
      <c r="H175" s="1327"/>
      <c r="I175" s="1327"/>
      <c r="J175" s="1327"/>
      <c r="K175" s="1327"/>
      <c r="L175" s="1328"/>
      <c r="O175" s="580">
        <f>ENERGÍA!P181</f>
        <v>0</v>
      </c>
      <c r="P175" s="148">
        <f>IF(O175=0,0,IF(C175='Materiales Personalizados'!$AG$30,55,IF(C175='Materiales Personalizados'!$AG$31,25,IF(C175='Materiales Personalizados'!$AG$32,55,0))))</f>
        <v>0</v>
      </c>
      <c r="Q175" s="1286">
        <f>IF(SUM(P175:P184)=0,0,SUM(P175:P184))</f>
        <v>0</v>
      </c>
      <c r="X175" s="1286">
        <f>((Q175*AW64)/3600)*0.33</f>
        <v>0</v>
      </c>
      <c r="Z175" s="1275">
        <v>0.3</v>
      </c>
      <c r="AA175" s="1286">
        <f>(X175+Z175)*1200</f>
        <v>360</v>
      </c>
      <c r="AB175" s="1286">
        <f>(1/1000)*AA175*(AH64)</f>
        <v>0</v>
      </c>
      <c r="AD175" s="1275">
        <v>0.3</v>
      </c>
      <c r="AE175" s="1286">
        <f>(AD175)*1200</f>
        <v>360</v>
      </c>
      <c r="AF175" s="1286">
        <f>(1/1000)*AE175*(AN66)</f>
        <v>6.4799999999999995</v>
      </c>
    </row>
    <row r="176" spans="1:32" ht="15" customHeight="1">
      <c r="B176" s="581" t="s">
        <v>575</v>
      </c>
      <c r="C176" s="1326" t="str">
        <f>C175</f>
        <v>Sin Ventilación</v>
      </c>
      <c r="D176" s="1327"/>
      <c r="E176" s="1327"/>
      <c r="F176" s="1327"/>
      <c r="G176" s="1327"/>
      <c r="H176" s="1327"/>
      <c r="I176" s="1327"/>
      <c r="J176" s="1327"/>
      <c r="K176" s="1327"/>
      <c r="L176" s="1328"/>
      <c r="O176" s="580">
        <f>ENERGÍA!P182</f>
        <v>0</v>
      </c>
      <c r="P176" s="148">
        <f>IF(O176=0,0,IF(C176='Materiales Personalizados'!$AG$30,55,IF(C176='Materiales Personalizados'!$AG$31,25,IF(C176='Materiales Personalizados'!$AG$32,55,0))))</f>
        <v>0</v>
      </c>
      <c r="Q176" s="1287"/>
      <c r="X176" s="1287"/>
      <c r="Z176" s="1276"/>
      <c r="AA176" s="1287"/>
      <c r="AB176" s="1287"/>
      <c r="AD176" s="1276"/>
      <c r="AE176" s="1287"/>
      <c r="AF176" s="1287"/>
    </row>
    <row r="177" spans="2:50" ht="15" customHeight="1">
      <c r="B177" s="581" t="s">
        <v>576</v>
      </c>
      <c r="C177" s="1326" t="str">
        <f t="shared" ref="C177:C184" si="136">C176</f>
        <v>Sin Ventilación</v>
      </c>
      <c r="D177" s="1327"/>
      <c r="E177" s="1327"/>
      <c r="F177" s="1327"/>
      <c r="G177" s="1327"/>
      <c r="H177" s="1327"/>
      <c r="I177" s="1327"/>
      <c r="J177" s="1327"/>
      <c r="K177" s="1327"/>
      <c r="L177" s="1328"/>
      <c r="O177" s="580">
        <f>ENERGÍA!P183</f>
        <v>0</v>
      </c>
      <c r="P177" s="148">
        <f>IF(O177=0,0,IF(C177='Materiales Personalizados'!$AG$30,55,IF(C177='Materiales Personalizados'!$AG$31,25,IF(C177='Materiales Personalizados'!$AG$32,55,0))))</f>
        <v>0</v>
      </c>
      <c r="Q177" s="1287"/>
      <c r="S177" s="597"/>
      <c r="X177" s="1287"/>
      <c r="Z177" s="1276"/>
      <c r="AA177" s="1287"/>
      <c r="AB177" s="1287"/>
      <c r="AD177" s="1276"/>
      <c r="AE177" s="1287"/>
      <c r="AF177" s="1287"/>
    </row>
    <row r="178" spans="2:50" ht="15" customHeight="1">
      <c r="B178" s="581" t="s">
        <v>577</v>
      </c>
      <c r="C178" s="1326" t="str">
        <f t="shared" si="136"/>
        <v>Sin Ventilación</v>
      </c>
      <c r="D178" s="1327"/>
      <c r="E178" s="1327"/>
      <c r="F178" s="1327"/>
      <c r="G178" s="1327"/>
      <c r="H178" s="1327"/>
      <c r="I178" s="1327"/>
      <c r="J178" s="1327"/>
      <c r="K178" s="1327"/>
      <c r="L178" s="1328"/>
      <c r="O178" s="580">
        <f>ENERGÍA!P184</f>
        <v>0</v>
      </c>
      <c r="P178" s="148">
        <f>IF(O178=0,0,IF(C178='Materiales Personalizados'!$AG$30,55,IF(C178='Materiales Personalizados'!$AG$31,25,IF(C178='Materiales Personalizados'!$AG$32,55,0))))</f>
        <v>0</v>
      </c>
      <c r="Q178" s="1287"/>
      <c r="S178" s="597"/>
      <c r="X178" s="1287"/>
      <c r="Z178" s="1276"/>
      <c r="AA178" s="1287"/>
      <c r="AB178" s="1287"/>
      <c r="AD178" s="1276"/>
      <c r="AE178" s="1287"/>
      <c r="AF178" s="1287"/>
    </row>
    <row r="179" spans="2:50" ht="15" customHeight="1">
      <c r="B179" s="581" t="s">
        <v>578</v>
      </c>
      <c r="C179" s="1326" t="str">
        <f t="shared" si="136"/>
        <v>Sin Ventilación</v>
      </c>
      <c r="D179" s="1327"/>
      <c r="E179" s="1327"/>
      <c r="F179" s="1327"/>
      <c r="G179" s="1327"/>
      <c r="H179" s="1327"/>
      <c r="I179" s="1327"/>
      <c r="J179" s="1327"/>
      <c r="K179" s="1327"/>
      <c r="L179" s="1328"/>
      <c r="O179" s="580">
        <f>ENERGÍA!P185</f>
        <v>0</v>
      </c>
      <c r="P179" s="148">
        <f>IF(O179=0,0,IF(C179='Materiales Personalizados'!$AG$30,55,IF(C179='Materiales Personalizados'!$AG$31,25,IF(C179='Materiales Personalizados'!$AG$32,55,0))))</f>
        <v>0</v>
      </c>
      <c r="Q179" s="1287"/>
      <c r="X179" s="1287"/>
      <c r="Z179" s="1276"/>
      <c r="AA179" s="1287"/>
      <c r="AB179" s="1287"/>
      <c r="AD179" s="1276"/>
      <c r="AE179" s="1287"/>
      <c r="AF179" s="1287"/>
    </row>
    <row r="180" spans="2:50" ht="15" customHeight="1">
      <c r="B180" s="581" t="s">
        <v>579</v>
      </c>
      <c r="C180" s="1326" t="str">
        <f t="shared" si="136"/>
        <v>Sin Ventilación</v>
      </c>
      <c r="D180" s="1327"/>
      <c r="E180" s="1327"/>
      <c r="F180" s="1327"/>
      <c r="G180" s="1327"/>
      <c r="H180" s="1327"/>
      <c r="I180" s="1327"/>
      <c r="J180" s="1327"/>
      <c r="K180" s="1327"/>
      <c r="L180" s="1328"/>
      <c r="O180" s="580">
        <f>ENERGÍA!P186</f>
        <v>0</v>
      </c>
      <c r="P180" s="148">
        <f>IF(O180=0,0,IF(C180='Materiales Personalizados'!$AG$30,55,IF(C180='Materiales Personalizados'!$AG$31,25,IF(C180='Materiales Personalizados'!$AG$32,55,0))))</f>
        <v>0</v>
      </c>
      <c r="Q180" s="1287"/>
      <c r="T180" s="597"/>
      <c r="X180" s="1287"/>
      <c r="Z180" s="1276"/>
      <c r="AA180" s="1287"/>
      <c r="AB180" s="1287"/>
      <c r="AD180" s="1276"/>
      <c r="AE180" s="1287"/>
      <c r="AF180" s="1287"/>
    </row>
    <row r="181" spans="2:50" ht="15" customHeight="1">
      <c r="B181" s="581" t="s">
        <v>636</v>
      </c>
      <c r="C181" s="1326" t="str">
        <f t="shared" si="136"/>
        <v>Sin Ventilación</v>
      </c>
      <c r="D181" s="1327"/>
      <c r="E181" s="1327"/>
      <c r="F181" s="1327"/>
      <c r="G181" s="1327"/>
      <c r="H181" s="1327"/>
      <c r="I181" s="1327"/>
      <c r="J181" s="1327"/>
      <c r="K181" s="1327"/>
      <c r="L181" s="1328"/>
      <c r="O181" s="580">
        <f>ENERGÍA!P187</f>
        <v>0</v>
      </c>
      <c r="P181" s="148">
        <f>IF(O181=0,0,IF(C181='Materiales Personalizados'!$AG$30,55,IF(C181='Materiales Personalizados'!$AG$31,25,IF(C181='Materiales Personalizados'!$AG$32,55,0))))</f>
        <v>0</v>
      </c>
      <c r="Q181" s="1287"/>
      <c r="X181" s="1287"/>
      <c r="Z181" s="1276"/>
      <c r="AA181" s="1287"/>
      <c r="AB181" s="1287"/>
      <c r="AD181" s="1276"/>
      <c r="AE181" s="1287"/>
      <c r="AF181" s="1287"/>
    </row>
    <row r="182" spans="2:50" ht="15" customHeight="1">
      <c r="B182" s="581" t="s">
        <v>582</v>
      </c>
      <c r="C182" s="1326" t="str">
        <f t="shared" si="136"/>
        <v>Sin Ventilación</v>
      </c>
      <c r="D182" s="1327"/>
      <c r="E182" s="1327"/>
      <c r="F182" s="1327"/>
      <c r="G182" s="1327"/>
      <c r="H182" s="1327"/>
      <c r="I182" s="1327"/>
      <c r="J182" s="1327"/>
      <c r="K182" s="1327"/>
      <c r="L182" s="1328"/>
      <c r="O182" s="580">
        <f>ENERGÍA!P188</f>
        <v>0</v>
      </c>
      <c r="P182" s="148">
        <f>IF(O182=0,0,IF(C182='Materiales Personalizados'!$AG$30,55,IF(C182='Materiales Personalizados'!$AG$31,25,IF(C182='Materiales Personalizados'!$AG$32,55,0))))</f>
        <v>0</v>
      </c>
      <c r="Q182" s="1287"/>
      <c r="X182" s="1287"/>
      <c r="Z182" s="1276"/>
      <c r="AA182" s="1287"/>
      <c r="AB182" s="1287"/>
      <c r="AD182" s="1276"/>
      <c r="AE182" s="1287"/>
      <c r="AF182" s="1287"/>
    </row>
    <row r="183" spans="2:50" ht="15" customHeight="1">
      <c r="B183" s="581" t="s">
        <v>566</v>
      </c>
      <c r="C183" s="1326" t="str">
        <f t="shared" si="136"/>
        <v>Sin Ventilación</v>
      </c>
      <c r="D183" s="1327"/>
      <c r="E183" s="1327"/>
      <c r="F183" s="1327"/>
      <c r="G183" s="1327"/>
      <c r="H183" s="1327"/>
      <c r="I183" s="1327"/>
      <c r="J183" s="1327"/>
      <c r="K183" s="1327"/>
      <c r="L183" s="1328"/>
      <c r="O183" s="580">
        <f>ENERGÍA!P189</f>
        <v>0</v>
      </c>
      <c r="P183" s="148">
        <f>IF(O183=0,0,IF(C183='Materiales Personalizados'!$AG$30,55,IF(C183='Materiales Personalizados'!$AG$31,25,IF(C183='Materiales Personalizados'!$AG$32,55,0))))</f>
        <v>0</v>
      </c>
      <c r="Q183" s="1287"/>
      <c r="X183" s="1287"/>
      <c r="Z183" s="1276"/>
      <c r="AA183" s="1287"/>
      <c r="AB183" s="1287"/>
      <c r="AD183" s="1276"/>
      <c r="AE183" s="1287"/>
      <c r="AF183" s="1287"/>
    </row>
    <row r="184" spans="2:50" ht="15" customHeight="1">
      <c r="B184" s="581" t="s">
        <v>572</v>
      </c>
      <c r="C184" s="1326" t="str">
        <f t="shared" si="136"/>
        <v>Sin Ventilación</v>
      </c>
      <c r="D184" s="1327"/>
      <c r="E184" s="1327"/>
      <c r="F184" s="1327"/>
      <c r="G184" s="1327"/>
      <c r="H184" s="1327"/>
      <c r="I184" s="1327"/>
      <c r="J184" s="1327"/>
      <c r="K184" s="1327"/>
      <c r="L184" s="1328"/>
      <c r="O184" s="580">
        <f>ENERGÍA!P190</f>
        <v>0</v>
      </c>
      <c r="P184" s="148">
        <f>IF(O184=0,0,IF(C184='Materiales Personalizados'!$AG$30,55,IF(C184='Materiales Personalizados'!$AG$31,25,IF(C184='Materiales Personalizados'!$AG$32,55,0))))</f>
        <v>0</v>
      </c>
      <c r="Q184" s="1288"/>
      <c r="X184" s="1288"/>
      <c r="Z184" s="1277"/>
      <c r="AA184" s="1288"/>
      <c r="AB184" s="1288"/>
      <c r="AD184" s="1277"/>
      <c r="AE184" s="1288"/>
      <c r="AF184" s="1288"/>
    </row>
    <row r="185" spans="2:50" ht="6" customHeight="1">
      <c r="D185" s="126"/>
      <c r="E185" s="126"/>
      <c r="Q185" s="126"/>
      <c r="R185" s="126"/>
      <c r="V185" s="126"/>
      <c r="AV185" s="582"/>
      <c r="AW185" s="148"/>
      <c r="AX185" s="148"/>
    </row>
    <row r="186" spans="2:50" ht="15" customHeight="1">
      <c r="O186" s="148"/>
      <c r="P186" s="148"/>
      <c r="Q186" s="148"/>
      <c r="R186" s="148"/>
      <c r="S186" s="148"/>
      <c r="T186" s="148"/>
      <c r="U186" s="148"/>
      <c r="V186" s="148"/>
    </row>
    <row r="187" spans="2:50" ht="15" customHeight="1">
      <c r="O187" s="148"/>
      <c r="P187" s="148"/>
      <c r="Q187" s="148"/>
      <c r="R187" s="148"/>
      <c r="S187" s="148"/>
      <c r="T187" s="148"/>
      <c r="U187" s="148"/>
      <c r="V187" s="148"/>
    </row>
    <row r="188" spans="2:50" ht="15" customHeight="1">
      <c r="B188" s="98"/>
      <c r="C188" s="98"/>
      <c r="O188" s="148"/>
      <c r="P188" s="148"/>
      <c r="Q188" s="148"/>
      <c r="R188" s="148"/>
      <c r="S188" s="148"/>
      <c r="T188" s="148"/>
      <c r="U188" s="148"/>
      <c r="V188" s="148"/>
    </row>
    <row r="189" spans="2:50" ht="15" customHeight="1">
      <c r="O189" s="148"/>
      <c r="P189" s="148"/>
      <c r="Q189" s="148"/>
      <c r="R189" s="148"/>
      <c r="S189" s="148"/>
      <c r="T189" s="148"/>
      <c r="U189" s="148"/>
      <c r="V189" s="148"/>
    </row>
    <row r="190" spans="2:50" ht="15" customHeight="1">
      <c r="K190" s="126"/>
      <c r="L190" s="126"/>
    </row>
    <row r="191" spans="2:50" ht="15" customHeight="1">
      <c r="J191" s="148"/>
      <c r="K191" s="148"/>
      <c r="L191" s="148"/>
    </row>
  </sheetData>
  <sheetProtection algorithmName="SHA-512" hashValue="AR09RqZNSy5AYndbIJgjlpTuLivqAMxoRRRfl6eZFtE2Bn6oHzc6jkPBgLIeaUm6DsgEpyeHTdlq7QpFyJUcog==" saltValue="l0nVPKQVr3uO647j0LyNFA==" spinCount="100000" sheet="1" objects="1" scenarios="1" selectLockedCells="1"/>
  <mergeCells count="349">
    <mergeCell ref="B7:L7"/>
    <mergeCell ref="O7:AW7"/>
    <mergeCell ref="C9:K9"/>
    <mergeCell ref="C10:K10"/>
    <mergeCell ref="C11:K11"/>
    <mergeCell ref="C12:K12"/>
    <mergeCell ref="B4:J5"/>
    <mergeCell ref="K4:L5"/>
    <mergeCell ref="O4:T5"/>
    <mergeCell ref="U4:U5"/>
    <mergeCell ref="V4:V5"/>
    <mergeCell ref="X4:AW5"/>
    <mergeCell ref="B18:B20"/>
    <mergeCell ref="C18:K20"/>
    <mergeCell ref="L18:L20"/>
    <mergeCell ref="B21:B23"/>
    <mergeCell ref="C21:K23"/>
    <mergeCell ref="L21:L23"/>
    <mergeCell ref="C13:K13"/>
    <mergeCell ref="B14:B15"/>
    <mergeCell ref="C14:K15"/>
    <mergeCell ref="L14:L15"/>
    <mergeCell ref="B16:B17"/>
    <mergeCell ref="C16:K17"/>
    <mergeCell ref="L16:L17"/>
    <mergeCell ref="C29:K29"/>
    <mergeCell ref="B30:L30"/>
    <mergeCell ref="B32:L32"/>
    <mergeCell ref="B34:C34"/>
    <mergeCell ref="D34:F34"/>
    <mergeCell ref="G34:J34"/>
    <mergeCell ref="K34:L34"/>
    <mergeCell ref="B24:B26"/>
    <mergeCell ref="C24:K26"/>
    <mergeCell ref="L24:L26"/>
    <mergeCell ref="B27:B28"/>
    <mergeCell ref="C27:K28"/>
    <mergeCell ref="L27:L28"/>
    <mergeCell ref="O34:P34"/>
    <mergeCell ref="D35:F35"/>
    <mergeCell ref="G35:J35"/>
    <mergeCell ref="K35:L35"/>
    <mergeCell ref="O35:P35"/>
    <mergeCell ref="D36:F36"/>
    <mergeCell ref="G36:J36"/>
    <mergeCell ref="K36:L36"/>
    <mergeCell ref="O36:P36"/>
    <mergeCell ref="AG40:AJ40"/>
    <mergeCell ref="B42:L42"/>
    <mergeCell ref="O42:W42"/>
    <mergeCell ref="Y42:AC42"/>
    <mergeCell ref="D37:F37"/>
    <mergeCell ref="G37:J37"/>
    <mergeCell ref="K37:L37"/>
    <mergeCell ref="O37:P37"/>
    <mergeCell ref="D38:F38"/>
    <mergeCell ref="G38:J38"/>
    <mergeCell ref="K38:L38"/>
    <mergeCell ref="O38:P38"/>
    <mergeCell ref="B44:B45"/>
    <mergeCell ref="C44:G45"/>
    <mergeCell ref="H44:I44"/>
    <mergeCell ref="J44:J45"/>
    <mergeCell ref="K44:K45"/>
    <mergeCell ref="L44:L45"/>
    <mergeCell ref="B40:L40"/>
    <mergeCell ref="O40:W40"/>
    <mergeCell ref="Y40:AE40"/>
    <mergeCell ref="AD44:AD45"/>
    <mergeCell ref="AE44:AE45"/>
    <mergeCell ref="C46:G46"/>
    <mergeCell ref="C47:G47"/>
    <mergeCell ref="Y47:AC47"/>
    <mergeCell ref="C48:G48"/>
    <mergeCell ref="Y48:AE48"/>
    <mergeCell ref="U44:U45"/>
    <mergeCell ref="V44:V45"/>
    <mergeCell ref="Y44:Y45"/>
    <mergeCell ref="Z44:AA45"/>
    <mergeCell ref="AB44:AB45"/>
    <mergeCell ref="AC44:AC45"/>
    <mergeCell ref="O44:O45"/>
    <mergeCell ref="P44:P45"/>
    <mergeCell ref="Q44:Q45"/>
    <mergeCell ref="R44:R45"/>
    <mergeCell ref="S44:S45"/>
    <mergeCell ref="T44:T45"/>
    <mergeCell ref="B50:L50"/>
    <mergeCell ref="O50:W50"/>
    <mergeCell ref="B52:L52"/>
    <mergeCell ref="O52:W52"/>
    <mergeCell ref="AE52:AE57"/>
    <mergeCell ref="B54:B55"/>
    <mergeCell ref="C54:G55"/>
    <mergeCell ref="H54:I54"/>
    <mergeCell ref="J54:J55"/>
    <mergeCell ref="K54:K55"/>
    <mergeCell ref="T54:T55"/>
    <mergeCell ref="U54:U55"/>
    <mergeCell ref="V54:V55"/>
    <mergeCell ref="W54:W55"/>
    <mergeCell ref="AH54:AJ54"/>
    <mergeCell ref="H55:I55"/>
    <mergeCell ref="L54:L55"/>
    <mergeCell ref="O54:O55"/>
    <mergeCell ref="P54:P55"/>
    <mergeCell ref="Q54:Q55"/>
    <mergeCell ref="R54:R55"/>
    <mergeCell ref="S54:S55"/>
    <mergeCell ref="C59:G59"/>
    <mergeCell ref="H59:I59"/>
    <mergeCell ref="Y59:Z59"/>
    <mergeCell ref="AC59:AD59"/>
    <mergeCell ref="AG59:AS59"/>
    <mergeCell ref="C60:G60"/>
    <mergeCell ref="H60:I60"/>
    <mergeCell ref="C56:G56"/>
    <mergeCell ref="H56:I56"/>
    <mergeCell ref="C57:G57"/>
    <mergeCell ref="H57:I57"/>
    <mergeCell ref="C58:G58"/>
    <mergeCell ref="H58:I58"/>
    <mergeCell ref="B62:L62"/>
    <mergeCell ref="O62:W62"/>
    <mergeCell ref="B64:B65"/>
    <mergeCell ref="C64:G65"/>
    <mergeCell ref="H64:I64"/>
    <mergeCell ref="J64:J65"/>
    <mergeCell ref="K64:K65"/>
    <mergeCell ref="L64:L65"/>
    <mergeCell ref="O64:O65"/>
    <mergeCell ref="P64:P65"/>
    <mergeCell ref="AE64:AE65"/>
    <mergeCell ref="H65:I65"/>
    <mergeCell ref="C66:G66"/>
    <mergeCell ref="H66:I66"/>
    <mergeCell ref="AB66:AD66"/>
    <mergeCell ref="Q64:Q65"/>
    <mergeCell ref="R64:R65"/>
    <mergeCell ref="S64:S65"/>
    <mergeCell ref="T64:T65"/>
    <mergeCell ref="U64:U65"/>
    <mergeCell ref="V64:V65"/>
    <mergeCell ref="C67:G67"/>
    <mergeCell ref="H67:I67"/>
    <mergeCell ref="C68:G68"/>
    <mergeCell ref="H68:I68"/>
    <mergeCell ref="Y68:AC68"/>
    <mergeCell ref="C69:G69"/>
    <mergeCell ref="H69:I69"/>
    <mergeCell ref="AB69:AC69"/>
    <mergeCell ref="W64:W65"/>
    <mergeCell ref="Y64:AD65"/>
    <mergeCell ref="C70:G70"/>
    <mergeCell ref="H70:I70"/>
    <mergeCell ref="AB70:AC70"/>
    <mergeCell ref="AE70:AE76"/>
    <mergeCell ref="B72:L72"/>
    <mergeCell ref="O72:W72"/>
    <mergeCell ref="AB72:AC72"/>
    <mergeCell ref="B74:B75"/>
    <mergeCell ref="C74:G75"/>
    <mergeCell ref="H74:I74"/>
    <mergeCell ref="AG74:AS74"/>
    <mergeCell ref="H75:I75"/>
    <mergeCell ref="C76:G76"/>
    <mergeCell ref="H76:I76"/>
    <mergeCell ref="AB76:AC76"/>
    <mergeCell ref="R74:R75"/>
    <mergeCell ref="S74:S75"/>
    <mergeCell ref="T74:T75"/>
    <mergeCell ref="U74:U75"/>
    <mergeCell ref="V74:V75"/>
    <mergeCell ref="W74:W75"/>
    <mergeCell ref="J74:J75"/>
    <mergeCell ref="K74:K75"/>
    <mergeCell ref="L74:L75"/>
    <mergeCell ref="O74:O75"/>
    <mergeCell ref="P74:P75"/>
    <mergeCell ref="Q74:Q75"/>
    <mergeCell ref="C77:G77"/>
    <mergeCell ref="H77:I77"/>
    <mergeCell ref="C78:G78"/>
    <mergeCell ref="H78:I78"/>
    <mergeCell ref="Y78:AC78"/>
    <mergeCell ref="C79:G79"/>
    <mergeCell ref="H79:I79"/>
    <mergeCell ref="Y79:AE79"/>
    <mergeCell ref="AB74:AC74"/>
    <mergeCell ref="C80:G80"/>
    <mergeCell ref="H80:I80"/>
    <mergeCell ref="B82:L82"/>
    <mergeCell ref="O82:W82"/>
    <mergeCell ref="AE82:AE87"/>
    <mergeCell ref="AG82:AS82"/>
    <mergeCell ref="B84:B85"/>
    <mergeCell ref="C84:G85"/>
    <mergeCell ref="H84:I84"/>
    <mergeCell ref="J84:J85"/>
    <mergeCell ref="AV84:AW87"/>
    <mergeCell ref="H85:I85"/>
    <mergeCell ref="C86:G86"/>
    <mergeCell ref="H86:I86"/>
    <mergeCell ref="C87:G87"/>
    <mergeCell ref="H87:I87"/>
    <mergeCell ref="S84:S85"/>
    <mergeCell ref="T84:T85"/>
    <mergeCell ref="U84:U85"/>
    <mergeCell ref="V84:V85"/>
    <mergeCell ref="W84:W85"/>
    <mergeCell ref="AG84:AS84"/>
    <mergeCell ref="K84:K85"/>
    <mergeCell ref="L84:L85"/>
    <mergeCell ref="O84:O85"/>
    <mergeCell ref="P84:P85"/>
    <mergeCell ref="Q84:Q85"/>
    <mergeCell ref="R84:R85"/>
    <mergeCell ref="AV90:AV91"/>
    <mergeCell ref="AW90:AW91"/>
    <mergeCell ref="C88:G88"/>
    <mergeCell ref="H88:I88"/>
    <mergeCell ref="AV88:AV89"/>
    <mergeCell ref="AW88:AW89"/>
    <mergeCell ref="C89:G89"/>
    <mergeCell ref="H89:I89"/>
    <mergeCell ref="Y89:AE89"/>
    <mergeCell ref="B92:L92"/>
    <mergeCell ref="O92:W92"/>
    <mergeCell ref="Y92:AA92"/>
    <mergeCell ref="AB92:AD92"/>
    <mergeCell ref="AG92:AS92"/>
    <mergeCell ref="C94:J94"/>
    <mergeCell ref="Y94:AD94"/>
    <mergeCell ref="C90:G90"/>
    <mergeCell ref="H90:I90"/>
    <mergeCell ref="Y90:AA90"/>
    <mergeCell ref="AB90:AD90"/>
    <mergeCell ref="B102:B103"/>
    <mergeCell ref="C102:E102"/>
    <mergeCell ref="F102:G102"/>
    <mergeCell ref="H102:I102"/>
    <mergeCell ref="J102:J103"/>
    <mergeCell ref="K102:L102"/>
    <mergeCell ref="AV94:AW95"/>
    <mergeCell ref="C95:J95"/>
    <mergeCell ref="C96:J96"/>
    <mergeCell ref="B98:L98"/>
    <mergeCell ref="O98:AE98"/>
    <mergeCell ref="B100:L100"/>
    <mergeCell ref="O100:AE100"/>
    <mergeCell ref="Z102:Z103"/>
    <mergeCell ref="AA102:AA103"/>
    <mergeCell ref="AB102:AB103"/>
    <mergeCell ref="AC102:AC103"/>
    <mergeCell ref="AD102:AD103"/>
    <mergeCell ref="C115:D115"/>
    <mergeCell ref="P102:P103"/>
    <mergeCell ref="R102:R103"/>
    <mergeCell ref="T102:T103"/>
    <mergeCell ref="U102:V102"/>
    <mergeCell ref="X102:X103"/>
    <mergeCell ref="Y102:Y103"/>
    <mergeCell ref="C116:D116"/>
    <mergeCell ref="AG116:AS116"/>
    <mergeCell ref="B118:L118"/>
    <mergeCell ref="O118:AE118"/>
    <mergeCell ref="B120:B121"/>
    <mergeCell ref="C120:E120"/>
    <mergeCell ref="F120:G120"/>
    <mergeCell ref="H120:I120"/>
    <mergeCell ref="J120:J121"/>
    <mergeCell ref="K120:L120"/>
    <mergeCell ref="Z120:Z121"/>
    <mergeCell ref="AA120:AA121"/>
    <mergeCell ref="AB120:AB121"/>
    <mergeCell ref="AC120:AC121"/>
    <mergeCell ref="AD120:AD121"/>
    <mergeCell ref="C133:D133"/>
    <mergeCell ref="P120:P121"/>
    <mergeCell ref="R120:R121"/>
    <mergeCell ref="T120:T121"/>
    <mergeCell ref="U120:V120"/>
    <mergeCell ref="X120:X121"/>
    <mergeCell ref="Y120:Y121"/>
    <mergeCell ref="C134:D134"/>
    <mergeCell ref="B136:L136"/>
    <mergeCell ref="O136:AE136"/>
    <mergeCell ref="B138:B139"/>
    <mergeCell ref="C138:E138"/>
    <mergeCell ref="F138:G138"/>
    <mergeCell ref="H138:I138"/>
    <mergeCell ref="J138:J139"/>
    <mergeCell ref="K138:L138"/>
    <mergeCell ref="P138:P139"/>
    <mergeCell ref="AA138:AA139"/>
    <mergeCell ref="AB138:AB139"/>
    <mergeCell ref="AC138:AC139"/>
    <mergeCell ref="AD138:AD139"/>
    <mergeCell ref="AG139:AS141"/>
    <mergeCell ref="C151:D151"/>
    <mergeCell ref="R138:R139"/>
    <mergeCell ref="T138:T139"/>
    <mergeCell ref="U138:V138"/>
    <mergeCell ref="X138:X139"/>
    <mergeCell ref="Y138:Y139"/>
    <mergeCell ref="Z138:Z139"/>
    <mergeCell ref="C152:D152"/>
    <mergeCell ref="B154:L154"/>
    <mergeCell ref="O154:AE154"/>
    <mergeCell ref="B156:B157"/>
    <mergeCell ref="C156:E156"/>
    <mergeCell ref="F156:G156"/>
    <mergeCell ref="H156:I156"/>
    <mergeCell ref="J156:J157"/>
    <mergeCell ref="K156:L156"/>
    <mergeCell ref="P156:P157"/>
    <mergeCell ref="AA156:AA157"/>
    <mergeCell ref="AB156:AB157"/>
    <mergeCell ref="AC156:AC157"/>
    <mergeCell ref="AD156:AD157"/>
    <mergeCell ref="C169:D169"/>
    <mergeCell ref="C170:D170"/>
    <mergeCell ref="R156:R157"/>
    <mergeCell ref="T156:T157"/>
    <mergeCell ref="U156:V156"/>
    <mergeCell ref="X156:X157"/>
    <mergeCell ref="Y156:Y157"/>
    <mergeCell ref="Z156:Z157"/>
    <mergeCell ref="B172:L172"/>
    <mergeCell ref="O172:AF172"/>
    <mergeCell ref="C174:L174"/>
    <mergeCell ref="C175:L175"/>
    <mergeCell ref="Q175:Q184"/>
    <mergeCell ref="X175:X184"/>
    <mergeCell ref="Z175:Z184"/>
    <mergeCell ref="AA175:AA184"/>
    <mergeCell ref="AB175:AB184"/>
    <mergeCell ref="AD175:AD184"/>
    <mergeCell ref="C184:L184"/>
    <mergeCell ref="AE175:AE184"/>
    <mergeCell ref="AF175:AF184"/>
    <mergeCell ref="C176:L176"/>
    <mergeCell ref="C177:L177"/>
    <mergeCell ref="C178:L178"/>
    <mergeCell ref="C179:L179"/>
    <mergeCell ref="C180:L180"/>
    <mergeCell ref="C181:L181"/>
    <mergeCell ref="C182:L182"/>
    <mergeCell ref="C183:L183"/>
  </mergeCells>
  <conditionalFormatting sqref="H46:I48 H56:I60">
    <cfRule type="containsText" dxfId="1391" priority="6" operator="containsText" text="No Cumple">
      <formula>NOT(ISERROR(SEARCH("No Cumple",H46)))</formula>
    </cfRule>
  </conditionalFormatting>
  <conditionalFormatting sqref="H66:I70">
    <cfRule type="containsText" dxfId="1390" priority="4" operator="containsText" text="No Cumple">
      <formula>NOT(ISERROR(SEARCH("No Cumple",H66)))</formula>
    </cfRule>
  </conditionalFormatting>
  <conditionalFormatting sqref="H76:I80">
    <cfRule type="containsText" dxfId="1389" priority="3" operator="containsText" text="No Cumple">
      <formula>NOT(ISERROR(SEARCH("No Cumple",H76)))</formula>
    </cfRule>
  </conditionalFormatting>
  <conditionalFormatting sqref="H86:I90">
    <cfRule type="containsText" dxfId="1388" priority="2" operator="containsText" text="No Cumple">
      <formula>NOT(ISERROR(SEARCH("No Cumple",H86)))</formula>
    </cfRule>
  </conditionalFormatting>
  <conditionalFormatting sqref="C175:L184">
    <cfRule type="expression" dxfId="1387" priority="1">
      <formula>O175=0</formula>
    </cfRule>
  </conditionalFormatting>
  <dataValidations count="2">
    <dataValidation type="list" allowBlank="1" showInputMessage="1" showErrorMessage="1" sqref="C185:D185" xr:uid="{00000000-0002-0000-0E00-000000000000}">
      <formula1>$AL$3:$AL$6</formula1>
    </dataValidation>
    <dataValidation type="list" allowBlank="1" showInputMessage="1" showErrorMessage="1" sqref="C39" xr:uid="{00000000-0002-0000-0E00-000001000000}">
      <formula1>ORIENTACIONES</formula1>
    </dataValidation>
  </dataValidations>
  <printOptions gridLines="1"/>
  <pageMargins left="0.23622047244094491" right="0.23622047244094491" top="0.74803149606299213" bottom="0.74803149606299213" header="0.31496062992125984" footer="0.31496062992125984"/>
  <pageSetup paperSize="9" scale="10" fitToWidth="0"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iconSet" priority="7" id="{49780CF1-38BE-AA4A-AECE-A10F1ED006FC}">
            <x14:iconSet iconSet="3Symbols" showValue="0" custom="1">
              <x14:cfvo type="percent">
                <xm:f>0</xm:f>
              </x14:cfvo>
              <x14:cfvo type="num">
                <xm:f>2</xm:f>
              </x14:cfvo>
              <x14:cfvo type="num">
                <xm:f>4</xm:f>
              </x14:cfvo>
              <x14:cfIcon iconSet="3Symbols2" iconId="0"/>
              <x14:cfIcon iconSet="3Symbols2" iconId="1"/>
              <x14:cfIcon iconSet="3Symbols2" iconId="2"/>
            </x14:iconSet>
          </x14:cfRule>
          <xm:sqref>L9:L29</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1:AK70"/>
  <sheetViews>
    <sheetView zoomScaleNormal="100" workbookViewId="0">
      <pane ySplit="6" topLeftCell="A19" activePane="bottomLeft" state="frozen"/>
      <selection pane="bottomLeft" activeCell="H34" sqref="H34:L34"/>
    </sheetView>
  </sheetViews>
  <sheetFormatPr baseColWidth="10" defaultColWidth="10.83203125" defaultRowHeight="17" thickBottom="1"/>
  <cols>
    <col min="1" max="1" width="2.83203125" style="236" customWidth="1"/>
    <col min="2" max="2" width="11.5" style="236" customWidth="1"/>
    <col min="3" max="3" width="10.83203125" style="236" customWidth="1"/>
    <col min="4" max="4" width="9.33203125" style="236" customWidth="1"/>
    <col min="5" max="5" width="10.83203125" style="236" customWidth="1"/>
    <col min="6" max="6" width="9.6640625" style="236" customWidth="1"/>
    <col min="7" max="7" width="2.83203125" style="236" customWidth="1"/>
    <col min="8" max="8" width="8.83203125" style="236" customWidth="1"/>
    <col min="9" max="9" width="10.33203125" style="236" customWidth="1"/>
    <col min="10" max="10" width="25.33203125" style="236" customWidth="1"/>
    <col min="11" max="12" width="13.1640625" style="236" customWidth="1"/>
    <col min="13" max="13" width="2.83203125" style="236" customWidth="1"/>
    <col min="14" max="14" width="49.1640625" style="227" hidden="1" customWidth="1"/>
    <col min="15" max="15" width="6.5" style="227" hidden="1" customWidth="1"/>
    <col min="16" max="16" width="8" style="227" hidden="1" customWidth="1"/>
    <col min="17" max="17" width="7.83203125" style="227" hidden="1" customWidth="1"/>
    <col min="18" max="18" width="8.83203125" style="227" hidden="1" customWidth="1"/>
    <col min="19" max="19" width="5.83203125" style="227" hidden="1" customWidth="1"/>
    <col min="20" max="20" width="6" style="227" hidden="1" customWidth="1"/>
    <col min="21" max="21" width="9.5" style="227" hidden="1" customWidth="1"/>
    <col min="22" max="22" width="5.33203125" style="227" hidden="1" customWidth="1"/>
    <col min="23" max="23" width="6" style="227" hidden="1" customWidth="1"/>
    <col min="24" max="24" width="14.6640625" style="227" hidden="1" customWidth="1"/>
    <col min="25" max="25" width="10.6640625" style="227" hidden="1" customWidth="1"/>
    <col min="26" max="26" width="2.83203125" style="81" hidden="1" customWidth="1"/>
    <col min="27" max="27" width="2.83203125" style="80" customWidth="1"/>
    <col min="28" max="28" width="40.1640625" style="110" bestFit="1" customWidth="1"/>
    <col min="29" max="29" width="12.1640625" style="110" customWidth="1"/>
    <col min="30" max="30" width="2.83203125" style="80" customWidth="1"/>
    <col min="31" max="31" width="14.6640625" style="80" customWidth="1"/>
    <col min="32" max="33" width="8.33203125" style="80" customWidth="1"/>
    <col min="34" max="34" width="2.83203125" style="80" customWidth="1"/>
    <col min="35" max="35" width="10.83203125" style="114"/>
    <col min="36" max="36" width="10.83203125" style="98"/>
    <col min="37" max="37" width="10.83203125" style="91"/>
    <col min="38" max="16384" width="10.83203125" style="82"/>
  </cols>
  <sheetData>
    <row r="1" spans="1:37" ht="15" customHeight="1" thickBot="1">
      <c r="A1" s="332"/>
      <c r="B1" s="332"/>
      <c r="C1" s="332"/>
      <c r="D1" s="332"/>
      <c r="E1" s="421"/>
      <c r="F1" s="421"/>
      <c r="G1" s="332"/>
      <c r="H1" s="332"/>
      <c r="I1" s="332"/>
      <c r="J1" s="332"/>
      <c r="K1" s="421"/>
      <c r="L1" s="421"/>
      <c r="M1" s="332"/>
      <c r="N1" s="237">
        <f>VLOOKUP(C4,CLIMA,5,FALSE)</f>
        <v>0</v>
      </c>
    </row>
    <row r="2" spans="1:37" ht="45" customHeight="1" thickBot="1">
      <c r="A2" s="332"/>
      <c r="B2" s="453" t="s">
        <v>220</v>
      </c>
      <c r="C2" s="332"/>
      <c r="D2" s="332"/>
      <c r="E2" s="421"/>
      <c r="F2" s="421"/>
      <c r="G2" s="332"/>
      <c r="H2" s="332"/>
      <c r="I2" s="332"/>
      <c r="J2" s="332"/>
      <c r="K2" s="421"/>
      <c r="L2" s="421"/>
      <c r="M2" s="238">
        <f>VLOOKUP(C4,CLIMA,15,FALSE)</f>
        <v>0</v>
      </c>
      <c r="N2" s="813" t="s">
        <v>1484</v>
      </c>
      <c r="O2" s="813"/>
      <c r="P2" s="813"/>
      <c r="Q2" s="813"/>
      <c r="R2" s="813"/>
      <c r="S2" s="813"/>
      <c r="T2" s="813"/>
      <c r="U2" s="813"/>
      <c r="V2" s="813"/>
      <c r="W2" s="813"/>
      <c r="X2" s="813"/>
      <c r="Y2" s="813"/>
      <c r="Z2" s="196"/>
      <c r="AA2" s="297"/>
      <c r="AB2" s="103" t="s">
        <v>1512</v>
      </c>
      <c r="AC2" s="104">
        <f>IF(Y51=0,0,Y49)</f>
        <v>0</v>
      </c>
      <c r="AE2" s="105"/>
      <c r="AF2" s="106"/>
      <c r="AG2" s="107"/>
      <c r="AI2" s="108" t="str">
        <f>IF(AB4=" ",0,AB4)</f>
        <v>FALTAN DATOS</v>
      </c>
      <c r="AJ2" s="109" t="e">
        <f>1-AI2</f>
        <v>#VALUE!</v>
      </c>
    </row>
    <row r="3" spans="1:37" ht="6" customHeight="1" thickBot="1">
      <c r="A3" s="332"/>
      <c r="B3" s="332"/>
      <c r="C3" s="332"/>
      <c r="D3" s="332"/>
      <c r="E3" s="421"/>
      <c r="F3" s="421"/>
      <c r="G3" s="332"/>
      <c r="H3" s="332"/>
      <c r="I3" s="332"/>
      <c r="J3" s="332"/>
      <c r="K3" s="421"/>
      <c r="L3" s="421"/>
      <c r="M3" s="332"/>
      <c r="AE3" s="111"/>
      <c r="AF3" s="112"/>
      <c r="AG3" s="113"/>
    </row>
    <row r="4" spans="1:37" ht="15" customHeight="1" thickBot="1">
      <c r="A4" s="421"/>
      <c r="B4" s="812" t="s">
        <v>9</v>
      </c>
      <c r="C4" s="807">
        <f>DATOS!C11</f>
        <v>0</v>
      </c>
      <c r="D4" s="807"/>
      <c r="E4" s="812" t="s">
        <v>1183</v>
      </c>
      <c r="F4" s="817">
        <f>DATOS!C29</f>
        <v>0</v>
      </c>
      <c r="G4" s="817"/>
      <c r="H4" s="807" t="s">
        <v>208</v>
      </c>
      <c r="I4" s="807"/>
      <c r="J4" s="811">
        <f>IF(C4=0,0,VLOOKUP(N1,ZZONAS,2,FALSE))</f>
        <v>0</v>
      </c>
      <c r="K4" s="812" t="s">
        <v>1556</v>
      </c>
      <c r="L4" s="812"/>
      <c r="M4" s="421"/>
      <c r="N4" s="814">
        <f>VLOOKUP(C4,CLIMA,15,FALSE)</f>
        <v>0</v>
      </c>
      <c r="O4" s="814" t="s">
        <v>1488</v>
      </c>
      <c r="P4" s="814"/>
      <c r="Q4" s="814"/>
      <c r="R4" s="814" t="s">
        <v>1645</v>
      </c>
      <c r="S4" s="814"/>
      <c r="T4" s="814"/>
      <c r="U4" s="814"/>
      <c r="V4" s="815" t="s">
        <v>1489</v>
      </c>
      <c r="W4" s="815"/>
      <c r="X4" s="815"/>
      <c r="Y4" s="815"/>
      <c r="AB4" s="803" t="str">
        <f>BASE!GV47</f>
        <v>FALTAN DATOS</v>
      </c>
      <c r="AC4" s="804"/>
      <c r="AE4" s="115"/>
      <c r="AF4" s="116"/>
      <c r="AG4" s="117"/>
    </row>
    <row r="5" spans="1:37" ht="15" customHeight="1" thickBot="1">
      <c r="A5" s="421"/>
      <c r="B5" s="812"/>
      <c r="C5" s="807"/>
      <c r="D5" s="807"/>
      <c r="E5" s="812"/>
      <c r="F5" s="817"/>
      <c r="G5" s="817"/>
      <c r="H5" s="807"/>
      <c r="I5" s="807"/>
      <c r="J5" s="811"/>
      <c r="K5" s="812">
        <f>IF(SITIO!H9=BASE!EH3,HLOOKUP(SITIO!H10,CA,2,TRUE),IF(SITIO!H9=BASE!EH7,HLOOKUP(SITIO!H10,CB,2,TRUE),IF(SITIO!H9=BASE!EH11,HLOOKUP(SITIO!H10,CC,2,TRUE),IF(SITIO!H9=BASE!EH15,HLOOKUP(SITIO!H10,CD,2,TRUE),0))))</f>
        <v>0</v>
      </c>
      <c r="L5" s="812"/>
      <c r="M5" s="421"/>
      <c r="N5" s="814"/>
      <c r="O5" s="815">
        <f>F4*0.5</f>
        <v>0</v>
      </c>
      <c r="P5" s="815"/>
      <c r="Q5" s="815"/>
      <c r="R5" s="815">
        <f>F4*0.25</f>
        <v>0</v>
      </c>
      <c r="S5" s="815"/>
      <c r="T5" s="815"/>
      <c r="U5" s="815"/>
      <c r="V5" s="815">
        <f>F4*0.25</f>
        <v>0</v>
      </c>
      <c r="W5" s="815"/>
      <c r="X5" s="815"/>
      <c r="Y5" s="815"/>
      <c r="AB5" s="805"/>
      <c r="AC5" s="806"/>
      <c r="AE5" s="118"/>
      <c r="AF5" s="119"/>
      <c r="AG5" s="120"/>
    </row>
    <row r="6" spans="1:37" s="85" customFormat="1" ht="6" customHeight="1" thickBot="1">
      <c r="A6" s="454"/>
      <c r="B6" s="454"/>
      <c r="C6" s="454"/>
      <c r="D6" s="454"/>
      <c r="E6" s="454"/>
      <c r="F6" s="454"/>
      <c r="G6" s="454"/>
      <c r="H6" s="454"/>
      <c r="I6" s="454"/>
      <c r="J6" s="454"/>
      <c r="K6" s="454"/>
      <c r="L6" s="454"/>
      <c r="M6" s="454"/>
      <c r="N6" s="239"/>
      <c r="O6" s="239"/>
      <c r="P6" s="239"/>
      <c r="Q6" s="239"/>
      <c r="R6" s="239"/>
      <c r="S6" s="239"/>
      <c r="T6" s="239"/>
      <c r="U6" s="239"/>
      <c r="V6" s="239"/>
      <c r="W6" s="239"/>
      <c r="X6" s="239"/>
      <c r="Y6" s="239"/>
      <c r="Z6" s="84"/>
      <c r="AA6" s="83"/>
      <c r="AB6" s="121"/>
      <c r="AC6" s="121"/>
      <c r="AD6" s="83"/>
      <c r="AE6" s="83"/>
      <c r="AF6" s="83"/>
      <c r="AG6" s="83"/>
      <c r="AH6" s="83"/>
      <c r="AI6" s="122"/>
      <c r="AJ6" s="123"/>
      <c r="AK6" s="89"/>
    </row>
    <row r="7" spans="1:37" s="85" customFormat="1" ht="30" customHeight="1" thickBot="1">
      <c r="A7" s="454"/>
      <c r="B7" s="774" t="s">
        <v>1898</v>
      </c>
      <c r="C7" s="774"/>
      <c r="D7" s="774"/>
      <c r="E7" s="774"/>
      <c r="F7" s="774"/>
      <c r="G7" s="774"/>
      <c r="H7" s="774"/>
      <c r="I7" s="774"/>
      <c r="J7" s="774"/>
      <c r="K7" s="774"/>
      <c r="L7" s="774"/>
      <c r="M7" s="454"/>
      <c r="N7" s="239"/>
      <c r="O7" s="239"/>
      <c r="P7" s="239"/>
      <c r="Q7" s="239"/>
      <c r="R7" s="239"/>
      <c r="S7" s="239"/>
      <c r="T7" s="239"/>
      <c r="U7" s="239"/>
      <c r="V7" s="239"/>
      <c r="W7" s="239"/>
      <c r="X7" s="239"/>
      <c r="Y7" s="239"/>
      <c r="Z7" s="84"/>
      <c r="AA7" s="83"/>
      <c r="AB7" s="210"/>
      <c r="AC7" s="210"/>
      <c r="AD7" s="202"/>
      <c r="AE7" s="202"/>
      <c r="AF7" s="202"/>
      <c r="AG7" s="202"/>
      <c r="AH7" s="83"/>
      <c r="AI7" s="122"/>
      <c r="AJ7" s="123"/>
      <c r="AK7" s="89"/>
    </row>
    <row r="8" spans="1:37" s="85" customFormat="1" ht="6" customHeight="1" thickBot="1">
      <c r="A8" s="454"/>
      <c r="B8" s="454"/>
      <c r="C8" s="454"/>
      <c r="D8" s="454"/>
      <c r="E8" s="454"/>
      <c r="F8" s="454"/>
      <c r="G8" s="454"/>
      <c r="H8" s="454"/>
      <c r="I8" s="454"/>
      <c r="J8" s="454"/>
      <c r="K8" s="454"/>
      <c r="L8" s="454"/>
      <c r="M8" s="454"/>
      <c r="N8" s="239"/>
      <c r="O8" s="239"/>
      <c r="P8" s="239"/>
      <c r="Q8" s="239"/>
      <c r="R8" s="239"/>
      <c r="S8" s="239"/>
      <c r="T8" s="239"/>
      <c r="U8" s="239"/>
      <c r="V8" s="239"/>
      <c r="W8" s="239"/>
      <c r="X8" s="239"/>
      <c r="Y8" s="239"/>
      <c r="Z8" s="84"/>
      <c r="AA8" s="83"/>
      <c r="AB8" s="210"/>
      <c r="AC8" s="210"/>
      <c r="AD8" s="202"/>
      <c r="AE8" s="202"/>
      <c r="AF8" s="202"/>
      <c r="AG8" s="202"/>
      <c r="AH8" s="83"/>
      <c r="AI8" s="122"/>
      <c r="AJ8" s="123"/>
      <c r="AK8" s="89"/>
    </row>
    <row r="9" spans="1:37" s="85" customFormat="1" ht="15" customHeight="1" thickBot="1">
      <c r="A9" s="454"/>
      <c r="B9" s="809" t="s">
        <v>1555</v>
      </c>
      <c r="C9" s="809"/>
      <c r="D9" s="809"/>
      <c r="E9" s="809"/>
      <c r="F9" s="809"/>
      <c r="G9" s="454"/>
      <c r="H9" s="775"/>
      <c r="I9" s="775"/>
      <c r="J9" s="775"/>
      <c r="K9" s="775"/>
      <c r="L9" s="775"/>
      <c r="N9" s="239"/>
      <c r="O9" s="239"/>
      <c r="P9" s="239"/>
      <c r="Q9" s="239"/>
      <c r="R9" s="239"/>
      <c r="S9" s="239"/>
      <c r="T9" s="239"/>
      <c r="U9" s="239"/>
      <c r="V9" s="239"/>
      <c r="W9" s="239"/>
      <c r="X9" s="239"/>
      <c r="Y9" s="239"/>
      <c r="Z9" s="84"/>
      <c r="AA9" s="83"/>
      <c r="AB9" s="205"/>
      <c r="AC9" s="205"/>
      <c r="AD9" s="202"/>
      <c r="AE9" s="202"/>
      <c r="AF9" s="202"/>
      <c r="AG9" s="202"/>
      <c r="AH9" s="83"/>
      <c r="AI9" s="122"/>
      <c r="AJ9" s="123"/>
      <c r="AK9" s="89"/>
    </row>
    <row r="10" spans="1:37" s="85" customFormat="1" ht="15" customHeight="1" thickBot="1">
      <c r="A10" s="454"/>
      <c r="B10" s="809" t="s">
        <v>1563</v>
      </c>
      <c r="C10" s="809"/>
      <c r="D10" s="809"/>
      <c r="E10" s="809"/>
      <c r="F10" s="809"/>
      <c r="G10" s="454"/>
      <c r="H10" s="808"/>
      <c r="I10" s="808"/>
      <c r="J10" s="808"/>
      <c r="K10" s="808"/>
      <c r="L10" s="808"/>
      <c r="N10" s="239"/>
      <c r="O10" s="239"/>
      <c r="P10" s="239"/>
      <c r="Q10" s="239"/>
      <c r="R10" s="239"/>
      <c r="S10" s="239"/>
      <c r="T10" s="239"/>
      <c r="U10" s="239"/>
      <c r="V10" s="239"/>
      <c r="W10" s="239"/>
      <c r="X10" s="239"/>
      <c r="Y10" s="239"/>
      <c r="Z10" s="84"/>
      <c r="AA10" s="83"/>
      <c r="AB10" s="205"/>
      <c r="AC10" s="205"/>
      <c r="AD10" s="202"/>
      <c r="AE10" s="202"/>
      <c r="AF10" s="202"/>
      <c r="AG10" s="202"/>
      <c r="AH10" s="83"/>
      <c r="AI10" s="122"/>
      <c r="AJ10" s="123"/>
      <c r="AK10" s="89"/>
    </row>
    <row r="11" spans="1:37" s="85" customFormat="1" ht="6" customHeight="1" thickBot="1">
      <c r="A11" s="454"/>
      <c r="B11" s="454"/>
      <c r="C11" s="454"/>
      <c r="D11" s="454"/>
      <c r="E11" s="454"/>
      <c r="F11" s="454"/>
      <c r="G11" s="454"/>
      <c r="H11" s="454"/>
      <c r="I11" s="454"/>
      <c r="J11" s="454"/>
      <c r="K11" s="454"/>
      <c r="L11" s="454"/>
      <c r="M11" s="454"/>
      <c r="N11" s="239"/>
      <c r="O11" s="239"/>
      <c r="P11" s="239"/>
      <c r="Q11" s="239"/>
      <c r="R11" s="239"/>
      <c r="S11" s="239"/>
      <c r="T11" s="239"/>
      <c r="U11" s="239"/>
      <c r="V11" s="239"/>
      <c r="W11" s="239"/>
      <c r="X11" s="239"/>
      <c r="Y11" s="239"/>
      <c r="Z11" s="84"/>
      <c r="AA11" s="83"/>
      <c r="AB11" s="205"/>
      <c r="AC11" s="205"/>
      <c r="AD11" s="202"/>
      <c r="AE11" s="202"/>
      <c r="AF11" s="202"/>
      <c r="AG11" s="202"/>
      <c r="AH11" s="83"/>
      <c r="AI11" s="122"/>
      <c r="AJ11" s="123"/>
      <c r="AK11" s="89"/>
    </row>
    <row r="12" spans="1:37" ht="30" customHeight="1" thickBot="1">
      <c r="B12" s="774" t="s">
        <v>1502</v>
      </c>
      <c r="C12" s="774"/>
      <c r="D12" s="774"/>
      <c r="E12" s="774"/>
      <c r="F12" s="774"/>
      <c r="G12" s="774"/>
      <c r="H12" s="774"/>
      <c r="I12" s="774"/>
      <c r="J12" s="774"/>
      <c r="K12" s="774"/>
      <c r="L12" s="774"/>
      <c r="M12" s="454"/>
      <c r="N12" s="816" t="s">
        <v>1501</v>
      </c>
      <c r="O12" s="816"/>
      <c r="P12" s="816"/>
      <c r="Q12" s="816"/>
      <c r="R12" s="816"/>
      <c r="S12" s="816"/>
      <c r="T12" s="816"/>
      <c r="U12" s="816"/>
      <c r="V12" s="816"/>
      <c r="W12" s="816"/>
      <c r="X12" s="816"/>
      <c r="Y12" s="816"/>
      <c r="AB12" s="386"/>
      <c r="AC12" s="386"/>
      <c r="AD12" s="390"/>
      <c r="AE12" s="390"/>
      <c r="AF12" s="390"/>
      <c r="AG12" s="390"/>
    </row>
    <row r="13" spans="1:37" ht="6" customHeight="1" thickBot="1">
      <c r="M13" s="454"/>
      <c r="AB13" s="386"/>
      <c r="AC13" s="386"/>
      <c r="AD13" s="390"/>
      <c r="AE13" s="390"/>
      <c r="AF13" s="390"/>
      <c r="AG13" s="390"/>
    </row>
    <row r="14" spans="1:37" ht="20" customHeight="1" thickBot="1">
      <c r="B14" s="814" t="s">
        <v>1492</v>
      </c>
      <c r="C14" s="814"/>
      <c r="D14" s="814"/>
      <c r="E14" s="814"/>
      <c r="F14" s="814"/>
      <c r="H14" s="814" t="s">
        <v>2012</v>
      </c>
      <c r="I14" s="814"/>
      <c r="J14" s="814"/>
      <c r="K14" s="814"/>
      <c r="L14" s="814"/>
      <c r="M14" s="454"/>
      <c r="N14" s="801" t="s">
        <v>1646</v>
      </c>
      <c r="O14" s="801"/>
      <c r="P14" s="801"/>
      <c r="Q14" s="801"/>
      <c r="R14" s="801"/>
      <c r="S14" s="801"/>
      <c r="T14" s="801"/>
      <c r="U14" s="801"/>
      <c r="V14" s="801"/>
      <c r="W14" s="801"/>
      <c r="X14" s="798">
        <f>IF(N4=5,800,IF(N4=6,800,1500))</f>
        <v>1500</v>
      </c>
      <c r="Y14" s="798"/>
      <c r="AB14" s="790"/>
      <c r="AC14" s="790"/>
      <c r="AD14" s="790"/>
      <c r="AE14" s="790"/>
      <c r="AF14" s="790"/>
      <c r="AG14" s="790"/>
    </row>
    <row r="15" spans="1:37" ht="6" customHeight="1" thickBot="1">
      <c r="M15" s="454"/>
      <c r="AB15" s="386"/>
      <c r="AC15" s="386"/>
      <c r="AD15" s="390"/>
      <c r="AE15" s="390"/>
      <c r="AF15" s="390"/>
      <c r="AG15" s="390"/>
    </row>
    <row r="16" spans="1:37" ht="16" customHeight="1" thickBot="1">
      <c r="B16" s="782" t="s">
        <v>2025</v>
      </c>
      <c r="C16" s="782"/>
      <c r="D16" s="782"/>
      <c r="E16" s="782"/>
      <c r="F16" s="425" t="s">
        <v>7</v>
      </c>
      <c r="H16" s="788" t="s">
        <v>2026</v>
      </c>
      <c r="I16" s="788"/>
      <c r="J16" s="788"/>
      <c r="K16" s="788"/>
      <c r="L16" s="425" t="s">
        <v>7</v>
      </c>
      <c r="T16" s="473">
        <f>IF(F16="No",0,IF(F17&gt;1500,0,F17))</f>
        <v>0</v>
      </c>
      <c r="AA16" s="86">
        <f>IF(F16="Si",IF(F17&gt;1500,1,0),0)</f>
        <v>0</v>
      </c>
      <c r="AB16" s="790" t="s">
        <v>2028</v>
      </c>
      <c r="AC16" s="790"/>
      <c r="AD16" s="790"/>
      <c r="AE16" s="790"/>
      <c r="AF16" s="790"/>
      <c r="AG16" s="790"/>
    </row>
    <row r="17" spans="1:37" ht="16" customHeight="1" thickBot="1">
      <c r="B17" s="782" t="s">
        <v>1532</v>
      </c>
      <c r="C17" s="782"/>
      <c r="D17" s="782"/>
      <c r="E17" s="782"/>
      <c r="F17" s="409"/>
      <c r="H17" s="788" t="s">
        <v>1647</v>
      </c>
      <c r="I17" s="788"/>
      <c r="J17" s="788"/>
      <c r="K17" s="788"/>
      <c r="L17" s="409"/>
      <c r="AB17" s="790"/>
      <c r="AC17" s="790"/>
      <c r="AD17" s="790"/>
      <c r="AE17" s="790"/>
      <c r="AF17" s="790"/>
      <c r="AG17" s="790"/>
    </row>
    <row r="18" spans="1:37" ht="16" customHeight="1" thickBot="1">
      <c r="B18" s="782" t="s">
        <v>2002</v>
      </c>
      <c r="C18" s="782"/>
      <c r="D18" s="782"/>
      <c r="E18" s="782"/>
      <c r="F18" s="409"/>
      <c r="H18" s="782" t="s">
        <v>1532</v>
      </c>
      <c r="I18" s="782"/>
      <c r="J18" s="782"/>
      <c r="K18" s="782"/>
      <c r="L18" s="409"/>
      <c r="N18" s="799" t="s">
        <v>1491</v>
      </c>
      <c r="O18" s="799"/>
      <c r="P18" s="798" t="s">
        <v>1183</v>
      </c>
      <c r="Q18" s="798"/>
      <c r="R18" s="798"/>
      <c r="S18" s="798"/>
      <c r="T18" s="798" t="s">
        <v>1509</v>
      </c>
      <c r="U18" s="798"/>
      <c r="V18" s="798" t="s">
        <v>1497</v>
      </c>
      <c r="W18" s="798"/>
      <c r="X18" s="798" t="s">
        <v>1508</v>
      </c>
      <c r="Y18" s="798"/>
      <c r="AB18" s="384"/>
      <c r="AC18" s="384"/>
      <c r="AD18" s="390"/>
      <c r="AE18" s="390"/>
      <c r="AF18" s="390"/>
      <c r="AG18" s="390"/>
    </row>
    <row r="19" spans="1:37" ht="6" customHeight="1" thickBot="1">
      <c r="M19" s="454"/>
      <c r="Q19" s="257"/>
      <c r="R19" s="257"/>
      <c r="S19" s="257"/>
      <c r="T19" s="257"/>
      <c r="AB19" s="386"/>
      <c r="AC19" s="386"/>
      <c r="AD19" s="390"/>
      <c r="AE19" s="390"/>
      <c r="AF19" s="390"/>
      <c r="AG19" s="390"/>
    </row>
    <row r="20" spans="1:37" ht="30" customHeight="1" thickBot="1">
      <c r="B20" s="774" t="s">
        <v>1899</v>
      </c>
      <c r="C20" s="774"/>
      <c r="D20" s="774"/>
      <c r="E20" s="774"/>
      <c r="F20" s="774"/>
      <c r="G20" s="774"/>
      <c r="H20" s="774"/>
      <c r="I20" s="774"/>
      <c r="J20" s="774"/>
      <c r="K20" s="774"/>
      <c r="L20" s="774"/>
      <c r="N20" s="271" t="s">
        <v>1505</v>
      </c>
      <c r="O20" s="271" t="s">
        <v>1510</v>
      </c>
      <c r="P20" s="272" t="s">
        <v>1488</v>
      </c>
      <c r="Q20" s="272" t="s">
        <v>1493</v>
      </c>
      <c r="R20" s="272" t="s">
        <v>1494</v>
      </c>
      <c r="S20" s="271" t="s">
        <v>896</v>
      </c>
      <c r="T20" s="271" t="s">
        <v>1499</v>
      </c>
      <c r="U20" s="323" t="s">
        <v>896</v>
      </c>
      <c r="V20" s="271" t="s">
        <v>623</v>
      </c>
      <c r="W20" s="271" t="s">
        <v>1506</v>
      </c>
      <c r="X20" s="231" t="s">
        <v>1504</v>
      </c>
      <c r="Y20" s="309" t="s">
        <v>896</v>
      </c>
      <c r="AB20" s="386"/>
      <c r="AC20" s="386"/>
      <c r="AD20" s="390"/>
      <c r="AE20" s="390"/>
      <c r="AF20" s="390"/>
      <c r="AG20" s="390"/>
    </row>
    <row r="21" spans="1:37" ht="6" customHeight="1" thickBot="1">
      <c r="M21" s="454"/>
      <c r="U21" s="239"/>
      <c r="Y21" s="239"/>
      <c r="AB21" s="786"/>
      <c r="AC21" s="786"/>
      <c r="AD21" s="390"/>
      <c r="AE21" s="390"/>
      <c r="AF21" s="390"/>
      <c r="AG21" s="390"/>
    </row>
    <row r="22" spans="1:37" ht="16" customHeight="1" thickBot="1">
      <c r="B22" s="782" t="s">
        <v>1531</v>
      </c>
      <c r="C22" s="782"/>
      <c r="D22" s="782"/>
      <c r="E22" s="782"/>
      <c r="F22" s="782"/>
      <c r="H22" s="772"/>
      <c r="I22" s="772"/>
      <c r="J22" s="772"/>
      <c r="K22" s="772"/>
      <c r="L22" s="772"/>
      <c r="N22" s="241"/>
      <c r="O22" s="242">
        <v>1</v>
      </c>
      <c r="P22" s="310">
        <f>+O5</f>
        <v>0</v>
      </c>
      <c r="Q22" s="310">
        <f>+R5</f>
        <v>0</v>
      </c>
      <c r="R22" s="310">
        <f>+V5*2</f>
        <v>0</v>
      </c>
      <c r="S22" s="310">
        <f>SUM(P22:R22)</f>
        <v>0</v>
      </c>
      <c r="T22" s="310">
        <f>IF(W22&gt;=1,(H22-$T$16)*0.001,H22*0.001)</f>
        <v>0</v>
      </c>
      <c r="U22" s="311">
        <f>T22*S22*O22</f>
        <v>0</v>
      </c>
      <c r="V22" s="273">
        <f>IF($F$16="Si",IF(H22&gt;$X$14,1,0),IF(H22&gt;$X$14,2,0))</f>
        <v>0</v>
      </c>
      <c r="W22" s="310">
        <f>IF(V22=1,IF($F$18&gt;=4,V22,2),V22)</f>
        <v>0</v>
      </c>
      <c r="X22" s="310">
        <f>VLOOKUP(W22,transporte,3,FALSE)</f>
        <v>0</v>
      </c>
      <c r="Y22" s="311">
        <f>X22*U22</f>
        <v>0</v>
      </c>
      <c r="AB22" s="790"/>
      <c r="AC22" s="790"/>
      <c r="AD22" s="790"/>
      <c r="AE22" s="790"/>
      <c r="AF22" s="790"/>
      <c r="AG22" s="790"/>
    </row>
    <row r="23" spans="1:37" ht="16" customHeight="1" thickBot="1">
      <c r="B23" s="782" t="s">
        <v>1533</v>
      </c>
      <c r="C23" s="782"/>
      <c r="D23" s="782"/>
      <c r="E23" s="782"/>
      <c r="F23" s="782"/>
      <c r="H23" s="772"/>
      <c r="I23" s="772"/>
      <c r="J23" s="772"/>
      <c r="K23" s="772"/>
      <c r="L23" s="772"/>
      <c r="N23" s="242"/>
      <c r="O23" s="242">
        <v>6</v>
      </c>
      <c r="P23" s="310">
        <f>+P22</f>
        <v>0</v>
      </c>
      <c r="Q23" s="310">
        <f t="shared" ref="Q23:R23" si="0">+Q22</f>
        <v>0</v>
      </c>
      <c r="R23" s="310">
        <f t="shared" si="0"/>
        <v>0</v>
      </c>
      <c r="S23" s="310">
        <f t="shared" ref="S23:S32" si="1">SUM(P23:R23)</f>
        <v>0</v>
      </c>
      <c r="T23" s="310">
        <f>IF(W23=1,(H23-$F$17)*0.001,H23*0.001)</f>
        <v>0</v>
      </c>
      <c r="U23" s="311">
        <f>T23*S23*O23</f>
        <v>0</v>
      </c>
      <c r="V23" s="273">
        <f>IF($F$16="Si",IF(H23&gt;$X$14,1,0),IF(H23&gt;$X$14,2,0))</f>
        <v>0</v>
      </c>
      <c r="W23" s="310">
        <f>IF(V23=1,IF($F$18&gt;=4,V23,2),V23)</f>
        <v>0</v>
      </c>
      <c r="X23" s="310">
        <f>VLOOKUP(W23,transporte,3,FALSE)</f>
        <v>0</v>
      </c>
      <c r="Y23" s="311">
        <f t="shared" ref="Y23:Y32" si="2">X23*U23</f>
        <v>0</v>
      </c>
      <c r="AB23" s="790"/>
      <c r="AC23" s="790"/>
      <c r="AD23" s="790"/>
      <c r="AE23" s="790"/>
      <c r="AF23" s="790"/>
      <c r="AG23" s="790"/>
    </row>
    <row r="24" spans="1:37" ht="6" customHeight="1" thickBot="1">
      <c r="B24" s="234"/>
      <c r="C24" s="234"/>
      <c r="D24" s="234"/>
      <c r="E24" s="234"/>
      <c r="F24" s="234"/>
      <c r="N24" s="257"/>
      <c r="O24" s="257"/>
      <c r="P24" s="232"/>
      <c r="Q24" s="232"/>
      <c r="S24" s="239"/>
      <c r="T24" s="239"/>
      <c r="U24" s="239"/>
      <c r="Y24" s="243"/>
      <c r="AB24" s="786"/>
      <c r="AC24" s="786"/>
      <c r="AD24" s="390"/>
      <c r="AE24" s="390"/>
      <c r="AF24" s="390"/>
      <c r="AG24" s="390"/>
    </row>
    <row r="25" spans="1:37" ht="15" customHeight="1" thickBot="1">
      <c r="B25" s="782" t="s">
        <v>1648</v>
      </c>
      <c r="C25" s="782"/>
      <c r="D25" s="782"/>
      <c r="E25" s="782"/>
      <c r="F25" s="782"/>
      <c r="H25" s="772"/>
      <c r="I25" s="772"/>
      <c r="J25" s="772"/>
      <c r="K25" s="772"/>
      <c r="L25" s="772"/>
      <c r="N25" s="242">
        <v>5</v>
      </c>
      <c r="O25" s="272">
        <f t="shared" ref="O25:O32" si="3">N25*52</f>
        <v>260</v>
      </c>
      <c r="P25" s="310">
        <v>0</v>
      </c>
      <c r="Q25" s="310">
        <v>0</v>
      </c>
      <c r="R25" s="310">
        <f>V5</f>
        <v>0</v>
      </c>
      <c r="S25" s="310">
        <f t="shared" si="1"/>
        <v>0</v>
      </c>
      <c r="T25" s="310">
        <f>IF(W25=1,(J25-$F$17)*0.001,J25*0.001)</f>
        <v>0</v>
      </c>
      <c r="U25" s="311">
        <f>T25*S25*O25</f>
        <v>0</v>
      </c>
      <c r="V25" s="273">
        <f>IF($F$16="Si",IF(J25&gt;$X$14,1,0),IF(J25&gt;$X$14,2,0))</f>
        <v>0</v>
      </c>
      <c r="W25" s="310">
        <f>IF(V25=1,IF($F$18&gt;=3,V25,2),V25)</f>
        <v>0</v>
      </c>
      <c r="X25" s="310">
        <f>VLOOKUP(W25,transporte,3,FALSE)</f>
        <v>0</v>
      </c>
      <c r="Y25" s="311">
        <f t="shared" si="2"/>
        <v>0</v>
      </c>
      <c r="AB25" s="790"/>
      <c r="AC25" s="790"/>
      <c r="AD25" s="790"/>
      <c r="AE25" s="790"/>
      <c r="AF25" s="790"/>
      <c r="AG25" s="790"/>
    </row>
    <row r="26" spans="1:37" s="85" customFormat="1" ht="15" customHeight="1" thickBot="1">
      <c r="A26" s="454"/>
      <c r="B26" s="782" t="s">
        <v>1534</v>
      </c>
      <c r="C26" s="782"/>
      <c r="D26" s="782"/>
      <c r="E26" s="782"/>
      <c r="F26" s="782"/>
      <c r="G26" s="236"/>
      <c r="H26" s="772"/>
      <c r="I26" s="772"/>
      <c r="J26" s="772"/>
      <c r="K26" s="772"/>
      <c r="L26" s="772"/>
      <c r="N26" s="242">
        <v>5</v>
      </c>
      <c r="O26" s="272">
        <f t="shared" si="3"/>
        <v>260</v>
      </c>
      <c r="P26" s="273">
        <v>0</v>
      </c>
      <c r="Q26" s="273">
        <f>R5</f>
        <v>0</v>
      </c>
      <c r="R26" s="273">
        <f>V5</f>
        <v>0</v>
      </c>
      <c r="S26" s="310">
        <f t="shared" si="1"/>
        <v>0</v>
      </c>
      <c r="T26" s="310">
        <f>IF(W26=1,(J26-$F$17)*0.001,J26*0.001)</f>
        <v>0</v>
      </c>
      <c r="U26" s="311">
        <f t="shared" ref="U26:U32" si="4">T26*S26*O26</f>
        <v>0</v>
      </c>
      <c r="V26" s="273">
        <f>IF($F$16="Si",IF(J26&gt;$X$14,1,0),IF(J26&gt;$X$14,2,0))</f>
        <v>0</v>
      </c>
      <c r="W26" s="310">
        <f>IF(V26=1,IF($F$18&gt;=3,V26,2),V26)</f>
        <v>0</v>
      </c>
      <c r="X26" s="310">
        <f>VLOOKUP(W26,transporte,3,FALSE)</f>
        <v>0</v>
      </c>
      <c r="Y26" s="311">
        <f t="shared" si="2"/>
        <v>0</v>
      </c>
      <c r="Z26" s="84"/>
      <c r="AA26" s="83"/>
      <c r="AB26" s="790"/>
      <c r="AC26" s="790"/>
      <c r="AD26" s="790"/>
      <c r="AE26" s="790"/>
      <c r="AF26" s="790"/>
      <c r="AG26" s="790"/>
      <c r="AH26" s="83"/>
      <c r="AI26" s="122"/>
      <c r="AJ26" s="123"/>
      <c r="AK26" s="89"/>
    </row>
    <row r="27" spans="1:37" ht="6" customHeight="1" thickBot="1">
      <c r="B27" s="234"/>
      <c r="C27" s="234"/>
      <c r="D27" s="234"/>
      <c r="E27" s="234"/>
      <c r="F27" s="234"/>
      <c r="R27" s="239"/>
      <c r="S27" s="239"/>
      <c r="T27" s="239"/>
      <c r="U27" s="239"/>
      <c r="Y27" s="243"/>
      <c r="AB27" s="786"/>
      <c r="AC27" s="786"/>
      <c r="AD27" s="390"/>
      <c r="AE27" s="390"/>
      <c r="AF27" s="390"/>
      <c r="AG27" s="390"/>
    </row>
    <row r="28" spans="1:37" ht="15" customHeight="1" thickBot="1">
      <c r="B28" s="782" t="s">
        <v>1535</v>
      </c>
      <c r="C28" s="782"/>
      <c r="D28" s="782"/>
      <c r="E28" s="782"/>
      <c r="F28" s="782"/>
      <c r="H28" s="772"/>
      <c r="I28" s="772"/>
      <c r="J28" s="772"/>
      <c r="K28" s="772"/>
      <c r="L28" s="772"/>
      <c r="N28" s="242">
        <v>2</v>
      </c>
      <c r="O28" s="272">
        <f>N28*52</f>
        <v>104</v>
      </c>
      <c r="P28" s="802">
        <f>F4*0.5</f>
        <v>0</v>
      </c>
      <c r="Q28" s="802"/>
      <c r="R28" s="802"/>
      <c r="S28" s="310">
        <f t="shared" si="1"/>
        <v>0</v>
      </c>
      <c r="T28" s="310">
        <f>IF(W28=1,(J28-$F$17)*0.001,J28*0.001)</f>
        <v>0</v>
      </c>
      <c r="U28" s="311">
        <f>T28*S28*O28</f>
        <v>0</v>
      </c>
      <c r="V28" s="273">
        <f>IF($F$16="Si",IF(J28&gt;$X$14,1,0),IF(J28&gt;$X$14,2,0))</f>
        <v>0</v>
      </c>
      <c r="W28" s="310">
        <f>IF(V28=1,IF($F$18&gt;=2,V28,2),V28)</f>
        <v>0</v>
      </c>
      <c r="X28" s="310">
        <f>VLOOKUP(W28,transporte,3,FALSE)</f>
        <v>0</v>
      </c>
      <c r="Y28" s="311">
        <f t="shared" si="2"/>
        <v>0</v>
      </c>
      <c r="AB28" s="790"/>
      <c r="AC28" s="790"/>
      <c r="AD28" s="790"/>
      <c r="AE28" s="790"/>
      <c r="AF28" s="790"/>
      <c r="AG28" s="790"/>
    </row>
    <row r="29" spans="1:37" ht="15" customHeight="1" thickBot="1">
      <c r="B29" s="782" t="s">
        <v>1536</v>
      </c>
      <c r="C29" s="782"/>
      <c r="D29" s="782"/>
      <c r="E29" s="782"/>
      <c r="F29" s="782"/>
      <c r="H29" s="772"/>
      <c r="I29" s="772"/>
      <c r="J29" s="772"/>
      <c r="K29" s="772"/>
      <c r="L29" s="772"/>
      <c r="N29" s="242">
        <v>2</v>
      </c>
      <c r="O29" s="272">
        <f t="shared" si="3"/>
        <v>104</v>
      </c>
      <c r="P29" s="802">
        <f>P28</f>
        <v>0</v>
      </c>
      <c r="Q29" s="802"/>
      <c r="R29" s="802"/>
      <c r="S29" s="310">
        <f t="shared" si="1"/>
        <v>0</v>
      </c>
      <c r="T29" s="310">
        <f>IF(W29=1,(J29-$F$17)*0.001,J29*0.001)</f>
        <v>0</v>
      </c>
      <c r="U29" s="311">
        <f t="shared" si="4"/>
        <v>0</v>
      </c>
      <c r="V29" s="273">
        <f>IF($F$16="Si",IF(J29&gt;$X$14,1,0),IF(J29&gt;$X$14,2,0))</f>
        <v>0</v>
      </c>
      <c r="W29" s="310">
        <f>IF(V29=1,IF($F$18&gt;=2,V29,2),V29)</f>
        <v>0</v>
      </c>
      <c r="X29" s="310">
        <f>VLOOKUP(W29,transporte,3,FALSE)</f>
        <v>0</v>
      </c>
      <c r="Y29" s="311">
        <f t="shared" si="2"/>
        <v>0</v>
      </c>
      <c r="AB29" s="790"/>
      <c r="AC29" s="790"/>
      <c r="AD29" s="790"/>
      <c r="AE29" s="790"/>
      <c r="AF29" s="790"/>
      <c r="AG29" s="790"/>
    </row>
    <row r="30" spans="1:37" ht="6" customHeight="1" thickBot="1">
      <c r="B30" s="234"/>
      <c r="C30" s="234"/>
      <c r="D30" s="234"/>
      <c r="E30" s="234"/>
      <c r="F30" s="234"/>
      <c r="H30" s="234"/>
      <c r="I30" s="234"/>
      <c r="R30" s="239"/>
      <c r="S30" s="239"/>
      <c r="T30" s="239"/>
      <c r="U30" s="239"/>
      <c r="Y30" s="243"/>
      <c r="AB30" s="786"/>
      <c r="AC30" s="786"/>
      <c r="AD30" s="390"/>
      <c r="AE30" s="390"/>
      <c r="AF30" s="390"/>
      <c r="AG30" s="390"/>
    </row>
    <row r="31" spans="1:37" ht="15" customHeight="1" thickBot="1">
      <c r="B31" s="782" t="s">
        <v>1537</v>
      </c>
      <c r="C31" s="782"/>
      <c r="D31" s="782"/>
      <c r="E31" s="782"/>
      <c r="F31" s="782"/>
      <c r="H31" s="772"/>
      <c r="I31" s="772"/>
      <c r="J31" s="772"/>
      <c r="K31" s="772"/>
      <c r="L31" s="772"/>
      <c r="N31" s="242">
        <v>3</v>
      </c>
      <c r="O31" s="272">
        <f t="shared" si="3"/>
        <v>156</v>
      </c>
      <c r="P31" s="802">
        <f>P28</f>
        <v>0</v>
      </c>
      <c r="Q31" s="802"/>
      <c r="R31" s="802"/>
      <c r="S31" s="310">
        <f t="shared" si="1"/>
        <v>0</v>
      </c>
      <c r="T31" s="310">
        <f>IF(W31=1,(J31-$F$17)*0.001,J31*0.001)</f>
        <v>0</v>
      </c>
      <c r="U31" s="311">
        <f t="shared" si="4"/>
        <v>0</v>
      </c>
      <c r="V31" s="273">
        <f>IF($F$16="Si",IF(J31&gt;$X$14,1,0),IF(J31&gt;$X$14,2,0))</f>
        <v>0</v>
      </c>
      <c r="W31" s="310">
        <f>V31</f>
        <v>0</v>
      </c>
      <c r="X31" s="310">
        <f>VLOOKUP(W31,transporte,3,FALSE)</f>
        <v>0</v>
      </c>
      <c r="Y31" s="311">
        <f t="shared" si="2"/>
        <v>0</v>
      </c>
      <c r="AB31" s="790"/>
      <c r="AC31" s="790"/>
      <c r="AD31" s="790"/>
      <c r="AE31" s="790"/>
      <c r="AF31" s="790"/>
      <c r="AG31" s="790"/>
    </row>
    <row r="32" spans="1:37" ht="15" customHeight="1" thickBot="1">
      <c r="B32" s="782" t="s">
        <v>1538</v>
      </c>
      <c r="C32" s="782"/>
      <c r="D32" s="782"/>
      <c r="E32" s="782"/>
      <c r="F32" s="782"/>
      <c r="H32" s="772"/>
      <c r="I32" s="772"/>
      <c r="J32" s="772"/>
      <c r="K32" s="772"/>
      <c r="L32" s="772"/>
      <c r="N32" s="242">
        <v>2</v>
      </c>
      <c r="O32" s="272">
        <f t="shared" si="3"/>
        <v>104</v>
      </c>
      <c r="P32" s="802">
        <f>F4*0.25</f>
        <v>0</v>
      </c>
      <c r="Q32" s="802"/>
      <c r="R32" s="802"/>
      <c r="S32" s="310">
        <f t="shared" si="1"/>
        <v>0</v>
      </c>
      <c r="T32" s="310">
        <f>IF(W32=1,(J32-$F$17)*0.001,J32*0.001)</f>
        <v>0</v>
      </c>
      <c r="U32" s="311">
        <f t="shared" si="4"/>
        <v>0</v>
      </c>
      <c r="V32" s="273">
        <f>IF($F$16="Si",IF(J32&gt;$X$14,1,0),IF(J32&gt;$X$14,2,0))</f>
        <v>0</v>
      </c>
      <c r="W32" s="310">
        <f>V32</f>
        <v>0</v>
      </c>
      <c r="X32" s="310">
        <f>VLOOKUP(W32,transporte,3,FALSE)</f>
        <v>0</v>
      </c>
      <c r="Y32" s="311">
        <f t="shared" si="2"/>
        <v>0</v>
      </c>
      <c r="AB32" s="790"/>
      <c r="AC32" s="790"/>
      <c r="AD32" s="790"/>
      <c r="AE32" s="790"/>
      <c r="AF32" s="790"/>
      <c r="AG32" s="790"/>
    </row>
    <row r="33" spans="1:33" ht="6" customHeight="1" thickBot="1">
      <c r="B33" s="234"/>
      <c r="C33" s="234"/>
      <c r="D33" s="234"/>
      <c r="E33" s="234"/>
      <c r="F33" s="234"/>
      <c r="H33" s="234"/>
      <c r="I33" s="234"/>
      <c r="Y33" s="232"/>
      <c r="AB33" s="786"/>
      <c r="AC33" s="786"/>
      <c r="AD33" s="390"/>
      <c r="AE33" s="390"/>
      <c r="AF33" s="390"/>
      <c r="AG33" s="390"/>
    </row>
    <row r="34" spans="1:33" ht="15" customHeight="1" thickBot="1">
      <c r="B34" s="782" t="s">
        <v>1539</v>
      </c>
      <c r="C34" s="782"/>
      <c r="D34" s="782"/>
      <c r="E34" s="782"/>
      <c r="F34" s="782"/>
      <c r="H34" s="772"/>
      <c r="I34" s="772"/>
      <c r="J34" s="772"/>
      <c r="K34" s="772"/>
      <c r="L34" s="772"/>
      <c r="N34" s="799" t="s">
        <v>1507</v>
      </c>
      <c r="O34" s="799"/>
      <c r="P34" s="799"/>
      <c r="Q34" s="799"/>
      <c r="R34" s="799"/>
      <c r="Y34" s="232"/>
      <c r="AB34" s="790"/>
      <c r="AC34" s="790"/>
      <c r="AD34" s="790"/>
      <c r="AE34" s="790"/>
      <c r="AF34" s="790"/>
      <c r="AG34" s="790"/>
    </row>
    <row r="35" spans="1:33" ht="6" customHeight="1" thickBot="1">
      <c r="G35" s="234"/>
      <c r="H35" s="234"/>
      <c r="I35" s="234"/>
      <c r="J35" s="234"/>
      <c r="M35" s="454"/>
      <c r="N35" s="257"/>
      <c r="O35" s="257"/>
      <c r="P35" s="257"/>
      <c r="S35" s="239"/>
      <c r="U35" s="239"/>
      <c r="Y35" s="243"/>
      <c r="AB35" s="786"/>
      <c r="AC35" s="786"/>
      <c r="AD35" s="390"/>
      <c r="AE35" s="390"/>
      <c r="AF35" s="390"/>
      <c r="AG35" s="390"/>
    </row>
    <row r="36" spans="1:33" ht="30" customHeight="1" thickBot="1">
      <c r="B36" s="774" t="s">
        <v>1511</v>
      </c>
      <c r="C36" s="774"/>
      <c r="D36" s="774"/>
      <c r="E36" s="774"/>
      <c r="F36" s="774"/>
      <c r="G36" s="774"/>
      <c r="H36" s="774"/>
      <c r="I36" s="774"/>
      <c r="J36" s="774"/>
      <c r="K36" s="774"/>
      <c r="L36" s="774"/>
      <c r="M36" s="454"/>
      <c r="N36" s="242">
        <v>5</v>
      </c>
      <c r="O36" s="272">
        <f>N36*52</f>
        <v>260</v>
      </c>
      <c r="P36" s="798">
        <f>F4*0.25</f>
        <v>0</v>
      </c>
      <c r="Q36" s="798"/>
      <c r="R36" s="798"/>
      <c r="S36" s="310">
        <f t="shared" ref="S36" si="5">SUM(P36:R36)</f>
        <v>0</v>
      </c>
      <c r="T36" s="310">
        <f>IF(W36=1,(H34-$F$17)*0.001,H34*0.001)</f>
        <v>0</v>
      </c>
      <c r="U36" s="311">
        <f>T36*S36*O36</f>
        <v>0</v>
      </c>
      <c r="V36" s="273">
        <f>IF($F$16="Si",IF(H34&gt;$X$14,1,0),IF(H34&gt;$X$14,2,0))</f>
        <v>0</v>
      </c>
      <c r="W36" s="310">
        <f>V36</f>
        <v>0</v>
      </c>
      <c r="X36" s="310">
        <f>VLOOKUP(W36,transporte,3,FALSE)</f>
        <v>0</v>
      </c>
      <c r="Y36" s="311">
        <f t="shared" ref="Y36" si="6">X36*U36</f>
        <v>0</v>
      </c>
      <c r="AB36" s="786"/>
      <c r="AC36" s="786"/>
      <c r="AD36" s="390"/>
      <c r="AE36" s="390"/>
      <c r="AF36" s="390"/>
      <c r="AG36" s="390"/>
    </row>
    <row r="37" spans="1:33" ht="6" customHeight="1" thickBot="1">
      <c r="G37" s="234"/>
      <c r="H37" s="234"/>
      <c r="I37" s="234"/>
      <c r="J37" s="234"/>
      <c r="M37" s="454"/>
      <c r="Y37" s="232"/>
      <c r="AB37" s="786"/>
      <c r="AC37" s="786"/>
      <c r="AD37" s="390"/>
      <c r="AE37" s="390"/>
      <c r="AF37" s="390"/>
      <c r="AG37" s="390"/>
    </row>
    <row r="38" spans="1:33" ht="15" customHeight="1" thickBot="1">
      <c r="B38" s="809" t="s">
        <v>1513</v>
      </c>
      <c r="C38" s="809"/>
      <c r="D38" s="809"/>
      <c r="E38" s="809"/>
      <c r="F38" s="809"/>
      <c r="G38" s="234"/>
      <c r="H38" s="810" t="s">
        <v>7</v>
      </c>
      <c r="I38" s="810"/>
      <c r="J38" s="810"/>
      <c r="K38" s="810"/>
      <c r="L38" s="810"/>
      <c r="N38" s="242">
        <v>2.5</v>
      </c>
      <c r="O38" s="272">
        <f t="shared" ref="O38" si="7">N38*52</f>
        <v>130</v>
      </c>
      <c r="P38" s="798">
        <f>P36</f>
        <v>0</v>
      </c>
      <c r="Q38" s="798"/>
      <c r="R38" s="798"/>
      <c r="S38" s="310">
        <f t="shared" ref="S38" si="8">SUM(P38:R38)</f>
        <v>0</v>
      </c>
      <c r="T38" s="310">
        <f>IF(W38=1,(H34-$F$17)*0.001,H34*0.001)</f>
        <v>0</v>
      </c>
      <c r="U38" s="311">
        <f>T38*S38*O38</f>
        <v>0</v>
      </c>
      <c r="V38" s="273">
        <f>IF($F$16="Si",IF(H34&gt;$X$14,1,0),IF(H34&gt;$X$14,2,0))</f>
        <v>0</v>
      </c>
      <c r="W38" s="310">
        <f>V38</f>
        <v>0</v>
      </c>
      <c r="X38" s="310">
        <f>VLOOKUP(W38,transporte,3,FALSE)</f>
        <v>0</v>
      </c>
      <c r="Y38" s="311">
        <f t="shared" ref="Y38" si="9">X38*U38</f>
        <v>0</v>
      </c>
      <c r="AB38" s="786"/>
      <c r="AC38" s="786"/>
      <c r="AD38" s="390"/>
      <c r="AE38" s="390"/>
      <c r="AF38" s="390"/>
      <c r="AG38" s="390"/>
    </row>
    <row r="39" spans="1:33" ht="15" customHeight="1" thickBot="1">
      <c r="B39" s="809" t="s">
        <v>1514</v>
      </c>
      <c r="C39" s="809"/>
      <c r="D39" s="809"/>
      <c r="E39" s="809"/>
      <c r="F39" s="809"/>
      <c r="G39" s="234"/>
      <c r="H39" s="810" t="s">
        <v>7</v>
      </c>
      <c r="I39" s="810"/>
      <c r="J39" s="810"/>
      <c r="K39" s="810"/>
      <c r="L39" s="810"/>
      <c r="Y39" s="232"/>
      <c r="AB39" s="797"/>
      <c r="AC39" s="797"/>
      <c r="AD39" s="390"/>
      <c r="AE39" s="390"/>
      <c r="AF39" s="390"/>
      <c r="AG39" s="390"/>
    </row>
    <row r="40" spans="1:33" ht="15" customHeight="1" thickBot="1">
      <c r="B40" s="809" t="s">
        <v>1515</v>
      </c>
      <c r="C40" s="809"/>
      <c r="D40" s="809"/>
      <c r="E40" s="809"/>
      <c r="F40" s="809"/>
      <c r="G40" s="234"/>
      <c r="H40" s="810" t="s">
        <v>7</v>
      </c>
      <c r="I40" s="810"/>
      <c r="J40" s="810"/>
      <c r="K40" s="810"/>
      <c r="L40" s="810"/>
      <c r="N40" s="799" t="s">
        <v>1490</v>
      </c>
      <c r="O40" s="799"/>
      <c r="P40" s="799"/>
      <c r="Q40" s="799"/>
      <c r="R40" s="799"/>
      <c r="Y40" s="232"/>
      <c r="AB40" s="797"/>
      <c r="AC40" s="797"/>
      <c r="AD40" s="390"/>
      <c r="AE40" s="390"/>
      <c r="AF40" s="390"/>
      <c r="AG40" s="390"/>
    </row>
    <row r="41" spans="1:33" ht="15" customHeight="1" thickBot="1">
      <c r="A41" s="234"/>
      <c r="B41" s="234"/>
      <c r="C41" s="234"/>
      <c r="D41" s="234"/>
      <c r="E41" s="234"/>
      <c r="F41" s="234"/>
      <c r="G41" s="234"/>
      <c r="H41" s="234"/>
      <c r="I41" s="234"/>
      <c r="J41" s="234"/>
      <c r="N41" s="242">
        <f>L17</f>
        <v>0</v>
      </c>
      <c r="O41" s="272">
        <f>IF(L16="no",500,N41*52)</f>
        <v>500</v>
      </c>
      <c r="P41" s="271">
        <v>0</v>
      </c>
      <c r="Q41" s="271">
        <v>0</v>
      </c>
      <c r="R41" s="271">
        <v>0</v>
      </c>
      <c r="S41" s="244">
        <v>1</v>
      </c>
      <c r="T41" s="310">
        <f>(H34/2)*0.001</f>
        <v>0</v>
      </c>
      <c r="U41" s="311">
        <f>T41*S41*O41</f>
        <v>0</v>
      </c>
      <c r="V41" s="273"/>
      <c r="W41" s="244">
        <v>2</v>
      </c>
      <c r="X41" s="310">
        <f>VLOOKUP(W41,transporte,3,FALSE)</f>
        <v>69.3</v>
      </c>
      <c r="Y41" s="311">
        <f t="shared" ref="Y41" si="10">X41*U41</f>
        <v>0</v>
      </c>
      <c r="AB41" s="385"/>
      <c r="AC41" s="385"/>
      <c r="AD41" s="390"/>
      <c r="AE41" s="390"/>
      <c r="AF41" s="390"/>
      <c r="AG41" s="390"/>
    </row>
    <row r="42" spans="1:33" ht="15" customHeight="1" thickBot="1">
      <c r="G42" s="234"/>
      <c r="H42" s="234"/>
      <c r="I42" s="234"/>
      <c r="J42" s="234"/>
      <c r="Y42" s="232"/>
      <c r="AB42" s="385"/>
      <c r="AC42" s="385"/>
      <c r="AD42" s="390"/>
      <c r="AE42" s="390"/>
      <c r="AF42" s="390"/>
      <c r="AG42" s="390"/>
    </row>
    <row r="43" spans="1:33" ht="15" customHeight="1" thickBot="1">
      <c r="G43" s="234"/>
      <c r="H43" s="234"/>
      <c r="I43" s="234"/>
      <c r="J43" s="234"/>
      <c r="N43" s="801" t="str">
        <f>B38</f>
        <v>Compostaje in situ</v>
      </c>
      <c r="O43" s="801"/>
      <c r="P43" s="801"/>
      <c r="Q43" s="801"/>
      <c r="R43" s="801"/>
      <c r="S43" s="801"/>
      <c r="T43" s="801"/>
      <c r="U43" s="801"/>
      <c r="V43" s="801"/>
      <c r="W43" s="801"/>
      <c r="X43" s="801"/>
      <c r="Y43" s="311">
        <f>IF(H38="Si",$Y$41*0.05,0)</f>
        <v>0</v>
      </c>
      <c r="AB43" s="385"/>
      <c r="AC43" s="385"/>
      <c r="AD43" s="390"/>
      <c r="AE43" s="390"/>
      <c r="AF43" s="390"/>
      <c r="AG43" s="390"/>
    </row>
    <row r="44" spans="1:33" ht="15" customHeight="1" thickBot="1">
      <c r="G44" s="234"/>
      <c r="H44" s="234"/>
      <c r="I44" s="234"/>
      <c r="J44" s="234"/>
      <c r="N44" s="801" t="str">
        <f t="shared" ref="N44:N45" si="11">B39</f>
        <v>Reciclaje</v>
      </c>
      <c r="O44" s="801"/>
      <c r="P44" s="801"/>
      <c r="Q44" s="801"/>
      <c r="R44" s="801"/>
      <c r="S44" s="801"/>
      <c r="T44" s="801"/>
      <c r="U44" s="801"/>
      <c r="V44" s="801"/>
      <c r="W44" s="801"/>
      <c r="X44" s="801"/>
      <c r="Y44" s="311">
        <f>IF(H39="Si",$Y$41*0.1,0)</f>
        <v>0</v>
      </c>
      <c r="AB44" s="385"/>
      <c r="AC44" s="385"/>
      <c r="AD44" s="390"/>
      <c r="AE44" s="390"/>
      <c r="AF44" s="390"/>
      <c r="AG44" s="390"/>
    </row>
    <row r="45" spans="1:33" thickBot="1">
      <c r="I45" s="234"/>
      <c r="J45" s="234"/>
      <c r="N45" s="801" t="str">
        <f t="shared" si="11"/>
        <v>Biodigestores</v>
      </c>
      <c r="O45" s="801"/>
      <c r="P45" s="801"/>
      <c r="Q45" s="801"/>
      <c r="R45" s="801"/>
      <c r="S45" s="801"/>
      <c r="T45" s="801"/>
      <c r="U45" s="801"/>
      <c r="V45" s="801"/>
      <c r="W45" s="801"/>
      <c r="X45" s="801"/>
      <c r="Y45" s="311">
        <f>IF(L16="No",0,IF(H40="Si",$Y$41*0.05,0))</f>
        <v>0</v>
      </c>
      <c r="AB45" s="385"/>
      <c r="AC45" s="385"/>
      <c r="AD45" s="390"/>
      <c r="AE45" s="390"/>
      <c r="AF45" s="390"/>
      <c r="AG45" s="390"/>
    </row>
    <row r="46" spans="1:33" thickBot="1">
      <c r="G46" s="234"/>
      <c r="H46" s="234"/>
      <c r="I46" s="234"/>
      <c r="J46" s="234"/>
      <c r="Y46" s="232"/>
      <c r="AB46" s="385"/>
      <c r="AC46" s="385"/>
      <c r="AD46" s="390"/>
      <c r="AE46" s="390"/>
      <c r="AF46" s="390"/>
      <c r="AG46" s="390"/>
    </row>
    <row r="47" spans="1:33" thickBot="1">
      <c r="G47" s="234"/>
      <c r="H47" s="234"/>
      <c r="I47" s="234"/>
      <c r="J47" s="234"/>
      <c r="N47" s="800" t="s">
        <v>1643</v>
      </c>
      <c r="O47" s="800"/>
      <c r="P47" s="800"/>
      <c r="Q47" s="800"/>
      <c r="R47" s="800"/>
      <c r="S47" s="800"/>
      <c r="T47" s="800"/>
      <c r="U47" s="800"/>
      <c r="V47" s="800"/>
      <c r="W47" s="800"/>
      <c r="X47" s="800"/>
      <c r="Y47" s="311">
        <f>SUM(Y22:Y41)</f>
        <v>0</v>
      </c>
      <c r="AB47" s="385"/>
      <c r="AC47" s="385"/>
      <c r="AD47" s="390"/>
      <c r="AE47" s="390"/>
      <c r="AF47" s="390"/>
      <c r="AG47" s="390"/>
    </row>
    <row r="48" spans="1:33" thickBot="1">
      <c r="G48" s="234"/>
      <c r="H48" s="234"/>
      <c r="I48" s="234"/>
      <c r="J48" s="234"/>
      <c r="Y48" s="531">
        <f>+Y47*1.25</f>
        <v>0</v>
      </c>
      <c r="AB48" s="385"/>
      <c r="AC48" s="385"/>
      <c r="AD48" s="390"/>
      <c r="AE48" s="390"/>
      <c r="AF48" s="390"/>
      <c r="AG48" s="390"/>
    </row>
    <row r="49" spans="14:33" thickBot="1">
      <c r="N49" s="800" t="s">
        <v>1644</v>
      </c>
      <c r="O49" s="800"/>
      <c r="P49" s="800"/>
      <c r="Q49" s="800"/>
      <c r="R49" s="800"/>
      <c r="S49" s="800"/>
      <c r="T49" s="800"/>
      <c r="U49" s="800"/>
      <c r="V49" s="800"/>
      <c r="W49" s="800"/>
      <c r="X49" s="800"/>
      <c r="Y49" s="530">
        <f>SUM(Y22:Y41)-SUM(Y43:Y45)</f>
        <v>0</v>
      </c>
      <c r="AB49" s="385"/>
      <c r="AC49" s="385"/>
      <c r="AD49" s="390"/>
      <c r="AE49" s="390"/>
      <c r="AF49" s="390"/>
      <c r="AG49" s="390"/>
    </row>
    <row r="50" spans="14:33" thickBot="1">
      <c r="Y50" s="232"/>
      <c r="AB50" s="385"/>
      <c r="AC50" s="385"/>
      <c r="AD50" s="390"/>
      <c r="AE50" s="390"/>
      <c r="AF50" s="390"/>
      <c r="AG50" s="390"/>
    </row>
    <row r="51" spans="14:33" thickBot="1">
      <c r="N51" s="798" t="s">
        <v>1562</v>
      </c>
      <c r="O51" s="798"/>
      <c r="P51" s="798"/>
      <c r="Q51" s="798"/>
      <c r="R51" s="798"/>
      <c r="S51" s="798"/>
      <c r="T51" s="798"/>
      <c r="U51" s="798"/>
      <c r="X51" s="454">
        <f>IF(H9=0,0,1)</f>
        <v>0</v>
      </c>
      <c r="Y51" s="405">
        <f>AVERAGE(X51:X58)</f>
        <v>0.5</v>
      </c>
      <c r="AB51" s="385"/>
      <c r="AC51" s="385"/>
      <c r="AD51" s="390"/>
      <c r="AE51" s="390"/>
      <c r="AF51" s="390"/>
      <c r="AG51" s="390"/>
    </row>
    <row r="52" spans="14:33" thickBot="1">
      <c r="N52" s="231"/>
      <c r="O52" s="271" t="s">
        <v>1551</v>
      </c>
      <c r="P52" s="271" t="s">
        <v>1550</v>
      </c>
      <c r="Q52" s="271" t="s">
        <v>1549</v>
      </c>
      <c r="R52" s="271" t="s">
        <v>1548</v>
      </c>
      <c r="S52" s="798" t="s">
        <v>1557</v>
      </c>
      <c r="T52" s="798"/>
      <c r="U52" s="798"/>
      <c r="X52" s="454">
        <f>IF(H10=0,0,1)</f>
        <v>0</v>
      </c>
      <c r="AB52" s="385"/>
      <c r="AC52" s="385"/>
      <c r="AD52" s="390"/>
      <c r="AE52" s="390"/>
      <c r="AF52" s="390"/>
      <c r="AG52" s="390"/>
    </row>
    <row r="53" spans="14:33" thickBot="1">
      <c r="N53" s="231" t="str">
        <f>+B22</f>
        <v>Hospital (m)</v>
      </c>
      <c r="O53" s="271">
        <v>2000</v>
      </c>
      <c r="P53" s="271">
        <f>O53</f>
        <v>2000</v>
      </c>
      <c r="Q53" s="271">
        <v>3000</v>
      </c>
      <c r="R53" s="271">
        <f>Q53</f>
        <v>3000</v>
      </c>
      <c r="S53" s="798" t="e">
        <f>HLOOKUP($K$5,$O$52:$R$60,2,FALSE)</f>
        <v>#N/A</v>
      </c>
      <c r="T53" s="798"/>
      <c r="U53" s="798"/>
      <c r="X53" s="454">
        <f>IF(L16=0,0,1)</f>
        <v>1</v>
      </c>
      <c r="Y53" s="232">
        <f>IF(Y51=1,1,0)</f>
        <v>0</v>
      </c>
      <c r="AB53" s="385"/>
      <c r="AC53" s="385"/>
      <c r="AD53" s="390"/>
      <c r="AE53" s="390"/>
      <c r="AF53" s="390"/>
      <c r="AG53" s="390"/>
    </row>
    <row r="54" spans="14:33" thickBot="1">
      <c r="N54" s="231" t="str">
        <f>+B23</f>
        <v>Centro de Salud (m)</v>
      </c>
      <c r="O54" s="271">
        <v>1000</v>
      </c>
      <c r="P54" s="271">
        <f t="shared" ref="P54:P59" si="12">O54</f>
        <v>1000</v>
      </c>
      <c r="Q54" s="271">
        <v>3000</v>
      </c>
      <c r="R54" s="271">
        <f t="shared" ref="R54:R60" si="13">Q54</f>
        <v>3000</v>
      </c>
      <c r="S54" s="798" t="e">
        <f>HLOOKUP($K$5,$O$52:$R$60,3,FALSE)</f>
        <v>#N/A</v>
      </c>
      <c r="T54" s="798"/>
      <c r="U54" s="798"/>
      <c r="X54" s="454">
        <f>IF(L16="No",1,IF(L17=0,0,1))</f>
        <v>1</v>
      </c>
      <c r="AB54" s="385"/>
      <c r="AC54" s="385"/>
      <c r="AD54" s="390"/>
      <c r="AE54" s="390"/>
      <c r="AF54" s="390"/>
      <c r="AG54" s="390"/>
    </row>
    <row r="55" spans="14:33" thickBot="1">
      <c r="N55" s="231" t="str">
        <f>+B25</f>
        <v>Guardería y Preescolar (m)</v>
      </c>
      <c r="O55" s="271">
        <v>1000</v>
      </c>
      <c r="P55" s="271">
        <f t="shared" si="12"/>
        <v>1000</v>
      </c>
      <c r="Q55" s="271">
        <v>3000</v>
      </c>
      <c r="R55" s="271">
        <f t="shared" si="13"/>
        <v>3000</v>
      </c>
      <c r="S55" s="798" t="e">
        <f>HLOOKUP($K$5,$O$52:$R$60,4,FALSE)</f>
        <v>#N/A</v>
      </c>
      <c r="T55" s="798"/>
      <c r="U55" s="798"/>
      <c r="X55" s="454">
        <v>1</v>
      </c>
      <c r="AB55" s="385"/>
      <c r="AC55" s="385"/>
      <c r="AD55" s="390"/>
      <c r="AE55" s="390"/>
      <c r="AF55" s="390"/>
      <c r="AG55" s="390"/>
    </row>
    <row r="56" spans="14:33" thickBot="1">
      <c r="N56" s="231" t="str">
        <f>+B26</f>
        <v>Primaria y Secundaria (m)</v>
      </c>
      <c r="O56" s="271">
        <v>2000</v>
      </c>
      <c r="P56" s="271">
        <f>O56</f>
        <v>2000</v>
      </c>
      <c r="Q56" s="271">
        <v>3000</v>
      </c>
      <c r="R56" s="271">
        <f t="shared" si="13"/>
        <v>3000</v>
      </c>
      <c r="S56" s="798" t="e">
        <f>HLOOKUP($K$5,$O$52:$R$60,5,FALSE)</f>
        <v>#N/A</v>
      </c>
      <c r="T56" s="798"/>
      <c r="U56" s="798"/>
      <c r="X56" s="454">
        <f>IF(F16=0,0,1)</f>
        <v>1</v>
      </c>
      <c r="AB56" s="385"/>
      <c r="AC56" s="385"/>
      <c r="AD56" s="390"/>
      <c r="AE56" s="390"/>
      <c r="AF56" s="390"/>
      <c r="AG56" s="390"/>
    </row>
    <row r="57" spans="14:33" thickBot="1">
      <c r="N57" s="231" t="str">
        <f>+B28</f>
        <v>Polideportivo / Centro de Deportes (m)</v>
      </c>
      <c r="O57" s="271">
        <v>1000</v>
      </c>
      <c r="P57" s="271">
        <v>3000</v>
      </c>
      <c r="Q57" s="271">
        <v>3000</v>
      </c>
      <c r="R57" s="271">
        <f t="shared" si="13"/>
        <v>3000</v>
      </c>
      <c r="S57" s="798" t="e">
        <f>HLOOKUP($K$5,$O$52:$R$60,6,FALSE)</f>
        <v>#N/A</v>
      </c>
      <c r="T57" s="798"/>
      <c r="U57" s="798"/>
      <c r="X57" s="454">
        <f>IF(F17=0,0,1)</f>
        <v>0</v>
      </c>
      <c r="AB57" s="385"/>
      <c r="AC57" s="385"/>
      <c r="AD57" s="390"/>
      <c r="AE57" s="390"/>
      <c r="AF57" s="390"/>
      <c r="AG57" s="390"/>
    </row>
    <row r="58" spans="14:33" thickBot="1">
      <c r="N58" s="231" t="str">
        <f>+B29</f>
        <v>Edificio para desarrollo de Actividades Culturales (m)</v>
      </c>
      <c r="O58" s="271">
        <v>2000</v>
      </c>
      <c r="P58" s="271">
        <v>3000</v>
      </c>
      <c r="Q58" s="271">
        <v>3000</v>
      </c>
      <c r="R58" s="271">
        <f t="shared" si="13"/>
        <v>3000</v>
      </c>
      <c r="S58" s="798" t="e">
        <f>HLOOKUP($K$5,$O$52:$R$60,7,FALSE)</f>
        <v>#N/A</v>
      </c>
      <c r="T58" s="798"/>
      <c r="U58" s="798"/>
      <c r="X58" s="454">
        <f>IF(F18=0,0,1)</f>
        <v>0</v>
      </c>
      <c r="AB58" s="385"/>
      <c r="AC58" s="385"/>
      <c r="AD58" s="390"/>
      <c r="AE58" s="390"/>
      <c r="AF58" s="390"/>
      <c r="AG58" s="390"/>
    </row>
    <row r="59" spans="14:33" thickBot="1">
      <c r="N59" s="231" t="str">
        <f>+B31</f>
        <v>Comercio Minorista Barrial (m)</v>
      </c>
      <c r="O59" s="271">
        <v>1000</v>
      </c>
      <c r="P59" s="271">
        <f t="shared" si="12"/>
        <v>1000</v>
      </c>
      <c r="Q59" s="271">
        <v>1000</v>
      </c>
      <c r="R59" s="271">
        <v>500</v>
      </c>
      <c r="S59" s="798" t="e">
        <f>HLOOKUP($K$5,$O$52:$R$60,8,FALSE)</f>
        <v>#N/A</v>
      </c>
      <c r="T59" s="798"/>
      <c r="U59" s="798"/>
      <c r="AB59" s="385"/>
      <c r="AC59" s="385"/>
      <c r="AD59" s="390"/>
      <c r="AE59" s="390"/>
      <c r="AF59" s="390"/>
      <c r="AG59" s="390"/>
    </row>
    <row r="60" spans="14:33" thickBot="1">
      <c r="N60" s="231" t="str">
        <f>+B32</f>
        <v>Centro Comercial Planificado (m)</v>
      </c>
      <c r="O60" s="271">
        <v>2000</v>
      </c>
      <c r="P60" s="271">
        <v>3000</v>
      </c>
      <c r="Q60" s="271">
        <v>3000</v>
      </c>
      <c r="R60" s="271">
        <f t="shared" si="13"/>
        <v>3000</v>
      </c>
      <c r="S60" s="798" t="e">
        <f>HLOOKUP($K$5,$O$52:$R$60,9,FALSE)</f>
        <v>#N/A</v>
      </c>
      <c r="T60" s="798"/>
      <c r="U60" s="798"/>
      <c r="AB60" s="385"/>
      <c r="AC60" s="385"/>
      <c r="AD60" s="390"/>
      <c r="AE60" s="390"/>
      <c r="AF60" s="390"/>
      <c r="AG60" s="390"/>
    </row>
    <row r="61" spans="14:33" thickBot="1">
      <c r="Y61" s="227">
        <f>AVERAGE(T62:T70)</f>
        <v>0</v>
      </c>
      <c r="AB61" s="385"/>
      <c r="AC61" s="385"/>
      <c r="AD61" s="390"/>
      <c r="AE61" s="390"/>
      <c r="AF61" s="390"/>
      <c r="AG61" s="390"/>
    </row>
    <row r="62" spans="14:33" thickBot="1">
      <c r="T62" s="454">
        <f>IF(H22=0,0,1)</f>
        <v>0</v>
      </c>
      <c r="Y62" s="227">
        <f>IF(Y47&gt;0,1,0)</f>
        <v>0</v>
      </c>
      <c r="AB62" s="385"/>
      <c r="AC62" s="385"/>
      <c r="AD62" s="390"/>
      <c r="AE62" s="390"/>
      <c r="AF62" s="390"/>
      <c r="AG62" s="390"/>
    </row>
    <row r="63" spans="14:33" thickBot="1">
      <c r="T63" s="454">
        <f>IF(H23=0,0,1)</f>
        <v>0</v>
      </c>
      <c r="AB63" s="385"/>
      <c r="AC63" s="385"/>
      <c r="AD63" s="390"/>
      <c r="AE63" s="390"/>
      <c r="AF63" s="390"/>
      <c r="AG63" s="390"/>
    </row>
    <row r="64" spans="14:33" thickBot="1">
      <c r="T64" s="454">
        <f>IF(H31=0,0,1)</f>
        <v>0</v>
      </c>
      <c r="AB64" s="385"/>
      <c r="AC64" s="385"/>
      <c r="AD64" s="390"/>
      <c r="AE64" s="390"/>
      <c r="AF64" s="390"/>
      <c r="AG64" s="390"/>
    </row>
    <row r="65" spans="20:33" thickBot="1">
      <c r="T65" s="454">
        <f>IF(H25=0,0,1)</f>
        <v>0</v>
      </c>
      <c r="AB65" s="385"/>
      <c r="AC65" s="385"/>
      <c r="AD65" s="390"/>
      <c r="AE65" s="390"/>
      <c r="AF65" s="390"/>
      <c r="AG65" s="390"/>
    </row>
    <row r="66" spans="20:33" thickBot="1">
      <c r="T66" s="454">
        <f>IF(H26=0,0,1)</f>
        <v>0</v>
      </c>
      <c r="AB66" s="385"/>
      <c r="AC66" s="385"/>
      <c r="AD66" s="390"/>
      <c r="AE66" s="390"/>
      <c r="AF66" s="390"/>
      <c r="AG66" s="390"/>
    </row>
    <row r="67" spans="20:33" thickBot="1">
      <c r="T67" s="454">
        <f>IF(H34=0,0,1)</f>
        <v>0</v>
      </c>
      <c r="AB67" s="385"/>
      <c r="AC67" s="385"/>
      <c r="AD67" s="390"/>
      <c r="AE67" s="390"/>
      <c r="AF67" s="390"/>
      <c r="AG67" s="390"/>
    </row>
    <row r="68" spans="20:33" thickBot="1">
      <c r="T68" s="454">
        <f>IF(H28=0,0,1)</f>
        <v>0</v>
      </c>
    </row>
    <row r="69" spans="20:33" thickBot="1">
      <c r="T69" s="454">
        <f>IF(H29=0,0,1)</f>
        <v>0</v>
      </c>
    </row>
    <row r="70" spans="20:33" thickBot="1">
      <c r="T70" s="454">
        <f>IF(H32=0,0,1)</f>
        <v>0</v>
      </c>
    </row>
  </sheetData>
  <sheetProtection password="ACCE" sheet="1" objects="1" scenarios="1" selectLockedCells="1"/>
  <mergeCells count="111">
    <mergeCell ref="H16:K16"/>
    <mergeCell ref="E4:E5"/>
    <mergeCell ref="B4:B5"/>
    <mergeCell ref="B12:L12"/>
    <mergeCell ref="B14:F14"/>
    <mergeCell ref="H14:L14"/>
    <mergeCell ref="C4:D5"/>
    <mergeCell ref="B7:L7"/>
    <mergeCell ref="F4:G5"/>
    <mergeCell ref="N2:Y2"/>
    <mergeCell ref="O4:Q4"/>
    <mergeCell ref="O5:Q5"/>
    <mergeCell ref="R4:U4"/>
    <mergeCell ref="R5:U5"/>
    <mergeCell ref="V4:Y4"/>
    <mergeCell ref="V5:Y5"/>
    <mergeCell ref="X14:Y14"/>
    <mergeCell ref="N14:W14"/>
    <mergeCell ref="N4:N5"/>
    <mergeCell ref="N12:Y12"/>
    <mergeCell ref="B32:F32"/>
    <mergeCell ref="J4:J5"/>
    <mergeCell ref="B22:F22"/>
    <mergeCell ref="B23:F23"/>
    <mergeCell ref="B25:F25"/>
    <mergeCell ref="B26:F26"/>
    <mergeCell ref="B28:F28"/>
    <mergeCell ref="B20:L20"/>
    <mergeCell ref="B16:E16"/>
    <mergeCell ref="H17:K17"/>
    <mergeCell ref="H18:K18"/>
    <mergeCell ref="B17:E17"/>
    <mergeCell ref="B18:E18"/>
    <mergeCell ref="B9:F9"/>
    <mergeCell ref="B10:F10"/>
    <mergeCell ref="H9:L9"/>
    <mergeCell ref="K4:L4"/>
    <mergeCell ref="K5:L5"/>
    <mergeCell ref="H31:L31"/>
    <mergeCell ref="H32:L32"/>
    <mergeCell ref="H22:L22"/>
    <mergeCell ref="H23:L23"/>
    <mergeCell ref="H25:L25"/>
    <mergeCell ref="H26:L26"/>
    <mergeCell ref="H28:L28"/>
    <mergeCell ref="H4:I5"/>
    <mergeCell ref="H10:L10"/>
    <mergeCell ref="N45:X45"/>
    <mergeCell ref="N40:R40"/>
    <mergeCell ref="P36:R36"/>
    <mergeCell ref="B34:F34"/>
    <mergeCell ref="B40:F40"/>
    <mergeCell ref="B29:F29"/>
    <mergeCell ref="B31:F31"/>
    <mergeCell ref="X18:Y18"/>
    <mergeCell ref="V18:W18"/>
    <mergeCell ref="T18:U18"/>
    <mergeCell ref="H34:L34"/>
    <mergeCell ref="H40:L40"/>
    <mergeCell ref="B36:L36"/>
    <mergeCell ref="H38:L38"/>
    <mergeCell ref="H39:L39"/>
    <mergeCell ref="B38:F38"/>
    <mergeCell ref="B39:F39"/>
    <mergeCell ref="N18:O18"/>
    <mergeCell ref="P18:S18"/>
    <mergeCell ref="P28:R28"/>
    <mergeCell ref="P31:R31"/>
    <mergeCell ref="AB4:AC5"/>
    <mergeCell ref="AB14:AG14"/>
    <mergeCell ref="AB16:AG16"/>
    <mergeCell ref="AB17:AG17"/>
    <mergeCell ref="AB21:AC21"/>
    <mergeCell ref="AB30:AC30"/>
    <mergeCell ref="AB33:AC33"/>
    <mergeCell ref="AB24:AC24"/>
    <mergeCell ref="AB27:AC27"/>
    <mergeCell ref="AB22:AG22"/>
    <mergeCell ref="AB23:AG23"/>
    <mergeCell ref="AB25:AG25"/>
    <mergeCell ref="AB26:AG26"/>
    <mergeCell ref="AB28:AG28"/>
    <mergeCell ref="AB29:AG29"/>
    <mergeCell ref="AB31:AG31"/>
    <mergeCell ref="AB32:AG32"/>
    <mergeCell ref="H29:L29"/>
    <mergeCell ref="S55:U55"/>
    <mergeCell ref="S56:U56"/>
    <mergeCell ref="S57:U57"/>
    <mergeCell ref="S58:U58"/>
    <mergeCell ref="S59:U59"/>
    <mergeCell ref="N49:X49"/>
    <mergeCell ref="N51:U51"/>
    <mergeCell ref="S52:U52"/>
    <mergeCell ref="S53:U53"/>
    <mergeCell ref="S54:U54"/>
    <mergeCell ref="N47:X47"/>
    <mergeCell ref="N43:X43"/>
    <mergeCell ref="N44:X44"/>
    <mergeCell ref="P32:R32"/>
    <mergeCell ref="P29:R29"/>
    <mergeCell ref="AB39:AC39"/>
    <mergeCell ref="AB40:AC40"/>
    <mergeCell ref="AB35:AC35"/>
    <mergeCell ref="AB36:AC36"/>
    <mergeCell ref="AB37:AC37"/>
    <mergeCell ref="AB38:AC38"/>
    <mergeCell ref="P38:R38"/>
    <mergeCell ref="N34:R34"/>
    <mergeCell ref="S60:U60"/>
    <mergeCell ref="AB34:AG34"/>
  </mergeCells>
  <conditionalFormatting sqref="H17:L18">
    <cfRule type="expression" dxfId="1444" priority="3">
      <formula>$L$16="No"</formula>
    </cfRule>
  </conditionalFormatting>
  <conditionalFormatting sqref="AB16:AG16">
    <cfRule type="expression" dxfId="1443" priority="2">
      <formula>$AA$16=1</formula>
    </cfRule>
  </conditionalFormatting>
  <dataValidations count="2">
    <dataValidation type="list" allowBlank="1" showInputMessage="1" showErrorMessage="1" sqref="F16 H38:H40 L16" xr:uid="{00000000-0002-0000-0100-000000000000}">
      <formula1>SI_NO</formula1>
    </dataValidation>
    <dataValidation type="list" allowBlank="1" showInputMessage="1" showErrorMessage="1" sqref="H9" xr:uid="{00000000-0002-0000-0100-000001000000}">
      <formula1>CCC</formula1>
    </dataValidation>
  </dataValidations>
  <printOptions gridLines="1"/>
  <pageMargins left="0.25" right="0.25" top="0.75" bottom="0.75" header="0.3" footer="0.3"/>
  <pageSetup paperSize="9" orientation="landscape" horizontalDpi="0" verticalDpi="0"/>
  <drawing r:id="rId1"/>
  <extLst>
    <ext xmlns:x14="http://schemas.microsoft.com/office/spreadsheetml/2009/9/main" uri="{78C0D931-6437-407d-A8EE-F0AAD7539E65}">
      <x14:conditionalFormattings>
        <x14:conditionalFormatting xmlns:xm="http://schemas.microsoft.com/office/excel/2006/main">
          <x14:cfRule type="expression" priority="1008" id="{3930467B-5787-8042-B636-784CB97F65FC}">
            <xm:f>BASE!$GP$12=0</xm:f>
            <x14:dxf>
              <font>
                <color theme="0" tint="-4.9989318521683403E-2"/>
              </font>
              <fill>
                <patternFill>
                  <bgColor theme="0" tint="-4.9989318521683403E-2"/>
                </patternFill>
              </fill>
              <border>
                <left/>
                <right/>
                <top/>
                <bottom/>
              </border>
            </x14:dxf>
          </x14:cfRule>
          <xm:sqref>B7:L40</xm:sqref>
        </x14:conditionalFormatting>
        <x14:conditionalFormatting xmlns:xm="http://schemas.microsoft.com/office/excel/2006/main">
          <x14:cfRule type="expression" priority="1" id="{8CE59907-6BEF-4F35-A4D7-A0085834EC70}">
            <xm:f>DATOS!$F$14=1</xm:f>
            <x14:dxf>
              <font>
                <color theme="0" tint="-0.24994659260841701"/>
              </font>
              <fill>
                <patternFill>
                  <bgColor theme="0" tint="-4.9989318521683403E-2"/>
                </patternFill>
              </fill>
              <border>
                <left/>
                <right/>
                <top/>
                <bottom/>
                <vertical/>
                <horizontal/>
              </border>
            </x14:dxf>
          </x14:cfRule>
          <xm:sqref>B7:L41</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sheetPr>
  <dimension ref="A1:CN399"/>
  <sheetViews>
    <sheetView zoomScale="80" zoomScaleNormal="80" zoomScalePageLayoutView="90" workbookViewId="0">
      <pane ySplit="6" topLeftCell="A96" activePane="bottomLeft" state="frozen"/>
      <selection pane="bottomLeft" activeCell="N110" sqref="N110"/>
    </sheetView>
  </sheetViews>
  <sheetFormatPr baseColWidth="10" defaultColWidth="11.5" defaultRowHeight="15" customHeight="1" thickBottom="1"/>
  <cols>
    <col min="1" max="1" width="2.6640625" style="332" customWidth="1"/>
    <col min="2" max="2" width="26.1640625" style="332" customWidth="1"/>
    <col min="3" max="3" width="13.5" style="332" customWidth="1"/>
    <col min="4" max="4" width="16.6640625" style="332" customWidth="1"/>
    <col min="5" max="6" width="10" style="421" customWidth="1"/>
    <col min="7" max="7" width="12.5" style="332" customWidth="1"/>
    <col min="8" max="8" width="11.1640625" style="332" customWidth="1"/>
    <col min="9" max="9" width="13.6640625" style="332" customWidth="1"/>
    <col min="10" max="10" width="12.33203125" style="332" bestFit="1" customWidth="1"/>
    <col min="11" max="11" width="14.1640625" style="332" customWidth="1"/>
    <col min="12" max="12" width="15.5" style="421" customWidth="1"/>
    <col min="13" max="13" width="11.83203125" style="421" customWidth="1"/>
    <col min="14" max="14" width="14.33203125" style="394" customWidth="1"/>
    <col min="15" max="15" width="2.83203125" style="402" customWidth="1"/>
    <col min="16" max="16" width="28.1640625" style="245" hidden="1" customWidth="1"/>
    <col min="17" max="17" width="24.5" style="100" hidden="1" customWidth="1"/>
    <col min="18" max="18" width="14" style="99" hidden="1" customWidth="1"/>
    <col min="19" max="19" width="10.83203125" style="99" hidden="1" customWidth="1"/>
    <col min="20" max="20" width="19.1640625" style="100" hidden="1" customWidth="1"/>
    <col min="21" max="21" width="41.5" style="100" hidden="1" customWidth="1"/>
    <col min="22" max="22" width="19.5" style="100" hidden="1" customWidth="1"/>
    <col min="23" max="23" width="19.5" style="99" hidden="1" customWidth="1"/>
    <col min="24" max="24" width="20.6640625" style="100" hidden="1" customWidth="1"/>
    <col min="25" max="25" width="20.1640625" style="127" hidden="1" customWidth="1"/>
    <col min="26" max="26" width="24.33203125" style="100" hidden="1" customWidth="1"/>
    <col min="27" max="27" width="16.6640625" style="100" hidden="1" customWidth="1"/>
    <col min="28" max="28" width="20" style="100" hidden="1" customWidth="1"/>
    <col min="29" max="29" width="25.33203125" style="100" hidden="1" customWidth="1"/>
    <col min="30" max="30" width="31.5" style="100" hidden="1" customWidth="1"/>
    <col min="31" max="32" width="32.33203125" style="100" hidden="1" customWidth="1"/>
    <col min="33" max="33" width="31.6640625" style="100" hidden="1" customWidth="1"/>
    <col min="34" max="34" width="13.6640625" style="100" hidden="1" customWidth="1"/>
    <col min="35" max="35" width="29.1640625" style="100" hidden="1" customWidth="1"/>
    <col min="36" max="36" width="24" style="100" hidden="1" customWidth="1"/>
    <col min="37" max="37" width="15" style="100" hidden="1" customWidth="1"/>
    <col min="38" max="38" width="25" style="100" hidden="1" customWidth="1"/>
    <col min="39" max="39" width="20.1640625" style="100" hidden="1" customWidth="1"/>
    <col min="40" max="40" width="20" style="100" hidden="1" customWidth="1"/>
    <col min="41" max="41" width="31.5" style="100" hidden="1" customWidth="1"/>
    <col min="42" max="42" width="14.33203125" style="100" hidden="1" customWidth="1"/>
    <col min="43" max="43" width="24.5" style="100" hidden="1" customWidth="1"/>
    <col min="44" max="44" width="22.33203125" style="100" hidden="1" customWidth="1"/>
    <col min="45" max="45" width="31" style="100" hidden="1" customWidth="1"/>
    <col min="46" max="46" width="31.83203125" style="100" hidden="1" customWidth="1"/>
    <col min="47" max="47" width="27.6640625" style="100" hidden="1" customWidth="1"/>
    <col min="48" max="48" width="26.6640625" style="100" hidden="1" customWidth="1"/>
    <col min="49" max="49" width="25.33203125" style="100" hidden="1" customWidth="1"/>
    <col min="50" max="50" width="32.33203125" style="100" hidden="1" customWidth="1"/>
    <col min="51" max="51" width="31.6640625" style="100" hidden="1" customWidth="1"/>
    <col min="52" max="52" width="2.83203125" style="129" hidden="1" customWidth="1"/>
    <col min="53" max="53" width="2.83203125" style="411" customWidth="1"/>
    <col min="54" max="54" width="16.33203125" style="134" customWidth="1"/>
    <col min="55" max="55" width="2" style="134" bestFit="1" customWidth="1"/>
    <col min="56" max="58" width="16.33203125" style="134" customWidth="1"/>
    <col min="59" max="59" width="1.83203125" style="134" customWidth="1"/>
    <col min="60" max="62" width="9.6640625" style="134" customWidth="1"/>
    <col min="63" max="63" width="2.83203125" style="134" customWidth="1"/>
    <col min="64" max="64" width="11.5" style="324" customWidth="1"/>
    <col min="65" max="65" width="11.5" style="102" customWidth="1"/>
    <col min="66" max="68" width="11.1640625" style="102" customWidth="1"/>
    <col min="69" max="69" width="7" style="102" customWidth="1"/>
    <col min="70" max="70" width="5.83203125" style="102" customWidth="1"/>
    <col min="71" max="73" width="9.1640625" style="102" customWidth="1"/>
    <col min="74" max="74" width="5.83203125" style="102" customWidth="1"/>
    <col min="75" max="77" width="11.1640625" style="102" customWidth="1"/>
    <col min="78" max="80" width="11.5" style="102" customWidth="1"/>
    <col min="81" max="16384" width="11.5" style="100"/>
  </cols>
  <sheetData>
    <row r="1" spans="1:80" ht="15" customHeight="1" thickBot="1">
      <c r="Z1" s="99"/>
      <c r="AA1" s="99"/>
      <c r="AB1" s="99"/>
    </row>
    <row r="2" spans="1:80" ht="45" customHeight="1" thickBot="1">
      <c r="B2" s="453" t="s">
        <v>220</v>
      </c>
      <c r="C2" s="453"/>
      <c r="N2" s="394">
        <f>VLOOKUP(C4,CLIMA,15,FALSE)</f>
        <v>0</v>
      </c>
      <c r="P2" s="1065" t="s">
        <v>220</v>
      </c>
      <c r="Q2" s="1066"/>
      <c r="R2" s="1066"/>
      <c r="S2" s="1066"/>
      <c r="T2" s="1066"/>
      <c r="U2" s="1066"/>
      <c r="V2" s="1066"/>
      <c r="W2" s="1066"/>
      <c r="X2" s="1067"/>
      <c r="Z2" s="99"/>
      <c r="AA2" s="99"/>
      <c r="AB2" s="99"/>
      <c r="AE2" s="128"/>
      <c r="AF2" s="128"/>
      <c r="AG2" s="128"/>
      <c r="AH2" s="128"/>
      <c r="AI2" s="128"/>
      <c r="AJ2" s="128"/>
      <c r="AK2" s="128"/>
      <c r="AL2" s="128"/>
      <c r="AM2" s="128"/>
      <c r="AN2" s="128"/>
      <c r="AO2" s="128"/>
      <c r="AP2" s="128"/>
      <c r="AQ2" s="128"/>
      <c r="BB2" s="1046" t="str">
        <f>AX4</f>
        <v>Consumo Energético kWh/año</v>
      </c>
      <c r="BC2" s="1047"/>
      <c r="BD2" s="1047"/>
      <c r="BE2" s="1048"/>
      <c r="BF2" s="130">
        <f>AY4</f>
        <v>0</v>
      </c>
      <c r="BH2" s="131"/>
      <c r="BI2" s="132"/>
      <c r="BJ2" s="133"/>
      <c r="BL2" s="135" t="str">
        <f>IF(BB4=" ",0,BB4)</f>
        <v>FALTAN DATOS</v>
      </c>
      <c r="BM2" s="136" t="e">
        <f>1-BL2</f>
        <v>#VALUE!</v>
      </c>
      <c r="BN2" s="100"/>
      <c r="BO2" s="100"/>
    </row>
    <row r="3" spans="1:80" ht="6" customHeight="1" thickBot="1">
      <c r="Z3" s="99"/>
      <c r="AA3" s="99"/>
      <c r="AB3" s="99"/>
      <c r="BD3" s="137"/>
      <c r="BH3" s="138"/>
      <c r="BI3" s="139"/>
      <c r="BJ3" s="140"/>
      <c r="BN3" s="100"/>
      <c r="BO3" s="100"/>
    </row>
    <row r="4" spans="1:80" s="99" customFormat="1" ht="20" customHeight="1" thickBot="1">
      <c r="A4" s="421"/>
      <c r="B4" s="812" t="s">
        <v>9</v>
      </c>
      <c r="C4" s="928">
        <f>DATOS!C11</f>
        <v>0</v>
      </c>
      <c r="D4" s="929"/>
      <c r="E4" s="486" t="s">
        <v>207</v>
      </c>
      <c r="F4" s="817">
        <f>IF(C4=0,0,VLOOKUP(C4,CLIMA,3,FALSE))</f>
        <v>0</v>
      </c>
      <c r="G4" s="817"/>
      <c r="H4" s="817"/>
      <c r="I4" s="807" t="s">
        <v>208</v>
      </c>
      <c r="J4" s="807"/>
      <c r="K4" s="812">
        <f>IF(C4=0,0,VLOOKUP(C4,CLIMA,5,FALSE))</f>
        <v>0</v>
      </c>
      <c r="L4" s="812">
        <f>IF(C4=0,0,VLOOKUP(K4,ZZONAS,2,FALSE))</f>
        <v>0</v>
      </c>
      <c r="M4" s="812"/>
      <c r="N4" s="812"/>
      <c r="O4" s="455"/>
      <c r="P4" s="923" t="s">
        <v>9</v>
      </c>
      <c r="Q4" s="944">
        <f>$C$4</f>
        <v>0</v>
      </c>
      <c r="R4" s="283" t="s">
        <v>207</v>
      </c>
      <c r="S4" s="945">
        <f>$F$4</f>
        <v>0</v>
      </c>
      <c r="T4" s="945"/>
      <c r="U4" s="944" t="s">
        <v>208</v>
      </c>
      <c r="V4" s="944"/>
      <c r="W4" s="908">
        <f>$K$4</f>
        <v>0</v>
      </c>
      <c r="X4" s="908">
        <f>VLOOKUP(C4,CLIMA,15,FALSE)</f>
        <v>0</v>
      </c>
      <c r="Y4" s="851" t="s">
        <v>779</v>
      </c>
      <c r="Z4" s="851"/>
      <c r="AA4" s="851"/>
      <c r="AB4" s="851"/>
      <c r="AC4" s="948" t="s">
        <v>1082</v>
      </c>
      <c r="AD4" s="905">
        <f>IF(AV18=0,0,IF(BA48=1,0,IF(BA56=1,0,AE237+AF195)))</f>
        <v>0</v>
      </c>
      <c r="AE4" s="947" t="s">
        <v>1128</v>
      </c>
      <c r="AF4" s="498"/>
      <c r="AG4" s="898">
        <f>IF(AV18=0,0,IF(BA48=1,0,IF(BA56=1,0,AG220+AG237-AG250-AG257-AG263+AF197)))</f>
        <v>0</v>
      </c>
      <c r="AH4" s="141"/>
      <c r="AI4" s="141"/>
      <c r="AJ4" s="851" t="s">
        <v>1129</v>
      </c>
      <c r="AK4" s="851"/>
      <c r="AL4" s="851"/>
      <c r="AM4" s="851"/>
      <c r="AN4" s="851"/>
      <c r="AO4" s="851"/>
      <c r="AP4" s="851"/>
      <c r="AQ4" s="851"/>
      <c r="AR4" s="851"/>
      <c r="AS4" s="851"/>
      <c r="AT4" s="851"/>
      <c r="AU4" s="851"/>
      <c r="AV4" s="948" t="s">
        <v>1082</v>
      </c>
      <c r="AW4" s="905">
        <f>IF(AV28=0,0,IF(AV18=0,0,IF(BA48=1,0,IF(BA56=1,0,AX237+AY195))))</f>
        <v>0</v>
      </c>
      <c r="AX4" s="947" t="s">
        <v>1128</v>
      </c>
      <c r="AY4" s="898">
        <f>IF(AV28=0,0,IF(AV18=0,0,IF(BA48=1,0,IF(BA56=1,0,AY220+AY237-AY257-AY263-AY250+AY197))))</f>
        <v>0</v>
      </c>
      <c r="AZ4" s="142"/>
      <c r="BA4" s="411"/>
      <c r="BB4" s="1049" t="str">
        <f>IF(BB7=1,BASE!GS34,BASE!GV45)</f>
        <v>FALTAN DATOS</v>
      </c>
      <c r="BC4" s="1050"/>
      <c r="BD4" s="1050"/>
      <c r="BE4" s="1050"/>
      <c r="BF4" s="1051"/>
      <c r="BG4" s="134"/>
      <c r="BH4" s="143"/>
      <c r="BI4" s="144"/>
      <c r="BJ4" s="145"/>
      <c r="BK4" s="146"/>
      <c r="BL4" s="147"/>
      <c r="BM4" s="148"/>
      <c r="BP4" s="148"/>
      <c r="BQ4" s="148"/>
      <c r="BR4" s="148"/>
      <c r="BS4" s="148"/>
      <c r="BT4" s="148"/>
      <c r="BU4" s="148"/>
      <c r="BV4" s="148"/>
      <c r="BW4" s="148"/>
      <c r="BX4" s="148"/>
      <c r="BY4" s="148"/>
      <c r="BZ4" s="148"/>
      <c r="CA4" s="148"/>
      <c r="CB4" s="148"/>
    </row>
    <row r="5" spans="1:80" s="99" customFormat="1" ht="20" customHeight="1" thickBot="1">
      <c r="A5" s="421"/>
      <c r="B5" s="812"/>
      <c r="C5" s="930"/>
      <c r="D5" s="931"/>
      <c r="E5" s="486" t="s">
        <v>10</v>
      </c>
      <c r="F5" s="817">
        <f>IF(C4=0,0,VLOOKUP(C4,CLIMA,2,FALSE))</f>
        <v>0</v>
      </c>
      <c r="G5" s="817"/>
      <c r="H5" s="817"/>
      <c r="I5" s="807"/>
      <c r="J5" s="807"/>
      <c r="K5" s="812"/>
      <c r="L5" s="812"/>
      <c r="M5" s="812"/>
      <c r="N5" s="812"/>
      <c r="O5" s="455"/>
      <c r="P5" s="923"/>
      <c r="Q5" s="944"/>
      <c r="R5" s="283" t="s">
        <v>10</v>
      </c>
      <c r="S5" s="945">
        <f>$F$5</f>
        <v>0</v>
      </c>
      <c r="T5" s="945"/>
      <c r="U5" s="944"/>
      <c r="V5" s="944"/>
      <c r="W5" s="908"/>
      <c r="X5" s="908"/>
      <c r="Y5" s="851"/>
      <c r="Z5" s="851"/>
      <c r="AA5" s="851"/>
      <c r="AB5" s="851"/>
      <c r="AC5" s="948"/>
      <c r="AD5" s="851"/>
      <c r="AE5" s="947"/>
      <c r="AF5" s="498"/>
      <c r="AG5" s="924"/>
      <c r="AH5" s="141"/>
      <c r="AI5" s="141"/>
      <c r="AJ5" s="851"/>
      <c r="AK5" s="851"/>
      <c r="AL5" s="851"/>
      <c r="AM5" s="851"/>
      <c r="AN5" s="851"/>
      <c r="AO5" s="851"/>
      <c r="AP5" s="851"/>
      <c r="AQ5" s="851"/>
      <c r="AR5" s="851"/>
      <c r="AS5" s="851"/>
      <c r="AT5" s="851"/>
      <c r="AU5" s="851"/>
      <c r="AV5" s="948"/>
      <c r="AW5" s="851"/>
      <c r="AX5" s="947"/>
      <c r="AY5" s="924"/>
      <c r="AZ5" s="142"/>
      <c r="BA5" s="411"/>
      <c r="BB5" s="1052"/>
      <c r="BC5" s="1053"/>
      <c r="BD5" s="1053"/>
      <c r="BE5" s="1053"/>
      <c r="BF5" s="1054"/>
      <c r="BG5" s="134"/>
      <c r="BH5" s="150"/>
      <c r="BI5" s="151"/>
      <c r="BJ5" s="152"/>
      <c r="BK5" s="146"/>
      <c r="BL5" s="147"/>
      <c r="BM5" s="148"/>
      <c r="BP5" s="148"/>
      <c r="BQ5" s="148"/>
      <c r="BR5" s="148"/>
      <c r="BS5" s="148"/>
      <c r="BT5" s="148"/>
      <c r="BU5" s="148"/>
      <c r="BV5" s="148"/>
      <c r="BW5" s="148"/>
      <c r="BX5" s="148"/>
      <c r="BY5" s="148"/>
      <c r="BZ5" s="148"/>
      <c r="CA5" s="148"/>
      <c r="CB5" s="148"/>
    </row>
    <row r="6" spans="1:80" ht="6" customHeight="1" thickBot="1">
      <c r="Z6" s="99"/>
      <c r="AA6" s="99"/>
      <c r="AB6" s="99"/>
      <c r="AK6" s="99"/>
      <c r="AL6" s="99"/>
      <c r="AM6" s="99"/>
      <c r="BB6" s="146"/>
      <c r="BC6" s="146"/>
      <c r="BD6" s="146"/>
      <c r="BE6" s="146"/>
      <c r="BF6" s="146"/>
      <c r="BG6" s="146"/>
      <c r="BH6" s="146"/>
      <c r="BI6" s="146"/>
      <c r="BJ6" s="146"/>
    </row>
    <row r="7" spans="1:80" ht="30" customHeight="1" thickBot="1">
      <c r="B7" s="840" t="s">
        <v>1130</v>
      </c>
      <c r="C7" s="840"/>
      <c r="D7" s="840"/>
      <c r="E7" s="840"/>
      <c r="F7" s="840"/>
      <c r="G7" s="840"/>
      <c r="H7" s="840"/>
      <c r="I7" s="840"/>
      <c r="J7" s="840"/>
      <c r="K7" s="840"/>
      <c r="L7" s="840"/>
      <c r="M7" s="840"/>
      <c r="N7" s="840"/>
      <c r="P7" s="946" t="s">
        <v>1083</v>
      </c>
      <c r="Q7" s="946"/>
      <c r="R7" s="946"/>
      <c r="S7" s="946"/>
      <c r="T7" s="946"/>
      <c r="U7" s="946"/>
      <c r="V7" s="946"/>
      <c r="W7" s="946"/>
      <c r="X7" s="946"/>
      <c r="Y7" s="946"/>
      <c r="Z7" s="946"/>
      <c r="AA7" s="946"/>
      <c r="AB7" s="946"/>
      <c r="AC7" s="946"/>
      <c r="AD7" s="946"/>
      <c r="AE7" s="946"/>
      <c r="AF7" s="946"/>
      <c r="AG7" s="946"/>
      <c r="AH7" s="946"/>
      <c r="AI7" s="946"/>
      <c r="AJ7" s="946"/>
      <c r="AK7" s="946"/>
      <c r="AL7" s="946"/>
      <c r="AM7" s="946"/>
      <c r="AN7" s="946"/>
      <c r="AO7" s="946"/>
      <c r="AP7" s="946"/>
      <c r="AQ7" s="946"/>
      <c r="AR7" s="946"/>
      <c r="AS7" s="946"/>
      <c r="AT7" s="946"/>
      <c r="AU7" s="946"/>
      <c r="AV7" s="946"/>
      <c r="AW7" s="946"/>
      <c r="AX7" s="946"/>
      <c r="AY7" s="946"/>
      <c r="BB7" s="855">
        <f>+IF(AY4&gt;AG4,1,0)</f>
        <v>0</v>
      </c>
      <c r="BC7" s="855"/>
      <c r="BD7" s="855"/>
      <c r="BE7" s="855"/>
      <c r="BF7" s="855"/>
      <c r="BG7" s="855"/>
      <c r="BH7" s="855"/>
      <c r="BI7" s="855"/>
      <c r="BJ7" s="855"/>
    </row>
    <row r="8" spans="1:80" ht="6" customHeight="1" thickBot="1">
      <c r="Y8" s="101"/>
      <c r="BB8" s="146"/>
      <c r="BC8" s="146"/>
      <c r="BD8" s="146"/>
      <c r="BE8" s="146"/>
      <c r="BF8" s="146"/>
      <c r="BG8" s="146"/>
      <c r="BH8" s="146"/>
      <c r="BI8" s="146"/>
      <c r="BJ8" s="146"/>
    </row>
    <row r="9" spans="1:80" s="326" customFormat="1" ht="45" customHeight="1" thickBot="1">
      <c r="A9" s="456"/>
      <c r="B9" s="904" t="s">
        <v>1113</v>
      </c>
      <c r="C9" s="904"/>
      <c r="D9" s="904"/>
      <c r="E9" s="914" t="e">
        <f>HLOOKUP($N$2,lineamientos,3,FALSE)</f>
        <v>#N/A</v>
      </c>
      <c r="F9" s="915"/>
      <c r="G9" s="915"/>
      <c r="H9" s="915"/>
      <c r="I9" s="915"/>
      <c r="J9" s="915"/>
      <c r="K9" s="915"/>
      <c r="L9" s="915"/>
      <c r="M9" s="916"/>
      <c r="N9" s="393" t="e">
        <f t="shared" ref="N9:N14" si="0">IF(E9="La Zona Bioambiental no especifica lineamiento.","-",Z10)</f>
        <v>#N/A</v>
      </c>
      <c r="O9" s="457"/>
      <c r="P9" s="851"/>
      <c r="Q9" s="851"/>
      <c r="R9" s="906">
        <v>1</v>
      </c>
      <c r="S9" s="906"/>
      <c r="T9" s="924">
        <v>2</v>
      </c>
      <c r="U9" s="924"/>
      <c r="V9" s="906">
        <v>3</v>
      </c>
      <c r="W9" s="906"/>
      <c r="X9" s="351" t="s">
        <v>12</v>
      </c>
      <c r="Y9" s="477">
        <f>X4</f>
        <v>0</v>
      </c>
      <c r="AA9" s="100"/>
      <c r="AB9" s="906" t="s">
        <v>1138</v>
      </c>
      <c r="AC9" s="906"/>
      <c r="AD9" s="906"/>
      <c r="AE9" s="281">
        <f>IF(ENERGÍA!L369="Si",1,0)</f>
        <v>0</v>
      </c>
      <c r="AF9" s="492"/>
      <c r="AG9" s="948" t="s">
        <v>1102</v>
      </c>
      <c r="AH9" s="948"/>
      <c r="AI9" s="948"/>
      <c r="AJ9" s="293" t="e">
        <f>IF(E10=BASE!BQ6,1,IF(E10=BASE!BT6,2,0))</f>
        <v>#N/A</v>
      </c>
      <c r="AK9" s="519"/>
      <c r="AL9" s="520" t="s">
        <v>1307</v>
      </c>
      <c r="AM9" s="949" t="s">
        <v>1131</v>
      </c>
      <c r="AN9" s="950"/>
      <c r="AO9" s="950"/>
      <c r="AP9" s="950"/>
      <c r="AQ9" s="951"/>
      <c r="AS9" s="293" t="str">
        <f>AGUA!B22</f>
        <v>Tipo de Vegetación</v>
      </c>
      <c r="AU9" s="293" t="str">
        <f>AGUA!F22</f>
        <v>Área (m2)</v>
      </c>
      <c r="AW9" s="293" t="str">
        <f>AGUA!H22</f>
        <v>Especies</v>
      </c>
      <c r="AZ9" s="327"/>
      <c r="BA9" s="422" t="b">
        <f>IF(X4=1,IF(S10=2,0,1),IF(X4=2,IF(U10=2,0,1)))</f>
        <v>0</v>
      </c>
      <c r="BB9" s="855" t="s">
        <v>2089</v>
      </c>
      <c r="BC9" s="855"/>
      <c r="BD9" s="855"/>
      <c r="BE9" s="855"/>
      <c r="BF9" s="855"/>
      <c r="BG9" s="855"/>
      <c r="BH9" s="855"/>
      <c r="BI9" s="855"/>
      <c r="BJ9" s="855"/>
      <c r="BK9" s="134"/>
      <c r="BL9" s="328"/>
      <c r="BM9" s="329"/>
      <c r="BN9" s="329"/>
      <c r="BO9" s="329"/>
      <c r="BP9" s="329"/>
      <c r="BQ9" s="329"/>
      <c r="BR9" s="329"/>
      <c r="BS9" s="329"/>
      <c r="BT9" s="329"/>
      <c r="BU9" s="329"/>
      <c r="BV9" s="329"/>
      <c r="BW9" s="329"/>
      <c r="BX9" s="329"/>
      <c r="BY9" s="329"/>
      <c r="BZ9" s="329"/>
      <c r="CA9" s="329"/>
      <c r="CB9" s="329"/>
    </row>
    <row r="10" spans="1:80" s="326" customFormat="1" ht="45" customHeight="1" thickBot="1">
      <c r="A10" s="456"/>
      <c r="B10" s="904" t="s">
        <v>1115</v>
      </c>
      <c r="C10" s="904"/>
      <c r="D10" s="904"/>
      <c r="E10" s="914" t="e">
        <f>HLOOKUP($N$2,lineamientos,4,FALSE)</f>
        <v>#N/A</v>
      </c>
      <c r="F10" s="915"/>
      <c r="G10" s="915"/>
      <c r="H10" s="915"/>
      <c r="I10" s="915"/>
      <c r="J10" s="915"/>
      <c r="K10" s="915"/>
      <c r="L10" s="915"/>
      <c r="M10" s="916"/>
      <c r="N10" s="470" t="e">
        <f t="shared" si="0"/>
        <v>#N/A</v>
      </c>
      <c r="O10" s="457"/>
      <c r="P10" s="391">
        <v>1</v>
      </c>
      <c r="Q10" s="293" t="s">
        <v>1103</v>
      </c>
      <c r="R10" s="293">
        <f t="shared" ref="R10:R17" si="1">VLOOKUP(P10,TAD,2,FALSE)</f>
        <v>1</v>
      </c>
      <c r="S10" s="293">
        <f>IF(AT23=0,0,IF($AD$17=1,-1,5))</f>
        <v>0</v>
      </c>
      <c r="T10" s="295">
        <f t="shared" ref="T10:T17" si="2">VLOOKUP(P10,TAD,3,FALSE)</f>
        <v>1</v>
      </c>
      <c r="U10" s="295">
        <f>IF(AT23=0,0,IF($AD$17=1,-1,5))</f>
        <v>0</v>
      </c>
      <c r="V10" s="468">
        <f t="shared" ref="V10:V17" si="3">VLOOKUP(P10,TAD,4,FALSE)</f>
        <v>0</v>
      </c>
      <c r="W10" s="293">
        <v>0</v>
      </c>
      <c r="X10" s="351">
        <v>1</v>
      </c>
      <c r="Y10" s="477">
        <f>IF($Y$9=$R$9,R10,IF($Y$9=$T$9,T10,IF($Y$9=$V$9,V10,IF($R$24=$Y$9,R25,IF($Y$9=$T$24,T25,IF($V$24=$Y$9,V25,0))))))</f>
        <v>0</v>
      </c>
      <c r="Z10" s="477">
        <f>IF($Y$9=$R$9,S10,IF($Y$9=$T$9,U10,IF($Y$9=$V$9,W10,IF($R$24=$Y$9,S25,IF($Y$9=$T$24,U25,IF($V$24=$Y$9,W25,0))))))</f>
        <v>0</v>
      </c>
      <c r="AA10" s="477">
        <f>IF(Z10=5,Y10,0)</f>
        <v>0</v>
      </c>
      <c r="AB10" s="906"/>
      <c r="AC10" s="906"/>
      <c r="AD10" s="906"/>
      <c r="AE10" s="99" t="s">
        <v>2015</v>
      </c>
      <c r="AF10" s="99"/>
      <c r="AG10" s="293" t="str">
        <f>B60</f>
        <v>Pared 1:</v>
      </c>
      <c r="AH10" s="293" t="e">
        <f>IF($AJ$9=1,IF(L60&gt;1,IF(M60=BASE!$DA$7,IF(N60="Claro",1,0),0),IF($AJ$9=2,IF($B$56="Oeste",IF(M60=BASE!$DA$7,IF(L60&gt;1,IF(N60="Claro",1,0),0),0),0),0)))</f>
        <v>#N/A</v>
      </c>
      <c r="AI10" s="293" t="e">
        <f>IF($AJ$9=1,IF(L60&gt;1,IF(M60=BASE!$DA$7,1,"-"),IF($AJ$9=2,IF($B$56="Oeste",IF(L60&gt;1,IF(M60=BASE!$DA$7,1,0),0),0),0)))</f>
        <v>#N/A</v>
      </c>
      <c r="AJ10" s="293" t="e">
        <f>IF(AI10="-",1,IF((AH10-AI10)=-1,1,0))</f>
        <v>#N/A</v>
      </c>
      <c r="AK10" s="521" t="s">
        <v>574</v>
      </c>
      <c r="AL10" s="522">
        <f>DATOS!C35</f>
        <v>0</v>
      </c>
      <c r="AM10" s="1059" t="e">
        <f>IF(E14=BASE!BQ10,1,IF(E14=BASE!BT10,2,0))</f>
        <v>#N/A</v>
      </c>
      <c r="AN10" s="1060"/>
      <c r="AO10" s="1061"/>
      <c r="AP10" s="1059" t="e">
        <f>IF(E16=BASE!BQ11,1,0)</f>
        <v>#N/A</v>
      </c>
      <c r="AQ10" s="1061"/>
      <c r="AS10" s="293">
        <f>AGUA!B23</f>
        <v>0</v>
      </c>
      <c r="AT10" s="295">
        <f>IF(AS10=BASE!$DD$5,1,IF(AS10=BASE!$DD$8,1,0))</f>
        <v>0</v>
      </c>
      <c r="AU10" s="293">
        <f>AGUA!F23</f>
        <v>90</v>
      </c>
      <c r="AV10" s="295">
        <f>IF(AU10&gt;1,1,0)</f>
        <v>1</v>
      </c>
      <c r="AW10" s="293">
        <f>AGUA!H23</f>
        <v>0</v>
      </c>
      <c r="AX10" s="295">
        <f>IF(AW10=BASE!$DF$4,1,IF(AW10=BASE!$DG$4,1,0))</f>
        <v>0</v>
      </c>
      <c r="AY10" s="293">
        <f>AT10*AV10*AX10</f>
        <v>0</v>
      </c>
      <c r="AZ10" s="327"/>
      <c r="BA10" s="422" t="b">
        <f>IF($X$4=1,IF(S11=2,0,1),IF($X$4=2,IF(U11=2,0,1)))</f>
        <v>0</v>
      </c>
      <c r="BB10" s="146"/>
      <c r="BC10" s="146"/>
      <c r="BD10" s="146"/>
      <c r="BE10" s="146"/>
      <c r="BF10" s="146"/>
      <c r="BG10" s="146"/>
      <c r="BH10" s="146"/>
      <c r="BI10" s="146"/>
      <c r="BJ10" s="146"/>
      <c r="BK10" s="134"/>
      <c r="BL10" s="328"/>
      <c r="BM10" s="329"/>
      <c r="BN10" s="329"/>
      <c r="BO10" s="329"/>
      <c r="BP10" s="329"/>
      <c r="BQ10" s="329"/>
      <c r="BR10" s="329"/>
      <c r="BS10" s="329"/>
      <c r="BT10" s="329"/>
      <c r="BU10" s="329"/>
      <c r="BV10" s="329"/>
      <c r="BW10" s="329"/>
      <c r="BX10" s="329"/>
      <c r="BY10" s="329"/>
      <c r="BZ10" s="329"/>
      <c r="CA10" s="329"/>
      <c r="CB10" s="329"/>
    </row>
    <row r="11" spans="1:80" s="326" customFormat="1" ht="45" customHeight="1" thickBot="1">
      <c r="A11" s="456"/>
      <c r="B11" s="904" t="s">
        <v>1132</v>
      </c>
      <c r="C11" s="904"/>
      <c r="D11" s="904"/>
      <c r="E11" s="914" t="e">
        <f>HLOOKUP($N$2,lineamientos,5,FALSE)</f>
        <v>#N/A</v>
      </c>
      <c r="F11" s="915"/>
      <c r="G11" s="915"/>
      <c r="H11" s="915"/>
      <c r="I11" s="915"/>
      <c r="J11" s="915"/>
      <c r="K11" s="915"/>
      <c r="L11" s="915"/>
      <c r="M11" s="916"/>
      <c r="N11" s="470" t="e">
        <f t="shared" si="0"/>
        <v>#N/A</v>
      </c>
      <c r="O11" s="457"/>
      <c r="P11" s="391">
        <v>2</v>
      </c>
      <c r="Q11" s="293" t="s">
        <v>1104</v>
      </c>
      <c r="R11" s="468">
        <f t="shared" si="1"/>
        <v>2</v>
      </c>
      <c r="S11" s="468">
        <f>IF(AT24=0,0,IF($AJ$30=1,-1,5))</f>
        <v>0</v>
      </c>
      <c r="T11" s="471">
        <f t="shared" si="2"/>
        <v>2</v>
      </c>
      <c r="U11" s="471">
        <f>IF(AT24=0,0,IF($AJ$30=1,-1,5))</f>
        <v>0</v>
      </c>
      <c r="V11" s="468">
        <f t="shared" si="3"/>
        <v>0</v>
      </c>
      <c r="W11" s="293">
        <v>0</v>
      </c>
      <c r="X11" s="351">
        <v>2</v>
      </c>
      <c r="Y11" s="477">
        <f t="shared" ref="Y11:Y16" si="4">IF($Y$9=$R$9,R11,IF($Y$9=$T$9,T11,IF($Y$9=$V$9,V11,IF($R$24=$Y$9,R26,IF($Y$9=$T$24,T26,IF($V$24=$Y$9,V26,0))))))</f>
        <v>0</v>
      </c>
      <c r="Z11" s="477">
        <f t="shared" ref="Z11:Z17" si="5">IF($Y$9=$R$9,S11,IF($Y$9=$T$9,U11,IF($Y$9=$V$9,W11,IF($R$24=$Y$9,S26,IF($Y$9=$T$24,U26,IF($V$24=$Y$9,W26,0))))))</f>
        <v>0</v>
      </c>
      <c r="AA11" s="477">
        <f t="shared" ref="AA11:AA21" si="6">IF(Z11=5,Y11,0)</f>
        <v>0</v>
      </c>
      <c r="AB11" s="906"/>
      <c r="AC11" s="906"/>
      <c r="AD11" s="906"/>
      <c r="AE11" s="282">
        <f>IF(ENERGÍA!L275="Si",IF(ENERGÍA!L277="Norte",1,IF(ENERGÍA!L281="Norte",1,IF(ENERGÍA!L285="Norte",1,IF(ENERGÍA!L289="Norte",1,0)))),0)</f>
        <v>0</v>
      </c>
      <c r="AF11" s="488"/>
      <c r="AG11" s="293" t="str">
        <f>B61</f>
        <v>Pared 2:</v>
      </c>
      <c r="AH11" s="293" t="e">
        <f>IF($AJ$9=1,IF(L61&gt;1,IF(M61=BASE!$DA$7,IF(N61="Claro",1,0),0),IF($AJ$9=2,IF($B$56="Oeste",IF(M61=BASE!$DA$7,IF(L61&gt;1,IF(N61="Claro",1,0),0),0),0),0)))</f>
        <v>#N/A</v>
      </c>
      <c r="AI11" s="573" t="e">
        <f>IF($AJ$9=1,IF(L61&gt;1,IF(M61=BASE!$DA$7,1,"-"),IF($AJ$9=2,IF($B$56="Oeste",IF(L61&gt;1,IF(M61=BASE!$DA$7,1,0),0),0),0)))</f>
        <v>#N/A</v>
      </c>
      <c r="AJ11" s="573" t="e">
        <f t="shared" ref="AJ11:AJ29" si="7">IF(AI11="-",1,IF((AH11-AI11)=-1,1,0))</f>
        <v>#N/A</v>
      </c>
      <c r="AK11" s="521" t="s">
        <v>575</v>
      </c>
      <c r="AL11" s="522">
        <f>DATOS!C36</f>
        <v>0</v>
      </c>
      <c r="AM11" s="468" t="str">
        <f>B181</f>
        <v>Dormitorio 1</v>
      </c>
      <c r="AN11" s="468">
        <f>IF(AL10&gt;1,1,0)</f>
        <v>0</v>
      </c>
      <c r="AO11" s="468" t="e">
        <f>IF($AM$10=1,IF(AN11=1,IF(C181='Materiales Personalizados'!$AG$33,0,1),0),IF(C181='Materiales Personalizados'!$AG$32,1,0))</f>
        <v>#N/A</v>
      </c>
      <c r="AP11" s="468">
        <v>0</v>
      </c>
      <c r="AQ11" s="468">
        <v>0</v>
      </c>
      <c r="AS11" s="293">
        <f>AGUA!B24</f>
        <v>0</v>
      </c>
      <c r="AT11" s="295">
        <f>IF(AS11=BASE!$DD$5,1,IF(AS11=BASE!$DD$8,1,0))</f>
        <v>0</v>
      </c>
      <c r="AU11" s="293">
        <f>AGUA!F24</f>
        <v>0</v>
      </c>
      <c r="AV11" s="295">
        <f t="shared" ref="AV11:AV14" si="8">IF(AU11&gt;1,1,0)</f>
        <v>0</v>
      </c>
      <c r="AW11" s="293">
        <f>AGUA!H24</f>
        <v>0</v>
      </c>
      <c r="AX11" s="295">
        <f>IF(AW11=BASE!$DF$4,1,IF(AW11=BASE!$DG$4,1,0))</f>
        <v>0</v>
      </c>
      <c r="AY11" s="293">
        <f t="shared" ref="AY11:AY14" si="9">AT11*AV11*AX11</f>
        <v>0</v>
      </c>
      <c r="AZ11" s="327"/>
      <c r="BA11" s="422" t="b">
        <f>IF($X$4=1,IF(S12=2,0,1),IF($X$4=2,IF(U12=2,0,1),IF(X4=3,IF(W12=2,0,1),IF(X4=4,IF(S27=2,0,1),IF(X4=5,IF(U27=2,0,1),IF(X4=6,IF(W27=2,0,1)))))))</f>
        <v>0</v>
      </c>
      <c r="BB11" s="146"/>
      <c r="BC11" s="146"/>
      <c r="BD11" s="146"/>
      <c r="BE11" s="146"/>
      <c r="BF11" s="146"/>
      <c r="BG11" s="146"/>
      <c r="BH11" s="146"/>
      <c r="BI11" s="146"/>
      <c r="BJ11" s="146"/>
      <c r="BK11" s="134"/>
      <c r="BL11" s="328"/>
      <c r="BM11" s="329"/>
      <c r="BR11" s="329"/>
      <c r="BS11" s="329"/>
      <c r="BT11" s="329"/>
      <c r="BU11" s="329"/>
      <c r="BV11" s="329"/>
      <c r="BW11" s="329"/>
      <c r="BX11" s="329"/>
    </row>
    <row r="12" spans="1:80" s="326" customFormat="1" ht="45" customHeight="1" thickBot="1">
      <c r="A12" s="456"/>
      <c r="B12" s="904" t="s">
        <v>2097</v>
      </c>
      <c r="C12" s="904"/>
      <c r="D12" s="904"/>
      <c r="E12" s="914" t="e">
        <f>HLOOKUP($N$2,lineamientos,6,FALSE)</f>
        <v>#N/A</v>
      </c>
      <c r="F12" s="915"/>
      <c r="G12" s="915"/>
      <c r="H12" s="915"/>
      <c r="I12" s="915"/>
      <c r="J12" s="915"/>
      <c r="K12" s="915"/>
      <c r="L12" s="915"/>
      <c r="M12" s="916"/>
      <c r="N12" s="470" t="e">
        <f t="shared" si="0"/>
        <v>#N/A</v>
      </c>
      <c r="O12" s="457"/>
      <c r="P12" s="391">
        <v>3</v>
      </c>
      <c r="Q12" s="293" t="s">
        <v>1133</v>
      </c>
      <c r="R12" s="293">
        <f t="shared" si="1"/>
        <v>5</v>
      </c>
      <c r="S12" s="468">
        <f>IF(AU26=0,0,IF($AE$24=1,-1,5))</f>
        <v>0</v>
      </c>
      <c r="T12" s="471">
        <f t="shared" si="2"/>
        <v>5</v>
      </c>
      <c r="U12" s="471">
        <f>IF(AU26=0,0,IF($AE$24=1,-1,5))</f>
        <v>0</v>
      </c>
      <c r="V12" s="468">
        <f t="shared" si="3"/>
        <v>4</v>
      </c>
      <c r="W12" s="293">
        <f>IF(AU26=0,0,IF($AE$24=1,-1,5))</f>
        <v>0</v>
      </c>
      <c r="X12" s="351">
        <v>3</v>
      </c>
      <c r="Y12" s="477">
        <f t="shared" si="4"/>
        <v>0</v>
      </c>
      <c r="Z12" s="477">
        <f t="shared" si="5"/>
        <v>0</v>
      </c>
      <c r="AA12" s="477">
        <f t="shared" si="6"/>
        <v>0</v>
      </c>
      <c r="AB12" s="987" t="s">
        <v>2016</v>
      </c>
      <c r="AC12" s="988"/>
      <c r="AD12" s="988"/>
      <c r="AE12" s="989"/>
      <c r="AF12" s="487"/>
      <c r="AG12" s="293" t="str">
        <f>B62</f>
        <v>Pared 3:</v>
      </c>
      <c r="AH12" s="293" t="e">
        <f>IF($AJ$9=1,IF(L62&gt;1,IF(M62=BASE!$DA$7,IF(N62="Claro",1,0),0),IF($AJ$9=2,IF($B$56="Oeste",IF(M62=BASE!$DA$7,IF(L62&gt;1,IF(N62="Claro",1,0),0),0),0),0)))</f>
        <v>#N/A</v>
      </c>
      <c r="AI12" s="573" t="e">
        <f>IF($AJ$9=1,IF(L62&gt;1,IF(M62=BASE!$DA$7,1,"-"),IF($AJ$9=2,IF($B$56="Oeste",IF(L62&gt;1,IF(M62=BASE!$DA$7,1,0),0),0),0)))</f>
        <v>#N/A</v>
      </c>
      <c r="AJ12" s="573" t="e">
        <f t="shared" si="7"/>
        <v>#N/A</v>
      </c>
      <c r="AK12" s="521" t="s">
        <v>576</v>
      </c>
      <c r="AL12" s="522">
        <f>DATOS!C37</f>
        <v>0</v>
      </c>
      <c r="AM12" s="468" t="str">
        <f>B182</f>
        <v>Dormitorio 2</v>
      </c>
      <c r="AN12" s="468">
        <f t="shared" ref="AN12:AN15" si="10">IF(AL11&gt;1,1,0)</f>
        <v>0</v>
      </c>
      <c r="AO12" s="468" t="e">
        <f>IF($AM$10=1,IF(AN12=1,IF(C182='Materiales Personalizados'!$AG$33,0,1),0),IF(C182='Materiales Personalizados'!$AG$32,1,0))</f>
        <v>#N/A</v>
      </c>
      <c r="AP12" s="468">
        <v>0</v>
      </c>
      <c r="AQ12" s="468">
        <v>0</v>
      </c>
      <c r="AS12" s="293">
        <f>AGUA!B25</f>
        <v>0</v>
      </c>
      <c r="AT12" s="295">
        <f>IF(AS12=BASE!$DD$5,1,IF(AS12=BASE!$DD$8,1,0))</f>
        <v>0</v>
      </c>
      <c r="AU12" s="293">
        <f>AGUA!F25</f>
        <v>0</v>
      </c>
      <c r="AV12" s="295">
        <f t="shared" si="8"/>
        <v>0</v>
      </c>
      <c r="AW12" s="293">
        <f>AGUA!H25</f>
        <v>0</v>
      </c>
      <c r="AX12" s="295">
        <f>IF(AW12=BASE!$DF$4,1,IF(AW12=BASE!$DG$4,1,0))</f>
        <v>0</v>
      </c>
      <c r="AY12" s="293">
        <f t="shared" si="9"/>
        <v>0</v>
      </c>
      <c r="AZ12" s="327"/>
      <c r="BA12" s="422" t="b">
        <f>IF($X$4=4,IF(S28=2,0,1),IF($X$4=5,IF(U28=2,0,1),IF($X$4=6,IF(W28=2,0,1))))</f>
        <v>0</v>
      </c>
      <c r="BB12" s="146"/>
      <c r="BC12" s="146"/>
      <c r="BD12" s="146"/>
      <c r="BE12" s="146"/>
      <c r="BF12" s="146"/>
      <c r="BG12" s="146"/>
      <c r="BH12" s="146"/>
      <c r="BI12" s="146"/>
      <c r="BJ12" s="146"/>
      <c r="BK12" s="134"/>
      <c r="BL12" s="328"/>
      <c r="BM12" s="329"/>
      <c r="BR12" s="329"/>
      <c r="BS12" s="329"/>
      <c r="BT12" s="329"/>
      <c r="BU12" s="329"/>
      <c r="BV12" s="329"/>
      <c r="BW12" s="329"/>
      <c r="BX12" s="329"/>
    </row>
    <row r="13" spans="1:80" s="326" customFormat="1" ht="45" customHeight="1" thickBot="1">
      <c r="A13" s="456"/>
      <c r="B13" s="904" t="s">
        <v>2098</v>
      </c>
      <c r="C13" s="904"/>
      <c r="D13" s="904"/>
      <c r="E13" s="914" t="e">
        <f>HLOOKUP($N$2,lineamientos,7,FALSE)</f>
        <v>#N/A</v>
      </c>
      <c r="F13" s="915"/>
      <c r="G13" s="915"/>
      <c r="H13" s="915"/>
      <c r="I13" s="915"/>
      <c r="J13" s="915"/>
      <c r="K13" s="915"/>
      <c r="L13" s="915"/>
      <c r="M13" s="916"/>
      <c r="N13" s="470" t="e">
        <f t="shared" si="0"/>
        <v>#N/A</v>
      </c>
      <c r="O13" s="457"/>
      <c r="P13" s="391">
        <v>4</v>
      </c>
      <c r="Q13" s="293" t="s">
        <v>1106</v>
      </c>
      <c r="R13" s="293">
        <f t="shared" si="1"/>
        <v>2</v>
      </c>
      <c r="S13" s="293">
        <f>IF(AU26=0,0,IF($AU$26=1,5,-1))</f>
        <v>0</v>
      </c>
      <c r="T13" s="471">
        <f t="shared" si="2"/>
        <v>2</v>
      </c>
      <c r="U13" s="295">
        <f>IF(AU26=0,0,IF($AU$26=1,5,-1))</f>
        <v>0</v>
      </c>
      <c r="V13" s="468">
        <f t="shared" si="3"/>
        <v>3</v>
      </c>
      <c r="W13" s="293">
        <f>IF(AU26=0,0,IF($AU$26=1,5,-1))</f>
        <v>0</v>
      </c>
      <c r="X13" s="351">
        <v>4</v>
      </c>
      <c r="Y13" s="477">
        <f t="shared" si="4"/>
        <v>0</v>
      </c>
      <c r="Z13" s="477">
        <f t="shared" si="5"/>
        <v>0</v>
      </c>
      <c r="AA13" s="477">
        <f t="shared" si="6"/>
        <v>0</v>
      </c>
      <c r="AB13" s="948" t="s">
        <v>1084</v>
      </c>
      <c r="AC13" s="948"/>
      <c r="AD13" s="948"/>
      <c r="AG13" s="293" t="str">
        <f>B63</f>
        <v>Material Personalizado:</v>
      </c>
      <c r="AH13" s="293" t="e">
        <f>IF($AJ$9=1,IF(L63&gt;1,IF(M63=BASE!$DA$7,IF(N63="Claro",1,0),0),IF($AJ$9=2,IF($B$56="Oeste",IF(M63=BASE!$DA$7,IF(L63&gt;1,IF(N63="Claro",1,0),0),0),0),0)))</f>
        <v>#N/A</v>
      </c>
      <c r="AI13" s="573" t="e">
        <f>IF($AJ$9=1,IF(L63&gt;1,IF(M63=BASE!$DA$7,1,"-"),IF($AJ$9=2,IF($B$56="Oeste",IF(L63&gt;1,IF(M63=BASE!$DA$7,1,0),0),0),0)))</f>
        <v>#N/A</v>
      </c>
      <c r="AJ13" s="573" t="e">
        <f t="shared" si="7"/>
        <v>#N/A</v>
      </c>
      <c r="AK13" s="521" t="s">
        <v>577</v>
      </c>
      <c r="AL13" s="522">
        <f>DATOS!C38</f>
        <v>0</v>
      </c>
      <c r="AM13" s="468" t="str">
        <f>B183</f>
        <v>Dormitorio 3</v>
      </c>
      <c r="AN13" s="468">
        <f t="shared" si="10"/>
        <v>0</v>
      </c>
      <c r="AO13" s="468" t="e">
        <f>IF($AM$10=1,IF(AN13=1,IF(C183='Materiales Personalizados'!$AG$33,0,1),0),IF(C183='Materiales Personalizados'!$AG$32,1,0))</f>
        <v>#N/A</v>
      </c>
      <c r="AP13" s="468">
        <v>0</v>
      </c>
      <c r="AQ13" s="468">
        <v>0</v>
      </c>
      <c r="AS13" s="293">
        <f>AGUA!B26</f>
        <v>0</v>
      </c>
      <c r="AT13" s="295">
        <f>IF(AS13=BASE!$DD$5,1,IF(AS13=BASE!$DD$8,1,0))</f>
        <v>0</v>
      </c>
      <c r="AU13" s="293">
        <f>AGUA!F26</f>
        <v>0</v>
      </c>
      <c r="AV13" s="295">
        <f t="shared" si="8"/>
        <v>0</v>
      </c>
      <c r="AW13" s="293">
        <f>AGUA!H26</f>
        <v>0</v>
      </c>
      <c r="AX13" s="295">
        <f>IF(AW13=BASE!$DF$4,1,IF(AW13=BASE!$DG$4,1,0))</f>
        <v>0</v>
      </c>
      <c r="AY13" s="293">
        <f t="shared" si="9"/>
        <v>0</v>
      </c>
      <c r="AZ13" s="327"/>
      <c r="BA13" s="422">
        <v>0</v>
      </c>
      <c r="BB13" s="146"/>
      <c r="BC13" s="146"/>
      <c r="BD13" s="146"/>
      <c r="BE13" s="146"/>
      <c r="BF13" s="146"/>
      <c r="BG13" s="146"/>
      <c r="BH13" s="146"/>
      <c r="BI13" s="146"/>
      <c r="BJ13" s="146"/>
      <c r="BK13" s="134"/>
      <c r="BL13" s="328"/>
      <c r="BM13" s="329"/>
      <c r="BR13" s="329"/>
      <c r="BS13" s="329"/>
      <c r="BT13" s="329"/>
      <c r="BU13" s="329"/>
      <c r="BV13" s="329"/>
      <c r="BW13" s="329"/>
      <c r="BX13" s="329"/>
    </row>
    <row r="14" spans="1:80" s="326" customFormat="1" ht="25" customHeight="1" thickBot="1">
      <c r="A14" s="456"/>
      <c r="B14" s="904" t="s">
        <v>1118</v>
      </c>
      <c r="C14" s="904"/>
      <c r="D14" s="904"/>
      <c r="E14" s="881" t="e">
        <f>HLOOKUP($N$2,lineamientos,8,FALSE)</f>
        <v>#N/A</v>
      </c>
      <c r="F14" s="882"/>
      <c r="G14" s="882"/>
      <c r="H14" s="882"/>
      <c r="I14" s="882"/>
      <c r="J14" s="882"/>
      <c r="K14" s="882"/>
      <c r="L14" s="882"/>
      <c r="M14" s="883"/>
      <c r="N14" s="888" t="e">
        <f t="shared" si="0"/>
        <v>#N/A</v>
      </c>
      <c r="O14" s="457"/>
      <c r="P14" s="391">
        <v>5</v>
      </c>
      <c r="Q14" s="293" t="s">
        <v>1107</v>
      </c>
      <c r="R14" s="468">
        <f t="shared" si="1"/>
        <v>4</v>
      </c>
      <c r="S14" s="293">
        <f>IF(AU26=0,0,IF('Materiales Personalizados'!$AU$244&lt;=4,5,-1))</f>
        <v>0</v>
      </c>
      <c r="T14" s="471">
        <f t="shared" si="2"/>
        <v>4</v>
      </c>
      <c r="U14" s="295">
        <f>S14</f>
        <v>0</v>
      </c>
      <c r="V14" s="468">
        <f t="shared" si="3"/>
        <v>4</v>
      </c>
      <c r="W14" s="293">
        <f>S14</f>
        <v>0</v>
      </c>
      <c r="X14" s="351">
        <v>5</v>
      </c>
      <c r="Y14" s="477">
        <f t="shared" si="4"/>
        <v>0</v>
      </c>
      <c r="Z14" s="477">
        <f>IF($Y$9=$R$9,S14,IF($Y$9=$T$9,U14,IF($Y$9=$V$9,W14,IF($R$24=$Y$9,S29,IF($Y$9=$T$24,U29,IF($V$24=$Y$9,W29,0))))))</f>
        <v>0</v>
      </c>
      <c r="AA14" s="477">
        <f t="shared" si="6"/>
        <v>0</v>
      </c>
      <c r="AB14" s="281">
        <f>IF(L50&gt;1,IF(M50=BASE!$DA$7,IF(N50="Claro",1,0),0),0)</f>
        <v>0</v>
      </c>
      <c r="AC14" s="281">
        <f>IF(L50&gt;1,IF(M50=BASE!$DA$7,1,"-"),0)</f>
        <v>0</v>
      </c>
      <c r="AD14" s="281">
        <f>IF(AC14="-",1,AB14-AC14)</f>
        <v>0</v>
      </c>
      <c r="AG14" s="293" t="str">
        <f>B64</f>
        <v>Material Personalizado:</v>
      </c>
      <c r="AH14" s="293" t="e">
        <f>IF($AJ$9=1,IF(L64&gt;1,IF(M64=BASE!$DA$7,IF(N64="Claro",1,0),0),IF($AJ$9=2,IF($B$56="Oeste",IF(M64=BASE!$DA$7,IF(L64&gt;1,IF(N64="Claro",1,0),0),0),0),0)))</f>
        <v>#N/A</v>
      </c>
      <c r="AI14" s="573" t="e">
        <f>IF($AJ$9=1,IF(L64&gt;1,IF(M64=BASE!$DA$7,1,"-"),IF($AJ$9=2,IF($B$56="Oeste",IF(L64&gt;1,IF(M64=BASE!$DA$7,1,0),0),0),0)))</f>
        <v>#N/A</v>
      </c>
      <c r="AJ14" s="573" t="e">
        <f t="shared" si="7"/>
        <v>#N/A</v>
      </c>
      <c r="AK14" s="521" t="s">
        <v>578</v>
      </c>
      <c r="AL14" s="522">
        <f>DATOS!C39</f>
        <v>0</v>
      </c>
      <c r="AM14" s="468" t="str">
        <f>B184</f>
        <v>Dormitorio 4</v>
      </c>
      <c r="AN14" s="468">
        <f t="shared" si="10"/>
        <v>0</v>
      </c>
      <c r="AO14" s="468" t="e">
        <f>IF($AM$10=1,IF(AN14=1,IF(C184='Materiales Personalizados'!$AG$33,0,1),0),IF(C184='Materiales Personalizados'!$AG$32,1,0))</f>
        <v>#N/A</v>
      </c>
      <c r="AP14" s="468">
        <v>0</v>
      </c>
      <c r="AQ14" s="468">
        <v>0</v>
      </c>
      <c r="AS14" s="293">
        <f>AGUA!B27</f>
        <v>0</v>
      </c>
      <c r="AT14" s="295">
        <f>IF(AS14=BASE!$DD$5,1,IF(AS14=BASE!$DD$8,1,0))</f>
        <v>0</v>
      </c>
      <c r="AU14" s="293">
        <f>AGUA!F27</f>
        <v>0</v>
      </c>
      <c r="AV14" s="295">
        <f t="shared" si="8"/>
        <v>0</v>
      </c>
      <c r="AW14" s="293">
        <f>AGUA!H27</f>
        <v>0</v>
      </c>
      <c r="AX14" s="295">
        <f>IF(AW14=BASE!$DF$4,1,IF(AW14=BASE!$DG$4,1,0))</f>
        <v>0</v>
      </c>
      <c r="AY14" s="293">
        <f t="shared" si="9"/>
        <v>0</v>
      </c>
      <c r="AZ14" s="327"/>
      <c r="BA14" s="961" t="b">
        <f>IF($X$4=1,IF(S15=2,0,1),IF($X$4=2,IF(U15=2,0,1)))</f>
        <v>0</v>
      </c>
      <c r="BB14" s="146"/>
      <c r="BC14" s="146"/>
      <c r="BD14" s="146"/>
      <c r="BE14" s="146"/>
      <c r="BF14" s="146"/>
      <c r="BG14" s="146"/>
      <c r="BH14" s="146"/>
      <c r="BI14" s="146"/>
      <c r="BJ14" s="146"/>
      <c r="BK14" s="134"/>
      <c r="BL14" s="328"/>
      <c r="BM14" s="329"/>
      <c r="BR14" s="329"/>
      <c r="BS14" s="329"/>
      <c r="BT14" s="329"/>
      <c r="BU14" s="329"/>
      <c r="BV14" s="329"/>
      <c r="BW14" s="329"/>
      <c r="BX14" s="329"/>
    </row>
    <row r="15" spans="1:80" s="326" customFormat="1" ht="25" customHeight="1" thickBot="1">
      <c r="A15" s="456"/>
      <c r="B15" s="904"/>
      <c r="C15" s="904"/>
      <c r="D15" s="904"/>
      <c r="E15" s="884"/>
      <c r="F15" s="885"/>
      <c r="G15" s="885"/>
      <c r="H15" s="885"/>
      <c r="I15" s="885"/>
      <c r="J15" s="885"/>
      <c r="K15" s="885"/>
      <c r="L15" s="885"/>
      <c r="M15" s="886"/>
      <c r="N15" s="888"/>
      <c r="O15" s="457"/>
      <c r="P15" s="391">
        <v>6</v>
      </c>
      <c r="Q15" s="293" t="s">
        <v>1134</v>
      </c>
      <c r="R15" s="468">
        <f t="shared" si="1"/>
        <v>2</v>
      </c>
      <c r="S15" s="293">
        <f>IF(AU27=0,0,IF(AN21=2,5,-1))</f>
        <v>0</v>
      </c>
      <c r="T15" s="471">
        <f t="shared" si="2"/>
        <v>2</v>
      </c>
      <c r="U15" s="295">
        <f>IF(AU27=0,0,IF(AN21=2,5,-1))</f>
        <v>0</v>
      </c>
      <c r="V15" s="468">
        <f t="shared" si="3"/>
        <v>0</v>
      </c>
      <c r="W15" s="293">
        <v>0</v>
      </c>
      <c r="X15" s="351">
        <v>6</v>
      </c>
      <c r="Y15" s="477">
        <f t="shared" si="4"/>
        <v>0</v>
      </c>
      <c r="Z15" s="477">
        <f>IF($Y$9=$R$9,S15,IF($Y$9=$T$9,U15,IF($Y$9=$V$9,W15,IF($R$24=$Y$9,S30,IF($Y$9=$T$24,U30,IF($V$24=$Y$9,W30,0))))))</f>
        <v>0</v>
      </c>
      <c r="AA15" s="477">
        <f t="shared" si="6"/>
        <v>0</v>
      </c>
      <c r="AB15" s="281">
        <f>IF(L51&gt;1,IF(M51=BASE!$DA$7,IF(N51="Claro",1,0),0),0)</f>
        <v>0</v>
      </c>
      <c r="AC15" s="572">
        <f>IF(L51&gt;1,IF(M51=BASE!$DA$7,1,"-"),0)</f>
        <v>0</v>
      </c>
      <c r="AD15" s="572">
        <f t="shared" ref="AD15:AD16" si="11">IF(AC15="-",1,AB15-AC15)</f>
        <v>0</v>
      </c>
      <c r="AG15" s="293" t="str">
        <f>B70</f>
        <v>Pared 1:</v>
      </c>
      <c r="AH15" s="293" t="e">
        <f>IF($AJ$9=1,IF(L70&gt;1,IF(M70=BASE!$DA$7,IF(N70="Claro",1,0),0),IF($AJ$9=2,IF($B$66="Oeste",IF(M70=BASE!$DA$7,IF(L70&gt;1,IF(N70="Claro",1,0),0),0),0),0)))</f>
        <v>#N/A</v>
      </c>
      <c r="AI15" s="293" t="e">
        <f>IF($AJ$9=1,IF(L70&gt;1,IF(M70=BASE!$DA$7,1,"-"),IF($AJ$9=2,IF($B$66="Oeste",IF(L70&gt;1,IF(M70=BASE!$DA$7,1,0),0),0),0)))</f>
        <v>#N/A</v>
      </c>
      <c r="AJ15" s="573" t="e">
        <f t="shared" si="7"/>
        <v>#N/A</v>
      </c>
      <c r="AK15" s="521" t="s">
        <v>579</v>
      </c>
      <c r="AL15" s="522">
        <f>DATOS!C40</f>
        <v>0</v>
      </c>
      <c r="AM15" s="468" t="str">
        <f>B185</f>
        <v>Dormitorio 5</v>
      </c>
      <c r="AN15" s="468">
        <f t="shared" si="10"/>
        <v>0</v>
      </c>
      <c r="AO15" s="468" t="e">
        <f>IF($AM$10=1,IF(AN15=1,IF(C185='Materiales Personalizados'!$AG$33,0,1),0),IF(C185='Materiales Personalizados'!$AG$32,1,0))</f>
        <v>#N/A</v>
      </c>
      <c r="AP15" s="468">
        <v>0</v>
      </c>
      <c r="AQ15" s="468">
        <v>0</v>
      </c>
      <c r="AY15" s="295">
        <f>SUM(AY10:AY14)</f>
        <v>0</v>
      </c>
      <c r="AZ15" s="327"/>
      <c r="BA15" s="961"/>
      <c r="BB15" s="146"/>
      <c r="BC15" s="146"/>
      <c r="BD15" s="146"/>
      <c r="BE15" s="146"/>
      <c r="BF15" s="146"/>
      <c r="BG15" s="146"/>
      <c r="BH15" s="146"/>
      <c r="BI15" s="146"/>
      <c r="BJ15" s="146"/>
      <c r="BK15" s="134"/>
      <c r="BL15" s="328"/>
      <c r="BM15" s="329"/>
      <c r="BR15" s="329"/>
      <c r="BS15" s="329"/>
      <c r="BT15" s="329"/>
      <c r="BU15" s="329"/>
      <c r="BV15" s="329"/>
      <c r="BW15" s="329"/>
      <c r="BX15" s="329"/>
    </row>
    <row r="16" spans="1:80" s="326" customFormat="1" ht="25" customHeight="1" thickBot="1">
      <c r="A16" s="456"/>
      <c r="B16" s="904" t="s">
        <v>1135</v>
      </c>
      <c r="C16" s="904"/>
      <c r="D16" s="904"/>
      <c r="E16" s="881" t="e">
        <f>HLOOKUP($N$2,lineamientos,9,FALSE)</f>
        <v>#N/A</v>
      </c>
      <c r="F16" s="882"/>
      <c r="G16" s="882"/>
      <c r="H16" s="882"/>
      <c r="I16" s="882"/>
      <c r="J16" s="882"/>
      <c r="K16" s="882"/>
      <c r="L16" s="882"/>
      <c r="M16" s="883"/>
      <c r="N16" s="888" t="e">
        <f>IF(E16="La Zona Bioambiental no especifica lineamiento.","-",Z16)</f>
        <v>#N/A</v>
      </c>
      <c r="O16" s="457"/>
      <c r="P16" s="391">
        <v>7</v>
      </c>
      <c r="Q16" s="293" t="s">
        <v>1034</v>
      </c>
      <c r="R16" s="468">
        <f t="shared" si="1"/>
        <v>5</v>
      </c>
      <c r="S16" s="293">
        <f>IF(AU27=0,0,IF(AP22=1,5,-1))</f>
        <v>0</v>
      </c>
      <c r="T16" s="471">
        <f t="shared" si="2"/>
        <v>5</v>
      </c>
      <c r="U16" s="295">
        <f>IF(AU27=0,0,IF(AP22=1,5,-1))</f>
        <v>0</v>
      </c>
      <c r="V16" s="468">
        <f t="shared" si="3"/>
        <v>0</v>
      </c>
      <c r="W16" s="293">
        <v>0</v>
      </c>
      <c r="X16" s="351">
        <v>7</v>
      </c>
      <c r="Y16" s="477">
        <f t="shared" si="4"/>
        <v>0</v>
      </c>
      <c r="Z16" s="477">
        <f t="shared" si="5"/>
        <v>0</v>
      </c>
      <c r="AA16" s="477">
        <f t="shared" si="6"/>
        <v>0</v>
      </c>
      <c r="AB16" s="281">
        <f>IF(L52&gt;1,IF(M52=BASE!$DA$7,IF(N52="Claro",1,0),0),0)</f>
        <v>0</v>
      </c>
      <c r="AC16" s="572">
        <f>IF(L52&gt;1,IF(M52=BASE!$DA$7,1,"-"),0)</f>
        <v>0</v>
      </c>
      <c r="AD16" s="572">
        <f t="shared" si="11"/>
        <v>0</v>
      </c>
      <c r="AG16" s="293" t="str">
        <f>B71</f>
        <v>Pared 2:</v>
      </c>
      <c r="AH16" s="293" t="e">
        <f>IF($AJ$9=1,IF(L71&gt;1,IF(M71=BASE!$DA$7,IF(N71="Claro",1,0),0),IF($AJ$9=2,IF($B$66="Oeste",IF(M71=BASE!$DA$7,IF(L71&gt;1,IF(N71="Claro",1,0),0),0),0),0)))</f>
        <v>#N/A</v>
      </c>
      <c r="AI16" s="573" t="e">
        <f>IF($AJ$9=1,IF(L71&gt;1,IF(M71=BASE!$DA$7,1,"-"),IF($AJ$9=2,IF($B$66="Oeste",IF(L71&gt;1,IF(M71=BASE!$DA$7,1,0),0),0),0)))</f>
        <v>#N/A</v>
      </c>
      <c r="AJ16" s="573" t="e">
        <f t="shared" si="7"/>
        <v>#N/A</v>
      </c>
      <c r="AK16" s="521" t="s">
        <v>580</v>
      </c>
      <c r="AL16" s="522">
        <f>DATOS!C41</f>
        <v>0</v>
      </c>
      <c r="AM16" s="468" t="str">
        <f>B189</f>
        <v>Lavadero</v>
      </c>
      <c r="AN16" s="468">
        <f>IF(AL20&gt;1,1,0)</f>
        <v>0</v>
      </c>
      <c r="AO16" s="468" t="e">
        <f>IF($AM$10=1,IF(AN16=1,IF(C186='Materiales Personalizados'!$AG$33,0,1),0),0)</f>
        <v>#N/A</v>
      </c>
      <c r="AP16" s="468">
        <v>0</v>
      </c>
      <c r="AQ16" s="468">
        <v>0</v>
      </c>
      <c r="AS16" s="430"/>
      <c r="AT16" s="430"/>
      <c r="AU16" s="430"/>
      <c r="AV16" s="430"/>
      <c r="AW16" s="430"/>
      <c r="AX16" s="430"/>
      <c r="AY16" s="430"/>
      <c r="AZ16" s="327"/>
      <c r="BA16" s="961" t="b">
        <f>IF($X$4=1,IF(S16=2,0,1),IF($X$4=2,IF(U16=2,0,1)))</f>
        <v>0</v>
      </c>
      <c r="BB16" s="146"/>
      <c r="BC16" s="146"/>
      <c r="BD16" s="146"/>
      <c r="BE16" s="146"/>
      <c r="BF16" s="146"/>
      <c r="BG16" s="146"/>
      <c r="BH16" s="146"/>
      <c r="BI16" s="146"/>
      <c r="BJ16" s="146"/>
      <c r="BK16" s="134"/>
      <c r="BL16" s="328"/>
      <c r="BM16" s="329"/>
      <c r="BR16" s="329"/>
      <c r="BS16" s="329"/>
      <c r="BT16" s="329"/>
      <c r="BU16" s="329"/>
      <c r="BV16" s="329"/>
      <c r="BW16" s="329"/>
      <c r="BX16" s="329"/>
    </row>
    <row r="17" spans="1:92" s="326" customFormat="1" ht="25" customHeight="1" thickBot="1">
      <c r="A17" s="456"/>
      <c r="B17" s="904"/>
      <c r="C17" s="904"/>
      <c r="D17" s="904"/>
      <c r="E17" s="884"/>
      <c r="F17" s="885"/>
      <c r="G17" s="885"/>
      <c r="H17" s="885"/>
      <c r="I17" s="885"/>
      <c r="J17" s="885"/>
      <c r="K17" s="885"/>
      <c r="L17" s="885"/>
      <c r="M17" s="886"/>
      <c r="N17" s="888"/>
      <c r="O17" s="457"/>
      <c r="P17" s="391">
        <v>8</v>
      </c>
      <c r="Q17" s="293" t="s">
        <v>1136</v>
      </c>
      <c r="R17" s="468">
        <f t="shared" si="1"/>
        <v>2</v>
      </c>
      <c r="S17" s="293">
        <f>IF(AU26=0,0,IF('Materiales Personalizados'!AR244=1,-1,5))</f>
        <v>0</v>
      </c>
      <c r="T17" s="471">
        <f t="shared" si="2"/>
        <v>2</v>
      </c>
      <c r="U17" s="295">
        <f>IF(AU26=0,0,IF('Materiales Personalizados'!AR244=1,-1,5))</f>
        <v>0</v>
      </c>
      <c r="V17" s="468">
        <f t="shared" si="3"/>
        <v>2</v>
      </c>
      <c r="W17" s="293">
        <f>IF(AU26=0,0,IF('Materiales Personalizados'!AR244=1,-1,5))</f>
        <v>0</v>
      </c>
      <c r="X17" s="351">
        <v>8</v>
      </c>
      <c r="Y17" s="477">
        <f>IF($Y$9=$R$9,R17,IF($Y$9=$T$9,T17,IF($Y$9=$V$9,V17,IF($R$24=$Y$9,R32,IF($Y$9=$T$24,T32,IF($V$24=$Y$9,V32,0))))))</f>
        <v>0</v>
      </c>
      <c r="Z17" s="477">
        <f t="shared" si="5"/>
        <v>0</v>
      </c>
      <c r="AA17" s="477">
        <f t="shared" si="6"/>
        <v>0</v>
      </c>
      <c r="AB17" s="851"/>
      <c r="AC17" s="851"/>
      <c r="AD17" s="281">
        <f>SUM(AD14:AD16)</f>
        <v>0</v>
      </c>
      <c r="AE17" s="480" t="s">
        <v>2009</v>
      </c>
      <c r="AF17" s="480"/>
      <c r="AG17" s="293" t="str">
        <f>B72</f>
        <v>Pared 3:</v>
      </c>
      <c r="AH17" s="293" t="e">
        <f>IF($AJ$9=1,IF(L72&gt;1,IF(M72=BASE!$DA$7,IF(N72="Claro",1,0),0),IF($AJ$9=2,IF($B$66="Oeste",IF(M72=BASE!$DA$7,IF(L72&gt;1,IF(N72="Claro",1,0),0),0),0),0)))</f>
        <v>#N/A</v>
      </c>
      <c r="AI17" s="573" t="e">
        <f>IF($AJ$9=1,IF(L72&gt;1,IF(M72=BASE!$DA$7,1,"-"),IF($AJ$9=2,IF($B$66="Oeste",IF(L72&gt;1,IF(M72=BASE!$DA$7,1,0),0),0),0)))</f>
        <v>#N/A</v>
      </c>
      <c r="AJ17" s="573" t="e">
        <f t="shared" si="7"/>
        <v>#N/A</v>
      </c>
      <c r="AK17" s="521" t="s">
        <v>581</v>
      </c>
      <c r="AL17" s="522">
        <f>DATOS!C42</f>
        <v>0</v>
      </c>
      <c r="AM17" s="468" t="str">
        <f>B187</f>
        <v>Baño</v>
      </c>
      <c r="AN17" s="468">
        <f>IF((AL16+AL17)&gt;1,1,0)</f>
        <v>0</v>
      </c>
      <c r="AO17" s="468" t="e">
        <f>IF($AM$10=1,IF(AN17=1,IF(C187='Materiales Personalizados'!$AG$33,0,1),0),0)</f>
        <v>#N/A</v>
      </c>
      <c r="AP17" s="468">
        <v>0</v>
      </c>
      <c r="AQ17" s="468">
        <v>0</v>
      </c>
      <c r="AR17" s="327"/>
      <c r="AS17" s="969" t="s">
        <v>1973</v>
      </c>
      <c r="AT17" s="969"/>
      <c r="AU17" s="969"/>
      <c r="AV17" s="969"/>
      <c r="AW17" s="969"/>
      <c r="AX17" s="969"/>
      <c r="AY17" s="969"/>
      <c r="AZ17" s="428"/>
      <c r="BA17" s="961"/>
      <c r="BB17" s="146"/>
      <c r="BC17" s="146"/>
      <c r="BD17" s="146"/>
      <c r="BE17" s="146"/>
      <c r="BF17" s="146"/>
      <c r="BG17" s="146"/>
      <c r="BH17" s="146"/>
      <c r="BI17" s="146"/>
      <c r="BJ17" s="146"/>
      <c r="BK17" s="134"/>
      <c r="BL17" s="328"/>
      <c r="BM17" s="329"/>
      <c r="BR17" s="329"/>
      <c r="BS17" s="329"/>
      <c r="BT17" s="329"/>
      <c r="BU17" s="329"/>
      <c r="BV17" s="329"/>
      <c r="BW17" s="329"/>
      <c r="BX17" s="329"/>
    </row>
    <row r="18" spans="1:92" s="326" customFormat="1" ht="25" customHeight="1" thickBot="1">
      <c r="A18" s="456"/>
      <c r="B18" s="904" t="s">
        <v>1141</v>
      </c>
      <c r="C18" s="904"/>
      <c r="D18" s="904"/>
      <c r="E18" s="881" t="e">
        <f>HLOOKUP($N$2,lineamientos,10,FALSE)</f>
        <v>#N/A</v>
      </c>
      <c r="F18" s="882"/>
      <c r="G18" s="882"/>
      <c r="H18" s="882"/>
      <c r="I18" s="882"/>
      <c r="J18" s="882"/>
      <c r="K18" s="882"/>
      <c r="L18" s="882"/>
      <c r="M18" s="883"/>
      <c r="N18" s="888" t="e">
        <f>IF(E18="La Zona Bioambiental no especifica lineamiento.","-",Z17)</f>
        <v>#N/A</v>
      </c>
      <c r="O18" s="457"/>
      <c r="P18" s="325"/>
      <c r="X18" s="351">
        <v>9</v>
      </c>
      <c r="Y18" s="477">
        <f>IF($Y$9=$R$9,R19,IF($Y$9=$T$9,T19,IF($Y$9=$V$9,V19,IF($R$24=$Y$9,R36,IF($Y$9=$T$24,T36,IF($V$24=$Y$9,V36,0))))))</f>
        <v>0</v>
      </c>
      <c r="Z18" s="477">
        <f t="shared" ref="Z18:Z20" si="12">IF($Y$9=$R$9,S19,IF($Y$9=$T$9,U19,IF($Y$9=$V$9,W19,IF($R$24=$Y$9,S36,IF($Y$9=$T$24,U36,IF($V$24=$Y$9,W36,0))))))</f>
        <v>0</v>
      </c>
      <c r="AA18" s="477">
        <f t="shared" si="6"/>
        <v>0</v>
      </c>
      <c r="AB18" s="100"/>
      <c r="AC18" s="100"/>
      <c r="AD18" s="100"/>
      <c r="AE18" s="100"/>
      <c r="AF18" s="100"/>
      <c r="AG18" s="293" t="str">
        <f>B73</f>
        <v>Material Personalizado:</v>
      </c>
      <c r="AH18" s="293" t="e">
        <f>IF($AJ$9=1,IF(L73&gt;1,IF(M73=BASE!$DA$7,IF(N73="Claro",1,0),0),IF($AJ$9=2,IF($B$66="Oeste",IF(M73=BASE!$DA$7,IF(L73&gt;1,IF(N73="Claro",1,0),0),0),0),0)))</f>
        <v>#N/A</v>
      </c>
      <c r="AI18" s="573" t="e">
        <f>IF($AJ$9=1,IF(L73&gt;1,IF(M73=BASE!$DA$7,1,"-"),IF($AJ$9=2,IF($B$66="Oeste",IF(L73&gt;1,IF(M73=BASE!$DA$7,1,0),0),0),0)))</f>
        <v>#N/A</v>
      </c>
      <c r="AJ18" s="573" t="e">
        <f t="shared" si="7"/>
        <v>#N/A</v>
      </c>
      <c r="AK18" s="521" t="s">
        <v>582</v>
      </c>
      <c r="AL18" s="522">
        <f>DATOS!C43</f>
        <v>0</v>
      </c>
      <c r="AM18" s="468" t="str">
        <f>B188</f>
        <v>Toilette</v>
      </c>
      <c r="AN18" s="468">
        <f>IF(AL18&gt;1,1,0)</f>
        <v>0</v>
      </c>
      <c r="AO18" s="468">
        <f>IF(AN18=1,IF(C188="Sin Ventilación",0,1),0)</f>
        <v>0</v>
      </c>
      <c r="AP18" s="468">
        <v>0</v>
      </c>
      <c r="AQ18" s="468">
        <v>0</v>
      </c>
      <c r="AR18" s="327"/>
      <c r="AS18" s="969" t="s">
        <v>1974</v>
      </c>
      <c r="AT18" s="432">
        <f>IF(C37=0,0,1)</f>
        <v>0</v>
      </c>
      <c r="AU18" s="997">
        <f>AVERAGE(AT18:AT21)</f>
        <v>0</v>
      </c>
      <c r="AV18" s="970">
        <f>IF(AVERAGE(AU18:AU27)=1,1,0)</f>
        <v>0</v>
      </c>
      <c r="AW18" s="969" t="s">
        <v>1978</v>
      </c>
      <c r="AX18" s="969"/>
      <c r="AY18" s="969"/>
      <c r="AZ18" s="428"/>
      <c r="BA18" s="961">
        <f>IF($X$4=1,IF(S17=2,0,1),IF($X$4=2,IF(U17=2,0,1),0))</f>
        <v>0</v>
      </c>
      <c r="BB18" s="146"/>
      <c r="BC18" s="146"/>
      <c r="BD18" s="146"/>
      <c r="BE18" s="146"/>
      <c r="BF18" s="146"/>
      <c r="BG18" s="146"/>
      <c r="BH18" s="146"/>
      <c r="BI18" s="146"/>
      <c r="BJ18" s="146"/>
      <c r="BK18" s="134"/>
      <c r="BL18" s="328"/>
      <c r="BM18" s="329"/>
      <c r="BR18" s="329"/>
      <c r="BS18" s="329"/>
      <c r="BT18" s="329"/>
      <c r="BU18" s="329"/>
      <c r="BV18" s="329"/>
      <c r="BW18" s="329"/>
      <c r="BX18" s="329"/>
    </row>
    <row r="19" spans="1:92" ht="25" customHeight="1" thickBot="1">
      <c r="B19" s="904"/>
      <c r="C19" s="904"/>
      <c r="D19" s="904"/>
      <c r="E19" s="901"/>
      <c r="F19" s="902"/>
      <c r="G19" s="902"/>
      <c r="H19" s="902"/>
      <c r="I19" s="902"/>
      <c r="J19" s="902"/>
      <c r="K19" s="902"/>
      <c r="L19" s="902"/>
      <c r="M19" s="903"/>
      <c r="N19" s="888"/>
      <c r="P19" s="391">
        <v>9</v>
      </c>
      <c r="Q19" s="293" t="s">
        <v>1109</v>
      </c>
      <c r="R19" s="468">
        <f>VLOOKUP(P19,TAD,2,FALSE)</f>
        <v>0</v>
      </c>
      <c r="S19" s="293">
        <v>0</v>
      </c>
      <c r="T19" s="471">
        <f>VLOOKUP(P19,TAD,3,FALSE)</f>
        <v>0</v>
      </c>
      <c r="U19" s="295">
        <v>0</v>
      </c>
      <c r="V19" s="468">
        <f>VLOOKUP(P19,TAD,4,FALSE)</f>
        <v>0</v>
      </c>
      <c r="W19" s="293">
        <v>0</v>
      </c>
      <c r="X19" s="351">
        <v>10</v>
      </c>
      <c r="Y19" s="477">
        <f t="shared" ref="Y19:Y20" si="13">IF($Y$9=$R$9,R20,IF($Y$9=$T$9,T20,IF($Y$9=$V$9,V20,IF($R$24=$Y$9,R37,IF($Y$9=$T$24,T37,IF($V$24=$Y$9,V37,0))))))</f>
        <v>0</v>
      </c>
      <c r="Z19" s="477">
        <f t="shared" si="12"/>
        <v>0</v>
      </c>
      <c r="AA19" s="477">
        <f t="shared" si="6"/>
        <v>0</v>
      </c>
      <c r="AB19" s="906" t="s">
        <v>1085</v>
      </c>
      <c r="AC19" s="906"/>
      <c r="AD19" s="906"/>
      <c r="AE19" s="281" t="e">
        <f>IF(E11=BASE!BQ7,1,IF(E11=BASE!BS7,2,IF(E11=BASE!BT7,3,0)))</f>
        <v>#N/A</v>
      </c>
      <c r="AF19" s="492"/>
      <c r="AG19" s="293" t="str">
        <f>B74</f>
        <v>Material Personalizado:</v>
      </c>
      <c r="AH19" s="293" t="e">
        <f>IF($AJ$9=1,IF(L74&gt;1,IF(M74=BASE!$DA$7,IF(N74="Claro",1,0),0),IF($AJ$9=2,IF($B$66="Oeste",IF(M74=BASE!$DA$7,IF(L74&gt;1,IF(N74="Claro",1,0),0),0),0),0)))</f>
        <v>#N/A</v>
      </c>
      <c r="AI19" s="573" t="e">
        <f>IF($AJ$9=1,IF(L74&gt;1,IF(M74=BASE!$DA$7,1,"-"),IF($AJ$9=2,IF($B$66="Oeste",IF(L74&gt;1,IF(M74=BASE!$DA$7,1,0),0),0),0)))</f>
        <v>#N/A</v>
      </c>
      <c r="AJ19" s="573" t="e">
        <f t="shared" si="7"/>
        <v>#N/A</v>
      </c>
      <c r="AK19" s="521" t="s">
        <v>583</v>
      </c>
      <c r="AL19" s="522">
        <f>DATOS!C44</f>
        <v>0</v>
      </c>
      <c r="AM19" s="468" t="str">
        <f>B200</f>
        <v>Estar/Comedor</v>
      </c>
      <c r="AN19" s="468">
        <v>0</v>
      </c>
      <c r="AO19" s="468" t="e">
        <f>IF($AM$10=1,0,IF(C186='Materiales Personalizados'!$AG$32,1,0))</f>
        <v>#N/A</v>
      </c>
      <c r="AP19" s="468">
        <f>IF(DATOS!D40&gt;1,1,0)</f>
        <v>0</v>
      </c>
      <c r="AQ19" s="468">
        <f>IF(C186="Ventilación Cruzada",1,0)</f>
        <v>0</v>
      </c>
      <c r="AR19" s="129"/>
      <c r="AS19" s="969"/>
      <c r="AT19" s="432">
        <f>IF(C38=0,0,1)</f>
        <v>0</v>
      </c>
      <c r="AU19" s="997"/>
      <c r="AV19" s="971"/>
      <c r="AW19" s="969"/>
      <c r="AX19" s="969"/>
      <c r="AY19" s="969"/>
      <c r="AZ19" s="429"/>
      <c r="BA19" s="961"/>
      <c r="BB19" s="146"/>
      <c r="BC19" s="146"/>
      <c r="BD19" s="146"/>
      <c r="BE19" s="146"/>
      <c r="BF19" s="146"/>
      <c r="BG19" s="146"/>
      <c r="BH19" s="146"/>
      <c r="BI19" s="146"/>
      <c r="BJ19" s="146"/>
      <c r="CN19" s="326"/>
    </row>
    <row r="20" spans="1:92" ht="15" customHeight="1" thickBot="1">
      <c r="B20" s="904"/>
      <c r="C20" s="904"/>
      <c r="D20" s="904"/>
      <c r="E20" s="884"/>
      <c r="F20" s="885"/>
      <c r="G20" s="885"/>
      <c r="H20" s="885"/>
      <c r="I20" s="885"/>
      <c r="J20" s="885"/>
      <c r="K20" s="885"/>
      <c r="L20" s="885"/>
      <c r="M20" s="886"/>
      <c r="N20" s="888"/>
      <c r="P20" s="391">
        <v>10</v>
      </c>
      <c r="Q20" s="293" t="s">
        <v>1108</v>
      </c>
      <c r="R20" s="468">
        <f>VLOOKUP(P20,TAD,2,FALSE)</f>
        <v>5</v>
      </c>
      <c r="S20" s="293">
        <f>IF(AE11=1,5,-1)</f>
        <v>-1</v>
      </c>
      <c r="T20" s="471">
        <f>VLOOKUP(P20,TAD,3,FALSE)</f>
        <v>5</v>
      </c>
      <c r="U20" s="295">
        <f>IF(AE11=1,5,-1)</f>
        <v>-1</v>
      </c>
      <c r="V20" s="468">
        <f>VLOOKUP(P20,TAD,4,FALSE)</f>
        <v>0</v>
      </c>
      <c r="W20" s="293">
        <v>0</v>
      </c>
      <c r="X20" s="351">
        <v>11</v>
      </c>
      <c r="Y20" s="477">
        <f t="shared" si="13"/>
        <v>0</v>
      </c>
      <c r="Z20" s="477">
        <f t="shared" si="12"/>
        <v>0</v>
      </c>
      <c r="AA20" s="477">
        <f t="shared" si="6"/>
        <v>0</v>
      </c>
      <c r="AB20" s="293">
        <f>C37</f>
        <v>0</v>
      </c>
      <c r="AC20" s="281">
        <f>IF(E37&lt;=15%,1,0)</f>
        <v>1</v>
      </c>
      <c r="AD20" s="281" t="e">
        <f>IF($AE$19=1,IF(AB20='Materiales Personalizados'!$AK$11,1,IF(AB20='Materiales Personalizados'!$AK$19,1,0)),IF($AE$19=2,IF(AB20='Materiales Personalizados'!$AK$19,1,0),IF($AE$19=3,IF(AB20='Materiales Personalizados'!$AK$7,0,1),0)))</f>
        <v>#N/A</v>
      </c>
      <c r="AE20" s="293" t="e">
        <f>IF($AE$19=1,IF(AB20='Materiales Personalizados'!$AK$11,AC20-AD20,IF(AB20='Materiales Personalizados'!$AK$19,AC20-AD20,0)),IF($AE$19=2,IF(AB20='Materiales Personalizados'!$AK$19,AC20-AD20,0),IF($AE$19=3,IF(AB20='Materiales Personalizados'!$AK$7,0,0),0)))</f>
        <v>#N/A</v>
      </c>
      <c r="AF20" s="493"/>
      <c r="AG20" s="293" t="str">
        <f>B80</f>
        <v>Pared 1:</v>
      </c>
      <c r="AH20" s="293" t="e">
        <f>IF($AJ$9=1,IF(L80&gt;1,IF(M80=BASE!$DA$7,IF(N80="Claro",1,0),0),IF($AJ$9=2,IF($B$76="Oeste",IF(M80=BASE!$DA$7,IF(L80&gt;1,IF(N80="Claro",1,0),0),0),0),0)))</f>
        <v>#N/A</v>
      </c>
      <c r="AI20" s="293" t="e">
        <f>IF($AJ$9=1,IF(L80&gt;1,IF(M80=BASE!$DA$7,1,"-"),IF($AJ$9=2,IF($B$76="Oeste",IF(L80&gt;1,IF(M80=BASE!$DA$7,1,0),0),0),0)))</f>
        <v>#N/A</v>
      </c>
      <c r="AJ20" s="573" t="e">
        <f t="shared" si="7"/>
        <v>#N/A</v>
      </c>
      <c r="AK20" s="521" t="s">
        <v>566</v>
      </c>
      <c r="AL20" s="522">
        <f>DATOS!C45</f>
        <v>0</v>
      </c>
      <c r="AM20" s="469" t="str">
        <f>B190</f>
        <v>Cocina</v>
      </c>
      <c r="AN20" s="469">
        <v>0</v>
      </c>
      <c r="AO20" s="469">
        <v>0</v>
      </c>
      <c r="AP20" s="468">
        <f>IF(DATOS!D46&gt;1,1,0)</f>
        <v>0</v>
      </c>
      <c r="AQ20" s="468">
        <f>IF(C190="Ventilación Cruzada",1,0)</f>
        <v>0</v>
      </c>
      <c r="AR20" s="129"/>
      <c r="AS20" s="969"/>
      <c r="AT20" s="432">
        <f>IF(C39=0,0,1)</f>
        <v>0</v>
      </c>
      <c r="AU20" s="997"/>
      <c r="AV20" s="971"/>
      <c r="AW20" s="969"/>
      <c r="AX20" s="969"/>
      <c r="AY20" s="969"/>
      <c r="AZ20" s="429"/>
      <c r="BA20" s="961"/>
      <c r="BB20" s="146"/>
      <c r="BC20" s="146"/>
      <c r="BD20" s="146"/>
      <c r="BE20" s="146"/>
      <c r="BF20" s="146"/>
      <c r="BG20" s="146"/>
      <c r="BH20" s="146"/>
      <c r="BI20" s="146"/>
      <c r="BJ20" s="146"/>
      <c r="CN20" s="326"/>
    </row>
    <row r="21" spans="1:92" ht="15" customHeight="1" thickBot="1">
      <c r="B21" s="904" t="s">
        <v>1803</v>
      </c>
      <c r="C21" s="904"/>
      <c r="D21" s="904"/>
      <c r="E21" s="881" t="e">
        <f>HLOOKUP($N$2,lineamientos,12,FALSE)</f>
        <v>#N/A</v>
      </c>
      <c r="F21" s="882"/>
      <c r="G21" s="882"/>
      <c r="H21" s="882"/>
      <c r="I21" s="882"/>
      <c r="J21" s="882"/>
      <c r="K21" s="882"/>
      <c r="L21" s="882"/>
      <c r="M21" s="883"/>
      <c r="N21" s="887" t="e">
        <f>IF(E21="La Zona Bioambiental no especifica lineamiento.","-",Z18)</f>
        <v>#N/A</v>
      </c>
      <c r="P21" s="391">
        <v>11</v>
      </c>
      <c r="Q21" s="281" t="s">
        <v>763</v>
      </c>
      <c r="R21" s="468">
        <f>VLOOKUP(P21,TAD,2,FALSE)</f>
        <v>2</v>
      </c>
      <c r="S21" s="281">
        <f>IF(BASE!GQ27=0,0,IF(ENERGÍA!AE27=1,5,-1))</f>
        <v>-1</v>
      </c>
      <c r="T21" s="471">
        <f>VLOOKUP(P21,TAD,3,FALSE)</f>
        <v>2</v>
      </c>
      <c r="U21" s="283">
        <f>IF(BASE!GQ27=0,0,IF(ENERGÍA!AE27=1,5,-1))</f>
        <v>-1</v>
      </c>
      <c r="V21" s="468">
        <f>VLOOKUP(P21,TAD,4,FALSE)</f>
        <v>2</v>
      </c>
      <c r="W21" s="281">
        <f>IF(BASE!GQ27=0,0,IF(ENERGÍA!AE27=1,5,-1))</f>
        <v>-1</v>
      </c>
      <c r="X21" s="351">
        <v>12</v>
      </c>
      <c r="Y21" s="477">
        <f>IF($Y$9=$R$9,R22,IF($Y$9=$T$9,T22,IF($Y$9=$V$9,V22,IF($R$24=$Y$9,R39,IF($Y$9=$T$24,T39,IF($V$24=$Y$9,V39,0))))))</f>
        <v>0</v>
      </c>
      <c r="Z21" s="477">
        <f>IF($Y$9=$R$9,S22,IF($Y$9=$T$9,U22,IF($Y$9=$V$9,W22,IF($R$24=$Y$9,S39,IF($Y$9=$T$24,U39,IF($V$24=$Y$9,W39,0))))))</f>
        <v>0</v>
      </c>
      <c r="AA21" s="477">
        <f t="shared" si="6"/>
        <v>0</v>
      </c>
      <c r="AB21" s="293">
        <f>C38</f>
        <v>0</v>
      </c>
      <c r="AC21" s="281">
        <f>IF(E38&lt;=15%,1,0)</f>
        <v>1</v>
      </c>
      <c r="AD21" s="281" t="e">
        <f>IF($AE$19=1,IF(AB21='Materiales Personalizados'!$AK$11,1,IF(AB21='Materiales Personalizados'!$AK$19,1,0)),IF($AE$19=2,IF(AB21='Materiales Personalizados'!$AK$19,1,0),IF($AE$19=3,IF(AB21='Materiales Personalizados'!$AK$7,0,1),0)))</f>
        <v>#N/A</v>
      </c>
      <c r="AE21" s="293" t="e">
        <f>IF($AE$19=1,IF(AB21='Materiales Personalizados'!$AK$11,AC21-AD21,IF(AB21='Materiales Personalizados'!$AK$19,AC21-AD21,0)),IF($AE$19=2,IF(AB21='Materiales Personalizados'!$AK$19,AC21-AD21,0),IF($AE$19=3,IF(AB21='Materiales Personalizados'!$AK$7,0,AC21-AD21),0)))</f>
        <v>#N/A</v>
      </c>
      <c r="AF21" s="493"/>
      <c r="AG21" s="293" t="str">
        <f>B81</f>
        <v>Pared 2:</v>
      </c>
      <c r="AH21" s="293" t="e">
        <f>IF($AJ$9=1,IF(L81&gt;1,IF(M81=BASE!$DA$7,IF(N81="Claro",1,0),0),IF($AJ$9=2,IF($B$76="Oeste",IF(M81=BASE!$DA$7,IF(L81&gt;1,IF(N81="Claro",1,0),0),0),0),0)))</f>
        <v>#N/A</v>
      </c>
      <c r="AI21" s="573" t="e">
        <f>IF($AJ$9=1,IF(L81&gt;1,IF(M81=BASE!$DA$7,1,"-"),IF($AJ$9=2,IF($B$76="Oeste",IF(L81&gt;1,IF(M81=BASE!$DA$7,1,0),0),0),0)))</f>
        <v>#N/A</v>
      </c>
      <c r="AJ21" s="573" t="e">
        <f t="shared" si="7"/>
        <v>#N/A</v>
      </c>
      <c r="AK21" s="521" t="s">
        <v>572</v>
      </c>
      <c r="AL21" s="522">
        <f>DATOS!C46</f>
        <v>0</v>
      </c>
      <c r="AM21" s="155"/>
      <c r="AN21" s="468" t="e">
        <f>IF(AM10=1,IF(SUM(AN11:AN17)&lt;=SUM(AO11:AO17),2,-1),IF(AM10=2,IF((SUM(AN11:AN19)-AN16-AN17)&lt;=SUM(AO11:AO19),2,-1)))</f>
        <v>#N/A</v>
      </c>
      <c r="AO21" s="468"/>
      <c r="AP21" s="469">
        <f>SUM(AP19:AP20)</f>
        <v>0</v>
      </c>
      <c r="AQ21" s="469">
        <f>SUM(AQ19:AQ20)</f>
        <v>0</v>
      </c>
      <c r="AR21" s="129"/>
      <c r="AS21" s="969"/>
      <c r="AT21" s="432">
        <f>IF(C40=0,0,1)</f>
        <v>0</v>
      </c>
      <c r="AU21" s="997"/>
      <c r="AV21" s="971"/>
      <c r="AW21" s="969"/>
      <c r="AX21" s="969"/>
      <c r="AY21" s="969"/>
      <c r="AZ21" s="429"/>
      <c r="BA21" s="961" t="b">
        <f>IF($X$4=4,IF(S36=2,0,1),IF($X$4=5,IF(U36=2,0,1),IF($X$4=6,IF(W36=2,0,1))))</f>
        <v>0</v>
      </c>
      <c r="BB21" s="146"/>
      <c r="BC21" s="146"/>
      <c r="BD21" s="146"/>
      <c r="BE21" s="146"/>
      <c r="BF21" s="146"/>
      <c r="BG21" s="146"/>
      <c r="BH21" s="146"/>
      <c r="BI21" s="146"/>
      <c r="BJ21" s="146"/>
      <c r="CN21" s="326"/>
    </row>
    <row r="22" spans="1:92" ht="15" customHeight="1" thickBot="1">
      <c r="B22" s="904"/>
      <c r="C22" s="904"/>
      <c r="D22" s="904"/>
      <c r="E22" s="901"/>
      <c r="F22" s="902"/>
      <c r="G22" s="902"/>
      <c r="H22" s="902"/>
      <c r="I22" s="902"/>
      <c r="J22" s="902"/>
      <c r="K22" s="902"/>
      <c r="L22" s="902"/>
      <c r="M22" s="903"/>
      <c r="N22" s="887"/>
      <c r="P22" s="391">
        <v>12</v>
      </c>
      <c r="Q22" s="281" t="s">
        <v>1137</v>
      </c>
      <c r="R22" s="468">
        <f>VLOOKUP(P22,TAD,2,FALSE)</f>
        <v>0</v>
      </c>
      <c r="S22" s="281">
        <v>0</v>
      </c>
      <c r="T22" s="471">
        <f>VLOOKUP(P22,TAD,3,FALSE)</f>
        <v>0</v>
      </c>
      <c r="U22" s="283">
        <v>0</v>
      </c>
      <c r="V22" s="468">
        <f>VLOOKUP(P22,TAD,4,FALSE)</f>
        <v>0</v>
      </c>
      <c r="W22" s="281">
        <v>0</v>
      </c>
      <c r="Y22" s="351">
        <f>SUM(Y10:Y21)</f>
        <v>0</v>
      </c>
      <c r="AB22" s="293">
        <f>C39</f>
        <v>0</v>
      </c>
      <c r="AC22" s="281">
        <f>IF(E39&lt;=15%,1,0)</f>
        <v>1</v>
      </c>
      <c r="AD22" s="281" t="e">
        <f>IF($AE$19=1,IF(AB22='Materiales Personalizados'!$AK$11,1,IF(AB22='Materiales Personalizados'!$AK$19,1,0)),IF($AE$19=2,IF(AB22='Materiales Personalizados'!$AK$19,1,0),IF($AE$19=3,IF(AB22='Materiales Personalizados'!$AK$7,0,1),0)))</f>
        <v>#N/A</v>
      </c>
      <c r="AE22" s="293" t="e">
        <f>IF($AE$19=1,IF(AB22='Materiales Personalizados'!$AK$11,AC22-AD22,IF(AB22='Materiales Personalizados'!$AK$19,AC22-AD22,0)),IF($AE$19=2,IF(AB22='Materiales Personalizados'!$AK$19,AC22-AD22,0),IF($AE$19=3,IF(AB22='Materiales Personalizados'!$AK$7,0,AC22-AD22),0)))</f>
        <v>#N/A</v>
      </c>
      <c r="AF22" s="493"/>
      <c r="AG22" s="293" t="str">
        <f>B82</f>
        <v>Pared 3:</v>
      </c>
      <c r="AH22" s="293" t="e">
        <f>IF($AJ$9=1,IF(L82&gt;1,IF(M82=BASE!$DA$7,IF(N82="Claro",1,0),0),IF($AJ$9=2,IF($B$76="Oeste",IF(M82=BASE!$DA$7,IF(L82&gt;1,IF(N82="Claro",1,0),0),0),0),0)))</f>
        <v>#N/A</v>
      </c>
      <c r="AI22" s="573" t="e">
        <f>IF($AJ$9=1,IF(L82&gt;1,IF(M82=BASE!$DA$7,1,"-"),IF($AJ$9=2,IF($B$76="Oeste",IF(L82&gt;1,IF(M82=BASE!$DA$7,1,0),0),0),0)))</f>
        <v>#N/A</v>
      </c>
      <c r="AJ22" s="573" t="e">
        <f t="shared" si="7"/>
        <v>#N/A</v>
      </c>
      <c r="AK22" s="521" t="s">
        <v>8</v>
      </c>
      <c r="AL22" s="522">
        <f>DATOS!D48</f>
        <v>0</v>
      </c>
      <c r="AP22" s="899">
        <f>IF(AQ21=0,0,IF(AQ21&gt;=AP21,1,0))</f>
        <v>0</v>
      </c>
      <c r="AQ22" s="900"/>
      <c r="AR22" s="129"/>
      <c r="AS22" s="432" t="s">
        <v>1975</v>
      </c>
      <c r="AT22" s="435"/>
      <c r="AU22" s="441">
        <f>IF(C42=0,0,1)</f>
        <v>0</v>
      </c>
      <c r="AV22" s="971"/>
      <c r="AW22" s="969"/>
      <c r="AX22" s="969"/>
      <c r="AY22" s="969"/>
      <c r="AZ22" s="429"/>
      <c r="BA22" s="961"/>
      <c r="BB22" s="146"/>
      <c r="BC22" s="146"/>
      <c r="BD22" s="146"/>
      <c r="BE22" s="146"/>
      <c r="BF22" s="146"/>
      <c r="BG22" s="146"/>
      <c r="BH22" s="146"/>
      <c r="BI22" s="146"/>
      <c r="BJ22" s="146"/>
    </row>
    <row r="23" spans="1:92" ht="15" customHeight="1" thickBot="1">
      <c r="B23" s="904"/>
      <c r="C23" s="904"/>
      <c r="D23" s="904"/>
      <c r="E23" s="901"/>
      <c r="F23" s="902"/>
      <c r="G23" s="902"/>
      <c r="H23" s="902"/>
      <c r="I23" s="902"/>
      <c r="J23" s="902"/>
      <c r="K23" s="902"/>
      <c r="L23" s="902"/>
      <c r="M23" s="903"/>
      <c r="N23" s="887"/>
      <c r="P23" s="246"/>
      <c r="Q23" s="99"/>
      <c r="T23" s="99"/>
      <c r="U23" s="99"/>
      <c r="V23" s="99"/>
      <c r="AB23" s="293">
        <f>C40</f>
        <v>0</v>
      </c>
      <c r="AC23" s="281">
        <f>IF(E40&lt;=15%,1,0)</f>
        <v>1</v>
      </c>
      <c r="AD23" s="281" t="e">
        <f>IF($AE$19=1,IF(AB23='Materiales Personalizados'!$AK$11,1,IF(AB23='Materiales Personalizados'!$AK$19,1,0)),IF($AE$19=2,IF(AB23='Materiales Personalizados'!$AK$19,1,0),IF($AE$19=3,IF(AB23='Materiales Personalizados'!$AK$7,0,1),0)))</f>
        <v>#N/A</v>
      </c>
      <c r="AE23" s="293" t="e">
        <f>IF($AE$19=1,IF(AB23='Materiales Personalizados'!$AK$11,AC23-AD23,IF(AB23='Materiales Personalizados'!$AK$19,AC23-AD23,0)),IF($AE$19=2,IF(AB23='Materiales Personalizados'!$AK$19,AC23-AD23,0),IF($AE$19=3,IF(AB23='Materiales Personalizados'!$AK$7,0,AC23-AD23),0)))</f>
        <v>#N/A</v>
      </c>
      <c r="AF23" s="493"/>
      <c r="AG23" s="293" t="str">
        <f>B83</f>
        <v>Material Personalizado:</v>
      </c>
      <c r="AH23" s="293" t="e">
        <f>IF($AJ$9=1,IF(L83&gt;1,IF(M83=BASE!$DA$7,IF(N83="Claro",1,0),0),IF($AJ$9=2,IF($B$76="Oeste",IF(M83=BASE!$DA$7,IF(L83&gt;1,IF(N83="Claro",1,0),0),0),0),0)))</f>
        <v>#N/A</v>
      </c>
      <c r="AI23" s="573" t="e">
        <f>IF($AJ$9=1,IF(L83&gt;1,IF(M83=BASE!$DA$7,1,"-"),IF($AJ$9=2,IF($B$76="Oeste",IF(L83&gt;1,IF(M83=BASE!$DA$7,1,0),0),0),0)))</f>
        <v>#N/A</v>
      </c>
      <c r="AJ23" s="573" t="e">
        <f t="shared" si="7"/>
        <v>#N/A</v>
      </c>
      <c r="AN23" s="478" t="s">
        <v>2013</v>
      </c>
      <c r="AP23" s="899" t="s">
        <v>2014</v>
      </c>
      <c r="AQ23" s="900"/>
      <c r="AR23" s="129"/>
      <c r="AS23" s="432" t="s">
        <v>218</v>
      </c>
      <c r="AT23" s="437">
        <f>IF(BA48=1,0,1)</f>
        <v>0</v>
      </c>
      <c r="AU23" s="990">
        <f>IF(((AT23+AT24+AT25)/3)=1,1,0)</f>
        <v>0</v>
      </c>
      <c r="AV23" s="971"/>
      <c r="AW23" s="969"/>
      <c r="AX23" s="969"/>
      <c r="AY23" s="969"/>
      <c r="AZ23" s="429"/>
      <c r="BA23" s="961"/>
      <c r="BB23" s="146"/>
      <c r="BC23" s="146"/>
      <c r="BD23" s="146"/>
      <c r="BE23" s="146"/>
      <c r="BF23" s="146"/>
      <c r="BG23" s="146"/>
      <c r="BH23" s="146"/>
      <c r="BI23" s="146"/>
      <c r="BJ23" s="146"/>
    </row>
    <row r="24" spans="1:92" ht="15" customHeight="1" thickBot="1">
      <c r="B24" s="904"/>
      <c r="C24" s="904"/>
      <c r="D24" s="904"/>
      <c r="E24" s="901"/>
      <c r="F24" s="902"/>
      <c r="G24" s="902"/>
      <c r="H24" s="902"/>
      <c r="I24" s="902"/>
      <c r="J24" s="902"/>
      <c r="K24" s="902"/>
      <c r="L24" s="902"/>
      <c r="M24" s="903"/>
      <c r="N24" s="887"/>
      <c r="P24" s="851"/>
      <c r="Q24" s="851"/>
      <c r="R24" s="906">
        <v>4</v>
      </c>
      <c r="S24" s="906"/>
      <c r="T24" s="924">
        <v>5</v>
      </c>
      <c r="U24" s="924"/>
      <c r="V24" s="906">
        <v>6</v>
      </c>
      <c r="W24" s="906"/>
      <c r="Z24" s="479" t="e">
        <f>HLOOKUP(Y9,BASE!HI3:HN18,16,FALSE)</f>
        <v>#N/A</v>
      </c>
      <c r="AA24" s="351">
        <f>SUM(AA10:AA21)</f>
        <v>0</v>
      </c>
      <c r="AB24" s="851"/>
      <c r="AC24" s="851"/>
      <c r="AD24" s="851"/>
      <c r="AE24" s="282">
        <f>IF(AU18=0,1,IF(BA56=1,1,SUM(AE20:AE23)))</f>
        <v>1</v>
      </c>
      <c r="AF24" s="488"/>
      <c r="AG24" s="293" t="str">
        <f>B84</f>
        <v>Material Personalizado:</v>
      </c>
      <c r="AH24" s="293" t="e">
        <f>IF($AJ$9=1,IF(L84&gt;1,IF(M84=BASE!$DA$7,IF(N84="Claro",1,0),0),IF($AJ$9=2,IF($B$76="Oeste",IF(M84=BASE!$DA$7,IF(L84&gt;1,IF(N84="Claro",1,0),0),0),0),0)))</f>
        <v>#N/A</v>
      </c>
      <c r="AI24" s="573" t="e">
        <f>IF($AJ$9=1,IF(L84&gt;1,IF(M84=BASE!$DA$7,1,"-"),IF($AJ$9=2,IF($B$76="Oeste",IF(L84&gt;1,IF(M84=BASE!$DA$7,1,0),0),0),0)))</f>
        <v>#N/A</v>
      </c>
      <c r="AJ24" s="573" t="e">
        <f t="shared" si="7"/>
        <v>#N/A</v>
      </c>
      <c r="AR24" s="129"/>
      <c r="AS24" s="432" t="s">
        <v>219</v>
      </c>
      <c r="AT24" s="435">
        <f>IF(BA56=1,0,1)</f>
        <v>0</v>
      </c>
      <c r="AU24" s="990"/>
      <c r="AV24" s="971"/>
      <c r="AW24" s="969"/>
      <c r="AX24" s="969"/>
      <c r="AY24" s="969"/>
      <c r="AZ24" s="429"/>
      <c r="BA24" s="961"/>
      <c r="BB24" s="146"/>
      <c r="BC24" s="146"/>
      <c r="BD24" s="146"/>
      <c r="BE24" s="146"/>
      <c r="BF24" s="146"/>
      <c r="BG24" s="146"/>
      <c r="BH24" s="146"/>
      <c r="BI24" s="146"/>
      <c r="BJ24" s="146"/>
    </row>
    <row r="25" spans="1:92" ht="15" customHeight="1" thickBot="1">
      <c r="B25" s="904"/>
      <c r="C25" s="904"/>
      <c r="D25" s="904"/>
      <c r="E25" s="884"/>
      <c r="F25" s="885"/>
      <c r="G25" s="885"/>
      <c r="H25" s="885"/>
      <c r="I25" s="885"/>
      <c r="J25" s="885"/>
      <c r="K25" s="885"/>
      <c r="L25" s="885"/>
      <c r="M25" s="886"/>
      <c r="N25" s="887"/>
      <c r="P25" s="391">
        <v>1</v>
      </c>
      <c r="Q25" s="293" t="s">
        <v>1103</v>
      </c>
      <c r="R25" s="468">
        <f t="shared" ref="R25:R32" si="14">VLOOKUP(P25,TAD,5,FALSE)</f>
        <v>0</v>
      </c>
      <c r="S25" s="281">
        <v>0</v>
      </c>
      <c r="T25" s="295">
        <f t="shared" ref="T25:T32" si="15">VLOOKUP(P25,TAD,6,FALSE)</f>
        <v>0</v>
      </c>
      <c r="U25" s="283">
        <v>0</v>
      </c>
      <c r="V25" s="468">
        <f t="shared" ref="V25:V32" si="16">VLOOKUP(P25,TAD,7,FALSE)</f>
        <v>0</v>
      </c>
      <c r="W25" s="281">
        <v>0</v>
      </c>
      <c r="X25" s="482">
        <v>5</v>
      </c>
      <c r="Y25" s="483" t="s">
        <v>2007</v>
      </c>
      <c r="Z25" s="899" t="e">
        <f>IF(Z24&lt;=AA24,1,0)</f>
        <v>#N/A</v>
      </c>
      <c r="AA25" s="900"/>
      <c r="AE25" s="481" t="s">
        <v>2009</v>
      </c>
      <c r="AF25" s="481"/>
      <c r="AG25" s="293" t="str">
        <f>B90</f>
        <v>Pared 1:</v>
      </c>
      <c r="AH25" s="293" t="e">
        <f>IF($AJ$9=1,IF(L90&gt;1,IF(M90=BASE!$DA$7,IF(N90="Claro",1,0),0),IF($AJ$9=2,IF($B$86="Oeste",IF(M90=BASE!$DA$7,IF(L90&gt;1,IF(N90="Claro",1,0),0),0),0),0)))</f>
        <v>#N/A</v>
      </c>
      <c r="AI25" s="293" t="e">
        <f>IF($AJ$9=1,IF(L90&gt;1,IF(M90=BASE!$DA$7,1,"-"),IF($AJ$9=2,IF($B$86="Oeste",IF(L90&gt;1,IF(M90=BASE!$DA$7,1,0),0),0),0)))</f>
        <v>#N/A</v>
      </c>
      <c r="AJ25" s="573" t="e">
        <f t="shared" si="7"/>
        <v>#N/A</v>
      </c>
      <c r="AR25" s="129"/>
      <c r="AS25" s="432" t="s">
        <v>633</v>
      </c>
      <c r="AT25" s="438">
        <f>BA96</f>
        <v>0</v>
      </c>
      <c r="AU25" s="990"/>
      <c r="AV25" s="971"/>
      <c r="AW25" s="969"/>
      <c r="AX25" s="969"/>
      <c r="AY25" s="969"/>
      <c r="AZ25" s="429"/>
      <c r="BA25" s="961"/>
      <c r="BB25" s="146"/>
      <c r="BC25" s="146"/>
      <c r="BD25" s="146"/>
      <c r="BE25" s="146"/>
      <c r="BF25" s="146"/>
      <c r="BG25" s="146"/>
      <c r="BH25" s="146"/>
      <c r="BI25" s="146"/>
      <c r="BJ25" s="146"/>
    </row>
    <row r="26" spans="1:92" ht="15" customHeight="1" thickBot="1">
      <c r="B26" s="904" t="s">
        <v>1804</v>
      </c>
      <c r="C26" s="904"/>
      <c r="D26" s="904"/>
      <c r="E26" s="881" t="e">
        <f>HLOOKUP($N$2,lineamientos,13,FALSE)</f>
        <v>#N/A</v>
      </c>
      <c r="F26" s="882"/>
      <c r="G26" s="882"/>
      <c r="H26" s="882"/>
      <c r="I26" s="882"/>
      <c r="J26" s="882"/>
      <c r="K26" s="882"/>
      <c r="L26" s="882"/>
      <c r="M26" s="883"/>
      <c r="N26" s="887" t="e">
        <f>IF(E26="La Zona Bioambiental no especifica lineamiento.","-",Z19)</f>
        <v>#N/A</v>
      </c>
      <c r="P26" s="391">
        <v>2</v>
      </c>
      <c r="Q26" s="293" t="s">
        <v>1104</v>
      </c>
      <c r="R26" s="468">
        <f t="shared" si="14"/>
        <v>0</v>
      </c>
      <c r="S26" s="281">
        <v>0</v>
      </c>
      <c r="T26" s="471">
        <f t="shared" si="15"/>
        <v>0</v>
      </c>
      <c r="U26" s="283">
        <v>0</v>
      </c>
      <c r="V26" s="468">
        <f t="shared" si="16"/>
        <v>0</v>
      </c>
      <c r="W26" s="281">
        <v>0</v>
      </c>
      <c r="X26" s="482">
        <v>-1</v>
      </c>
      <c r="Y26" s="483" t="s">
        <v>2008</v>
      </c>
      <c r="AG26" s="293" t="str">
        <f>B91</f>
        <v>Pared 2:</v>
      </c>
      <c r="AH26" s="293" t="e">
        <f>IF($AJ$9=1,IF(L91&gt;1,IF(M91=BASE!$DA$7,IF(N91="Claro",1,0),0),IF($AJ$9=2,IF($B$86="Oeste",IF(M91=BASE!$DA$7,IF(L91&gt;1,IF(N91="Claro",1,0),0),0),0),0)))</f>
        <v>#N/A</v>
      </c>
      <c r="AI26" s="573" t="e">
        <f>IF($AJ$9=1,IF(L91&gt;1,IF(M91=BASE!$DA$7,1,"-"),IF($AJ$9=2,IF($B$86="Oeste",IF(L91&gt;1,IF(M91=BASE!$DA$7,1,0),0),0),0)))</f>
        <v>#N/A</v>
      </c>
      <c r="AJ26" s="573" t="e">
        <f t="shared" si="7"/>
        <v>#N/A</v>
      </c>
      <c r="AR26" s="129"/>
      <c r="AS26" s="432" t="s">
        <v>1976</v>
      </c>
      <c r="AT26" s="439">
        <f>BB108</f>
        <v>0</v>
      </c>
      <c r="AU26" s="441">
        <f>IF(AT26=0,0,1)</f>
        <v>0</v>
      </c>
      <c r="AV26" s="971"/>
      <c r="AW26" s="969"/>
      <c r="AX26" s="969"/>
      <c r="AY26" s="969"/>
      <c r="AZ26" s="429"/>
      <c r="BA26" s="961" t="b">
        <f>IF($X$4=4,IF($X$4=2,IF(S37=2,0,1)))</f>
        <v>0</v>
      </c>
      <c r="BB26" s="146"/>
      <c r="BC26" s="146"/>
      <c r="BD26" s="146"/>
      <c r="BE26" s="146"/>
      <c r="BF26" s="146"/>
      <c r="BG26" s="146"/>
      <c r="BH26" s="146"/>
      <c r="BI26" s="146"/>
      <c r="BJ26" s="146"/>
    </row>
    <row r="27" spans="1:92" ht="15" customHeight="1" thickBot="1">
      <c r="B27" s="904"/>
      <c r="C27" s="904"/>
      <c r="D27" s="904"/>
      <c r="E27" s="901"/>
      <c r="F27" s="902"/>
      <c r="G27" s="902"/>
      <c r="H27" s="902"/>
      <c r="I27" s="902"/>
      <c r="J27" s="902"/>
      <c r="K27" s="902"/>
      <c r="L27" s="902"/>
      <c r="M27" s="903"/>
      <c r="N27" s="887"/>
      <c r="P27" s="391">
        <v>3</v>
      </c>
      <c r="Q27" s="293" t="s">
        <v>1133</v>
      </c>
      <c r="R27" s="468">
        <f t="shared" si="14"/>
        <v>5</v>
      </c>
      <c r="S27" s="281">
        <f>IF(AU26=0,0,IF($AE$24=1,-1,5))</f>
        <v>0</v>
      </c>
      <c r="T27" s="471">
        <f t="shared" si="15"/>
        <v>4</v>
      </c>
      <c r="U27" s="283">
        <f>IF(AU26=0,0,IF($AE$24=1,-1,5))</f>
        <v>0</v>
      </c>
      <c r="V27" s="468">
        <f t="shared" si="16"/>
        <v>4</v>
      </c>
      <c r="W27" s="281">
        <f>IF(AU26=0,0,IF($AE$24=1,-1,5))</f>
        <v>0</v>
      </c>
      <c r="AB27" s="906" t="s">
        <v>1110</v>
      </c>
      <c r="AC27" s="906"/>
      <c r="AD27" s="906"/>
      <c r="AE27" s="281">
        <f>IF(AY15&gt;=1,1,0)</f>
        <v>0</v>
      </c>
      <c r="AF27" s="492"/>
      <c r="AG27" s="293" t="str">
        <f>B92</f>
        <v>Pared 3:</v>
      </c>
      <c r="AH27" s="293" t="e">
        <f>IF($AJ$9=1,IF(L92&gt;1,IF(M92=BASE!$DA$7,IF(N92="Claro",1,0),0),IF($AJ$9=2,IF($B$86="Oeste",IF(M92=BASE!$DA$7,IF(L92&gt;1,IF(N92="Claro",1,0),0),0),0),0)))</f>
        <v>#N/A</v>
      </c>
      <c r="AI27" s="573" t="e">
        <f>IF($AJ$9=1,IF(L92&gt;1,IF(M92=BASE!$DA$7,1,"-"),IF($AJ$9=2,IF($B$86="Oeste",IF(L92&gt;1,IF(M92=BASE!$DA$7,1,0),0),0),0)))</f>
        <v>#N/A</v>
      </c>
      <c r="AJ27" s="573" t="e">
        <f t="shared" si="7"/>
        <v>#N/A</v>
      </c>
      <c r="AR27" s="129"/>
      <c r="AS27" s="432" t="s">
        <v>1977</v>
      </c>
      <c r="AT27" s="435"/>
      <c r="AU27" s="442">
        <f>V181</f>
        <v>0</v>
      </c>
      <c r="AV27" s="971"/>
      <c r="AW27" s="969"/>
      <c r="AX27" s="969"/>
      <c r="AY27" s="969"/>
      <c r="AZ27" s="429"/>
      <c r="BA27" s="961"/>
      <c r="BB27" s="146"/>
      <c r="BC27" s="146"/>
      <c r="BD27" s="146"/>
      <c r="BE27" s="146"/>
      <c r="BF27" s="146"/>
      <c r="BG27" s="146"/>
      <c r="BH27" s="146"/>
      <c r="BI27" s="146"/>
      <c r="BJ27" s="146"/>
    </row>
    <row r="28" spans="1:92" ht="15" customHeight="1" thickBot="1">
      <c r="B28" s="904"/>
      <c r="C28" s="904"/>
      <c r="D28" s="904"/>
      <c r="E28" s="884"/>
      <c r="F28" s="885"/>
      <c r="G28" s="885"/>
      <c r="H28" s="885"/>
      <c r="I28" s="885"/>
      <c r="J28" s="885"/>
      <c r="K28" s="885"/>
      <c r="L28" s="885"/>
      <c r="M28" s="886"/>
      <c r="N28" s="887"/>
      <c r="P28" s="391">
        <v>4</v>
      </c>
      <c r="Q28" s="293" t="s">
        <v>1106</v>
      </c>
      <c r="R28" s="468">
        <f t="shared" si="14"/>
        <v>2</v>
      </c>
      <c r="S28" s="281">
        <f>IF(AU26=0,0,IF($AU$26=1,5,-1))</f>
        <v>0</v>
      </c>
      <c r="T28" s="471">
        <f t="shared" si="15"/>
        <v>3</v>
      </c>
      <c r="U28" s="283">
        <f>IF(AU26=0,0,IF($AU$26=1,5,-1))</f>
        <v>0</v>
      </c>
      <c r="V28" s="468">
        <f t="shared" si="16"/>
        <v>3</v>
      </c>
      <c r="W28" s="281">
        <f>IF(AU26=0,0,IF($AU$26=1,5,-1))</f>
        <v>0</v>
      </c>
      <c r="AE28" s="283">
        <f>IF(AE27=1,'Materiales Personalizados'!BN22*0.25,0)</f>
        <v>0</v>
      </c>
      <c r="AF28" s="489"/>
      <c r="AG28" s="293" t="str">
        <f>B93</f>
        <v>Material Personalizado:</v>
      </c>
      <c r="AH28" s="293" t="e">
        <f>IF($AJ$9=1,IF(L93&gt;1,IF(M93=BASE!$DA$7,IF(N93="Claro",1,0),0),IF($AJ$9=2,IF($B$86="Oeste",IF(M93=BASE!$DA$7,IF(L93&gt;1,IF(N93="Claro",1,0),0),0),0),0)))</f>
        <v>#N/A</v>
      </c>
      <c r="AI28" s="573" t="e">
        <f>IF($AJ$9=1,IF(L93&gt;1,IF(M93=BASE!$DA$7,1,"-"),IF($AJ$9=2,IF($B$86="Oeste",IF(L93&gt;1,IF(M93=BASE!$DA$7,1,0),0),0),0)))</f>
        <v>#N/A</v>
      </c>
      <c r="AJ28" s="573" t="e">
        <f t="shared" si="7"/>
        <v>#N/A</v>
      </c>
      <c r="AR28" s="129"/>
      <c r="AS28" s="432" t="s">
        <v>1980</v>
      </c>
      <c r="AT28" s="435"/>
      <c r="AU28" s="444">
        <f>IF(DATOS!I88=1,1,AH207)</f>
        <v>1</v>
      </c>
      <c r="AV28" s="972">
        <f>IF(AVERAGE(AU28:AU29)=1,1,0)</f>
        <v>1</v>
      </c>
      <c r="AW28" s="991" t="s">
        <v>1978</v>
      </c>
      <c r="AX28" s="992"/>
      <c r="AY28" s="993"/>
      <c r="AZ28" s="429"/>
      <c r="BA28" s="961"/>
      <c r="BB28" s="146"/>
      <c r="BC28" s="146"/>
      <c r="BD28" s="146"/>
      <c r="BE28" s="146"/>
      <c r="BF28" s="146"/>
      <c r="BG28" s="146"/>
      <c r="BH28" s="146"/>
      <c r="BI28" s="146"/>
      <c r="BJ28" s="146"/>
    </row>
    <row r="29" spans="1:92" ht="20" customHeight="1" thickBot="1">
      <c r="B29" s="904" t="s">
        <v>1805</v>
      </c>
      <c r="C29" s="904"/>
      <c r="D29" s="904"/>
      <c r="E29" s="881" t="e">
        <f>HLOOKUP($N$2,lineamientos,14,FALSE)</f>
        <v>#N/A</v>
      </c>
      <c r="F29" s="882"/>
      <c r="G29" s="882"/>
      <c r="H29" s="882"/>
      <c r="I29" s="882"/>
      <c r="J29" s="882"/>
      <c r="K29" s="882"/>
      <c r="L29" s="882"/>
      <c r="M29" s="883"/>
      <c r="N29" s="888" t="e">
        <f>IF(E29="La Zona Bioambiental no especifica lineamiento.","-",Z20)</f>
        <v>#N/A</v>
      </c>
      <c r="P29" s="391">
        <v>5</v>
      </c>
      <c r="Q29" s="293" t="s">
        <v>1107</v>
      </c>
      <c r="R29" s="468">
        <f t="shared" si="14"/>
        <v>5</v>
      </c>
      <c r="S29" s="281">
        <f>S14</f>
        <v>0</v>
      </c>
      <c r="T29" s="471">
        <f t="shared" si="15"/>
        <v>5</v>
      </c>
      <c r="U29" s="283">
        <f>IF(AU26=0,0,IF('Materiales Personalizados'!$AU$244&lt;=3,5,-1))</f>
        <v>0</v>
      </c>
      <c r="V29" s="468">
        <f t="shared" si="16"/>
        <v>5</v>
      </c>
      <c r="W29" s="281">
        <f>IF(AU26=0,0,IF('Materiales Personalizados'!$AU$244&lt;=2,5,-1))</f>
        <v>0</v>
      </c>
      <c r="AG29" s="293" t="str">
        <f>B94</f>
        <v>Material Personalizado:</v>
      </c>
      <c r="AH29" s="293" t="e">
        <f>IF($AJ$9=1,IF(L94&gt;1,IF(M94=BASE!$DA$7,IF(N94="Claro",1,0),0),IF($AJ$9=2,IF($B$86="Oeste",IF(M94=BASE!$DA$7,IF(L94&gt;1,IF(N94="Claro",1,0),0),0),0),0)))</f>
        <v>#N/A</v>
      </c>
      <c r="AI29" s="573" t="e">
        <f>IF($AJ$9=1,IF(L94&gt;1,IF(M94=BASE!$DA$7,1,"-"),IF($AJ$9=2,IF($B$86="Oeste",IF(L94&gt;1,IF(M94=BASE!$DA$7,1,0),0),0),0)))</f>
        <v>#N/A</v>
      </c>
      <c r="AJ29" s="573" t="e">
        <f t="shared" si="7"/>
        <v>#N/A</v>
      </c>
      <c r="AR29" s="129"/>
      <c r="AS29" s="432" t="s">
        <v>1981</v>
      </c>
      <c r="AT29" s="435"/>
      <c r="AU29" s="444">
        <f>IF(DATOS!I88=1,1,AG207)</f>
        <v>1</v>
      </c>
      <c r="AV29" s="973"/>
      <c r="AW29" s="994"/>
      <c r="AX29" s="995"/>
      <c r="AY29" s="996"/>
      <c r="AZ29" s="429"/>
      <c r="BB29" s="146"/>
      <c r="BC29" s="146"/>
      <c r="BD29" s="146"/>
      <c r="BE29" s="146"/>
      <c r="BF29" s="146"/>
      <c r="BG29" s="146"/>
      <c r="BH29" s="146"/>
      <c r="BI29" s="146"/>
      <c r="BJ29" s="146"/>
    </row>
    <row r="30" spans="1:92" ht="20" customHeight="1" thickBot="1">
      <c r="B30" s="904"/>
      <c r="C30" s="904"/>
      <c r="D30" s="904"/>
      <c r="E30" s="884"/>
      <c r="F30" s="885"/>
      <c r="G30" s="885"/>
      <c r="H30" s="885"/>
      <c r="I30" s="885"/>
      <c r="J30" s="885"/>
      <c r="K30" s="885"/>
      <c r="L30" s="885"/>
      <c r="M30" s="886"/>
      <c r="N30" s="888"/>
      <c r="P30" s="391">
        <v>6</v>
      </c>
      <c r="Q30" s="293" t="s">
        <v>1134</v>
      </c>
      <c r="R30" s="468">
        <f t="shared" si="14"/>
        <v>2</v>
      </c>
      <c r="S30" s="281">
        <f>IF(AU27=0,0,IF(AN21=2,5,-1))</f>
        <v>0</v>
      </c>
      <c r="T30" s="471">
        <f t="shared" si="15"/>
        <v>0</v>
      </c>
      <c r="U30" s="283">
        <v>0</v>
      </c>
      <c r="V30" s="468">
        <f t="shared" si="16"/>
        <v>0</v>
      </c>
      <c r="W30" s="281">
        <v>0</v>
      </c>
      <c r="AB30" s="906" t="s">
        <v>1145</v>
      </c>
      <c r="AC30" s="906"/>
      <c r="AD30" s="906"/>
      <c r="AE30" s="281">
        <f>IF(L271="Sin Agrupamiento",0,1)</f>
        <v>1</v>
      </c>
      <c r="AF30" s="492"/>
      <c r="AG30" s="849"/>
      <c r="AH30" s="849"/>
      <c r="AI30" s="281"/>
      <c r="AJ30" s="293" t="e">
        <f>IF(SUM(AJ10:AJ29)&gt;=1,1,0)</f>
        <v>#N/A</v>
      </c>
      <c r="AO30" s="99" t="s">
        <v>1215</v>
      </c>
      <c r="AR30" s="129"/>
      <c r="AS30" s="432"/>
      <c r="AT30" s="435"/>
      <c r="AU30" s="436"/>
      <c r="AV30" s="443"/>
      <c r="AW30" s="445"/>
      <c r="AX30" s="432"/>
      <c r="AY30" s="432"/>
      <c r="AZ30" s="429"/>
      <c r="BB30" s="146"/>
      <c r="BC30" s="146"/>
      <c r="BD30" s="146"/>
      <c r="BE30" s="146"/>
      <c r="BF30" s="146"/>
      <c r="BG30" s="146"/>
      <c r="BH30" s="146"/>
      <c r="BI30" s="146"/>
      <c r="BJ30" s="146"/>
    </row>
    <row r="31" spans="1:92" ht="40" customHeight="1" thickBot="1">
      <c r="B31" s="904" t="s">
        <v>2099</v>
      </c>
      <c r="C31" s="904"/>
      <c r="D31" s="904"/>
      <c r="E31" s="914" t="e">
        <f>HLOOKUP($N$2,lineamientos,15,FALSE)</f>
        <v>#N/A</v>
      </c>
      <c r="F31" s="915"/>
      <c r="G31" s="915"/>
      <c r="H31" s="915"/>
      <c r="I31" s="915"/>
      <c r="J31" s="915"/>
      <c r="K31" s="915"/>
      <c r="L31" s="915"/>
      <c r="M31" s="916"/>
      <c r="N31" s="393" t="e">
        <f>IF(E31="La Zona Bioambiental no especifica lineamiento.","-",Z21)</f>
        <v>#N/A</v>
      </c>
      <c r="P31" s="391">
        <v>7</v>
      </c>
      <c r="Q31" s="293" t="s">
        <v>1034</v>
      </c>
      <c r="R31" s="468">
        <f t="shared" si="14"/>
        <v>0</v>
      </c>
      <c r="S31" s="281">
        <v>0</v>
      </c>
      <c r="T31" s="471">
        <f t="shared" si="15"/>
        <v>0</v>
      </c>
      <c r="U31" s="283">
        <v>0</v>
      </c>
      <c r="V31" s="468">
        <f t="shared" si="16"/>
        <v>0</v>
      </c>
      <c r="W31" s="281">
        <v>0</v>
      </c>
      <c r="AE31" s="351" t="s">
        <v>2018</v>
      </c>
      <c r="AF31" s="351"/>
      <c r="AJ31" s="481" t="s">
        <v>2009</v>
      </c>
      <c r="AO31" s="99" t="s">
        <v>1216</v>
      </c>
      <c r="AR31" s="129"/>
      <c r="AS31" s="432" t="s">
        <v>1982</v>
      </c>
      <c r="AT31" s="432"/>
      <c r="AU31" s="441">
        <f>IF(AG220=0,0,1)</f>
        <v>1</v>
      </c>
      <c r="AV31" s="432"/>
      <c r="AW31" s="432"/>
      <c r="AX31" s="432"/>
      <c r="AY31" s="432"/>
      <c r="AZ31" s="429"/>
      <c r="BB31" s="334" t="s">
        <v>1649</v>
      </c>
      <c r="BC31" s="334"/>
      <c r="BD31" s="334"/>
      <c r="BE31" s="334"/>
      <c r="BF31" s="334"/>
      <c r="BG31" s="334"/>
      <c r="BH31" s="334"/>
      <c r="BI31" s="334"/>
      <c r="BJ31" s="334"/>
    </row>
    <row r="32" spans="1:92" ht="30" customHeight="1" thickBot="1">
      <c r="B32" s="889" t="str">
        <f>IF(AU23=0,"NO CUMPLE CON LAS ESTRATEGIAS BIOCLIMÁTICAS MÍNIMAS DEL SELLO",IF(Z25=0,"NO CUMPLE CON LAS ESTRATEGIAS BIOCLIMÁTICAS MÍNIMAS DEL SELLO","CUMPLE CON LAS ESTRATEGIAS BIOCLIMÁTICAS MÍNIMAS DEL SELLO"))</f>
        <v>NO CUMPLE CON LAS ESTRATEGIAS BIOCLIMÁTICAS MÍNIMAS DEL SELLO</v>
      </c>
      <c r="C32" s="889"/>
      <c r="D32" s="889"/>
      <c r="E32" s="889"/>
      <c r="F32" s="889"/>
      <c r="G32" s="889"/>
      <c r="H32" s="889"/>
      <c r="I32" s="889"/>
      <c r="J32" s="889"/>
      <c r="K32" s="889"/>
      <c r="L32" s="889"/>
      <c r="M32" s="889"/>
      <c r="N32" s="889"/>
      <c r="P32" s="391">
        <v>8</v>
      </c>
      <c r="Q32" s="293" t="s">
        <v>1136</v>
      </c>
      <c r="R32" s="468">
        <f t="shared" si="14"/>
        <v>0</v>
      </c>
      <c r="S32" s="281">
        <v>0</v>
      </c>
      <c r="T32" s="471">
        <f t="shared" si="15"/>
        <v>0</v>
      </c>
      <c r="U32" s="283">
        <v>0</v>
      </c>
      <c r="V32" s="468">
        <f t="shared" si="16"/>
        <v>0</v>
      </c>
      <c r="W32" s="281">
        <v>0</v>
      </c>
      <c r="AB32" s="906" t="s">
        <v>2019</v>
      </c>
      <c r="AC32" s="906"/>
      <c r="AD32" s="906"/>
      <c r="AE32" s="469">
        <f>IF(AV18=0,0,IF(AY92&lt;=2,1,0))</f>
        <v>0</v>
      </c>
      <c r="AF32" s="492"/>
      <c r="AO32" s="99" t="s">
        <v>1217</v>
      </c>
      <c r="AR32" s="129"/>
      <c r="AS32" s="432" t="s">
        <v>688</v>
      </c>
      <c r="AT32" s="432"/>
      <c r="AU32" s="441">
        <f>IF(AY237=0,0,1)</f>
        <v>1</v>
      </c>
      <c r="AV32" s="432"/>
      <c r="AW32" s="432"/>
      <c r="AX32" s="432"/>
      <c r="AY32" s="432"/>
      <c r="AZ32" s="429"/>
      <c r="BA32" s="411">
        <f>IF(B32="CUMPLE CON LAS ESTRATEGIAS BIOCLIMÁTICAS MÍNIMAS DEL SELLO",0,1)</f>
        <v>1</v>
      </c>
    </row>
    <row r="33" spans="1:92" ht="6" customHeight="1" thickBot="1">
      <c r="N33" s="396"/>
      <c r="O33" s="404"/>
      <c r="AO33" s="99" t="s">
        <v>1218</v>
      </c>
      <c r="AR33" s="129"/>
      <c r="AS33" s="432"/>
      <c r="AT33" s="432"/>
      <c r="AU33" s="443"/>
      <c r="AV33" s="432"/>
      <c r="AW33" s="432"/>
      <c r="AX33" s="432"/>
      <c r="AY33" s="432"/>
      <c r="AZ33" s="429"/>
    </row>
    <row r="34" spans="1:92" s="101" customFormat="1" ht="30" customHeight="1" thickBot="1">
      <c r="A34" s="453"/>
      <c r="B34" s="840" t="s">
        <v>1900</v>
      </c>
      <c r="C34" s="840"/>
      <c r="D34" s="840"/>
      <c r="E34" s="840"/>
      <c r="F34" s="840"/>
      <c r="G34" s="840"/>
      <c r="H34" s="840"/>
      <c r="I34" s="840"/>
      <c r="J34" s="840"/>
      <c r="K34" s="840"/>
      <c r="L34" s="840"/>
      <c r="M34" s="840"/>
      <c r="N34" s="840"/>
      <c r="O34" s="458"/>
      <c r="P34" s="100"/>
      <c r="Q34" s="100"/>
      <c r="R34" s="100"/>
      <c r="S34" s="100"/>
      <c r="T34" s="100"/>
      <c r="U34" s="100"/>
      <c r="V34" s="100"/>
      <c r="W34" s="100"/>
      <c r="X34" s="100"/>
      <c r="AE34" s="351" t="s">
        <v>2018</v>
      </c>
      <c r="AF34" s="351"/>
      <c r="AO34" s="1430" t="s">
        <v>1219</v>
      </c>
      <c r="AR34" s="156"/>
      <c r="AS34" s="434"/>
      <c r="AT34" s="434"/>
      <c r="AU34" s="446"/>
      <c r="AV34" s="434"/>
      <c r="AW34" s="434"/>
      <c r="AX34" s="434"/>
      <c r="AY34" s="434"/>
      <c r="AZ34" s="433"/>
      <c r="BA34" s="423"/>
      <c r="BB34" s="134"/>
      <c r="BC34" s="134"/>
      <c r="BD34" s="134"/>
      <c r="BE34" s="134"/>
      <c r="BF34" s="134"/>
      <c r="BG34" s="134"/>
      <c r="BH34" s="134"/>
      <c r="BI34" s="134"/>
      <c r="BJ34" s="134"/>
      <c r="BK34" s="157"/>
      <c r="BL34" s="158"/>
      <c r="BM34" s="159"/>
      <c r="BN34" s="159"/>
      <c r="BO34" s="159"/>
      <c r="BP34" s="159"/>
      <c r="BQ34" s="159"/>
      <c r="BR34" s="159"/>
      <c r="BS34" s="159"/>
      <c r="BT34" s="159"/>
      <c r="BU34" s="159"/>
      <c r="BV34" s="159"/>
      <c r="BW34" s="159"/>
      <c r="BX34" s="159"/>
      <c r="BY34" s="159"/>
      <c r="BZ34" s="159"/>
      <c r="CA34" s="159"/>
      <c r="CN34" s="100"/>
    </row>
    <row r="35" spans="1:92" ht="6" customHeight="1" thickBot="1">
      <c r="O35" s="404"/>
      <c r="X35" s="101"/>
      <c r="AC35" s="101"/>
      <c r="AD35" s="101"/>
      <c r="AO35" s="99" t="s">
        <v>1220</v>
      </c>
      <c r="AR35" s="129"/>
      <c r="AS35" s="432"/>
      <c r="AT35" s="432"/>
      <c r="AU35" s="443"/>
      <c r="AV35" s="432"/>
      <c r="AW35" s="432"/>
      <c r="AX35" s="432"/>
      <c r="AY35" s="432"/>
      <c r="AZ35" s="429"/>
    </row>
    <row r="36" spans="1:92" ht="30" customHeight="1" thickBot="1">
      <c r="B36" s="833" t="s">
        <v>589</v>
      </c>
      <c r="C36" s="833"/>
      <c r="D36" s="833"/>
      <c r="E36" s="917" t="s">
        <v>1181</v>
      </c>
      <c r="F36" s="918"/>
      <c r="G36" s="919"/>
      <c r="H36" s="838" t="s">
        <v>596</v>
      </c>
      <c r="I36" s="838"/>
      <c r="J36" s="838"/>
      <c r="K36" s="838"/>
      <c r="L36" s="838" t="s">
        <v>591</v>
      </c>
      <c r="M36" s="838"/>
      <c r="N36" s="838"/>
      <c r="P36" s="391">
        <v>9</v>
      </c>
      <c r="Q36" s="293" t="s">
        <v>1109</v>
      </c>
      <c r="R36" s="468">
        <f>VLOOKUP(P36,TAD,5,FALSE)</f>
        <v>5</v>
      </c>
      <c r="S36" s="281">
        <f>IF(AE30=0,-1,5)</f>
        <v>5</v>
      </c>
      <c r="T36" s="471">
        <f>VLOOKUP(P36,TAD,6,FALSE)</f>
        <v>4</v>
      </c>
      <c r="U36" s="283">
        <f>IF(AE30=0,-1,5)</f>
        <v>5</v>
      </c>
      <c r="V36" s="468">
        <f>VLOOKUP(P36,TAD,7,FALSE)</f>
        <v>4</v>
      </c>
      <c r="W36" s="281">
        <f>IF(AE30=0,-1,5)</f>
        <v>5</v>
      </c>
      <c r="AO36" s="99" t="s">
        <v>1221</v>
      </c>
      <c r="AR36" s="129"/>
      <c r="AS36" s="432" t="s">
        <v>1987</v>
      </c>
      <c r="AT36" s="432" t="s">
        <v>1988</v>
      </c>
      <c r="AU36" s="441">
        <f>IF(B32=AT36,0,1)</f>
        <v>0</v>
      </c>
      <c r="AV36" s="432"/>
      <c r="AW36" s="432"/>
      <c r="AX36" s="432"/>
      <c r="AY36" s="432"/>
      <c r="AZ36" s="429"/>
      <c r="BN36" s="330">
        <f>H37</f>
        <v>0</v>
      </c>
      <c r="BO36" s="330">
        <f>H38</f>
        <v>0</v>
      </c>
      <c r="BP36" s="330">
        <f>H39</f>
        <v>0</v>
      </c>
      <c r="BQ36" s="330">
        <f>H40</f>
        <v>0</v>
      </c>
    </row>
    <row r="37" spans="1:92" ht="15" customHeight="1" thickBot="1">
      <c r="B37" s="418" t="s">
        <v>590</v>
      </c>
      <c r="C37" s="818"/>
      <c r="D37" s="820"/>
      <c r="E37" s="920">
        <f>IF($AU$18=0,0,IF(X37=0,0,L37/(H37+L37)))</f>
        <v>0</v>
      </c>
      <c r="F37" s="921"/>
      <c r="G37" s="922"/>
      <c r="H37" s="865">
        <f>SUM(L60:L64)</f>
        <v>0</v>
      </c>
      <c r="I37" s="865"/>
      <c r="J37" s="865"/>
      <c r="K37" s="865"/>
      <c r="L37" s="865">
        <f>SUM(X110:X119)</f>
        <v>0</v>
      </c>
      <c r="M37" s="865"/>
      <c r="N37" s="865"/>
      <c r="P37" s="391">
        <v>10</v>
      </c>
      <c r="Q37" s="293" t="s">
        <v>1108</v>
      </c>
      <c r="R37" s="468">
        <f>VLOOKUP(P37,TAD,5,FALSE)</f>
        <v>0</v>
      </c>
      <c r="S37" s="282">
        <v>0</v>
      </c>
      <c r="T37" s="471">
        <f>VLOOKUP(P37,TAD,6,FALSE)</f>
        <v>2</v>
      </c>
      <c r="U37" s="280">
        <f>IF(AE9=1,5,-1)</f>
        <v>-1</v>
      </c>
      <c r="V37" s="468">
        <f>VLOOKUP(P37,TAD,7,FALSE)</f>
        <v>2</v>
      </c>
      <c r="W37" s="282">
        <f>IF(AE9=1,5,-1)</f>
        <v>-1</v>
      </c>
      <c r="X37" s="427">
        <f>H37+L37</f>
        <v>0</v>
      </c>
      <c r="AR37" s="129"/>
      <c r="AS37" s="432"/>
      <c r="AT37" s="432"/>
      <c r="AU37" s="443"/>
      <c r="AV37" s="432"/>
      <c r="AW37" s="432"/>
      <c r="AX37" s="432"/>
      <c r="AY37" s="432"/>
      <c r="AZ37" s="429"/>
      <c r="BB37" s="855" t="s">
        <v>1953</v>
      </c>
      <c r="BC37" s="855"/>
      <c r="BD37" s="855"/>
      <c r="BE37" s="855"/>
      <c r="BF37" s="855"/>
      <c r="BG37" s="855"/>
      <c r="BH37" s="855"/>
      <c r="BI37" s="855"/>
      <c r="BJ37" s="855"/>
      <c r="BM37" s="102">
        <f>IF(H37=0,1,0)</f>
        <v>1</v>
      </c>
      <c r="BN37" s="330">
        <f>L37</f>
        <v>0</v>
      </c>
      <c r="BO37" s="330">
        <f>L38</f>
        <v>0</v>
      </c>
      <c r="BP37" s="330">
        <f>L39</f>
        <v>0</v>
      </c>
      <c r="BQ37" s="330">
        <f>L40</f>
        <v>0</v>
      </c>
    </row>
    <row r="38" spans="1:92" ht="15" customHeight="1" thickBot="1">
      <c r="B38" s="418" t="s">
        <v>586</v>
      </c>
      <c r="C38" s="818"/>
      <c r="D38" s="820"/>
      <c r="E38" s="920">
        <f>IF($AU$18=0,0,IF(X38=0,0,L38/(H38+L38)))</f>
        <v>0</v>
      </c>
      <c r="F38" s="921"/>
      <c r="G38" s="922"/>
      <c r="H38" s="865">
        <f>SUM(L70:L74)</f>
        <v>0</v>
      </c>
      <c r="I38" s="865"/>
      <c r="J38" s="865"/>
      <c r="K38" s="865"/>
      <c r="L38" s="865">
        <f>SUM(X128:X137)</f>
        <v>0</v>
      </c>
      <c r="M38" s="865"/>
      <c r="N38" s="865"/>
      <c r="P38" s="391">
        <v>11</v>
      </c>
      <c r="Q38" s="281" t="s">
        <v>763</v>
      </c>
      <c r="R38" s="468">
        <f>VLOOKUP(P38,TAD,5,FALSE)</f>
        <v>1</v>
      </c>
      <c r="S38" s="281">
        <f>IF(BASE!GQ27=0,0,IF(ENERGÍA!AE27=1,5,-1))</f>
        <v>-1</v>
      </c>
      <c r="T38" s="471">
        <f>VLOOKUP(P38,TAD,6,FALSE)</f>
        <v>0</v>
      </c>
      <c r="U38" s="283">
        <v>0</v>
      </c>
      <c r="V38" s="468">
        <f>VLOOKUP(P38,TAD,7,FALSE)</f>
        <v>0</v>
      </c>
      <c r="W38" s="281">
        <v>0</v>
      </c>
      <c r="X38" s="427">
        <f t="shared" ref="X38:X40" si="17">H38+L38</f>
        <v>0</v>
      </c>
      <c r="AS38" s="431"/>
      <c r="AT38" s="431"/>
      <c r="AU38" s="431"/>
      <c r="AV38" s="431"/>
      <c r="AW38" s="431"/>
      <c r="AX38" s="431"/>
      <c r="AY38" s="431"/>
      <c r="BB38" s="855"/>
      <c r="BC38" s="855"/>
      <c r="BD38" s="855"/>
      <c r="BE38" s="855"/>
      <c r="BF38" s="855"/>
      <c r="BG38" s="855"/>
      <c r="BH38" s="855"/>
      <c r="BI38" s="855"/>
      <c r="BJ38" s="855"/>
      <c r="BM38" s="102">
        <f>IF(H38=0,1,0)</f>
        <v>1</v>
      </c>
      <c r="BN38" s="136">
        <f>E37</f>
        <v>0</v>
      </c>
      <c r="BO38" s="136">
        <f>E38</f>
        <v>0</v>
      </c>
      <c r="BP38" s="136">
        <f>E39</f>
        <v>0</v>
      </c>
      <c r="BQ38" s="136">
        <f>E40</f>
        <v>0</v>
      </c>
    </row>
    <row r="39" spans="1:92" ht="15" customHeight="1" thickBot="1">
      <c r="B39" s="418" t="s">
        <v>587</v>
      </c>
      <c r="C39" s="818"/>
      <c r="D39" s="820"/>
      <c r="E39" s="920">
        <f>IF($AU$18=0,0,IF(X39=0,0,L39/(H39+L39)))</f>
        <v>0</v>
      </c>
      <c r="F39" s="921"/>
      <c r="G39" s="922"/>
      <c r="H39" s="865">
        <f>SUM(L80:L84)</f>
        <v>0</v>
      </c>
      <c r="I39" s="865"/>
      <c r="J39" s="865"/>
      <c r="K39" s="865"/>
      <c r="L39" s="865">
        <f>SUM(X146:X155)</f>
        <v>0</v>
      </c>
      <c r="M39" s="865"/>
      <c r="N39" s="865"/>
      <c r="P39" s="391">
        <v>12</v>
      </c>
      <c r="Q39" s="281" t="s">
        <v>1137</v>
      </c>
      <c r="R39" s="468">
        <f>VLOOKUP(P39,TAD,5,FALSE)</f>
        <v>0</v>
      </c>
      <c r="S39" s="281">
        <v>0</v>
      </c>
      <c r="T39" s="471">
        <f>VLOOKUP(P39,TAD,6,FALSE)</f>
        <v>2</v>
      </c>
      <c r="U39" s="283">
        <f>IF(AV18=0,0,IF(AE32=1,5,-1))</f>
        <v>0</v>
      </c>
      <c r="V39" s="468">
        <f>VLOOKUP(P39,TAD,7,FALSE)</f>
        <v>2</v>
      </c>
      <c r="W39" s="281">
        <f>IF(AV18=0,0,IF(AE32=1,5,-1))</f>
        <v>0</v>
      </c>
      <c r="X39" s="427">
        <f t="shared" si="17"/>
        <v>0</v>
      </c>
      <c r="BB39" s="855"/>
      <c r="BC39" s="855"/>
      <c r="BD39" s="855"/>
      <c r="BE39" s="855"/>
      <c r="BF39" s="855"/>
      <c r="BG39" s="855"/>
      <c r="BH39" s="855"/>
      <c r="BI39" s="855"/>
      <c r="BJ39" s="855"/>
      <c r="BM39" s="102">
        <f>IF(H39=0,1,0)</f>
        <v>1</v>
      </c>
    </row>
    <row r="40" spans="1:92" ht="15" customHeight="1" thickBot="1">
      <c r="B40" s="418" t="s">
        <v>588</v>
      </c>
      <c r="C40" s="818"/>
      <c r="D40" s="820"/>
      <c r="E40" s="920">
        <f>IF($AU$18=0,0,IF(X40=0,0,L40/(H40+L40)))</f>
        <v>0</v>
      </c>
      <c r="F40" s="921"/>
      <c r="G40" s="922"/>
      <c r="H40" s="865">
        <f>SUM(L90:L94)</f>
        <v>0</v>
      </c>
      <c r="I40" s="865"/>
      <c r="J40" s="865"/>
      <c r="K40" s="865"/>
      <c r="L40" s="865">
        <f>SUM(X164:X173)</f>
        <v>0</v>
      </c>
      <c r="M40" s="865"/>
      <c r="N40" s="865"/>
      <c r="T40" s="99"/>
      <c r="U40" s="99"/>
      <c r="V40" s="99"/>
      <c r="X40" s="427">
        <f t="shared" si="17"/>
        <v>0</v>
      </c>
      <c r="BB40" s="855"/>
      <c r="BC40" s="855"/>
      <c r="BD40" s="855"/>
      <c r="BE40" s="855"/>
      <c r="BF40" s="855"/>
      <c r="BG40" s="855"/>
      <c r="BH40" s="855"/>
      <c r="BI40" s="855"/>
      <c r="BJ40" s="855"/>
      <c r="BM40" s="102">
        <f>IF(H40=0,1,0)</f>
        <v>1</v>
      </c>
    </row>
    <row r="41" spans="1:92" ht="6" customHeight="1" thickBot="1">
      <c r="B41" s="355"/>
      <c r="C41" s="355"/>
      <c r="D41" s="421"/>
      <c r="E41" s="356"/>
      <c r="F41" s="356"/>
      <c r="G41" s="356"/>
      <c r="H41" s="356"/>
      <c r="I41" s="356"/>
      <c r="J41" s="356"/>
      <c r="K41" s="459"/>
      <c r="L41" s="459"/>
      <c r="M41" s="459"/>
      <c r="P41" s="923" t="s">
        <v>12</v>
      </c>
      <c r="Q41" s="908">
        <f>VLOOKUP(C4,CLIMA,15,FALSE)</f>
        <v>0</v>
      </c>
    </row>
    <row r="42" spans="1:92" ht="15" customHeight="1" thickBot="1">
      <c r="B42" s="418" t="s">
        <v>987</v>
      </c>
      <c r="C42" s="818"/>
      <c r="D42" s="819"/>
      <c r="E42" s="819"/>
      <c r="F42" s="819"/>
      <c r="G42" s="819"/>
      <c r="H42" s="819"/>
      <c r="I42" s="819"/>
      <c r="J42" s="819"/>
      <c r="K42" s="819"/>
      <c r="L42" s="819"/>
      <c r="M42" s="819"/>
      <c r="N42" s="820"/>
      <c r="P42" s="923"/>
      <c r="Q42" s="908"/>
      <c r="R42" s="149"/>
      <c r="Y42" s="161"/>
      <c r="AB42" s="127"/>
      <c r="BB42" s="855" t="s">
        <v>1954</v>
      </c>
      <c r="BC42" s="855"/>
      <c r="BD42" s="855"/>
      <c r="BE42" s="855"/>
      <c r="BF42" s="855"/>
      <c r="BG42" s="855"/>
      <c r="BH42" s="855"/>
      <c r="BI42" s="855"/>
      <c r="BJ42" s="855"/>
      <c r="BM42" s="102">
        <f>AVERAGE(BM37:BM40)</f>
        <v>1</v>
      </c>
    </row>
    <row r="43" spans="1:92" ht="6" customHeight="1" thickBot="1">
      <c r="P43" s="246"/>
      <c r="Q43" s="99"/>
      <c r="T43" s="99"/>
      <c r="U43" s="99"/>
      <c r="V43" s="99"/>
    </row>
    <row r="44" spans="1:92" s="101" customFormat="1" ht="30" customHeight="1" thickBot="1">
      <c r="A44" s="453"/>
      <c r="B44" s="840" t="s">
        <v>1913</v>
      </c>
      <c r="C44" s="840"/>
      <c r="D44" s="840"/>
      <c r="E44" s="840"/>
      <c r="F44" s="840"/>
      <c r="G44" s="840"/>
      <c r="H44" s="840"/>
      <c r="I44" s="840"/>
      <c r="J44" s="840"/>
      <c r="K44" s="840"/>
      <c r="L44" s="840"/>
      <c r="M44" s="840"/>
      <c r="N44" s="840"/>
      <c r="O44" s="458"/>
      <c r="P44" s="891" t="s">
        <v>592</v>
      </c>
      <c r="Q44" s="892"/>
      <c r="R44" s="892"/>
      <c r="S44" s="892"/>
      <c r="T44" s="892"/>
      <c r="U44" s="892"/>
      <c r="V44" s="892"/>
      <c r="W44" s="892"/>
      <c r="X44" s="893"/>
      <c r="Z44" s="1058" t="s">
        <v>894</v>
      </c>
      <c r="AA44" s="1058"/>
      <c r="AB44" s="1058"/>
      <c r="AC44" s="1058"/>
      <c r="AD44" s="1058"/>
      <c r="AE44" s="1058"/>
      <c r="AF44" s="1058"/>
      <c r="AG44" s="1058"/>
      <c r="AI44" s="1055" t="s">
        <v>762</v>
      </c>
      <c r="AJ44" s="1056"/>
      <c r="AK44" s="1056"/>
      <c r="AL44" s="1057"/>
      <c r="AZ44" s="156"/>
      <c r="BA44" s="423"/>
      <c r="BB44" s="134"/>
      <c r="BC44" s="134"/>
      <c r="BD44" s="134"/>
      <c r="BE44" s="134"/>
      <c r="BF44" s="134"/>
      <c r="BG44" s="134"/>
      <c r="BH44" s="134"/>
      <c r="BI44" s="134"/>
      <c r="BJ44" s="134"/>
      <c r="BK44" s="157"/>
      <c r="BL44" s="158"/>
      <c r="BM44" s="159"/>
      <c r="BN44" s="159"/>
      <c r="BO44" s="159"/>
      <c r="BP44" s="159"/>
      <c r="BQ44" s="159"/>
      <c r="BR44" s="159"/>
      <c r="BS44" s="159"/>
      <c r="BT44" s="159"/>
      <c r="BU44" s="159"/>
      <c r="BV44" s="159"/>
      <c r="BW44" s="159"/>
      <c r="BX44" s="159"/>
      <c r="BY44" s="159"/>
      <c r="BZ44" s="159"/>
      <c r="CA44" s="159"/>
      <c r="CB44" s="159"/>
    </row>
    <row r="45" spans="1:92" ht="6" customHeight="1" thickBot="1">
      <c r="P45" s="246"/>
      <c r="Q45" s="127"/>
      <c r="R45" s="100"/>
      <c r="S45" s="100"/>
    </row>
    <row r="46" spans="1:92" ht="20" customHeight="1" thickBot="1">
      <c r="B46" s="812" t="s">
        <v>218</v>
      </c>
      <c r="C46" s="812"/>
      <c r="D46" s="812"/>
      <c r="E46" s="812"/>
      <c r="F46" s="812"/>
      <c r="G46" s="812"/>
      <c r="H46" s="812"/>
      <c r="I46" s="812"/>
      <c r="J46" s="812"/>
      <c r="K46" s="812"/>
      <c r="L46" s="812"/>
      <c r="M46" s="812"/>
      <c r="N46" s="812"/>
      <c r="P46" s="845" t="s">
        <v>218</v>
      </c>
      <c r="Q46" s="846"/>
      <c r="R46" s="846"/>
      <c r="S46" s="846"/>
      <c r="T46" s="846"/>
      <c r="U46" s="846"/>
      <c r="V46" s="846"/>
      <c r="W46" s="846"/>
      <c r="X46" s="847"/>
      <c r="Z46" s="964" t="s">
        <v>1139</v>
      </c>
      <c r="AA46" s="964"/>
      <c r="AB46" s="964"/>
      <c r="AC46" s="964"/>
      <c r="AD46" s="964"/>
      <c r="AE46" s="162" t="s">
        <v>999</v>
      </c>
      <c r="AF46" s="162"/>
      <c r="AG46" s="277">
        <f>AG48</f>
        <v>0</v>
      </c>
      <c r="AI46" s="293"/>
      <c r="AJ46" s="293" t="s">
        <v>996</v>
      </c>
      <c r="AK46" s="293" t="s">
        <v>1519</v>
      </c>
      <c r="AL46" s="293" t="s">
        <v>1520</v>
      </c>
      <c r="BB46" s="855" t="s">
        <v>1482</v>
      </c>
      <c r="BC46" s="855"/>
      <c r="BD46" s="855"/>
      <c r="BE46" s="855"/>
      <c r="BF46" s="855"/>
      <c r="BG46" s="855"/>
      <c r="BH46" s="855"/>
      <c r="BI46" s="855"/>
      <c r="BJ46" s="855"/>
    </row>
    <row r="47" spans="1:92" ht="6" customHeight="1" thickBot="1">
      <c r="E47" s="332"/>
      <c r="F47" s="332"/>
      <c r="P47" s="246"/>
      <c r="Q47" s="127"/>
      <c r="R47" s="100"/>
      <c r="S47" s="100"/>
      <c r="V47" s="102"/>
      <c r="Z47" s="102"/>
      <c r="AI47" s="99"/>
      <c r="AJ47" s="99"/>
      <c r="AK47" s="99"/>
      <c r="AL47" s="99"/>
      <c r="BB47" s="855"/>
      <c r="BC47" s="855"/>
      <c r="BD47" s="855"/>
      <c r="BE47" s="855"/>
      <c r="BF47" s="855"/>
      <c r="BG47" s="855"/>
      <c r="BH47" s="855"/>
      <c r="BI47" s="855"/>
      <c r="BJ47" s="855"/>
    </row>
    <row r="48" spans="1:92" s="161" customFormat="1" ht="15" customHeight="1" thickBot="1">
      <c r="A48" s="460"/>
      <c r="B48" s="512"/>
      <c r="C48" s="869" t="s">
        <v>222</v>
      </c>
      <c r="D48" s="870"/>
      <c r="E48" s="870"/>
      <c r="F48" s="870"/>
      <c r="G48" s="870"/>
      <c r="H48" s="870"/>
      <c r="I48" s="871"/>
      <c r="J48" s="838" t="s">
        <v>1788</v>
      </c>
      <c r="K48" s="838"/>
      <c r="L48" s="838" t="s">
        <v>594</v>
      </c>
      <c r="M48" s="838" t="s">
        <v>1356</v>
      </c>
      <c r="N48" s="830" t="s">
        <v>644</v>
      </c>
      <c r="O48" s="403"/>
      <c r="P48" s="875" t="s">
        <v>1354</v>
      </c>
      <c r="Q48" s="843" t="s">
        <v>729</v>
      </c>
      <c r="R48" s="863" t="s">
        <v>849</v>
      </c>
      <c r="S48" s="863" t="s">
        <v>850</v>
      </c>
      <c r="T48" s="863" t="s">
        <v>1357</v>
      </c>
      <c r="U48" s="841" t="s">
        <v>851</v>
      </c>
      <c r="V48" s="841" t="s">
        <v>891</v>
      </c>
      <c r="W48" s="841" t="s">
        <v>1359</v>
      </c>
      <c r="Z48" s="860" t="s">
        <v>1140</v>
      </c>
      <c r="AA48" s="965">
        <f>AY94</f>
        <v>0</v>
      </c>
      <c r="AB48" s="966"/>
      <c r="AC48" s="860" t="s">
        <v>895</v>
      </c>
      <c r="AD48" s="941">
        <f>AY78</f>
        <v>-24</v>
      </c>
      <c r="AE48" s="962" t="s">
        <v>1023</v>
      </c>
      <c r="AF48" s="508"/>
      <c r="AG48" s="998">
        <f>AA48*AD48</f>
        <v>0</v>
      </c>
      <c r="AI48" s="281" t="str">
        <f>Z56</f>
        <v>Agua Caliente</v>
      </c>
      <c r="AJ48" s="281">
        <v>933</v>
      </c>
      <c r="AK48" s="281">
        <v>450</v>
      </c>
      <c r="AL48" s="281">
        <f>IF(AA56=1,15,0)</f>
        <v>0</v>
      </c>
      <c r="AZ48" s="163"/>
      <c r="BA48" s="422">
        <f>IF(SUM(L50:L52)=0,1,0)</f>
        <v>1</v>
      </c>
      <c r="BB48" s="855"/>
      <c r="BC48" s="855"/>
      <c r="BD48" s="855"/>
      <c r="BE48" s="855"/>
      <c r="BF48" s="855"/>
      <c r="BG48" s="855"/>
      <c r="BH48" s="855"/>
      <c r="BI48" s="855"/>
      <c r="BJ48" s="855"/>
      <c r="BK48" s="164"/>
      <c r="BL48" s="165"/>
      <c r="BM48" s="166"/>
      <c r="BN48" s="166"/>
      <c r="BO48" s="166"/>
      <c r="BP48" s="166"/>
      <c r="BQ48" s="166"/>
      <c r="BR48" s="166"/>
      <c r="BS48" s="166"/>
      <c r="BT48" s="166"/>
      <c r="BU48" s="166"/>
      <c r="BV48" s="166"/>
      <c r="BW48" s="166"/>
      <c r="BX48" s="166"/>
      <c r="BY48" s="166"/>
      <c r="BZ48" s="166"/>
      <c r="CA48" s="166"/>
      <c r="CB48" s="166"/>
    </row>
    <row r="49" spans="1:80" s="161" customFormat="1" ht="15" customHeight="1" thickBot="1">
      <c r="A49" s="460"/>
      <c r="B49" s="512"/>
      <c r="C49" s="872"/>
      <c r="D49" s="873"/>
      <c r="E49" s="873"/>
      <c r="F49" s="873"/>
      <c r="G49" s="873"/>
      <c r="H49" s="873"/>
      <c r="I49" s="874"/>
      <c r="J49" s="419" t="s">
        <v>749</v>
      </c>
      <c r="K49" s="419" t="s">
        <v>750</v>
      </c>
      <c r="L49" s="838"/>
      <c r="M49" s="838"/>
      <c r="N49" s="830"/>
      <c r="O49" s="403"/>
      <c r="P49" s="876"/>
      <c r="Q49" s="844"/>
      <c r="R49" s="864"/>
      <c r="S49" s="864"/>
      <c r="T49" s="864"/>
      <c r="U49" s="842"/>
      <c r="V49" s="842"/>
      <c r="W49" s="842"/>
      <c r="Z49" s="862"/>
      <c r="AA49" s="967"/>
      <c r="AB49" s="968"/>
      <c r="AC49" s="862"/>
      <c r="AD49" s="943"/>
      <c r="AE49" s="963"/>
      <c r="AF49" s="509"/>
      <c r="AG49" s="999"/>
      <c r="AZ49" s="163"/>
      <c r="BA49" s="422"/>
      <c r="BB49" s="855"/>
      <c r="BC49" s="855"/>
      <c r="BD49" s="855"/>
      <c r="BE49" s="855"/>
      <c r="BF49" s="855"/>
      <c r="BG49" s="855"/>
      <c r="BH49" s="855"/>
      <c r="BI49" s="855"/>
      <c r="BJ49" s="855"/>
      <c r="BK49" s="164"/>
      <c r="BL49" s="165"/>
      <c r="BM49" s="166"/>
      <c r="BN49" s="166"/>
      <c r="BO49" s="166"/>
      <c r="BP49" s="166"/>
      <c r="BQ49" s="166"/>
      <c r="BR49" s="166"/>
      <c r="BS49" s="166"/>
      <c r="BT49" s="166"/>
      <c r="BU49" s="166"/>
      <c r="BV49" s="166"/>
      <c r="BW49" s="166"/>
      <c r="BX49" s="166"/>
      <c r="BY49" s="166"/>
      <c r="BZ49" s="166"/>
      <c r="CA49" s="166"/>
      <c r="CB49" s="166"/>
    </row>
    <row r="50" spans="1:80" ht="15" customHeight="1" thickBot="1">
      <c r="B50" s="490" t="s">
        <v>228</v>
      </c>
      <c r="C50" s="852"/>
      <c r="D50" s="853"/>
      <c r="E50" s="853"/>
      <c r="F50" s="853"/>
      <c r="G50" s="853"/>
      <c r="H50" s="853"/>
      <c r="I50" s="854"/>
      <c r="J50" s="420" t="str">
        <f>IF(L50=0,"-",VLOOKUP(VLOOKUP(C50,TECHOSm,2,FALSE),KTECHOI,2,TRUE))</f>
        <v>-</v>
      </c>
      <c r="K50" s="420" t="str">
        <f>IF(L50=0,"-",VLOOKUP(VLOOKUP(C50,TECHOSm,3,FALSE),KTECHOV,2,TRUE))</f>
        <v>-</v>
      </c>
      <c r="L50" s="417"/>
      <c r="M50" s="412"/>
      <c r="N50" s="395"/>
      <c r="P50" s="392">
        <f>IF(L50=0,0,VLOOKUP(M50,adyacentem,2,FALSE))</f>
        <v>0</v>
      </c>
      <c r="Q50" s="276">
        <f>IF(L50=0,0,IF(M50=BASE!$DA$7,VLOOKUP(N50,COLORESEXT,2,FALSE),0))</f>
        <v>0</v>
      </c>
      <c r="R50" s="167">
        <f>IF(L50&gt;0,VLOOKUP(C50,TECHOSm,2,FALSE),0)</f>
        <v>0</v>
      </c>
      <c r="S50" s="222">
        <f>R50*L50</f>
        <v>0</v>
      </c>
      <c r="T50" s="222">
        <f>IF(L50=0,0,(P50*S50))</f>
        <v>0</v>
      </c>
      <c r="U50" s="333">
        <f>VLOOKUP(C50,TECHOSm,3,FALSE)</f>
        <v>0</v>
      </c>
      <c r="V50" s="333">
        <f>U50*L50</f>
        <v>0</v>
      </c>
      <c r="W50" s="333">
        <f>IF(L50=0,0,V50*P50)</f>
        <v>0</v>
      </c>
      <c r="X50" s="127"/>
      <c r="Y50" s="99">
        <f>IF(L50&gt;0,1,0)</f>
        <v>0</v>
      </c>
      <c r="AI50" s="281" t="str">
        <f>Z58</f>
        <v>Cocina</v>
      </c>
      <c r="AJ50" s="281">
        <v>977</v>
      </c>
      <c r="AK50" s="281">
        <v>472</v>
      </c>
      <c r="AL50" s="281">
        <f>IF(AA58=1,15,0)</f>
        <v>15</v>
      </c>
      <c r="BB50" s="855"/>
      <c r="BC50" s="855"/>
      <c r="BD50" s="855"/>
      <c r="BE50" s="855"/>
      <c r="BF50" s="855"/>
      <c r="BG50" s="855"/>
      <c r="BH50" s="855"/>
      <c r="BI50" s="855"/>
      <c r="BJ50" s="855"/>
    </row>
    <row r="51" spans="1:80" ht="15" customHeight="1" thickBot="1">
      <c r="B51" s="490" t="s">
        <v>229</v>
      </c>
      <c r="C51" s="852"/>
      <c r="D51" s="853"/>
      <c r="E51" s="853"/>
      <c r="F51" s="853"/>
      <c r="G51" s="853"/>
      <c r="H51" s="853"/>
      <c r="I51" s="854"/>
      <c r="J51" s="420" t="str">
        <f>IF(L51=0,"-",VLOOKUP(VLOOKUP(C51,TECHOSm,2,FALSE),KTECHOI,2,TRUE))</f>
        <v>-</v>
      </c>
      <c r="K51" s="420" t="str">
        <f>IF(L51=0,"-",VLOOKUP(VLOOKUP(C51,TECHOSm,3,FALSE),KTECHOV,2,TRUE))</f>
        <v>-</v>
      </c>
      <c r="L51" s="417"/>
      <c r="M51" s="412"/>
      <c r="N51" s="395"/>
      <c r="P51" s="392">
        <f>IF(L51=0,0,VLOOKUP(M51,adyacentem,2,FALSE))</f>
        <v>0</v>
      </c>
      <c r="Q51" s="276">
        <f>IF(L51=0,0,IF(M51=BASE!$DA$7,VLOOKUP(N51,COLORESEXT,2,FALSE),0))</f>
        <v>0</v>
      </c>
      <c r="R51" s="167">
        <f>IF(L51&gt;0,VLOOKUP(C51,TECHOSm,2,FALSE),0)</f>
        <v>0</v>
      </c>
      <c r="S51" s="222">
        <f>R51*L51</f>
        <v>0</v>
      </c>
      <c r="T51" s="222">
        <f>IF(L51=0,0,(P51*S51))</f>
        <v>0</v>
      </c>
      <c r="U51" s="333">
        <f>VLOOKUP(C51,TECHOSm,3,FALSE)</f>
        <v>0</v>
      </c>
      <c r="V51" s="333">
        <f>U51*L51</f>
        <v>0</v>
      </c>
      <c r="W51" s="333">
        <f>IF(L51=0,0,V51*P51)</f>
        <v>0</v>
      </c>
      <c r="X51" s="127"/>
      <c r="Y51" s="99">
        <f>IF(L51&gt;0,1,0)</f>
        <v>0</v>
      </c>
      <c r="Z51" s="964" t="s">
        <v>1000</v>
      </c>
      <c r="AA51" s="964"/>
      <c r="AB51" s="964"/>
      <c r="AC51" s="964"/>
      <c r="AD51" s="964"/>
      <c r="AE51" s="162" t="s">
        <v>999</v>
      </c>
      <c r="AF51" s="162"/>
      <c r="AG51" s="277">
        <f>AG70+AE64+AG56+AA64</f>
        <v>366.75</v>
      </c>
      <c r="AI51" s="281" t="str">
        <f>Z60</f>
        <v>Lavarropa</v>
      </c>
      <c r="AJ51" s="281">
        <v>300</v>
      </c>
      <c r="AK51" s="281">
        <v>0</v>
      </c>
      <c r="AL51" s="281">
        <f>IF(AA60=1,9,0)</f>
        <v>9</v>
      </c>
      <c r="BB51" s="855"/>
      <c r="BC51" s="855"/>
      <c r="BD51" s="855"/>
      <c r="BE51" s="855"/>
      <c r="BF51" s="855"/>
      <c r="BG51" s="855"/>
      <c r="BH51" s="855"/>
      <c r="BI51" s="855"/>
      <c r="BJ51" s="855"/>
    </row>
    <row r="52" spans="1:80" ht="15" customHeight="1" thickBot="1">
      <c r="B52" s="490" t="s">
        <v>1942</v>
      </c>
      <c r="C52" s="925" t="str">
        <f>IF('Materiales Personalizados'!B7=0,"-",'Materiales Personalizados'!B7)</f>
        <v>-</v>
      </c>
      <c r="D52" s="926"/>
      <c r="E52" s="926"/>
      <c r="F52" s="926"/>
      <c r="G52" s="926"/>
      <c r="H52" s="926"/>
      <c r="I52" s="927"/>
      <c r="J52" s="420" t="str">
        <f>IF(L52=0,"-",VLOOKUP('Materiales Personalizados'!$G$27,KTECHOI,2,TRUE))</f>
        <v>-</v>
      </c>
      <c r="K52" s="420" t="str">
        <f>IF(L52=0,"-",VLOOKUP('Materiales Personalizados'!$H$27,KTECHOV,2,TRUE))</f>
        <v>-</v>
      </c>
      <c r="L52" s="417"/>
      <c r="M52" s="412"/>
      <c r="N52" s="395"/>
      <c r="P52" s="392">
        <f>IF(L52=0,0,VLOOKUP(M52,adyacentem,2,FALSE))</f>
        <v>0</v>
      </c>
      <c r="Q52" s="276">
        <f>IF(L52=0,0,IF(M52=BASE!$DA$7,VLOOKUP(N52,COLORESEXT,2,FALSE),0))</f>
        <v>0</v>
      </c>
      <c r="R52" s="167">
        <f>IF(L52&gt;0,'Materiales Personalizados'!$G$27,0)</f>
        <v>0</v>
      </c>
      <c r="S52" s="222">
        <f>R52*L52</f>
        <v>0</v>
      </c>
      <c r="T52" s="222">
        <f>IF(L52=0,0,(P52*S52))</f>
        <v>0</v>
      </c>
      <c r="U52" s="333">
        <f>'Materiales Personalizados'!$H$27</f>
        <v>4.7619047619047619</v>
      </c>
      <c r="V52" s="333">
        <f>U52*L52</f>
        <v>0</v>
      </c>
      <c r="W52" s="333">
        <f>IF(L52=0,0,V52*P52)</f>
        <v>0</v>
      </c>
      <c r="X52" s="127"/>
      <c r="Y52" s="99">
        <f>IF(L52&gt;0,1,0)</f>
        <v>0</v>
      </c>
      <c r="Z52" s="976" t="s">
        <v>994</v>
      </c>
      <c r="AA52" s="976"/>
      <c r="AB52" s="976"/>
      <c r="AC52" s="976"/>
      <c r="AD52" s="976"/>
      <c r="AE52" s="976"/>
      <c r="AF52" s="976"/>
      <c r="AG52" s="976"/>
      <c r="AI52" s="281" t="str">
        <f>Z61</f>
        <v>Heladera</v>
      </c>
      <c r="AJ52" s="281">
        <v>310</v>
      </c>
      <c r="AK52" s="281">
        <v>0</v>
      </c>
      <c r="AL52" s="281">
        <f>IF(AA61=1,45,0)</f>
        <v>45</v>
      </c>
      <c r="BB52" s="855"/>
      <c r="BC52" s="855"/>
      <c r="BD52" s="855"/>
      <c r="BE52" s="855"/>
      <c r="BF52" s="855"/>
      <c r="BG52" s="855"/>
      <c r="BH52" s="855"/>
      <c r="BI52" s="855"/>
      <c r="BJ52" s="855"/>
    </row>
    <row r="53" spans="1:80" ht="6" customHeight="1" thickBot="1">
      <c r="P53" s="246"/>
      <c r="Q53" s="127"/>
      <c r="R53" s="100"/>
      <c r="S53" s="100"/>
      <c r="W53" s="100"/>
      <c r="Y53" s="99">
        <f>IF(K53&gt;0,1,0)</f>
        <v>0</v>
      </c>
      <c r="AI53" s="99"/>
      <c r="AJ53" s="99"/>
      <c r="AK53" s="99"/>
      <c r="AL53" s="99"/>
      <c r="BB53" s="334"/>
      <c r="BC53" s="334"/>
      <c r="BD53" s="334"/>
      <c r="BE53" s="334"/>
      <c r="BF53" s="334"/>
      <c r="BG53" s="334"/>
      <c r="BH53" s="334"/>
      <c r="BI53" s="334"/>
      <c r="BJ53" s="334"/>
    </row>
    <row r="54" spans="1:80" ht="20" customHeight="1" thickBot="1">
      <c r="B54" s="812" t="s">
        <v>219</v>
      </c>
      <c r="C54" s="812"/>
      <c r="D54" s="812"/>
      <c r="E54" s="812"/>
      <c r="F54" s="812"/>
      <c r="G54" s="812"/>
      <c r="H54" s="812"/>
      <c r="I54" s="812"/>
      <c r="J54" s="812"/>
      <c r="K54" s="812"/>
      <c r="L54" s="812"/>
      <c r="M54" s="812"/>
      <c r="N54" s="812"/>
      <c r="P54" s="845" t="s">
        <v>219</v>
      </c>
      <c r="Q54" s="846"/>
      <c r="R54" s="846"/>
      <c r="S54" s="846"/>
      <c r="T54" s="846"/>
      <c r="U54" s="846"/>
      <c r="V54" s="846"/>
      <c r="W54" s="846"/>
      <c r="X54" s="847"/>
      <c r="Y54" s="99">
        <f>IF(K54&gt;0,1,0)</f>
        <v>0</v>
      </c>
      <c r="Z54" s="281"/>
      <c r="AA54" s="281" t="s">
        <v>995</v>
      </c>
      <c r="AB54" s="281" t="s">
        <v>996</v>
      </c>
      <c r="AC54" s="281" t="s">
        <v>997</v>
      </c>
      <c r="AD54" s="281" t="s">
        <v>998</v>
      </c>
      <c r="AE54" s="281" t="s">
        <v>898</v>
      </c>
      <c r="AF54" s="492"/>
      <c r="AG54" s="168" t="s">
        <v>1023</v>
      </c>
      <c r="AL54" s="281">
        <f>SUM(AL48:AL53)</f>
        <v>69</v>
      </c>
      <c r="BB54" s="855" t="s">
        <v>1483</v>
      </c>
      <c r="BC54" s="855"/>
      <c r="BD54" s="855"/>
      <c r="BE54" s="855"/>
      <c r="BF54" s="855"/>
      <c r="BG54" s="855"/>
      <c r="BH54" s="855"/>
      <c r="BI54" s="855"/>
      <c r="BJ54" s="855"/>
    </row>
    <row r="55" spans="1:80" ht="6" customHeight="1" thickBot="1">
      <c r="E55" s="332"/>
      <c r="F55" s="332"/>
      <c r="L55" s="332"/>
      <c r="M55" s="332"/>
      <c r="P55" s="246"/>
      <c r="R55" s="100"/>
      <c r="S55" s="100"/>
      <c r="W55" s="100"/>
      <c r="Y55" s="99">
        <f>IF(K55&gt;0,1,0)</f>
        <v>0</v>
      </c>
      <c r="AI55" s="99"/>
      <c r="AJ55" s="99"/>
      <c r="AK55" s="99"/>
      <c r="AL55" s="99"/>
      <c r="BA55" s="422"/>
      <c r="BB55" s="855"/>
      <c r="BC55" s="855"/>
      <c r="BD55" s="855"/>
      <c r="BE55" s="855"/>
      <c r="BF55" s="855"/>
      <c r="BG55" s="855"/>
      <c r="BH55" s="855"/>
      <c r="BI55" s="855"/>
      <c r="BJ55" s="855"/>
    </row>
    <row r="56" spans="1:80" ht="15" customHeight="1" thickBot="1">
      <c r="B56" s="833">
        <f>C37</f>
        <v>0</v>
      </c>
      <c r="C56" s="833"/>
      <c r="D56" s="833"/>
      <c r="E56" s="833"/>
      <c r="F56" s="833"/>
      <c r="G56" s="833"/>
      <c r="H56" s="833"/>
      <c r="I56" s="833"/>
      <c r="J56" s="833"/>
      <c r="K56" s="833"/>
      <c r="L56" s="833"/>
      <c r="M56" s="833"/>
      <c r="N56" s="833"/>
      <c r="P56" s="845">
        <f>B56</f>
        <v>0</v>
      </c>
      <c r="Q56" s="846"/>
      <c r="R56" s="846"/>
      <c r="S56" s="846"/>
      <c r="T56" s="846"/>
      <c r="U56" s="846"/>
      <c r="V56" s="846"/>
      <c r="W56" s="846"/>
      <c r="X56" s="847"/>
      <c r="Y56" s="99">
        <f>IF(K56&gt;0,1,0)</f>
        <v>0</v>
      </c>
      <c r="Z56" s="275" t="s">
        <v>618</v>
      </c>
      <c r="AA56" s="281">
        <f>IF(AB237&gt;1,1,0)</f>
        <v>0</v>
      </c>
      <c r="AB56" s="287">
        <v>933</v>
      </c>
      <c r="AC56" s="287">
        <v>25</v>
      </c>
      <c r="AD56" s="281">
        <f>AB56*AC56/100</f>
        <v>233.25</v>
      </c>
      <c r="AE56" s="281">
        <f>AD56*AA56</f>
        <v>0</v>
      </c>
      <c r="AF56" s="492"/>
      <c r="AG56" s="977">
        <f>SUM(AE56:AE61)</f>
        <v>366.75</v>
      </c>
      <c r="AI56" s="283" t="s">
        <v>1522</v>
      </c>
      <c r="AJ56" s="284">
        <f>SUM(H37:K40)</f>
        <v>0</v>
      </c>
      <c r="AK56" s="284">
        <f>SUM(X60:X94)</f>
        <v>0</v>
      </c>
      <c r="AL56" s="283">
        <f>IF(AJ56=AK56,0,((AK56*100)/AJ56)/1000)</f>
        <v>0</v>
      </c>
      <c r="BA56" s="422">
        <f>IF(BM42&gt;0,1,0)</f>
        <v>1</v>
      </c>
      <c r="BB56" s="855"/>
      <c r="BC56" s="855"/>
      <c r="BD56" s="855"/>
      <c r="BE56" s="855"/>
      <c r="BF56" s="855"/>
      <c r="BG56" s="855"/>
      <c r="BH56" s="855"/>
      <c r="BI56" s="855"/>
      <c r="BJ56" s="855"/>
    </row>
    <row r="57" spans="1:80" ht="6" customHeight="1" thickBot="1">
      <c r="E57" s="332"/>
      <c r="F57" s="332"/>
      <c r="M57" s="332"/>
      <c r="P57" s="246"/>
      <c r="Q57" s="127"/>
      <c r="R57" s="100"/>
      <c r="S57" s="100"/>
      <c r="W57" s="100"/>
      <c r="Y57" s="99">
        <f>IF(K57&gt;0,1,0)</f>
        <v>0</v>
      </c>
      <c r="AG57" s="977"/>
      <c r="BB57" s="855"/>
      <c r="BC57" s="855"/>
      <c r="BD57" s="855"/>
      <c r="BE57" s="855"/>
      <c r="BF57" s="855"/>
      <c r="BG57" s="855"/>
      <c r="BH57" s="855"/>
      <c r="BI57" s="855"/>
      <c r="BJ57" s="855"/>
    </row>
    <row r="58" spans="1:80" ht="15" customHeight="1" thickBot="1">
      <c r="B58" s="984"/>
      <c r="C58" s="869" t="s">
        <v>222</v>
      </c>
      <c r="D58" s="870"/>
      <c r="E58" s="870"/>
      <c r="F58" s="870"/>
      <c r="G58" s="870"/>
      <c r="H58" s="870"/>
      <c r="I58" s="871"/>
      <c r="J58" s="838" t="s">
        <v>1788</v>
      </c>
      <c r="K58" s="838"/>
      <c r="L58" s="838" t="s">
        <v>594</v>
      </c>
      <c r="M58" s="838" t="s">
        <v>1356</v>
      </c>
      <c r="N58" s="830" t="s">
        <v>644</v>
      </c>
      <c r="P58" s="875" t="s">
        <v>1354</v>
      </c>
      <c r="Q58" s="843" t="s">
        <v>729</v>
      </c>
      <c r="R58" s="863" t="s">
        <v>849</v>
      </c>
      <c r="S58" s="863" t="s">
        <v>850</v>
      </c>
      <c r="T58" s="863" t="s">
        <v>1357</v>
      </c>
      <c r="U58" s="841" t="s">
        <v>851</v>
      </c>
      <c r="V58" s="841" t="s">
        <v>891</v>
      </c>
      <c r="W58" s="841" t="s">
        <v>1359</v>
      </c>
      <c r="X58" s="843" t="s">
        <v>1358</v>
      </c>
      <c r="Y58" s="99">
        <f t="shared" ref="Y58:Y64" si="18">IF(L58&gt;0,1,0)</f>
        <v>1</v>
      </c>
      <c r="Z58" s="275" t="s">
        <v>572</v>
      </c>
      <c r="AA58" s="281">
        <f>IF(AB241&gt;1,1,0)</f>
        <v>1</v>
      </c>
      <c r="AB58" s="287">
        <v>977</v>
      </c>
      <c r="AC58" s="287">
        <v>25</v>
      </c>
      <c r="AD58" s="281">
        <f>AB58*AC58/100</f>
        <v>244.25</v>
      </c>
      <c r="AE58" s="281">
        <f>AD58*AA58</f>
        <v>244.25</v>
      </c>
      <c r="AF58" s="492"/>
      <c r="AG58" s="977"/>
      <c r="AI58" s="283" t="s">
        <v>1523</v>
      </c>
      <c r="AJ58" s="1000" t="e">
        <f>(AVERAGEIF(Y50:Y94,1,Q50:Q94))/5</f>
        <v>#DIV/0!</v>
      </c>
      <c r="AK58" s="1001"/>
      <c r="AL58" s="923"/>
      <c r="BB58" s="855"/>
      <c r="BC58" s="855"/>
      <c r="BD58" s="855"/>
      <c r="BE58" s="855"/>
      <c r="BF58" s="855"/>
      <c r="BG58" s="855"/>
      <c r="BH58" s="855"/>
      <c r="BI58" s="855"/>
      <c r="BJ58" s="855"/>
    </row>
    <row r="59" spans="1:80" ht="15" customHeight="1" thickBot="1">
      <c r="B59" s="985"/>
      <c r="C59" s="872"/>
      <c r="D59" s="873"/>
      <c r="E59" s="873"/>
      <c r="F59" s="873"/>
      <c r="G59" s="873"/>
      <c r="H59" s="873"/>
      <c r="I59" s="874"/>
      <c r="J59" s="466" t="s">
        <v>749</v>
      </c>
      <c r="K59" s="466" t="s">
        <v>750</v>
      </c>
      <c r="L59" s="838"/>
      <c r="M59" s="838"/>
      <c r="N59" s="830"/>
      <c r="P59" s="876"/>
      <c r="Q59" s="844"/>
      <c r="R59" s="864"/>
      <c r="S59" s="864"/>
      <c r="T59" s="864"/>
      <c r="U59" s="842"/>
      <c r="V59" s="842"/>
      <c r="W59" s="842"/>
      <c r="X59" s="844"/>
      <c r="Y59" s="99">
        <f t="shared" si="18"/>
        <v>0</v>
      </c>
      <c r="Z59" s="99"/>
      <c r="AA59" s="99"/>
      <c r="AB59" s="99"/>
      <c r="AC59" s="99"/>
      <c r="AD59" s="99"/>
      <c r="AE59" s="99"/>
      <c r="AF59" s="99"/>
      <c r="AG59" s="977"/>
      <c r="AI59" s="283"/>
      <c r="AJ59" s="335"/>
      <c r="AK59" s="336"/>
      <c r="AL59" s="337"/>
      <c r="BB59" s="855"/>
      <c r="BC59" s="855"/>
      <c r="BD59" s="855"/>
      <c r="BE59" s="855"/>
      <c r="BF59" s="855"/>
      <c r="BG59" s="855"/>
      <c r="BH59" s="855"/>
      <c r="BI59" s="855"/>
      <c r="BJ59" s="855"/>
    </row>
    <row r="60" spans="1:80" ht="15" customHeight="1" thickBot="1">
      <c r="B60" s="490" t="s">
        <v>1997</v>
      </c>
      <c r="C60" s="852"/>
      <c r="D60" s="853"/>
      <c r="E60" s="853"/>
      <c r="F60" s="853"/>
      <c r="G60" s="853"/>
      <c r="H60" s="853"/>
      <c r="I60" s="854"/>
      <c r="J60" s="467" t="str">
        <f>IF(L60=0,"-",VLOOKUP(VLOOKUP(C60,PAREDm,2,FALSE),KMURO,2,TRUE))</f>
        <v>-</v>
      </c>
      <c r="K60" s="467" t="str">
        <f>J60</f>
        <v>-</v>
      </c>
      <c r="L60" s="417"/>
      <c r="M60" s="578"/>
      <c r="N60" s="395"/>
      <c r="P60" s="392">
        <f>IF(L60=0,0,VLOOKUP(M60,adyacentem,2,FALSE))</f>
        <v>0</v>
      </c>
      <c r="Q60" s="281">
        <f>IF(L60=0,0,IF(M60=BASE!$DA$7,VLOOKUP(N60,COLORESEXT,2,FALSE),0))</f>
        <v>0</v>
      </c>
      <c r="R60" s="167">
        <f>IF(L60&gt;0,IF($L$295="No",VLOOKUP(C60,PAREDm,2,FALSE),IF(H302="No",VLOOKUP(C60,PAREDm,2,FALSE),0)),0)</f>
        <v>0</v>
      </c>
      <c r="S60" s="222">
        <f>R60*L60</f>
        <v>0</v>
      </c>
      <c r="T60" s="222">
        <f>IF(L60=0,0,IF($L$341="Si",0,(P60*S60)))</f>
        <v>0</v>
      </c>
      <c r="U60" s="333">
        <f>R60</f>
        <v>0</v>
      </c>
      <c r="V60" s="333">
        <f>U60*L60</f>
        <v>0</v>
      </c>
      <c r="W60" s="333">
        <f>IF(L60=0,0,IF($L$341="Si",0,(P60*V60)))</f>
        <v>0</v>
      </c>
      <c r="X60" s="276">
        <f>IF(M60=BASE!$DA$7,L60,0)</f>
        <v>0</v>
      </c>
      <c r="Y60" s="99">
        <f t="shared" si="18"/>
        <v>0</v>
      </c>
      <c r="Z60" s="275" t="s">
        <v>620</v>
      </c>
      <c r="AA60" s="281">
        <f>IF(AB242&gt;1,1,0)</f>
        <v>1</v>
      </c>
      <c r="AB60" s="287">
        <v>300</v>
      </c>
      <c r="AC60" s="287">
        <v>15</v>
      </c>
      <c r="AD60" s="281">
        <f>AB60*AC60/100</f>
        <v>45</v>
      </c>
      <c r="AE60" s="281">
        <f>AD60*AA60</f>
        <v>45</v>
      </c>
      <c r="AF60" s="492"/>
      <c r="AG60" s="977"/>
      <c r="BB60" s="855"/>
      <c r="BC60" s="855"/>
      <c r="BD60" s="855"/>
      <c r="BE60" s="855"/>
      <c r="BF60" s="855"/>
      <c r="BG60" s="855"/>
      <c r="BH60" s="855"/>
      <c r="BI60" s="855"/>
      <c r="BJ60" s="855"/>
    </row>
    <row r="61" spans="1:80" ht="15" customHeight="1" thickBot="1">
      <c r="B61" s="490" t="s">
        <v>1998</v>
      </c>
      <c r="C61" s="852"/>
      <c r="D61" s="853"/>
      <c r="E61" s="853"/>
      <c r="F61" s="853"/>
      <c r="G61" s="853"/>
      <c r="H61" s="853"/>
      <c r="I61" s="854"/>
      <c r="J61" s="467" t="str">
        <f>IF(L61=0,"-",VLOOKUP(VLOOKUP(C61,PAREDm,2,FALSE),KMURO,2,TRUE))</f>
        <v>-</v>
      </c>
      <c r="K61" s="467" t="str">
        <f t="shared" ref="K61:K64" si="19">J61</f>
        <v>-</v>
      </c>
      <c r="L61" s="417"/>
      <c r="M61" s="412"/>
      <c r="N61" s="395"/>
      <c r="P61" s="392">
        <f>IF(L61=0,0,VLOOKUP(M61,adyacentem,2,FALSE))</f>
        <v>0</v>
      </c>
      <c r="Q61" s="281">
        <f>IF(L61=0,0,IF(M61=BASE!$DA$7,VLOOKUP(N61,COLORESEXT,2,FALSE),0))</f>
        <v>0</v>
      </c>
      <c r="R61" s="167">
        <f>IF(L61&gt;0,IF($L$295="No",VLOOKUP(C61,PAREDm,2,FALSE),IF(H303="No",VLOOKUP(C61,PAREDm,2,FALSE),0)),0)</f>
        <v>0</v>
      </c>
      <c r="S61" s="222">
        <f>R61*L61</f>
        <v>0</v>
      </c>
      <c r="T61" s="222">
        <f>IF(L61=0,0,IF($L$341="Si",0,(P61*S61)))</f>
        <v>0</v>
      </c>
      <c r="U61" s="333">
        <f>R61</f>
        <v>0</v>
      </c>
      <c r="V61" s="333">
        <f>U61*L61</f>
        <v>0</v>
      </c>
      <c r="W61" s="333">
        <f>IF(L61=0,0,IF($L$341="Si",0,(P61*V61)))</f>
        <v>0</v>
      </c>
      <c r="X61" s="276">
        <f>IF(M61=BASE!$DA$7,L61,0)</f>
        <v>0</v>
      </c>
      <c r="Y61" s="99">
        <f t="shared" si="18"/>
        <v>0</v>
      </c>
      <c r="Z61" s="275" t="s">
        <v>619</v>
      </c>
      <c r="AA61" s="281">
        <f>IF(AB243&gt;1,1,0)</f>
        <v>1</v>
      </c>
      <c r="AB61" s="287">
        <v>310</v>
      </c>
      <c r="AC61" s="287">
        <v>25</v>
      </c>
      <c r="AD61" s="281">
        <f>AB61*AC61/100</f>
        <v>77.5</v>
      </c>
      <c r="AE61" s="281">
        <f>AD61*AA61</f>
        <v>77.5</v>
      </c>
      <c r="AF61" s="492"/>
      <c r="AG61" s="977"/>
      <c r="BB61" s="855"/>
      <c r="BC61" s="855"/>
      <c r="BD61" s="855"/>
      <c r="BE61" s="855"/>
      <c r="BF61" s="855"/>
      <c r="BG61" s="855"/>
      <c r="BH61" s="855"/>
      <c r="BI61" s="855"/>
      <c r="BJ61" s="855"/>
    </row>
    <row r="62" spans="1:80" ht="15" customHeight="1" thickBot="1">
      <c r="B62" s="490" t="s">
        <v>1999</v>
      </c>
      <c r="C62" s="852"/>
      <c r="D62" s="853"/>
      <c r="E62" s="853"/>
      <c r="F62" s="853"/>
      <c r="G62" s="853"/>
      <c r="H62" s="853"/>
      <c r="I62" s="854"/>
      <c r="J62" s="467" t="str">
        <f>IF(L62=0,"-",VLOOKUP(VLOOKUP(C62,PAREDm,2,FALSE),KMURO,2,TRUE))</f>
        <v>-</v>
      </c>
      <c r="K62" s="467" t="str">
        <f t="shared" si="19"/>
        <v>-</v>
      </c>
      <c r="L62" s="417"/>
      <c r="M62" s="412"/>
      <c r="N62" s="395"/>
      <c r="P62" s="392">
        <f>IF(L62=0,0,VLOOKUP(M62,adyacentem,2,FALSE))</f>
        <v>0</v>
      </c>
      <c r="Q62" s="281">
        <f>IF(L62=0,0,IF(M62=BASE!$DA$7,VLOOKUP(N62,COLORESEXT,2,FALSE),0))</f>
        <v>0</v>
      </c>
      <c r="R62" s="167">
        <f>IF(L62&gt;0,IF($L$295="No",VLOOKUP(C62,PAREDm,2,FALSE),IF(H304="No",VLOOKUP(C62,PAREDm,2,FALSE),0)),0)</f>
        <v>0</v>
      </c>
      <c r="S62" s="222">
        <f>R62*L62</f>
        <v>0</v>
      </c>
      <c r="T62" s="222">
        <f>IF(L62=0,0,IF($L$341="Si",0,(P62*S62)))</f>
        <v>0</v>
      </c>
      <c r="U62" s="333">
        <f>R62</f>
        <v>0</v>
      </c>
      <c r="V62" s="333">
        <f>U62*L62</f>
        <v>0</v>
      </c>
      <c r="W62" s="333">
        <f>IF(L62=0,0,IF($L$341="Si",0,(P62*V62)))</f>
        <v>0</v>
      </c>
      <c r="X62" s="276">
        <f>IF(M62=BASE!$DA$7,L62,0)</f>
        <v>0</v>
      </c>
      <c r="Y62" s="99">
        <f t="shared" si="18"/>
        <v>0</v>
      </c>
      <c r="Z62" s="127"/>
      <c r="BB62" s="855"/>
      <c r="BC62" s="855"/>
      <c r="BD62" s="855"/>
      <c r="BE62" s="855"/>
      <c r="BF62" s="855"/>
      <c r="BG62" s="855"/>
      <c r="BH62" s="855"/>
      <c r="BI62" s="855"/>
      <c r="BJ62" s="855"/>
    </row>
    <row r="63" spans="1:80" ht="15" customHeight="1" thickBot="1">
      <c r="B63" s="418" t="s">
        <v>1942</v>
      </c>
      <c r="C63" s="866" t="str">
        <f>IF('Materiales Personalizados'!$B$30=0,"-",'Materiales Personalizados'!$B$30)</f>
        <v>-</v>
      </c>
      <c r="D63" s="867"/>
      <c r="E63" s="867"/>
      <c r="F63" s="867"/>
      <c r="G63" s="867"/>
      <c r="H63" s="867"/>
      <c r="I63" s="868"/>
      <c r="J63" s="467" t="str">
        <f>IF(L63=0,"-",VLOOKUP('Materiales Personalizados'!$G$50,KMURO,2,TRUE))</f>
        <v>-</v>
      </c>
      <c r="K63" s="467" t="str">
        <f t="shared" si="19"/>
        <v>-</v>
      </c>
      <c r="L63" s="417"/>
      <c r="M63" s="412"/>
      <c r="N63" s="395"/>
      <c r="P63" s="392">
        <f>IF(L63=0,0,VLOOKUP(M63,adyacentem,2,FALSE))</f>
        <v>0</v>
      </c>
      <c r="Q63" s="281">
        <f>IF(L63=0,0,IF(M63=BASE!$DA$7,VLOOKUP(N63,COLORESEXT,2,FALSE),0))</f>
        <v>0</v>
      </c>
      <c r="R63" s="167">
        <f>IF(L63&gt;0,IF($L$295="No",'Materiales Personalizados'!$G$27,IF(H305="No",'Materiales Personalizados'!$G$27,0)),0)</f>
        <v>0</v>
      </c>
      <c r="S63" s="222">
        <f>R63*L63</f>
        <v>0</v>
      </c>
      <c r="T63" s="222">
        <f>IF(L63=0,0,IF($L$341="Si",0,(P63*S63)))</f>
        <v>0</v>
      </c>
      <c r="U63" s="333">
        <f>R63</f>
        <v>0</v>
      </c>
      <c r="V63" s="333">
        <f>U63*L63</f>
        <v>0</v>
      </c>
      <c r="W63" s="333">
        <f>IF(L63=0,0,IF($L$341="Si",0,(P63*V63)))</f>
        <v>0</v>
      </c>
      <c r="X63" s="276">
        <f>IF(M63=BASE!$DA$7,L63,0)</f>
        <v>0</v>
      </c>
      <c r="Y63" s="99">
        <f t="shared" si="18"/>
        <v>0</v>
      </c>
      <c r="Z63" s="986" t="s">
        <v>601</v>
      </c>
      <c r="AA63" s="986"/>
      <c r="AB63" s="127"/>
      <c r="AC63" s="127"/>
      <c r="AD63" s="986" t="s">
        <v>602</v>
      </c>
      <c r="AE63" s="986"/>
      <c r="AF63" s="510"/>
      <c r="AG63" s="127"/>
      <c r="AI63" s="1058" t="s">
        <v>1054</v>
      </c>
      <c r="AJ63" s="1058"/>
      <c r="AK63" s="1058"/>
      <c r="AL63" s="1058"/>
      <c r="AM63" s="1058"/>
      <c r="AN63" s="1058"/>
      <c r="AO63" s="1058"/>
      <c r="AP63" s="1058"/>
      <c r="AQ63" s="1058"/>
      <c r="AR63" s="1058"/>
      <c r="AS63" s="1058"/>
      <c r="AT63" s="1058"/>
      <c r="AU63" s="1058"/>
      <c r="AX63" s="154" t="s">
        <v>888</v>
      </c>
      <c r="AY63" s="169">
        <v>18</v>
      </c>
      <c r="BB63" s="855"/>
      <c r="BC63" s="855"/>
      <c r="BD63" s="855"/>
      <c r="BE63" s="855"/>
      <c r="BF63" s="855"/>
      <c r="BG63" s="855"/>
      <c r="BH63" s="855"/>
      <c r="BI63" s="855"/>
      <c r="BJ63" s="855"/>
    </row>
    <row r="64" spans="1:80" ht="15" customHeight="1" thickBot="1">
      <c r="B64" s="418" t="s">
        <v>1942</v>
      </c>
      <c r="C64" s="866" t="str">
        <f>IF('Materiales Personalizados'!$B$53=0,"-",'Materiales Personalizados'!$B$53)</f>
        <v>-</v>
      </c>
      <c r="D64" s="867"/>
      <c r="E64" s="867"/>
      <c r="F64" s="867"/>
      <c r="G64" s="867"/>
      <c r="H64" s="867"/>
      <c r="I64" s="868"/>
      <c r="J64" s="467" t="str">
        <f>IF(L64=0,"-",VLOOKUP('Materiales Personalizados'!$G$73,KMURO,2,TRUE))</f>
        <v>-</v>
      </c>
      <c r="K64" s="467" t="str">
        <f t="shared" si="19"/>
        <v>-</v>
      </c>
      <c r="L64" s="417"/>
      <c r="M64" s="412"/>
      <c r="N64" s="395"/>
      <c r="P64" s="392">
        <f>IF(L64=0,0,VLOOKUP(M64,adyacentem,2,FALSE))</f>
        <v>0</v>
      </c>
      <c r="Q64" s="281">
        <f>IF(L64=0,0,IF(M64=BASE!$DA$7,VLOOKUP(N64,COLORESEXT,2,FALSE),0))</f>
        <v>0</v>
      </c>
      <c r="R64" s="167">
        <f>IF(L64&gt;0,IF($L$295="No",VLOOKUP(C64,PAREDm,2,FALSE),IF(H306="No",VLOOKUP(C64,PAREDm,2,FALSE),0)),0)</f>
        <v>0</v>
      </c>
      <c r="S64" s="222">
        <f>R64*L64</f>
        <v>0</v>
      </c>
      <c r="T64" s="222">
        <f>IF(L64=0,0,IF($L$341="Si",0,(P64*S64)))</f>
        <v>0</v>
      </c>
      <c r="U64" s="333">
        <f>R64</f>
        <v>0</v>
      </c>
      <c r="V64" s="333">
        <f>U64*L64</f>
        <v>0</v>
      </c>
      <c r="W64" s="333">
        <f>IF(L64=0,0,IF($L$341="Si",0,(P64*V64)))</f>
        <v>0</v>
      </c>
      <c r="X64" s="276">
        <f>IF(M64=BASE!$DA$7,L64,0)</f>
        <v>0</v>
      </c>
      <c r="Y64" s="99">
        <f t="shared" si="18"/>
        <v>0</v>
      </c>
      <c r="Z64" s="170" t="s">
        <v>1023</v>
      </c>
      <c r="AA64" s="290">
        <f>(AC181*365)*0.55</f>
        <v>0</v>
      </c>
      <c r="AB64" s="127"/>
      <c r="AC64" s="127"/>
      <c r="AD64" s="170" t="s">
        <v>1023</v>
      </c>
      <c r="AE64" s="290">
        <f>AR214</f>
        <v>0</v>
      </c>
      <c r="AF64" s="503"/>
      <c r="AG64" s="127"/>
      <c r="AI64" s="339" t="s">
        <v>848</v>
      </c>
      <c r="AJ64" s="292" t="s">
        <v>823</v>
      </c>
      <c r="AK64" s="292" t="s">
        <v>824</v>
      </c>
      <c r="AL64" s="292" t="s">
        <v>825</v>
      </c>
      <c r="AM64" s="292" t="s">
        <v>826</v>
      </c>
      <c r="AN64" s="292" t="s">
        <v>827</v>
      </c>
      <c r="AO64" s="292" t="s">
        <v>828</v>
      </c>
      <c r="AP64" s="292" t="s">
        <v>829</v>
      </c>
      <c r="AQ64" s="292" t="s">
        <v>830</v>
      </c>
      <c r="AR64" s="292" t="s">
        <v>831</v>
      </c>
      <c r="AS64" s="292" t="s">
        <v>832</v>
      </c>
      <c r="AT64" s="292" t="s">
        <v>833</v>
      </c>
      <c r="AU64" s="292" t="s">
        <v>834</v>
      </c>
      <c r="AX64" s="154" t="s">
        <v>889</v>
      </c>
      <c r="AY64" s="169">
        <v>24</v>
      </c>
      <c r="BB64" s="855"/>
      <c r="BC64" s="855"/>
      <c r="BD64" s="855"/>
      <c r="BE64" s="855"/>
      <c r="BF64" s="855"/>
      <c r="BG64" s="855"/>
      <c r="BH64" s="855"/>
      <c r="BI64" s="855"/>
      <c r="BJ64" s="855"/>
    </row>
    <row r="65" spans="2:62" ht="6" customHeight="1" thickBot="1">
      <c r="M65" s="332"/>
      <c r="P65" s="246"/>
      <c r="Q65" s="127"/>
      <c r="R65" s="340"/>
      <c r="S65" s="340"/>
      <c r="T65" s="340"/>
      <c r="Y65" s="99">
        <f>IF(K65&gt;0,1,0)</f>
        <v>0</v>
      </c>
      <c r="Z65" s="127"/>
      <c r="AA65" s="127"/>
      <c r="AB65" s="127"/>
      <c r="AC65" s="127"/>
      <c r="AD65" s="127"/>
      <c r="AE65" s="127"/>
      <c r="AF65" s="127"/>
      <c r="AG65" s="127"/>
      <c r="BB65" s="855"/>
      <c r="BC65" s="855"/>
      <c r="BD65" s="855"/>
      <c r="BE65" s="855"/>
      <c r="BF65" s="855"/>
      <c r="BG65" s="855"/>
      <c r="BH65" s="855"/>
      <c r="BI65" s="855"/>
      <c r="BJ65" s="855"/>
    </row>
    <row r="66" spans="2:62" ht="15" customHeight="1" thickBot="1">
      <c r="B66" s="833">
        <f>C38</f>
        <v>0</v>
      </c>
      <c r="C66" s="833"/>
      <c r="D66" s="833"/>
      <c r="E66" s="833"/>
      <c r="F66" s="833"/>
      <c r="G66" s="833"/>
      <c r="H66" s="833"/>
      <c r="I66" s="833"/>
      <c r="J66" s="833"/>
      <c r="K66" s="833"/>
      <c r="L66" s="833"/>
      <c r="M66" s="833"/>
      <c r="N66" s="833"/>
      <c r="P66" s="845">
        <f>B66</f>
        <v>0</v>
      </c>
      <c r="Q66" s="846"/>
      <c r="R66" s="846"/>
      <c r="S66" s="846"/>
      <c r="T66" s="846"/>
      <c r="U66" s="846"/>
      <c r="V66" s="846"/>
      <c r="W66" s="846"/>
      <c r="X66" s="847"/>
      <c r="Y66" s="99">
        <f>IF(K66&gt;0,1,0)</f>
        <v>0</v>
      </c>
      <c r="Z66" s="127"/>
      <c r="AA66" s="127"/>
      <c r="AB66" s="127"/>
      <c r="AC66" s="127"/>
      <c r="AD66" s="127"/>
      <c r="AE66" s="127"/>
      <c r="AF66" s="127"/>
      <c r="AG66" s="127"/>
      <c r="AI66" s="9" t="s">
        <v>1035</v>
      </c>
      <c r="AJ66" s="276">
        <f>VLOOKUP($C$4,TEMPERATURASMENSUALES,2,FALSE)</f>
        <v>0</v>
      </c>
      <c r="AK66" s="276">
        <f>VLOOKUP($C$4,TEMPERATURASMENSUALES,3,FALSE)</f>
        <v>0</v>
      </c>
      <c r="AL66" s="276">
        <f>VLOOKUP($C$4,TEMPERATURASMENSUALES,4,FALSE)</f>
        <v>0</v>
      </c>
      <c r="AM66" s="276">
        <f>VLOOKUP($C$4,TEMPERATURASMENSUALES,5,FALSE)</f>
        <v>0</v>
      </c>
      <c r="AN66" s="276">
        <f>VLOOKUP($C$4,TEMPERATURASMENSUALES,6,FALSE)</f>
        <v>0</v>
      </c>
      <c r="AO66" s="276">
        <f>VLOOKUP($C$4,TEMPERATURASMENSUALES,7,FALSE)</f>
        <v>0</v>
      </c>
      <c r="AP66" s="276">
        <f>VLOOKUP($C$4,TEMPERATURASMENSUALES,8,FALSE)</f>
        <v>0</v>
      </c>
      <c r="AQ66" s="276">
        <f>VLOOKUP($C$4,TEMPERATURASMENSUALES,9,FALSE)</f>
        <v>0</v>
      </c>
      <c r="AR66" s="276">
        <f>VLOOKUP($C$4,TEMPERATURASMENSUALES,10,FALSE)</f>
        <v>0</v>
      </c>
      <c r="AS66" s="276">
        <f>VLOOKUP($C$4,TEMPERATURASMENSUALES,11,FALSE)</f>
        <v>0</v>
      </c>
      <c r="AT66" s="276">
        <f>VLOOKUP($C$4,TEMPERATURASMENSUALES,12,FALSE)</f>
        <v>0</v>
      </c>
      <c r="AU66" s="276">
        <f>VLOOKUP($C$4,TEMPERATURASMENSUALES,13,FALSE)</f>
        <v>0</v>
      </c>
      <c r="AX66" s="160" t="s">
        <v>1018</v>
      </c>
      <c r="AY66" s="291">
        <v>50</v>
      </c>
      <c r="AZ66" s="191"/>
      <c r="BB66" s="855"/>
      <c r="BC66" s="855"/>
      <c r="BD66" s="855"/>
      <c r="BE66" s="855"/>
      <c r="BF66" s="855"/>
      <c r="BG66" s="855"/>
      <c r="BH66" s="855"/>
      <c r="BI66" s="855"/>
      <c r="BJ66" s="855"/>
    </row>
    <row r="67" spans="2:62" ht="6" customHeight="1" thickBot="1">
      <c r="E67" s="332"/>
      <c r="F67" s="332"/>
      <c r="L67" s="332"/>
      <c r="M67" s="332"/>
      <c r="P67" s="189"/>
      <c r="Q67" s="127"/>
      <c r="R67" s="100"/>
      <c r="S67" s="100"/>
      <c r="W67" s="100"/>
      <c r="Y67" s="99">
        <f>IF(K67&gt;0,1,0)</f>
        <v>0</v>
      </c>
      <c r="AI67" s="341"/>
      <c r="AJ67" s="341"/>
      <c r="AK67" s="341"/>
      <c r="AL67" s="341"/>
      <c r="AM67" s="341"/>
      <c r="AN67" s="341"/>
      <c r="AO67" s="341"/>
      <c r="AP67" s="341"/>
      <c r="AQ67" s="341"/>
      <c r="AR67" s="341"/>
      <c r="AS67" s="341"/>
      <c r="AT67" s="341"/>
      <c r="AU67" s="341"/>
      <c r="AZ67" s="191"/>
      <c r="BB67" s="855"/>
      <c r="BC67" s="855"/>
      <c r="BD67" s="855"/>
      <c r="BE67" s="855"/>
      <c r="BF67" s="855"/>
      <c r="BG67" s="855"/>
      <c r="BH67" s="855"/>
      <c r="BI67" s="855"/>
      <c r="BJ67" s="855"/>
    </row>
    <row r="68" spans="2:62" ht="15" customHeight="1" thickBot="1">
      <c r="B68" s="838"/>
      <c r="C68" s="869" t="s">
        <v>222</v>
      </c>
      <c r="D68" s="870"/>
      <c r="E68" s="870"/>
      <c r="F68" s="870"/>
      <c r="G68" s="870"/>
      <c r="H68" s="870"/>
      <c r="I68" s="871"/>
      <c r="J68" s="838" t="s">
        <v>1788</v>
      </c>
      <c r="K68" s="838"/>
      <c r="L68" s="838" t="s">
        <v>594</v>
      </c>
      <c r="M68" s="838" t="s">
        <v>1356</v>
      </c>
      <c r="N68" s="830" t="s">
        <v>644</v>
      </c>
      <c r="P68" s="875" t="s">
        <v>1354</v>
      </c>
      <c r="Q68" s="843" t="s">
        <v>729</v>
      </c>
      <c r="R68" s="863" t="s">
        <v>849</v>
      </c>
      <c r="S68" s="863" t="s">
        <v>850</v>
      </c>
      <c r="T68" s="863" t="s">
        <v>1357</v>
      </c>
      <c r="U68" s="841" t="s">
        <v>851</v>
      </c>
      <c r="V68" s="841" t="s">
        <v>891</v>
      </c>
      <c r="W68" s="841" t="s">
        <v>1359</v>
      </c>
      <c r="X68" s="843" t="s">
        <v>1358</v>
      </c>
      <c r="Y68" s="99">
        <f t="shared" ref="Y68:Y74" si="20">IF(L68&gt;0,1,0)</f>
        <v>1</v>
      </c>
      <c r="Z68" s="978" t="s">
        <v>992</v>
      </c>
      <c r="AA68" s="979"/>
      <c r="AB68" s="979"/>
      <c r="AC68" s="979"/>
      <c r="AD68" s="979"/>
      <c r="AE68" s="980"/>
      <c r="AF68" s="506"/>
      <c r="AG68" s="974" t="s">
        <v>1023</v>
      </c>
      <c r="AI68" s="341"/>
      <c r="AJ68" s="276">
        <f>IF(AJ66&lt;=$AY$64,0,AJ66-$AY$64)</f>
        <v>0</v>
      </c>
      <c r="AK68" s="276">
        <f t="shared" ref="AK68:AU68" si="21">IF(AK66&lt;=$AY$64,0,AK66-$AY$64)</f>
        <v>0</v>
      </c>
      <c r="AL68" s="276">
        <f t="shared" si="21"/>
        <v>0</v>
      </c>
      <c r="AM68" s="276">
        <f t="shared" si="21"/>
        <v>0</v>
      </c>
      <c r="AN68" s="276">
        <f t="shared" si="21"/>
        <v>0</v>
      </c>
      <c r="AO68" s="276">
        <f t="shared" si="21"/>
        <v>0</v>
      </c>
      <c r="AP68" s="276">
        <f t="shared" si="21"/>
        <v>0</v>
      </c>
      <c r="AQ68" s="276">
        <f t="shared" si="21"/>
        <v>0</v>
      </c>
      <c r="AR68" s="276">
        <f t="shared" si="21"/>
        <v>0</v>
      </c>
      <c r="AS68" s="276">
        <f t="shared" si="21"/>
        <v>0</v>
      </c>
      <c r="AT68" s="276">
        <f t="shared" si="21"/>
        <v>0</v>
      </c>
      <c r="AU68" s="276">
        <f t="shared" si="21"/>
        <v>0</v>
      </c>
      <c r="AX68" s="154" t="s">
        <v>890</v>
      </c>
      <c r="AY68" s="276">
        <f>DATOS!C26*DATOS!G29</f>
        <v>0</v>
      </c>
      <c r="AZ68" s="191"/>
      <c r="BB68" s="855"/>
      <c r="BC68" s="855"/>
      <c r="BD68" s="855"/>
      <c r="BE68" s="855"/>
      <c r="BF68" s="855"/>
      <c r="BG68" s="855"/>
      <c r="BH68" s="855"/>
      <c r="BI68" s="855"/>
      <c r="BJ68" s="855"/>
    </row>
    <row r="69" spans="2:62" ht="15" customHeight="1" thickBot="1">
      <c r="B69" s="838"/>
      <c r="C69" s="872"/>
      <c r="D69" s="873"/>
      <c r="E69" s="873"/>
      <c r="F69" s="873"/>
      <c r="G69" s="873"/>
      <c r="H69" s="873"/>
      <c r="I69" s="874"/>
      <c r="J69" s="466" t="s">
        <v>749</v>
      </c>
      <c r="K69" s="466" t="s">
        <v>750</v>
      </c>
      <c r="L69" s="838"/>
      <c r="M69" s="838"/>
      <c r="N69" s="830"/>
      <c r="P69" s="876"/>
      <c r="Q69" s="844"/>
      <c r="R69" s="864"/>
      <c r="S69" s="864"/>
      <c r="T69" s="864"/>
      <c r="U69" s="842"/>
      <c r="V69" s="842"/>
      <c r="W69" s="842"/>
      <c r="X69" s="844"/>
      <c r="Y69" s="99">
        <f t="shared" si="20"/>
        <v>0</v>
      </c>
      <c r="Z69" s="981"/>
      <c r="AA69" s="982"/>
      <c r="AB69" s="982"/>
      <c r="AC69" s="982"/>
      <c r="AD69" s="982"/>
      <c r="AE69" s="983"/>
      <c r="AF69" s="507"/>
      <c r="AG69" s="975"/>
      <c r="AI69" s="341"/>
      <c r="AJ69" s="341"/>
      <c r="AK69" s="341"/>
      <c r="AL69" s="341"/>
      <c r="AM69" s="341"/>
      <c r="AN69" s="341"/>
      <c r="AO69" s="341"/>
      <c r="AP69" s="341"/>
      <c r="AQ69" s="341"/>
      <c r="AR69" s="341"/>
      <c r="AS69" s="341"/>
      <c r="AT69" s="341"/>
      <c r="AU69" s="341"/>
      <c r="AZ69" s="191"/>
      <c r="BB69" s="855"/>
      <c r="BC69" s="855"/>
      <c r="BD69" s="855"/>
      <c r="BE69" s="855"/>
      <c r="BF69" s="855"/>
      <c r="BG69" s="855"/>
      <c r="BH69" s="855"/>
      <c r="BI69" s="855"/>
      <c r="BJ69" s="855"/>
    </row>
    <row r="70" spans="2:62" ht="15" customHeight="1" thickBot="1">
      <c r="B70" s="418" t="s">
        <v>1997</v>
      </c>
      <c r="C70" s="852"/>
      <c r="D70" s="853"/>
      <c r="E70" s="853"/>
      <c r="F70" s="853"/>
      <c r="G70" s="853"/>
      <c r="H70" s="853"/>
      <c r="I70" s="854"/>
      <c r="J70" s="467" t="str">
        <f>IF(L70=0,"-",VLOOKUP(VLOOKUP(C70,PAREDm,2,FALSE),KMURO,2,TRUE))</f>
        <v>-</v>
      </c>
      <c r="K70" s="467" t="str">
        <f>J70</f>
        <v>-</v>
      </c>
      <c r="L70" s="417"/>
      <c r="M70" s="412"/>
      <c r="N70" s="395"/>
      <c r="P70" s="392">
        <f>IF(L70=0,0,VLOOKUP(M70,adyacentem,2,FALSE))</f>
        <v>0</v>
      </c>
      <c r="Q70" s="281">
        <f>IF(L70=0,0,IF(M70=BASE!$DA$7,VLOOKUP(N70,COLORESEXT,2,FALSE),0))</f>
        <v>0</v>
      </c>
      <c r="R70" s="167">
        <f>IF(L70&gt;0,IF($L$295="No",VLOOKUP(C70,PAREDm,2,FALSE),IF(H311="No",VLOOKUP(C70,PAREDm,2,FALSE),0)),0)</f>
        <v>0</v>
      </c>
      <c r="S70" s="222">
        <f>R70*L70</f>
        <v>0</v>
      </c>
      <c r="T70" s="222">
        <f>IF(L70=0,0,IF($L$348="Si",0,(P70*S70)))</f>
        <v>0</v>
      </c>
      <c r="U70" s="333">
        <f>R70</f>
        <v>0</v>
      </c>
      <c r="V70" s="333">
        <f>U70*L70</f>
        <v>0</v>
      </c>
      <c r="W70" s="333">
        <f>IF(L70=0,0,IF($L$348="Si",0,(P70*V70)))</f>
        <v>0</v>
      </c>
      <c r="X70" s="276">
        <f>IF(M70=BASE!$DA$7,L70,0)</f>
        <v>0</v>
      </c>
      <c r="Y70" s="99">
        <f t="shared" si="20"/>
        <v>0</v>
      </c>
      <c r="Z70" s="342" t="s">
        <v>1183</v>
      </c>
      <c r="AA70" s="281">
        <f>DATOS!C29</f>
        <v>0</v>
      </c>
      <c r="AB70" s="342" t="s">
        <v>1120</v>
      </c>
      <c r="AC70" s="1062">
        <v>47</v>
      </c>
      <c r="AD70" s="1063"/>
      <c r="AE70" s="1064"/>
      <c r="AF70" s="511"/>
      <c r="AG70" s="290">
        <f>AC70*AA70</f>
        <v>0</v>
      </c>
      <c r="AI70" s="341"/>
      <c r="AJ70" s="276">
        <f t="shared" ref="AJ70:AU70" si="22">IF(AJ66&lt;=$AY$63,(AJ66-$AY$63)*-1,0)</f>
        <v>18</v>
      </c>
      <c r="AK70" s="276">
        <f t="shared" si="22"/>
        <v>18</v>
      </c>
      <c r="AL70" s="276">
        <f t="shared" si="22"/>
        <v>18</v>
      </c>
      <c r="AM70" s="276">
        <f t="shared" si="22"/>
        <v>18</v>
      </c>
      <c r="AN70" s="276">
        <f t="shared" si="22"/>
        <v>18</v>
      </c>
      <c r="AO70" s="276">
        <f t="shared" si="22"/>
        <v>18</v>
      </c>
      <c r="AP70" s="276">
        <f t="shared" si="22"/>
        <v>18</v>
      </c>
      <c r="AQ70" s="276">
        <f t="shared" si="22"/>
        <v>18</v>
      </c>
      <c r="AR70" s="276">
        <f t="shared" si="22"/>
        <v>18</v>
      </c>
      <c r="AS70" s="276">
        <f t="shared" si="22"/>
        <v>18</v>
      </c>
      <c r="AT70" s="276">
        <f t="shared" si="22"/>
        <v>18</v>
      </c>
      <c r="AU70" s="276">
        <f t="shared" si="22"/>
        <v>18</v>
      </c>
      <c r="AZ70" s="191"/>
      <c r="BB70" s="855"/>
      <c r="BC70" s="855"/>
      <c r="BD70" s="855"/>
      <c r="BE70" s="855"/>
      <c r="BF70" s="855"/>
      <c r="BG70" s="855"/>
      <c r="BH70" s="855"/>
      <c r="BI70" s="855"/>
      <c r="BJ70" s="855"/>
    </row>
    <row r="71" spans="2:62" ht="15" customHeight="1" thickBot="1">
      <c r="B71" s="418" t="s">
        <v>1998</v>
      </c>
      <c r="C71" s="852"/>
      <c r="D71" s="853"/>
      <c r="E71" s="853"/>
      <c r="F71" s="853"/>
      <c r="G71" s="853"/>
      <c r="H71" s="853"/>
      <c r="I71" s="854"/>
      <c r="J71" s="467" t="str">
        <f>IF(L71=0,"-",VLOOKUP(VLOOKUP(C71,PAREDm,2,FALSE),KMURO,2,TRUE))</f>
        <v>-</v>
      </c>
      <c r="K71" s="467" t="str">
        <f t="shared" ref="K71:K74" si="23">J71</f>
        <v>-</v>
      </c>
      <c r="L71" s="417"/>
      <c r="M71" s="412"/>
      <c r="N71" s="395"/>
      <c r="P71" s="392">
        <f>IF(L71=0,0,VLOOKUP(M71,adyacentem,2,FALSE))</f>
        <v>0</v>
      </c>
      <c r="Q71" s="281">
        <f>IF(L71=0,0,IF(M71=BASE!$DA$7,VLOOKUP(N71,COLORESEXT,2,FALSE),0))</f>
        <v>0</v>
      </c>
      <c r="R71" s="167">
        <f>IF(L71&gt;0,IF($L$295="No",VLOOKUP(C71,PAREDm,2,FALSE),IF(H312="No",VLOOKUP(C71,PAREDm,2,FALSE),0)),0)</f>
        <v>0</v>
      </c>
      <c r="S71" s="222">
        <f>R71*L71</f>
        <v>0</v>
      </c>
      <c r="T71" s="222">
        <f>IF(L71=0,0,IF($L$348="Si",0,(P71*S71)))</f>
        <v>0</v>
      </c>
      <c r="U71" s="333">
        <f>R71</f>
        <v>0</v>
      </c>
      <c r="V71" s="333">
        <f>U71*L71</f>
        <v>0</v>
      </c>
      <c r="W71" s="333">
        <f>IF(L71=0,0,IF($L$348="Si",0,(P71*V71)))</f>
        <v>0</v>
      </c>
      <c r="X71" s="276">
        <f>IF(M71=BASE!$DA$7,L71,0)</f>
        <v>0</v>
      </c>
      <c r="Y71" s="99">
        <f t="shared" si="20"/>
        <v>0</v>
      </c>
      <c r="AI71" s="9" t="s">
        <v>1028</v>
      </c>
      <c r="AJ71" s="276">
        <f>-(AO71-AK71)/4+AK71</f>
        <v>0</v>
      </c>
      <c r="AK71" s="276">
        <f>AU71</f>
        <v>0</v>
      </c>
      <c r="AL71" s="276">
        <f>(AO71-AK71)/4+AK71</f>
        <v>0</v>
      </c>
      <c r="AM71" s="276">
        <f>(AP71-AK71)*2/4+AK71</f>
        <v>0</v>
      </c>
      <c r="AN71" s="276">
        <f>(AQ71-AK71)*3/4+AK71</f>
        <v>0</v>
      </c>
      <c r="AO71" s="276">
        <f>VLOOKUP(ENERGÍA!C4,CLIMA,12,FALSE)</f>
        <v>0</v>
      </c>
      <c r="AP71" s="276">
        <f>(AO71-AK71)/4+AO71</f>
        <v>0</v>
      </c>
      <c r="AQ71" s="276">
        <f>AO71</f>
        <v>0</v>
      </c>
      <c r="AR71" s="276">
        <f>AN71</f>
        <v>0</v>
      </c>
      <c r="AS71" s="276">
        <f>AM71</f>
        <v>0</v>
      </c>
      <c r="AT71" s="276">
        <f>AL71</f>
        <v>0</v>
      </c>
      <c r="AU71" s="276">
        <f>VLOOKUP(ENERGÍA!C4,CLIMA,11,FALSE)</f>
        <v>0</v>
      </c>
      <c r="AX71" s="160" t="s">
        <v>986</v>
      </c>
      <c r="AY71" s="281">
        <f>IF(C42="Alta densidad",IF(F5&lt;35,0.36,IF(AND(F5&gt;=35,F5&lt;40),0.37,IF(AND(F5&gt;=40,F5&lt;50),0.5,0.6))),IF(C42="Media densidad",0.7,1))</f>
        <v>1</v>
      </c>
      <c r="AZ71" s="191"/>
      <c r="BB71" s="855"/>
      <c r="BC71" s="855"/>
      <c r="BD71" s="855"/>
      <c r="BE71" s="855"/>
      <c r="BF71" s="855"/>
      <c r="BG71" s="855"/>
      <c r="BH71" s="855"/>
      <c r="BI71" s="855"/>
      <c r="BJ71" s="855"/>
    </row>
    <row r="72" spans="2:62" ht="15" customHeight="1" thickBot="1">
      <c r="B72" s="418" t="s">
        <v>1999</v>
      </c>
      <c r="C72" s="852"/>
      <c r="D72" s="853"/>
      <c r="E72" s="853"/>
      <c r="F72" s="853"/>
      <c r="G72" s="853"/>
      <c r="H72" s="853"/>
      <c r="I72" s="854"/>
      <c r="J72" s="467" t="str">
        <f>IF(L72=0,"-",VLOOKUP(VLOOKUP(C72,PAREDm,2,FALSE),KMURO,2,TRUE))</f>
        <v>-</v>
      </c>
      <c r="K72" s="467" t="str">
        <f t="shared" si="23"/>
        <v>-</v>
      </c>
      <c r="L72" s="417"/>
      <c r="M72" s="412"/>
      <c r="N72" s="395"/>
      <c r="P72" s="392">
        <f>IF(L72=0,0,VLOOKUP(M72,adyacentem,2,FALSE))</f>
        <v>0</v>
      </c>
      <c r="Q72" s="281">
        <f>IF(L72=0,0,IF(M72=BASE!$DA$7,VLOOKUP(N72,COLORESEXT,2,FALSE),0))</f>
        <v>0</v>
      </c>
      <c r="R72" s="167">
        <f>IF(L72&gt;0,IF($L$295="No",VLOOKUP(C72,PAREDm,2,FALSE),IF(H313="No",VLOOKUP(C72,PAREDm,2,FALSE),0)),0)</f>
        <v>0</v>
      </c>
      <c r="S72" s="222">
        <f>R72*L72</f>
        <v>0</v>
      </c>
      <c r="T72" s="222">
        <f>IF(L72=0,0,IF($L$348="Si",0,(P72*S72)))</f>
        <v>0</v>
      </c>
      <c r="U72" s="333">
        <f>R72</f>
        <v>0</v>
      </c>
      <c r="V72" s="333">
        <f>U72*L72</f>
        <v>0</v>
      </c>
      <c r="W72" s="333">
        <f>IF(L72=0,0,IF($L$348="Si",0,(P72*V72)))</f>
        <v>0</v>
      </c>
      <c r="X72" s="276">
        <f>IF(M72=BASE!$DA$7,L72,0)</f>
        <v>0</v>
      </c>
      <c r="Y72" s="99">
        <f t="shared" si="20"/>
        <v>0</v>
      </c>
      <c r="Z72" s="964" t="s">
        <v>1101</v>
      </c>
      <c r="AA72" s="964"/>
      <c r="AB72" s="964"/>
      <c r="AC72" s="964"/>
      <c r="AD72" s="964"/>
      <c r="AE72" s="162" t="s">
        <v>999</v>
      </c>
      <c r="AF72" s="162"/>
      <c r="AG72" s="277" t="e">
        <f>AG74</f>
        <v>#N/A</v>
      </c>
      <c r="AI72" s="9" t="s">
        <v>1029</v>
      </c>
      <c r="AJ72" s="276">
        <f t="shared" ref="AJ72:AU72" si="24">(6.108*EXP((17.27*AJ66)/(AJ66+237.3)))*AJ71/100</f>
        <v>0</v>
      </c>
      <c r="AK72" s="276">
        <f t="shared" si="24"/>
        <v>0</v>
      </c>
      <c r="AL72" s="276">
        <f t="shared" si="24"/>
        <v>0</v>
      </c>
      <c r="AM72" s="276">
        <f t="shared" si="24"/>
        <v>0</v>
      </c>
      <c r="AN72" s="276">
        <f t="shared" si="24"/>
        <v>0</v>
      </c>
      <c r="AO72" s="276">
        <f t="shared" si="24"/>
        <v>0</v>
      </c>
      <c r="AP72" s="276">
        <f t="shared" si="24"/>
        <v>0</v>
      </c>
      <c r="AQ72" s="276">
        <f t="shared" si="24"/>
        <v>0</v>
      </c>
      <c r="AR72" s="276">
        <f t="shared" si="24"/>
        <v>0</v>
      </c>
      <c r="AS72" s="276">
        <f t="shared" si="24"/>
        <v>0</v>
      </c>
      <c r="AT72" s="276">
        <f t="shared" si="24"/>
        <v>0</v>
      </c>
      <c r="AU72" s="276">
        <f t="shared" si="24"/>
        <v>0</v>
      </c>
      <c r="AZ72" s="191"/>
      <c r="BB72" s="855"/>
      <c r="BC72" s="855"/>
      <c r="BD72" s="855"/>
      <c r="BE72" s="855"/>
      <c r="BF72" s="855"/>
      <c r="BG72" s="855"/>
      <c r="BH72" s="855"/>
      <c r="BI72" s="855"/>
      <c r="BJ72" s="855"/>
    </row>
    <row r="73" spans="2:62" ht="15" customHeight="1" thickBot="1">
      <c r="B73" s="418" t="str">
        <f>B63</f>
        <v>Material Personalizado:</v>
      </c>
      <c r="C73" s="866" t="str">
        <f>IF('Materiales Personalizados'!$B$30=0,"-",'Materiales Personalizados'!$B$30)</f>
        <v>-</v>
      </c>
      <c r="D73" s="867"/>
      <c r="E73" s="867"/>
      <c r="F73" s="867"/>
      <c r="G73" s="867"/>
      <c r="H73" s="867"/>
      <c r="I73" s="868"/>
      <c r="J73" s="467" t="str">
        <f>IF(L73=0,"-",VLOOKUP('Materiales Personalizados'!$G$50,KMURO,2,TRUE))</f>
        <v>-</v>
      </c>
      <c r="K73" s="467" t="str">
        <f t="shared" si="23"/>
        <v>-</v>
      </c>
      <c r="L73" s="417"/>
      <c r="M73" s="412"/>
      <c r="N73" s="395"/>
      <c r="P73" s="392">
        <f>IF(L73=0,0,VLOOKUP(M73,adyacentem,2,FALSE))</f>
        <v>0</v>
      </c>
      <c r="Q73" s="281">
        <f>IF(L73=0,0,IF(M73=BASE!$DA$7,VLOOKUP(N73,COLORESEXT,2,FALSE),0))</f>
        <v>0</v>
      </c>
      <c r="R73" s="167">
        <f>IF(L73&gt;0,IF($L$295="No",'Materiales Personalizados'!$G$27,IF(H314="No",'Materiales Personalizados'!$G$27,0)),0)</f>
        <v>0</v>
      </c>
      <c r="S73" s="222">
        <f>R73*L73</f>
        <v>0</v>
      </c>
      <c r="T73" s="222">
        <f>IF(L73=0,0,IF($L$348="Si",0,(P73*S73)))</f>
        <v>0</v>
      </c>
      <c r="U73" s="333">
        <f>R73</f>
        <v>0</v>
      </c>
      <c r="V73" s="333">
        <f>U73*L73</f>
        <v>0</v>
      </c>
      <c r="W73" s="333">
        <f>IF(L73=0,0,IF($L$348="Si",0,(P73*V73)))</f>
        <v>0</v>
      </c>
      <c r="X73" s="276">
        <f>IF(M73=BASE!$DA$7,L73,0)</f>
        <v>0</v>
      </c>
      <c r="Y73" s="99">
        <f t="shared" si="20"/>
        <v>0</v>
      </c>
      <c r="Z73" s="281" t="s">
        <v>589</v>
      </c>
      <c r="AA73" s="281" t="s">
        <v>1011</v>
      </c>
      <c r="AB73" s="281" t="s">
        <v>897</v>
      </c>
      <c r="AC73" s="851" t="s">
        <v>1017</v>
      </c>
      <c r="AD73" s="851"/>
      <c r="AE73" s="281" t="s">
        <v>898</v>
      </c>
      <c r="AF73" s="492"/>
      <c r="AG73" s="282" t="s">
        <v>1023</v>
      </c>
      <c r="AI73" s="9" t="s">
        <v>1030</v>
      </c>
      <c r="AJ73" s="276">
        <f>622*AJ72/('Modelo de Radiación Solar'!$BM$11-0.37804*AJ72)</f>
        <v>0</v>
      </c>
      <c r="AK73" s="276">
        <f>622*AK72/('Modelo de Radiación Solar'!$BM$11-0.37804*AK72)</f>
        <v>0</v>
      </c>
      <c r="AL73" s="276">
        <f>622*AL72/('Modelo de Radiación Solar'!$BM$11-0.37804*AL72)</f>
        <v>0</v>
      </c>
      <c r="AM73" s="276">
        <f>622*AM72/('Modelo de Radiación Solar'!$BM$11-0.37804*AM72)</f>
        <v>0</v>
      </c>
      <c r="AN73" s="276">
        <f>622*AN72/('Modelo de Radiación Solar'!$BM$11-0.37804*AN72)</f>
        <v>0</v>
      </c>
      <c r="AO73" s="276">
        <f>622*AO72/('Modelo de Radiación Solar'!$BM$11-0.37804*AO72)</f>
        <v>0</v>
      </c>
      <c r="AP73" s="276">
        <f>622*AP72/('Modelo de Radiación Solar'!$BM$11-0.37804*AP72)</f>
        <v>0</v>
      </c>
      <c r="AQ73" s="276">
        <f>622*AQ72/('Modelo de Radiación Solar'!$BM$11-0.37804*AQ72)</f>
        <v>0</v>
      </c>
      <c r="AR73" s="276">
        <f>622*AR72/('Modelo de Radiación Solar'!$BM$11-0.37804*AR72)</f>
        <v>0</v>
      </c>
      <c r="AS73" s="276">
        <f>622*AS72/('Modelo de Radiación Solar'!$BM$11-0.37804*AS72)</f>
        <v>0</v>
      </c>
      <c r="AT73" s="276">
        <f>622*AT72/('Modelo de Radiación Solar'!$BM$11-0.37804*AT72)</f>
        <v>0</v>
      </c>
      <c r="AU73" s="276">
        <f>622*AU72/('Modelo de Radiación Solar'!$BM$11-0.37804*AU72)</f>
        <v>0</v>
      </c>
      <c r="AX73" s="160" t="s">
        <v>1013</v>
      </c>
      <c r="AY73" s="276">
        <f>VLOOKUP(C4,CLIMA,16,FALSE)</f>
        <v>0</v>
      </c>
      <c r="AZ73" s="191"/>
      <c r="BB73" s="855"/>
      <c r="BC73" s="855"/>
      <c r="BD73" s="855"/>
      <c r="BE73" s="855"/>
      <c r="BF73" s="855"/>
      <c r="BG73" s="855"/>
      <c r="BH73" s="855"/>
      <c r="BI73" s="855"/>
      <c r="BJ73" s="855"/>
    </row>
    <row r="74" spans="2:62" ht="15" customHeight="1" thickBot="1">
      <c r="B74" s="418" t="str">
        <f>B73</f>
        <v>Material Personalizado:</v>
      </c>
      <c r="C74" s="866" t="str">
        <f>IF('Materiales Personalizados'!$B$53=0,"-",'Materiales Personalizados'!$B$53)</f>
        <v>-</v>
      </c>
      <c r="D74" s="867"/>
      <c r="E74" s="867"/>
      <c r="F74" s="867"/>
      <c r="G74" s="867"/>
      <c r="H74" s="867"/>
      <c r="I74" s="868"/>
      <c r="J74" s="467" t="str">
        <f>IF(L74=0,"-",VLOOKUP('Materiales Personalizados'!$G$73,KMURO,2,TRUE))</f>
        <v>-</v>
      </c>
      <c r="K74" s="467" t="str">
        <f t="shared" si="23"/>
        <v>-</v>
      </c>
      <c r="L74" s="417"/>
      <c r="M74" s="412"/>
      <c r="N74" s="395"/>
      <c r="P74" s="392">
        <f>IF(L74=0,0,VLOOKUP(M74,adyacentem,2,FALSE))</f>
        <v>0</v>
      </c>
      <c r="Q74" s="281">
        <f>IF(L74=0,0,IF(M74=BASE!$DA$7,VLOOKUP(N74,COLORESEXT,2,FALSE),0))</f>
        <v>0</v>
      </c>
      <c r="R74" s="167">
        <f>IF(L74&gt;0,IF($L$295="No",VLOOKUP(C74,PAREDm,2,FALSE),IF(H315="No",VLOOKUP(C74,PAREDm,2,FALSE),0)),0)</f>
        <v>0</v>
      </c>
      <c r="S74" s="222">
        <f>R74*L74</f>
        <v>0</v>
      </c>
      <c r="T74" s="222">
        <f>IF(L74=0,0,IF($L$348="Si",0,(P74*S74)))</f>
        <v>0</v>
      </c>
      <c r="U74" s="333">
        <f>R74</f>
        <v>0</v>
      </c>
      <c r="V74" s="333">
        <f>U74*L74</f>
        <v>0</v>
      </c>
      <c r="W74" s="333">
        <f>IF(L74=0,0,IF($L$348="Si",0,(P74*V74)))</f>
        <v>0</v>
      </c>
      <c r="X74" s="276">
        <f>IF(M74=BASE!$DA$7,L74,0)</f>
        <v>0</v>
      </c>
      <c r="Y74" s="99">
        <f t="shared" si="20"/>
        <v>0</v>
      </c>
      <c r="Z74" s="281">
        <f>C37</f>
        <v>0</v>
      </c>
      <c r="AA74" s="276">
        <f>L37</f>
        <v>0</v>
      </c>
      <c r="AB74" s="276" t="e">
        <f>'Modelo de Radiación Solar'!O148*ENERGÍA!$AY$71</f>
        <v>#N/A</v>
      </c>
      <c r="AC74" s="905">
        <f>1-AG109-T279-AE28</f>
        <v>1</v>
      </c>
      <c r="AD74" s="905"/>
      <c r="AE74" s="276" t="e">
        <f>AA74*AB74</f>
        <v>#N/A</v>
      </c>
      <c r="AF74" s="497"/>
      <c r="AG74" s="977" t="e">
        <f>AE74+AE76+AE78+AE80</f>
        <v>#N/A</v>
      </c>
      <c r="AI74" s="9" t="s">
        <v>1031</v>
      </c>
      <c r="AJ74" s="276">
        <f>AJ73-ENERGÍA!$AY$83</f>
        <v>-9.2098978806022647</v>
      </c>
      <c r="AK74" s="276">
        <f>AK73-ENERGÍA!$AY$83</f>
        <v>-9.2098978806022647</v>
      </c>
      <c r="AL74" s="276">
        <f>AL73-ENERGÍA!$AY$83</f>
        <v>-9.2098978806022647</v>
      </c>
      <c r="AM74" s="276">
        <f>AM73-ENERGÍA!$AY$83</f>
        <v>-9.2098978806022647</v>
      </c>
      <c r="AN74" s="276">
        <f>AN73-ENERGÍA!$AY$83</f>
        <v>-9.2098978806022647</v>
      </c>
      <c r="AO74" s="276">
        <f>AO73-ENERGÍA!$AY$83</f>
        <v>-9.2098978806022647</v>
      </c>
      <c r="AP74" s="276">
        <f>AP73-ENERGÍA!$AY$83</f>
        <v>-9.2098978806022647</v>
      </c>
      <c r="AQ74" s="276">
        <f>AQ73-ENERGÍA!$AY$83</f>
        <v>-9.2098978806022647</v>
      </c>
      <c r="AR74" s="276">
        <f>AR73-ENERGÍA!$AY$83</f>
        <v>-9.2098978806022647</v>
      </c>
      <c r="AS74" s="276">
        <f>AS73-ENERGÍA!$AY$83</f>
        <v>-9.2098978806022647</v>
      </c>
      <c r="AT74" s="276">
        <f>AT73-ENERGÍA!$AY$83</f>
        <v>-9.2098978806022647</v>
      </c>
      <c r="AU74" s="276">
        <f>AU73-ENERGÍA!$AY$83</f>
        <v>-9.2098978806022647</v>
      </c>
      <c r="AX74" s="160" t="s">
        <v>1014</v>
      </c>
      <c r="AY74" s="276">
        <f>VLOOKUP(C4,CLIMA,9,FALSE)</f>
        <v>0</v>
      </c>
      <c r="AZ74" s="191"/>
      <c r="BB74" s="855"/>
      <c r="BC74" s="855"/>
      <c r="BD74" s="855"/>
      <c r="BE74" s="855"/>
      <c r="BF74" s="855"/>
      <c r="BG74" s="855"/>
      <c r="BH74" s="855"/>
      <c r="BI74" s="855"/>
      <c r="BJ74" s="855"/>
    </row>
    <row r="75" spans="2:62" ht="6" customHeight="1" thickBot="1">
      <c r="M75" s="332"/>
      <c r="P75" s="189"/>
      <c r="Q75" s="127"/>
      <c r="R75" s="340"/>
      <c r="S75" s="340"/>
      <c r="T75" s="340"/>
      <c r="W75" s="100"/>
      <c r="Y75" s="99">
        <f>IF(K75&gt;0,1,0)</f>
        <v>0</v>
      </c>
      <c r="AC75" s="340"/>
      <c r="AD75" s="340"/>
      <c r="AG75" s="977"/>
      <c r="AI75" s="341"/>
      <c r="AJ75" s="341"/>
      <c r="AK75" s="341"/>
      <c r="AL75" s="341"/>
      <c r="AM75" s="341"/>
      <c r="AN75" s="341"/>
      <c r="AO75" s="341"/>
      <c r="AP75" s="341"/>
      <c r="AQ75" s="341"/>
      <c r="AR75" s="341"/>
      <c r="AS75" s="341"/>
      <c r="AT75" s="341"/>
      <c r="AU75" s="341"/>
      <c r="AZ75" s="191"/>
      <c r="BB75" s="855"/>
      <c r="BC75" s="855"/>
      <c r="BD75" s="855"/>
      <c r="BE75" s="855"/>
      <c r="BF75" s="855"/>
      <c r="BG75" s="855"/>
      <c r="BH75" s="855"/>
      <c r="BI75" s="855"/>
      <c r="BJ75" s="855"/>
    </row>
    <row r="76" spans="2:62" ht="15" customHeight="1" thickBot="1">
      <c r="B76" s="833">
        <f>C39</f>
        <v>0</v>
      </c>
      <c r="C76" s="833"/>
      <c r="D76" s="833"/>
      <c r="E76" s="833"/>
      <c r="F76" s="833"/>
      <c r="G76" s="833"/>
      <c r="H76" s="833"/>
      <c r="I76" s="833"/>
      <c r="J76" s="833"/>
      <c r="K76" s="833"/>
      <c r="L76" s="833"/>
      <c r="M76" s="833"/>
      <c r="N76" s="833"/>
      <c r="P76" s="845">
        <f>B76</f>
        <v>0</v>
      </c>
      <c r="Q76" s="846"/>
      <c r="R76" s="846"/>
      <c r="S76" s="846"/>
      <c r="T76" s="846"/>
      <c r="U76" s="846"/>
      <c r="V76" s="846"/>
      <c r="W76" s="846"/>
      <c r="X76" s="847"/>
      <c r="Y76" s="99">
        <f>IF(K76&gt;0,1,0)</f>
        <v>0</v>
      </c>
      <c r="Z76" s="281">
        <f>C38</f>
        <v>0</v>
      </c>
      <c r="AA76" s="276">
        <f>L38</f>
        <v>0</v>
      </c>
      <c r="AB76" s="276" t="e">
        <f>'Modelo de Radiación Solar'!AD148*ENERGÍA!$AY$71</f>
        <v>#N/A</v>
      </c>
      <c r="AC76" s="905">
        <f>1-AG127-T283-AE28</f>
        <v>1</v>
      </c>
      <c r="AD76" s="905"/>
      <c r="AE76" s="276" t="e">
        <f>AA76*AB76*AC76</f>
        <v>#N/A</v>
      </c>
      <c r="AF76" s="497"/>
      <c r="AG76" s="977"/>
      <c r="AI76" s="9" t="s">
        <v>1121</v>
      </c>
      <c r="AJ76" s="276">
        <v>31</v>
      </c>
      <c r="AK76" s="276">
        <v>28</v>
      </c>
      <c r="AL76" s="276">
        <v>31</v>
      </c>
      <c r="AM76" s="276">
        <v>30</v>
      </c>
      <c r="AN76" s="276">
        <v>31</v>
      </c>
      <c r="AO76" s="276">
        <v>30</v>
      </c>
      <c r="AP76" s="276">
        <v>31</v>
      </c>
      <c r="AQ76" s="276">
        <v>31</v>
      </c>
      <c r="AR76" s="276">
        <v>30</v>
      </c>
      <c r="AS76" s="276">
        <v>31</v>
      </c>
      <c r="AT76" s="276">
        <v>30</v>
      </c>
      <c r="AU76" s="276">
        <v>31</v>
      </c>
      <c r="AX76" s="160" t="s">
        <v>1015</v>
      </c>
      <c r="AY76" s="276">
        <f>AY64</f>
        <v>24</v>
      </c>
      <c r="AZ76" s="191"/>
      <c r="BB76" s="855"/>
      <c r="BC76" s="855"/>
      <c r="BD76" s="855"/>
      <c r="BE76" s="855"/>
      <c r="BF76" s="855"/>
      <c r="BG76" s="855"/>
      <c r="BH76" s="855"/>
      <c r="BI76" s="855"/>
      <c r="BJ76" s="855"/>
    </row>
    <row r="77" spans="2:62" ht="6" customHeight="1" thickBot="1">
      <c r="E77" s="332"/>
      <c r="F77" s="332"/>
      <c r="L77" s="332"/>
      <c r="M77" s="332"/>
      <c r="P77" s="189"/>
      <c r="Q77" s="127"/>
      <c r="R77" s="100"/>
      <c r="S77" s="100"/>
      <c r="W77" s="100"/>
      <c r="Y77" s="99">
        <f>IF(K77&gt;0,1,0)</f>
        <v>0</v>
      </c>
      <c r="AC77" s="340"/>
      <c r="AD77" s="340"/>
      <c r="AG77" s="977"/>
      <c r="AI77" s="341"/>
      <c r="AJ77" s="341"/>
      <c r="AK77" s="341"/>
      <c r="AL77" s="341"/>
      <c r="AM77" s="341"/>
      <c r="AN77" s="341"/>
      <c r="AO77" s="341"/>
      <c r="AP77" s="341"/>
      <c r="AQ77" s="341"/>
      <c r="AR77" s="341"/>
      <c r="AS77" s="341"/>
      <c r="AT77" s="341"/>
      <c r="AU77" s="341"/>
      <c r="AV77" s="101"/>
      <c r="AW77" s="101"/>
      <c r="AZ77" s="191"/>
      <c r="BB77" s="855"/>
      <c r="BC77" s="855"/>
      <c r="BD77" s="855"/>
      <c r="BE77" s="855"/>
      <c r="BF77" s="855"/>
      <c r="BG77" s="855"/>
      <c r="BH77" s="855"/>
      <c r="BI77" s="855"/>
      <c r="BJ77" s="855"/>
    </row>
    <row r="78" spans="2:62" ht="15" customHeight="1" thickBot="1">
      <c r="B78" s="838"/>
      <c r="C78" s="869" t="s">
        <v>222</v>
      </c>
      <c r="D78" s="870"/>
      <c r="E78" s="870"/>
      <c r="F78" s="870"/>
      <c r="G78" s="870"/>
      <c r="H78" s="870"/>
      <c r="I78" s="871"/>
      <c r="J78" s="838" t="s">
        <v>1788</v>
      </c>
      <c r="K78" s="838"/>
      <c r="L78" s="838" t="s">
        <v>594</v>
      </c>
      <c r="M78" s="838" t="s">
        <v>1356</v>
      </c>
      <c r="N78" s="830" t="s">
        <v>644</v>
      </c>
      <c r="P78" s="875" t="s">
        <v>1354</v>
      </c>
      <c r="Q78" s="843" t="s">
        <v>729</v>
      </c>
      <c r="R78" s="863" t="s">
        <v>849</v>
      </c>
      <c r="S78" s="863" t="s">
        <v>850</v>
      </c>
      <c r="T78" s="863" t="s">
        <v>1357</v>
      </c>
      <c r="U78" s="841" t="s">
        <v>851</v>
      </c>
      <c r="V78" s="841" t="s">
        <v>891</v>
      </c>
      <c r="W78" s="841" t="s">
        <v>1359</v>
      </c>
      <c r="X78" s="843" t="s">
        <v>1358</v>
      </c>
      <c r="Y78" s="99">
        <f t="shared" ref="Y78:Y84" si="25">IF(L78&gt;0,1,0)</f>
        <v>1</v>
      </c>
      <c r="Z78" s="281">
        <f>C39</f>
        <v>0</v>
      </c>
      <c r="AA78" s="276">
        <f>L39</f>
        <v>0</v>
      </c>
      <c r="AB78" s="276" t="e">
        <f>'Modelo de Radiación Solar'!AS148*ENERGÍA!$AY$71</f>
        <v>#N/A</v>
      </c>
      <c r="AC78" s="905">
        <f>1-AG145-T287-AE28</f>
        <v>1</v>
      </c>
      <c r="AD78" s="905"/>
      <c r="AE78" s="276" t="e">
        <f>AA78*AB78*AC78</f>
        <v>#N/A</v>
      </c>
      <c r="AF78" s="497"/>
      <c r="AG78" s="977"/>
      <c r="AI78" s="945" t="s">
        <v>1485</v>
      </c>
      <c r="AJ78" s="945"/>
      <c r="AK78" s="945"/>
      <c r="AL78" s="945"/>
      <c r="AM78" s="945"/>
      <c r="AN78" s="945"/>
      <c r="AO78" s="945"/>
      <c r="AP78" s="945"/>
      <c r="AQ78" s="945"/>
      <c r="AR78" s="945"/>
      <c r="AS78" s="945"/>
      <c r="AT78" s="945"/>
      <c r="AU78" s="945"/>
      <c r="AX78" s="160" t="s">
        <v>1016</v>
      </c>
      <c r="AY78" s="276">
        <f>AY74-AY76</f>
        <v>-24</v>
      </c>
      <c r="AZ78" s="191"/>
      <c r="BB78" s="855"/>
      <c r="BC78" s="855"/>
      <c r="BD78" s="855"/>
      <c r="BE78" s="855"/>
      <c r="BF78" s="855"/>
      <c r="BG78" s="855"/>
      <c r="BH78" s="855"/>
      <c r="BI78" s="855"/>
      <c r="BJ78" s="855"/>
    </row>
    <row r="79" spans="2:62" ht="15" customHeight="1" thickBot="1">
      <c r="B79" s="838"/>
      <c r="C79" s="872"/>
      <c r="D79" s="873"/>
      <c r="E79" s="873"/>
      <c r="F79" s="873"/>
      <c r="G79" s="873"/>
      <c r="H79" s="873"/>
      <c r="I79" s="874"/>
      <c r="J79" s="466" t="s">
        <v>749</v>
      </c>
      <c r="K79" s="466" t="s">
        <v>750</v>
      </c>
      <c r="L79" s="838"/>
      <c r="M79" s="838"/>
      <c r="N79" s="830"/>
      <c r="P79" s="876"/>
      <c r="Q79" s="844"/>
      <c r="R79" s="864"/>
      <c r="S79" s="864"/>
      <c r="T79" s="864"/>
      <c r="U79" s="842"/>
      <c r="V79" s="842"/>
      <c r="W79" s="842"/>
      <c r="X79" s="844"/>
      <c r="Y79" s="99">
        <f t="shared" si="25"/>
        <v>0</v>
      </c>
      <c r="Z79" s="99"/>
      <c r="AA79" s="149"/>
      <c r="AB79" s="149"/>
      <c r="AC79" s="149"/>
      <c r="AD79" s="149"/>
      <c r="AE79" s="149"/>
      <c r="AF79" s="149"/>
      <c r="AG79" s="977"/>
      <c r="AI79" s="284"/>
      <c r="AJ79" s="284"/>
      <c r="AK79" s="284"/>
      <c r="AL79" s="284"/>
      <c r="AM79" s="284"/>
      <c r="AN79" s="284"/>
      <c r="AO79" s="284"/>
      <c r="AP79" s="284"/>
      <c r="AQ79" s="284"/>
      <c r="AR79" s="284"/>
      <c r="AS79" s="284"/>
      <c r="AT79" s="284"/>
      <c r="AU79" s="284"/>
      <c r="AX79" s="160"/>
      <c r="AY79" s="276"/>
      <c r="AZ79" s="191"/>
      <c r="BB79" s="855"/>
      <c r="BC79" s="855"/>
      <c r="BD79" s="855"/>
      <c r="BE79" s="855"/>
      <c r="BF79" s="855"/>
      <c r="BG79" s="855"/>
      <c r="BH79" s="855"/>
      <c r="BI79" s="855"/>
      <c r="BJ79" s="855"/>
    </row>
    <row r="80" spans="2:62" ht="15" customHeight="1" thickBot="1">
      <c r="B80" s="418" t="s">
        <v>1997</v>
      </c>
      <c r="C80" s="852"/>
      <c r="D80" s="853"/>
      <c r="E80" s="853"/>
      <c r="F80" s="853"/>
      <c r="G80" s="853"/>
      <c r="H80" s="853"/>
      <c r="I80" s="854"/>
      <c r="J80" s="467" t="str">
        <f>IF(L80=0,"-",VLOOKUP(VLOOKUP(C80,PAREDm,2,FALSE),KMURO,2,TRUE))</f>
        <v>-</v>
      </c>
      <c r="K80" s="467" t="str">
        <f>J80</f>
        <v>-</v>
      </c>
      <c r="L80" s="417"/>
      <c r="M80" s="578"/>
      <c r="N80" s="395"/>
      <c r="P80" s="392">
        <f>IF(L80=0,0,VLOOKUP(M80,adyacentem,2,FALSE))</f>
        <v>0</v>
      </c>
      <c r="Q80" s="281">
        <f>IF(L80=0,0,IF(M80=BASE!$DA$7,VLOOKUP(N80,COLORESEXT,2,FALSE),0))</f>
        <v>0</v>
      </c>
      <c r="R80" s="167">
        <f>IF(L80&gt;0,IF($L$295="No",VLOOKUP(C80,PAREDm,2,FALSE),IF(H320="No",VLOOKUP(C80,PAREDm,2,FALSE),0)),0)</f>
        <v>0</v>
      </c>
      <c r="S80" s="222">
        <f>R80*L80</f>
        <v>0</v>
      </c>
      <c r="T80" s="222">
        <f>IF(L80=0,0,IF($L$355="Si",0,(P80*S80)))</f>
        <v>0</v>
      </c>
      <c r="U80" s="333">
        <f>R80</f>
        <v>0</v>
      </c>
      <c r="V80" s="333">
        <f>U80*L80</f>
        <v>0</v>
      </c>
      <c r="W80" s="333">
        <f>IF(L80=0,0,IF($L$355="Si",0,(P80*V80)))</f>
        <v>0</v>
      </c>
      <c r="X80" s="276">
        <f>IF(M80=BASE!$DA$7,L80,0)</f>
        <v>0</v>
      </c>
      <c r="Y80" s="99">
        <f t="shared" si="25"/>
        <v>0</v>
      </c>
      <c r="Z80" s="281">
        <f>C40</f>
        <v>0</v>
      </c>
      <c r="AA80" s="276">
        <f>L40</f>
        <v>0</v>
      </c>
      <c r="AB80" s="276" t="e">
        <f>'Modelo de Radiación Solar'!BH148*ENERGÍA!$AY$71</f>
        <v>#N/A</v>
      </c>
      <c r="AC80" s="905">
        <f>1-AG163-T291-AE28</f>
        <v>1</v>
      </c>
      <c r="AD80" s="905"/>
      <c r="AE80" s="276" t="e">
        <f>AA80*AB80*AC80</f>
        <v>#N/A</v>
      </c>
      <c r="AF80" s="497"/>
      <c r="AG80" s="977"/>
      <c r="AI80" s="9">
        <f>ENERGÍA!C37</f>
        <v>0</v>
      </c>
      <c r="AJ80" s="276" t="e">
        <f>'Modelo de Radiación Solar'!D160*ENERGÍA!$AA$74*ENERGÍA!$AC$74</f>
        <v>#N/A</v>
      </c>
      <c r="AK80" s="276" t="e">
        <f>'Modelo de Radiación Solar'!E160*ENERGÍA!$AA$74*ENERGÍA!$AC$74</f>
        <v>#N/A</v>
      </c>
      <c r="AL80" s="276" t="e">
        <f>'Modelo de Radiación Solar'!F160*ENERGÍA!$AA$74*ENERGÍA!$AC$74</f>
        <v>#N/A</v>
      </c>
      <c r="AM80" s="276" t="e">
        <f>'Modelo de Radiación Solar'!G160*ENERGÍA!$AA$74*ENERGÍA!$AC$74</f>
        <v>#N/A</v>
      </c>
      <c r="AN80" s="276" t="e">
        <f>'Modelo de Radiación Solar'!H160*ENERGÍA!$AA$74*ENERGÍA!$AC$74</f>
        <v>#N/A</v>
      </c>
      <c r="AO80" s="276" t="e">
        <f>'Modelo de Radiación Solar'!I160*ENERGÍA!$AA$74*ENERGÍA!$AC$74</f>
        <v>#N/A</v>
      </c>
      <c r="AP80" s="276" t="e">
        <f>'Modelo de Radiación Solar'!J160*ENERGÍA!$AA$74*ENERGÍA!$AC$74</f>
        <v>#N/A</v>
      </c>
      <c r="AQ80" s="276" t="e">
        <f>'Modelo de Radiación Solar'!K160*ENERGÍA!$AA$74*ENERGÍA!$AC$74</f>
        <v>#N/A</v>
      </c>
      <c r="AR80" s="276" t="e">
        <f>'Modelo de Radiación Solar'!L160*ENERGÍA!$AA$74*ENERGÍA!$AC$74</f>
        <v>#N/A</v>
      </c>
      <c r="AS80" s="276" t="e">
        <f>'Modelo de Radiación Solar'!M160*ENERGÍA!$AA$74*ENERGÍA!$AC$74</f>
        <v>#N/A</v>
      </c>
      <c r="AT80" s="276" t="e">
        <f>'Modelo de Radiación Solar'!N160*ENERGÍA!$AA$74*ENERGÍA!$AC$74</f>
        <v>#N/A</v>
      </c>
      <c r="AU80" s="276" t="e">
        <f>'Modelo de Radiación Solar'!O160*ENERGÍA!$AA$74*ENERGÍA!$AC$74</f>
        <v>#N/A</v>
      </c>
      <c r="AZ80" s="191"/>
      <c r="BB80" s="855"/>
      <c r="BC80" s="855"/>
      <c r="BD80" s="855"/>
      <c r="BE80" s="855"/>
      <c r="BF80" s="855"/>
      <c r="BG80" s="855"/>
      <c r="BH80" s="855"/>
      <c r="BI80" s="855"/>
      <c r="BJ80" s="855"/>
    </row>
    <row r="81" spans="2:62" ht="15" customHeight="1" thickBot="1">
      <c r="B81" s="418" t="s">
        <v>1998</v>
      </c>
      <c r="C81" s="852"/>
      <c r="D81" s="853"/>
      <c r="E81" s="853"/>
      <c r="F81" s="853"/>
      <c r="G81" s="853"/>
      <c r="H81" s="853"/>
      <c r="I81" s="854"/>
      <c r="J81" s="467" t="str">
        <f>IF(L81=0,"-",VLOOKUP(VLOOKUP(C81,PAREDm,2,FALSE),KMURO,2,TRUE))</f>
        <v>-</v>
      </c>
      <c r="K81" s="467" t="str">
        <f t="shared" ref="K81:K84" si="26">J81</f>
        <v>-</v>
      </c>
      <c r="L81" s="417"/>
      <c r="M81" s="412"/>
      <c r="N81" s="395"/>
      <c r="P81" s="392">
        <f>IF(L81=0,0,VLOOKUP(M81,adyacentem,2,FALSE))</f>
        <v>0</v>
      </c>
      <c r="Q81" s="281">
        <f>IF(L81=0,0,IF(M81=BASE!$DA$7,VLOOKUP(N81,COLORESEXT,2,FALSE),0))</f>
        <v>0</v>
      </c>
      <c r="R81" s="167">
        <f>IF(L81&gt;0,IF($L$295="No",VLOOKUP(C81,PAREDm,2,FALSE),IF(H321="No",VLOOKUP(C81,PAREDm,2,FALSE),0)),0)</f>
        <v>0</v>
      </c>
      <c r="S81" s="222">
        <f>R81*L81</f>
        <v>0</v>
      </c>
      <c r="T81" s="222">
        <f>IF(L81=0,0,IF($L$355="Si",0,(P81*S81)))</f>
        <v>0</v>
      </c>
      <c r="U81" s="333">
        <f>R81</f>
        <v>0</v>
      </c>
      <c r="V81" s="333">
        <f>U81*L81</f>
        <v>0</v>
      </c>
      <c r="W81" s="333">
        <f>IF(L81=0,0,IF($L$355="Si",0,(P81*V81)))</f>
        <v>0</v>
      </c>
      <c r="X81" s="276">
        <f>IF(M81=BASE!$DA$7,L81,0)</f>
        <v>0</v>
      </c>
      <c r="Y81" s="99">
        <f t="shared" si="25"/>
        <v>0</v>
      </c>
      <c r="AI81" s="9">
        <f>ENERGÍA!C38</f>
        <v>0</v>
      </c>
      <c r="AJ81" s="276" t="e">
        <f>'Modelo de Radiación Solar'!S160*ENERGÍA!$AA$76*ENERGÍA!$AC$76</f>
        <v>#N/A</v>
      </c>
      <c r="AK81" s="276" t="e">
        <f>'Modelo de Radiación Solar'!T160*ENERGÍA!$AA$76*ENERGÍA!$AC$76</f>
        <v>#N/A</v>
      </c>
      <c r="AL81" s="276" t="e">
        <f>'Modelo de Radiación Solar'!U160*ENERGÍA!$AA$76*ENERGÍA!$AC$76</f>
        <v>#N/A</v>
      </c>
      <c r="AM81" s="276" t="e">
        <f>'Modelo de Radiación Solar'!V160*ENERGÍA!$AA$76*ENERGÍA!$AC$76</f>
        <v>#N/A</v>
      </c>
      <c r="AN81" s="276" t="e">
        <f>'Modelo de Radiación Solar'!W160*ENERGÍA!$AA$76*ENERGÍA!$AC$76</f>
        <v>#N/A</v>
      </c>
      <c r="AO81" s="276" t="e">
        <f>'Modelo de Radiación Solar'!X160*ENERGÍA!$AA$76*ENERGÍA!$AC$76</f>
        <v>#N/A</v>
      </c>
      <c r="AP81" s="276" t="e">
        <f>'Modelo de Radiación Solar'!Y160*ENERGÍA!$AA$76*ENERGÍA!$AC$76</f>
        <v>#N/A</v>
      </c>
      <c r="AQ81" s="276" t="e">
        <f>'Modelo de Radiación Solar'!Z160*ENERGÍA!$AA$76*ENERGÍA!$AC$76</f>
        <v>#N/A</v>
      </c>
      <c r="AR81" s="276" t="e">
        <f>'Modelo de Radiación Solar'!AA160*ENERGÍA!$AA$76*ENERGÍA!$AC$76</f>
        <v>#N/A</v>
      </c>
      <c r="AS81" s="276" t="e">
        <f>'Modelo de Radiación Solar'!AB160*ENERGÍA!$AA$76*ENERGÍA!$AC$76</f>
        <v>#N/A</v>
      </c>
      <c r="AT81" s="276" t="e">
        <f>'Modelo de Radiación Solar'!AC160*ENERGÍA!$AA$76*ENERGÍA!$AC$76</f>
        <v>#N/A</v>
      </c>
      <c r="AU81" s="276" t="e">
        <f>'Modelo de Radiación Solar'!AD160*ENERGÍA!$AA$76*ENERGÍA!$AC$76</f>
        <v>#N/A</v>
      </c>
      <c r="AX81" s="160" t="s">
        <v>1019</v>
      </c>
      <c r="AY81" s="276">
        <f>VLOOKUP(C4,CLIMA,10,FALSE)</f>
        <v>0</v>
      </c>
      <c r="AZ81" s="191"/>
      <c r="BB81" s="855"/>
      <c r="BC81" s="855"/>
      <c r="BD81" s="855"/>
      <c r="BE81" s="855"/>
      <c r="BF81" s="855"/>
      <c r="BG81" s="855"/>
      <c r="BH81" s="855"/>
      <c r="BI81" s="855"/>
      <c r="BJ81" s="855"/>
    </row>
    <row r="82" spans="2:62" ht="15" customHeight="1" thickBot="1">
      <c r="B82" s="418" t="s">
        <v>1999</v>
      </c>
      <c r="C82" s="852"/>
      <c r="D82" s="853"/>
      <c r="E82" s="853"/>
      <c r="F82" s="853"/>
      <c r="G82" s="853"/>
      <c r="H82" s="853"/>
      <c r="I82" s="854"/>
      <c r="J82" s="467" t="str">
        <f>IF(L82=0,"-",VLOOKUP(VLOOKUP(C82,PAREDm,2,FALSE),KMURO,2,TRUE))</f>
        <v>-</v>
      </c>
      <c r="K82" s="467" t="str">
        <f t="shared" si="26"/>
        <v>-</v>
      </c>
      <c r="L82" s="417"/>
      <c r="M82" s="412"/>
      <c r="N82" s="395"/>
      <c r="P82" s="392">
        <f>IF(L82=0,0,VLOOKUP(M82,adyacentem,2,FALSE))</f>
        <v>0</v>
      </c>
      <c r="Q82" s="281">
        <f>IF(L82=0,0,IF(M82=BASE!$DA$7,VLOOKUP(N82,COLORESEXT,2,FALSE),0))</f>
        <v>0</v>
      </c>
      <c r="R82" s="167">
        <f>IF(L82&gt;0,IF($L$295="No",VLOOKUP(C82,PAREDm,2,FALSE),IF(H322="No",VLOOKUP(C82,PAREDm,2,FALSE),0)),0)</f>
        <v>0</v>
      </c>
      <c r="S82" s="222">
        <f>R82*L82</f>
        <v>0</v>
      </c>
      <c r="T82" s="222">
        <f>IF(L82=0,0,IF($L$355="Si",0,(P82*S82)))</f>
        <v>0</v>
      </c>
      <c r="U82" s="333">
        <f>R82</f>
        <v>0</v>
      </c>
      <c r="V82" s="333">
        <f>U82*L82</f>
        <v>0</v>
      </c>
      <c r="W82" s="333">
        <f>IF(L82=0,0,IF($L$355="Si",0,(P82*V82)))</f>
        <v>0</v>
      </c>
      <c r="X82" s="276">
        <f>IF(M82=BASE!$DA$7,L82,0)</f>
        <v>0</v>
      </c>
      <c r="Y82" s="99">
        <f t="shared" si="25"/>
        <v>0</v>
      </c>
      <c r="Z82" s="964" t="s">
        <v>1001</v>
      </c>
      <c r="AA82" s="964"/>
      <c r="AB82" s="964"/>
      <c r="AC82" s="964"/>
      <c r="AD82" s="964"/>
      <c r="AE82" s="162" t="s">
        <v>999</v>
      </c>
      <c r="AF82" s="162"/>
      <c r="AG82" s="277">
        <f>AG96+AG86+AA64</f>
        <v>118</v>
      </c>
      <c r="AI82" s="9">
        <f>ENERGÍA!C39</f>
        <v>0</v>
      </c>
      <c r="AJ82" s="276" t="e">
        <f>'Modelo de Radiación Solar'!AH160*ENERGÍA!$AA$78*ENERGÍA!$AC$78</f>
        <v>#N/A</v>
      </c>
      <c r="AK82" s="276" t="e">
        <f>'Modelo de Radiación Solar'!AI160*ENERGÍA!$AA$78*ENERGÍA!$AC$78</f>
        <v>#N/A</v>
      </c>
      <c r="AL82" s="276" t="e">
        <f>'Modelo de Radiación Solar'!AJ160*ENERGÍA!$AA$78*ENERGÍA!$AC$78</f>
        <v>#N/A</v>
      </c>
      <c r="AM82" s="276" t="e">
        <f>'Modelo de Radiación Solar'!AK160*ENERGÍA!$AA$78*ENERGÍA!$AC$78</f>
        <v>#N/A</v>
      </c>
      <c r="AN82" s="276" t="e">
        <f>'Modelo de Radiación Solar'!AL160*ENERGÍA!$AA$78*ENERGÍA!$AC$78</f>
        <v>#N/A</v>
      </c>
      <c r="AO82" s="276" t="e">
        <f>'Modelo de Radiación Solar'!AM160*ENERGÍA!$AA$78*ENERGÍA!$AC$78</f>
        <v>#N/A</v>
      </c>
      <c r="AP82" s="276" t="e">
        <f>'Modelo de Radiación Solar'!AN160*ENERGÍA!$AA$78*ENERGÍA!$AC$78</f>
        <v>#N/A</v>
      </c>
      <c r="AQ82" s="276" t="e">
        <f>'Modelo de Radiación Solar'!AO160*ENERGÍA!$AA$78*ENERGÍA!$AC$78</f>
        <v>#N/A</v>
      </c>
      <c r="AR82" s="276" t="e">
        <f>'Modelo de Radiación Solar'!AP160*ENERGÍA!$AA$78*ENERGÍA!$AC$78</f>
        <v>#N/A</v>
      </c>
      <c r="AS82" s="276" t="e">
        <f>'Modelo de Radiación Solar'!AQ160*ENERGÍA!$AA$78*ENERGÍA!$AC$78</f>
        <v>#N/A</v>
      </c>
      <c r="AT82" s="276" t="e">
        <f>'Modelo de Radiación Solar'!AR160*ENERGÍA!$AA$78*ENERGÍA!$AC$78</f>
        <v>#N/A</v>
      </c>
      <c r="AU82" s="276" t="e">
        <f>'Modelo de Radiación Solar'!AS160*ENERGÍA!$AA$78*ENERGÍA!$AC$78</f>
        <v>#N/A</v>
      </c>
      <c r="AX82" s="160" t="s">
        <v>1021</v>
      </c>
      <c r="AY82" s="276">
        <f>'Modelo de Radiación Solar'!BU16</f>
        <v>0</v>
      </c>
      <c r="AZ82" s="191"/>
      <c r="BB82" s="855"/>
      <c r="BC82" s="855"/>
      <c r="BD82" s="855"/>
      <c r="BE82" s="855"/>
      <c r="BF82" s="855"/>
      <c r="BG82" s="855"/>
      <c r="BH82" s="855"/>
      <c r="BI82" s="855"/>
      <c r="BJ82" s="855"/>
    </row>
    <row r="83" spans="2:62" ht="15" customHeight="1" thickBot="1">
      <c r="B83" s="418" t="str">
        <f>B73</f>
        <v>Material Personalizado:</v>
      </c>
      <c r="C83" s="866" t="str">
        <f>IF('Materiales Personalizados'!$B$30=0,"-",'Materiales Personalizados'!$B$30)</f>
        <v>-</v>
      </c>
      <c r="D83" s="867"/>
      <c r="E83" s="867"/>
      <c r="F83" s="867"/>
      <c r="G83" s="867"/>
      <c r="H83" s="867"/>
      <c r="I83" s="868"/>
      <c r="J83" s="467" t="str">
        <f>IF(L83=0,"-",VLOOKUP('Materiales Personalizados'!$G$50,KMURO,2,TRUE))</f>
        <v>-</v>
      </c>
      <c r="K83" s="467" t="str">
        <f t="shared" si="26"/>
        <v>-</v>
      </c>
      <c r="L83" s="417"/>
      <c r="M83" s="412"/>
      <c r="N83" s="395"/>
      <c r="P83" s="392">
        <f>IF(L83=0,0,VLOOKUP(M83,adyacentem,2,FALSE))</f>
        <v>0</v>
      </c>
      <c r="Q83" s="281">
        <f>IF(L83=0,0,IF(M83=BASE!$DA$7,VLOOKUP(N83,COLORESEXT,2,FALSE),0))</f>
        <v>0</v>
      </c>
      <c r="R83" s="167">
        <f>IF(L83&gt;0,IF($L$295="No",'Materiales Personalizados'!$G$27,IF(H323="No",'Materiales Personalizados'!$G$27,0)),0)</f>
        <v>0</v>
      </c>
      <c r="S83" s="222">
        <f>R83*L83</f>
        <v>0</v>
      </c>
      <c r="T83" s="222">
        <f>IF(L83=0,0,IF($L$355="Si",0,(P83*S83)))</f>
        <v>0</v>
      </c>
      <c r="U83" s="333">
        <f>R83</f>
        <v>0</v>
      </c>
      <c r="V83" s="333">
        <f>U83*L83</f>
        <v>0</v>
      </c>
      <c r="W83" s="333">
        <f>IF(L83=0,0,IF($L$355="Si",0,(P83*V83)))</f>
        <v>0</v>
      </c>
      <c r="X83" s="276">
        <f>IF(M83=BASE!$DA$7,L83,0)</f>
        <v>0</v>
      </c>
      <c r="Y83" s="99">
        <f t="shared" si="25"/>
        <v>0</v>
      </c>
      <c r="Z83" s="976" t="s">
        <v>994</v>
      </c>
      <c r="AA83" s="976"/>
      <c r="AB83" s="976"/>
      <c r="AC83" s="976"/>
      <c r="AD83" s="976"/>
      <c r="AE83" s="976"/>
      <c r="AF83" s="976"/>
      <c r="AG83" s="976"/>
      <c r="AI83" s="9">
        <f>ENERGÍA!C40</f>
        <v>0</v>
      </c>
      <c r="AJ83" s="276" t="e">
        <f>'Modelo de Radiación Solar'!AW160*ENERGÍA!$AA$80*ENERGÍA!$AC$80</f>
        <v>#N/A</v>
      </c>
      <c r="AK83" s="276" t="e">
        <f>'Modelo de Radiación Solar'!AX160*ENERGÍA!$AA$80*ENERGÍA!$AC$80</f>
        <v>#N/A</v>
      </c>
      <c r="AL83" s="276" t="e">
        <f>'Modelo de Radiación Solar'!AY160*ENERGÍA!$AA$80*ENERGÍA!$AC$80</f>
        <v>#N/A</v>
      </c>
      <c r="AM83" s="276" t="e">
        <f>'Modelo de Radiación Solar'!AZ160*ENERGÍA!$AA$80*ENERGÍA!$AC$80</f>
        <v>#N/A</v>
      </c>
      <c r="AN83" s="276" t="e">
        <f>'Modelo de Radiación Solar'!BA160*ENERGÍA!$AA$80*ENERGÍA!$AC$80</f>
        <v>#N/A</v>
      </c>
      <c r="AO83" s="276" t="e">
        <f>'Modelo de Radiación Solar'!BB160*ENERGÍA!$AA$80*ENERGÍA!$AC$80</f>
        <v>#N/A</v>
      </c>
      <c r="AP83" s="276" t="e">
        <f>'Modelo de Radiación Solar'!BC160*ENERGÍA!$AA$80*ENERGÍA!$AC$80</f>
        <v>#N/A</v>
      </c>
      <c r="AQ83" s="276" t="e">
        <f>'Modelo de Radiación Solar'!BD160*ENERGÍA!$AA$80*ENERGÍA!$AC$80</f>
        <v>#N/A</v>
      </c>
      <c r="AR83" s="276" t="e">
        <f>'Modelo de Radiación Solar'!BE160*ENERGÍA!$AA$80*ENERGÍA!$AC$80</f>
        <v>#N/A</v>
      </c>
      <c r="AS83" s="276" t="e">
        <f>'Modelo de Radiación Solar'!BF160*ENERGÍA!$AA$80*ENERGÍA!$AC$80</f>
        <v>#N/A</v>
      </c>
      <c r="AT83" s="276" t="e">
        <f>'Modelo de Radiación Solar'!BG160*ENERGÍA!$AA$80*ENERGÍA!$AC$80</f>
        <v>#N/A</v>
      </c>
      <c r="AU83" s="276" t="e">
        <f>'Modelo de Radiación Solar'!BH160*ENERGÍA!$AA$80*ENERGÍA!$AC$80</f>
        <v>#N/A</v>
      </c>
      <c r="AX83" s="160" t="s">
        <v>1022</v>
      </c>
      <c r="AY83" s="276">
        <f>'Modelo de Radiación Solar'!BU13</f>
        <v>9.2098978806022647</v>
      </c>
      <c r="AZ83" s="191"/>
      <c r="BB83" s="855"/>
      <c r="BC83" s="855"/>
      <c r="BD83" s="855"/>
      <c r="BE83" s="855"/>
      <c r="BF83" s="855"/>
      <c r="BG83" s="855"/>
      <c r="BH83" s="855"/>
      <c r="BI83" s="855"/>
      <c r="BJ83" s="855"/>
    </row>
    <row r="84" spans="2:62" ht="15" customHeight="1" thickBot="1">
      <c r="B84" s="418" t="str">
        <f>B83</f>
        <v>Material Personalizado:</v>
      </c>
      <c r="C84" s="866" t="str">
        <f>IF('Materiales Personalizados'!$B$53=0,"-",'Materiales Personalizados'!$B$53)</f>
        <v>-</v>
      </c>
      <c r="D84" s="867"/>
      <c r="E84" s="867"/>
      <c r="F84" s="867"/>
      <c r="G84" s="867"/>
      <c r="H84" s="867"/>
      <c r="I84" s="868"/>
      <c r="J84" s="467" t="str">
        <f>IF(L84=0,"-",VLOOKUP('Materiales Personalizados'!$G$73,KMURO,2,TRUE))</f>
        <v>-</v>
      </c>
      <c r="K84" s="467" t="str">
        <f t="shared" si="26"/>
        <v>-</v>
      </c>
      <c r="L84" s="417"/>
      <c r="M84" s="412"/>
      <c r="N84" s="395"/>
      <c r="P84" s="392">
        <f>IF(L84=0,0,VLOOKUP(M84,adyacentem,2,FALSE))</f>
        <v>0</v>
      </c>
      <c r="Q84" s="281">
        <f>IF(L84=0,0,IF(M84=BASE!$DA$7,VLOOKUP(N84,COLORESEXT,2,FALSE),0))</f>
        <v>0</v>
      </c>
      <c r="R84" s="167">
        <f>IF(L84&gt;0,IF($L$295="No",VLOOKUP(C84,PAREDm,2,FALSE),IF(H324="No",VLOOKUP(C84,PAREDm,2,FALSE),0)),0)</f>
        <v>0</v>
      </c>
      <c r="S84" s="222">
        <f>R84*L84</f>
        <v>0</v>
      </c>
      <c r="T84" s="222">
        <f>IF(L84=0,0,IF($L$355="Si",0,(P84*S84)))</f>
        <v>0</v>
      </c>
      <c r="U84" s="333">
        <f>R84</f>
        <v>0</v>
      </c>
      <c r="V84" s="333">
        <f>U84*L84</f>
        <v>0</v>
      </c>
      <c r="W84" s="333">
        <f>IF(L84=0,0,IF($L$355="Si",0,(P84*V84)))</f>
        <v>0</v>
      </c>
      <c r="X84" s="276">
        <f>IF(M84=BASE!$DA$7,L84,0)</f>
        <v>0</v>
      </c>
      <c r="Y84" s="99">
        <f t="shared" si="25"/>
        <v>0</v>
      </c>
      <c r="Z84" s="281"/>
      <c r="AA84" s="281" t="s">
        <v>995</v>
      </c>
      <c r="AB84" s="281" t="s">
        <v>996</v>
      </c>
      <c r="AC84" s="281" t="s">
        <v>997</v>
      </c>
      <c r="AD84" s="281" t="s">
        <v>998</v>
      </c>
      <c r="AE84" s="281" t="s">
        <v>898</v>
      </c>
      <c r="AF84" s="492"/>
      <c r="AG84" s="168" t="s">
        <v>1023</v>
      </c>
      <c r="AI84" s="75" t="s">
        <v>1032</v>
      </c>
      <c r="AJ84" s="276" t="e">
        <f t="shared" ref="AJ84:AU84" si="27">SUM(AJ80:AJ83)*$AY$71</f>
        <v>#N/A</v>
      </c>
      <c r="AK84" s="276" t="e">
        <f t="shared" si="27"/>
        <v>#N/A</v>
      </c>
      <c r="AL84" s="276" t="e">
        <f t="shared" si="27"/>
        <v>#N/A</v>
      </c>
      <c r="AM84" s="276" t="e">
        <f t="shared" si="27"/>
        <v>#N/A</v>
      </c>
      <c r="AN84" s="276" t="e">
        <f t="shared" si="27"/>
        <v>#N/A</v>
      </c>
      <c r="AO84" s="276" t="e">
        <f t="shared" si="27"/>
        <v>#N/A</v>
      </c>
      <c r="AP84" s="276" t="e">
        <f t="shared" si="27"/>
        <v>#N/A</v>
      </c>
      <c r="AQ84" s="276" t="e">
        <f t="shared" si="27"/>
        <v>#N/A</v>
      </c>
      <c r="AR84" s="276" t="e">
        <f t="shared" si="27"/>
        <v>#N/A</v>
      </c>
      <c r="AS84" s="276" t="e">
        <f t="shared" si="27"/>
        <v>#N/A</v>
      </c>
      <c r="AT84" s="276" t="e">
        <f t="shared" si="27"/>
        <v>#N/A</v>
      </c>
      <c r="AU84" s="276" t="e">
        <f t="shared" si="27"/>
        <v>#N/A</v>
      </c>
      <c r="AX84" s="160" t="s">
        <v>1020</v>
      </c>
      <c r="AY84" s="276">
        <f>AY82-AY83</f>
        <v>-9.2098978806022647</v>
      </c>
      <c r="BB84" s="855"/>
      <c r="BC84" s="855"/>
      <c r="BD84" s="855"/>
      <c r="BE84" s="855"/>
      <c r="BF84" s="855"/>
      <c r="BG84" s="855"/>
      <c r="BH84" s="855"/>
      <c r="BI84" s="855"/>
      <c r="BJ84" s="855"/>
    </row>
    <row r="85" spans="2:62" ht="6" customHeight="1" thickBot="1">
      <c r="M85" s="332"/>
      <c r="P85" s="189"/>
      <c r="Q85" s="127"/>
      <c r="R85" s="340"/>
      <c r="S85" s="340"/>
      <c r="T85" s="340"/>
      <c r="W85" s="100"/>
      <c r="Y85" s="99">
        <f>IF(K85&gt;0,1,0)</f>
        <v>0</v>
      </c>
      <c r="AI85" s="341"/>
      <c r="AJ85" s="341"/>
      <c r="AK85" s="341"/>
      <c r="AL85" s="341"/>
      <c r="AM85" s="341"/>
      <c r="AN85" s="341"/>
      <c r="AO85" s="341"/>
      <c r="AP85" s="341"/>
      <c r="AQ85" s="341"/>
      <c r="AR85" s="341"/>
      <c r="AS85" s="341"/>
      <c r="AT85" s="341"/>
      <c r="AU85" s="341"/>
      <c r="BB85" s="855"/>
      <c r="BC85" s="855"/>
      <c r="BD85" s="855"/>
      <c r="BE85" s="855"/>
      <c r="BF85" s="855"/>
      <c r="BG85" s="855"/>
      <c r="BH85" s="855"/>
      <c r="BI85" s="855"/>
      <c r="BJ85" s="855"/>
    </row>
    <row r="86" spans="2:62" ht="15" customHeight="1" thickBot="1">
      <c r="B86" s="833">
        <f>C40</f>
        <v>0</v>
      </c>
      <c r="C86" s="833"/>
      <c r="D86" s="833"/>
      <c r="E86" s="833"/>
      <c r="F86" s="833"/>
      <c r="G86" s="833"/>
      <c r="H86" s="833"/>
      <c r="I86" s="833"/>
      <c r="J86" s="833"/>
      <c r="K86" s="833"/>
      <c r="L86" s="833"/>
      <c r="M86" s="833"/>
      <c r="N86" s="833"/>
      <c r="P86" s="845">
        <f>B86</f>
        <v>0</v>
      </c>
      <c r="Q86" s="846"/>
      <c r="R86" s="846"/>
      <c r="S86" s="846"/>
      <c r="T86" s="846"/>
      <c r="U86" s="846"/>
      <c r="V86" s="846"/>
      <c r="W86" s="846"/>
      <c r="X86" s="847"/>
      <c r="Y86" s="99">
        <f>IF(K86&gt;0,1,0)</f>
        <v>0</v>
      </c>
      <c r="Z86" s="275" t="s">
        <v>618</v>
      </c>
      <c r="AA86" s="281">
        <f>AA56</f>
        <v>0</v>
      </c>
      <c r="AB86" s="287">
        <v>450</v>
      </c>
      <c r="AC86" s="281">
        <f>AC56</f>
        <v>25</v>
      </c>
      <c r="AD86" s="281">
        <f>AB86*AC86/100</f>
        <v>112.5</v>
      </c>
      <c r="AE86" s="281">
        <f>AD86*AA86</f>
        <v>0</v>
      </c>
      <c r="AF86" s="492"/>
      <c r="AG86" s="977">
        <f>SUM(AE86:AE91)</f>
        <v>118</v>
      </c>
      <c r="AI86" s="1078" t="s">
        <v>1650</v>
      </c>
      <c r="AJ86" s="1078"/>
      <c r="AK86" s="1078"/>
      <c r="AL86" s="1078"/>
      <c r="AM86" s="1078"/>
      <c r="AN86" s="1078"/>
      <c r="AO86" s="1078"/>
      <c r="AP86" s="1078"/>
      <c r="AQ86" s="1078"/>
      <c r="AR86" s="1078"/>
      <c r="AS86" s="1078"/>
      <c r="AT86" s="1078"/>
      <c r="AU86" s="1078"/>
      <c r="BB86" s="855"/>
      <c r="BC86" s="855"/>
      <c r="BD86" s="855"/>
      <c r="BE86" s="855"/>
      <c r="BF86" s="855"/>
      <c r="BG86" s="855"/>
      <c r="BH86" s="855"/>
      <c r="BI86" s="855"/>
      <c r="BJ86" s="855"/>
    </row>
    <row r="87" spans="2:62" ht="6" customHeight="1" thickBot="1">
      <c r="E87" s="332"/>
      <c r="F87" s="332"/>
      <c r="L87" s="332"/>
      <c r="M87" s="332"/>
      <c r="P87" s="189"/>
      <c r="Q87" s="127"/>
      <c r="R87" s="100"/>
      <c r="S87" s="100"/>
      <c r="W87" s="100"/>
      <c r="Y87" s="99">
        <f>IF(K87&gt;0,1,0)</f>
        <v>0</v>
      </c>
      <c r="AG87" s="977"/>
      <c r="BB87" s="855"/>
      <c r="BC87" s="855"/>
      <c r="BD87" s="855"/>
      <c r="BE87" s="855"/>
      <c r="BF87" s="855"/>
      <c r="BG87" s="855"/>
      <c r="BH87" s="855"/>
      <c r="BI87" s="855"/>
      <c r="BJ87" s="855"/>
    </row>
    <row r="88" spans="2:62" ht="15" customHeight="1" thickBot="1">
      <c r="B88" s="838"/>
      <c r="C88" s="869" t="s">
        <v>222</v>
      </c>
      <c r="D88" s="870"/>
      <c r="E88" s="870"/>
      <c r="F88" s="870"/>
      <c r="G88" s="870"/>
      <c r="H88" s="870"/>
      <c r="I88" s="871"/>
      <c r="J88" s="838" t="s">
        <v>1788</v>
      </c>
      <c r="K88" s="838"/>
      <c r="L88" s="838" t="s">
        <v>594</v>
      </c>
      <c r="M88" s="838" t="s">
        <v>1356</v>
      </c>
      <c r="N88" s="830" t="s">
        <v>644</v>
      </c>
      <c r="P88" s="875" t="s">
        <v>1354</v>
      </c>
      <c r="Q88" s="843" t="s">
        <v>729</v>
      </c>
      <c r="R88" s="863" t="s">
        <v>849</v>
      </c>
      <c r="S88" s="863" t="s">
        <v>850</v>
      </c>
      <c r="T88" s="863" t="s">
        <v>1357</v>
      </c>
      <c r="U88" s="841" t="s">
        <v>851</v>
      </c>
      <c r="V88" s="841" t="s">
        <v>891</v>
      </c>
      <c r="W88" s="841" t="s">
        <v>1359</v>
      </c>
      <c r="X88" s="843" t="s">
        <v>1358</v>
      </c>
      <c r="Y88" s="99">
        <f t="shared" ref="Y88:Y94" si="28">IF(L88&gt;0,1,0)</f>
        <v>1</v>
      </c>
      <c r="Z88" s="275" t="s">
        <v>572</v>
      </c>
      <c r="AA88" s="281">
        <f>AA58</f>
        <v>1</v>
      </c>
      <c r="AB88" s="287">
        <v>472</v>
      </c>
      <c r="AC88" s="281">
        <f>AC58</f>
        <v>25</v>
      </c>
      <c r="AD88" s="281">
        <f>AB88*AC88/100</f>
        <v>118</v>
      </c>
      <c r="AE88" s="281">
        <f>AD88*AA88</f>
        <v>118</v>
      </c>
      <c r="AF88" s="492"/>
      <c r="AG88" s="977"/>
      <c r="AI88" s="1013" t="s">
        <v>1521</v>
      </c>
      <c r="AJ88" s="1013"/>
      <c r="AK88" s="1013"/>
      <c r="AL88" s="1013"/>
      <c r="AM88" s="1013"/>
      <c r="AN88" s="1013"/>
      <c r="AO88" s="1013"/>
      <c r="AP88" s="1013"/>
      <c r="AQ88" s="1013"/>
      <c r="AR88" s="1013"/>
      <c r="AS88" s="1013"/>
      <c r="AT88" s="1013"/>
      <c r="AU88" s="1013"/>
      <c r="AX88" s="1072" t="s">
        <v>1024</v>
      </c>
      <c r="AY88" s="1073"/>
      <c r="BB88" s="855"/>
      <c r="BC88" s="855"/>
      <c r="BD88" s="855"/>
      <c r="BE88" s="855"/>
      <c r="BF88" s="855"/>
      <c r="BG88" s="855"/>
      <c r="BH88" s="855"/>
      <c r="BI88" s="855"/>
      <c r="BJ88" s="855"/>
    </row>
    <row r="89" spans="2:62" ht="15" customHeight="1" thickBot="1">
      <c r="B89" s="838"/>
      <c r="C89" s="872"/>
      <c r="D89" s="873"/>
      <c r="E89" s="873"/>
      <c r="F89" s="873"/>
      <c r="G89" s="873"/>
      <c r="H89" s="873"/>
      <c r="I89" s="874"/>
      <c r="J89" s="466" t="s">
        <v>749</v>
      </c>
      <c r="K89" s="466" t="s">
        <v>750</v>
      </c>
      <c r="L89" s="838"/>
      <c r="M89" s="838"/>
      <c r="N89" s="830"/>
      <c r="P89" s="876"/>
      <c r="Q89" s="844"/>
      <c r="R89" s="864"/>
      <c r="S89" s="864"/>
      <c r="T89" s="864"/>
      <c r="U89" s="842"/>
      <c r="V89" s="842"/>
      <c r="W89" s="842"/>
      <c r="X89" s="844"/>
      <c r="Y89" s="99">
        <f t="shared" si="28"/>
        <v>0</v>
      </c>
      <c r="Z89" s="141"/>
      <c r="AA89" s="99"/>
      <c r="AB89" s="99"/>
      <c r="AC89" s="99"/>
      <c r="AD89" s="99"/>
      <c r="AE89" s="99"/>
      <c r="AF89" s="99"/>
      <c r="AG89" s="977"/>
      <c r="AI89" s="344"/>
      <c r="AJ89" s="344"/>
      <c r="AK89" s="344"/>
      <c r="AL89" s="344"/>
      <c r="AM89" s="344"/>
      <c r="AN89" s="344"/>
      <c r="AO89" s="344"/>
      <c r="AP89" s="344"/>
      <c r="AQ89" s="344"/>
      <c r="AR89" s="344"/>
      <c r="AS89" s="344"/>
      <c r="AT89" s="344"/>
      <c r="AU89" s="344"/>
      <c r="AX89" s="1074"/>
      <c r="AY89" s="1075"/>
      <c r="BB89" s="855"/>
      <c r="BC89" s="855"/>
      <c r="BD89" s="855"/>
      <c r="BE89" s="855"/>
      <c r="BF89" s="855"/>
      <c r="BG89" s="855"/>
      <c r="BH89" s="855"/>
      <c r="BI89" s="855"/>
      <c r="BJ89" s="855"/>
    </row>
    <row r="90" spans="2:62" ht="15" customHeight="1" thickBot="1">
      <c r="B90" s="418" t="s">
        <v>1997</v>
      </c>
      <c r="C90" s="852"/>
      <c r="D90" s="853"/>
      <c r="E90" s="853"/>
      <c r="F90" s="853"/>
      <c r="G90" s="853"/>
      <c r="H90" s="853"/>
      <c r="I90" s="854"/>
      <c r="J90" s="467" t="str">
        <f>IF(L90=0,"-",VLOOKUP(VLOOKUP(C90,PAREDm,2,FALSE),KMURO,2,TRUE))</f>
        <v>-</v>
      </c>
      <c r="K90" s="467" t="str">
        <f>J90</f>
        <v>-</v>
      </c>
      <c r="L90" s="417"/>
      <c r="M90" s="578"/>
      <c r="N90" s="395"/>
      <c r="P90" s="392">
        <f>IF(L90=0,0,VLOOKUP(M90,adyacentem,2,FALSE))</f>
        <v>0</v>
      </c>
      <c r="Q90" s="281">
        <f>IF(L90=0,0,IF(M90=BASE!$DA$7,VLOOKUP(N90,COLORESEXT,2,FALSE),0))</f>
        <v>0</v>
      </c>
      <c r="R90" s="167">
        <f>IF(L90&gt;0,IF($L$295="No",VLOOKUP(C90,PAREDm,2,FALSE),IF(H329="No",VLOOKUP(C90,PAREDm,2,FALSE),0)),0)</f>
        <v>0</v>
      </c>
      <c r="S90" s="222">
        <f>R90*L90</f>
        <v>0</v>
      </c>
      <c r="T90" s="222">
        <f>IF(L90=0,0,IF($L$362="Si",0,(P90*S90)))</f>
        <v>0</v>
      </c>
      <c r="U90" s="333">
        <f>R90</f>
        <v>0</v>
      </c>
      <c r="V90" s="333">
        <f>U90*L90</f>
        <v>0</v>
      </c>
      <c r="W90" s="333">
        <f>IF(L90=0,0,IF($L$362="Si",0,(P90*V90)))</f>
        <v>0</v>
      </c>
      <c r="X90" s="276">
        <f>IF(M90=BASE!$DA$7,L90,0)</f>
        <v>0</v>
      </c>
      <c r="Y90" s="99">
        <f t="shared" si="28"/>
        <v>0</v>
      </c>
      <c r="Z90" s="275" t="s">
        <v>620</v>
      </c>
      <c r="AA90" s="281">
        <f>AA60</f>
        <v>1</v>
      </c>
      <c r="AB90" s="287">
        <v>0</v>
      </c>
      <c r="AC90" s="281">
        <f>AC60</f>
        <v>15</v>
      </c>
      <c r="AD90" s="281">
        <f>AB90*AC90/100</f>
        <v>0</v>
      </c>
      <c r="AE90" s="281">
        <f>AD90*AA90</f>
        <v>0</v>
      </c>
      <c r="AF90" s="492"/>
      <c r="AG90" s="977"/>
      <c r="AI90" s="9" t="s">
        <v>1032</v>
      </c>
      <c r="AJ90" s="276" t="e">
        <f>AJ84</f>
        <v>#N/A</v>
      </c>
      <c r="AK90" s="276" t="e">
        <f t="shared" ref="AK90:AU90" si="29">AK84</f>
        <v>#N/A</v>
      </c>
      <c r="AL90" s="276" t="e">
        <f t="shared" si="29"/>
        <v>#N/A</v>
      </c>
      <c r="AM90" s="276" t="e">
        <f t="shared" si="29"/>
        <v>#N/A</v>
      </c>
      <c r="AN90" s="276" t="e">
        <f t="shared" si="29"/>
        <v>#N/A</v>
      </c>
      <c r="AO90" s="276" t="e">
        <f t="shared" si="29"/>
        <v>#N/A</v>
      </c>
      <c r="AP90" s="276" t="e">
        <f t="shared" si="29"/>
        <v>#N/A</v>
      </c>
      <c r="AQ90" s="276" t="e">
        <f t="shared" si="29"/>
        <v>#N/A</v>
      </c>
      <c r="AR90" s="276" t="e">
        <f t="shared" si="29"/>
        <v>#N/A</v>
      </c>
      <c r="AS90" s="276" t="e">
        <f t="shared" si="29"/>
        <v>#N/A</v>
      </c>
      <c r="AT90" s="276" t="e">
        <f t="shared" si="29"/>
        <v>#N/A</v>
      </c>
      <c r="AU90" s="276" t="e">
        <f t="shared" si="29"/>
        <v>#N/A</v>
      </c>
      <c r="AX90" s="1074"/>
      <c r="AY90" s="1075"/>
      <c r="BB90" s="855"/>
      <c r="BC90" s="855"/>
      <c r="BD90" s="855"/>
      <c r="BE90" s="855"/>
      <c r="BF90" s="855"/>
      <c r="BG90" s="855"/>
      <c r="BH90" s="855"/>
      <c r="BI90" s="855"/>
      <c r="BJ90" s="855"/>
    </row>
    <row r="91" spans="2:62" ht="15" customHeight="1" thickBot="1">
      <c r="B91" s="418" t="s">
        <v>1998</v>
      </c>
      <c r="C91" s="852"/>
      <c r="D91" s="853"/>
      <c r="E91" s="853"/>
      <c r="F91" s="853"/>
      <c r="G91" s="853"/>
      <c r="H91" s="853"/>
      <c r="I91" s="854"/>
      <c r="J91" s="467" t="str">
        <f>IF(L91=0,"-",VLOOKUP(VLOOKUP(C91,PAREDm,2,FALSE),KMURO,2,TRUE))</f>
        <v>-</v>
      </c>
      <c r="K91" s="467" t="str">
        <f t="shared" ref="K91:K94" si="30">J91</f>
        <v>-</v>
      </c>
      <c r="L91" s="417"/>
      <c r="M91" s="412"/>
      <c r="N91" s="395"/>
      <c r="P91" s="392">
        <f>IF(L91=0,0,VLOOKUP(M91,adyacentem,2,FALSE))</f>
        <v>0</v>
      </c>
      <c r="Q91" s="281">
        <f>IF(L91=0,0,IF(M91=BASE!$DA$7,VLOOKUP(N91,COLORESEXT,2,FALSE),0))</f>
        <v>0</v>
      </c>
      <c r="R91" s="167">
        <f>IF(L91&gt;0,IF($L$295="No",VLOOKUP(C91,PAREDm,2,FALSE),IF(H330="No",VLOOKUP(C91,PAREDm,2,FALSE),0)),0)</f>
        <v>0</v>
      </c>
      <c r="S91" s="222">
        <f>R91*L91</f>
        <v>0</v>
      </c>
      <c r="T91" s="222">
        <f>IF(L91=0,0,IF($L$362="Si",0,(P91*S91)))</f>
        <v>0</v>
      </c>
      <c r="U91" s="333">
        <f>R91</f>
        <v>0</v>
      </c>
      <c r="V91" s="333">
        <f>U91*L91</f>
        <v>0</v>
      </c>
      <c r="W91" s="333">
        <f>IF(L91=0,0,IF($L$362="Si",0,(P91*V91)))</f>
        <v>0</v>
      </c>
      <c r="X91" s="276">
        <f>IF(M91=BASE!$DA$7,L91,0)</f>
        <v>0</v>
      </c>
      <c r="Y91" s="99">
        <f t="shared" si="28"/>
        <v>0</v>
      </c>
      <c r="Z91" s="275" t="s">
        <v>619</v>
      </c>
      <c r="AA91" s="281">
        <f>AA61</f>
        <v>1</v>
      </c>
      <c r="AB91" s="287">
        <v>0</v>
      </c>
      <c r="AC91" s="281">
        <f>AC61</f>
        <v>25</v>
      </c>
      <c r="AD91" s="281">
        <f>AB91*AC91/100</f>
        <v>0</v>
      </c>
      <c r="AE91" s="281">
        <f>AD91*AA91</f>
        <v>0</v>
      </c>
      <c r="AF91" s="492"/>
      <c r="AG91" s="977"/>
      <c r="AI91" s="160" t="s">
        <v>991</v>
      </c>
      <c r="AJ91" s="281">
        <f>(AE64+AG96)*12/24</f>
        <v>0</v>
      </c>
      <c r="AK91" s="281">
        <f>AJ91</f>
        <v>0</v>
      </c>
      <c r="AL91" s="281">
        <f t="shared" ref="AL91:AU91" si="31">AK91</f>
        <v>0</v>
      </c>
      <c r="AM91" s="281">
        <f t="shared" si="31"/>
        <v>0</v>
      </c>
      <c r="AN91" s="281">
        <f t="shared" si="31"/>
        <v>0</v>
      </c>
      <c r="AO91" s="281">
        <f t="shared" si="31"/>
        <v>0</v>
      </c>
      <c r="AP91" s="281">
        <f t="shared" si="31"/>
        <v>0</v>
      </c>
      <c r="AQ91" s="281">
        <f t="shared" si="31"/>
        <v>0</v>
      </c>
      <c r="AR91" s="281">
        <f t="shared" si="31"/>
        <v>0</v>
      </c>
      <c r="AS91" s="281">
        <f t="shared" si="31"/>
        <v>0</v>
      </c>
      <c r="AT91" s="281">
        <f t="shared" si="31"/>
        <v>0</v>
      </c>
      <c r="AU91" s="281">
        <f t="shared" si="31"/>
        <v>0</v>
      </c>
      <c r="AX91" s="1076"/>
      <c r="AY91" s="1077"/>
      <c r="BB91" s="855"/>
      <c r="BC91" s="855"/>
      <c r="BD91" s="855"/>
      <c r="BE91" s="855"/>
      <c r="BF91" s="855"/>
      <c r="BG91" s="855"/>
      <c r="BH91" s="855"/>
      <c r="BI91" s="855"/>
      <c r="BJ91" s="855"/>
    </row>
    <row r="92" spans="2:62" ht="15" customHeight="1" thickBot="1">
      <c r="B92" s="418" t="s">
        <v>1999</v>
      </c>
      <c r="C92" s="852"/>
      <c r="D92" s="853"/>
      <c r="E92" s="853"/>
      <c r="F92" s="853"/>
      <c r="G92" s="853"/>
      <c r="H92" s="853"/>
      <c r="I92" s="854"/>
      <c r="J92" s="467" t="str">
        <f>IF(L92=0,"-",VLOOKUP(VLOOKUP(C92,PAREDm,2,FALSE),KMURO,2,TRUE))</f>
        <v>-</v>
      </c>
      <c r="K92" s="467" t="str">
        <f t="shared" si="30"/>
        <v>-</v>
      </c>
      <c r="L92" s="417"/>
      <c r="M92" s="412"/>
      <c r="N92" s="395"/>
      <c r="P92" s="392">
        <f>IF(L92=0,0,VLOOKUP(M92,adyacentem,2,FALSE))</f>
        <v>0</v>
      </c>
      <c r="Q92" s="281">
        <f>IF(L92=0,0,IF(M92=BASE!$DA$7,VLOOKUP(N92,COLORESEXT,2,FALSE),0))</f>
        <v>0</v>
      </c>
      <c r="R92" s="167">
        <f>IF(L92&gt;0,IF($L$295="No",VLOOKUP(C92,PAREDm,2,FALSE),IF(H331="No",VLOOKUP(C92,PAREDm,2,FALSE),0)),0)</f>
        <v>0</v>
      </c>
      <c r="S92" s="222">
        <f>R92*L92</f>
        <v>0</v>
      </c>
      <c r="T92" s="222">
        <f>IF(L92=0,0,IF($L$362="Si",0,(P92*S92)))</f>
        <v>0</v>
      </c>
      <c r="U92" s="333">
        <f>R92</f>
        <v>0</v>
      </c>
      <c r="V92" s="333">
        <f>U92*L92</f>
        <v>0</v>
      </c>
      <c r="W92" s="333">
        <f>IF(L92=0,0,IF($L$362="Si",0,(P92*V92)))</f>
        <v>0</v>
      </c>
      <c r="X92" s="276">
        <f>IF(M92=BASE!$DA$7,L92,0)</f>
        <v>0</v>
      </c>
      <c r="Y92" s="99">
        <f t="shared" si="28"/>
        <v>0</v>
      </c>
      <c r="AI92" s="160" t="s">
        <v>760</v>
      </c>
      <c r="AJ92" s="276">
        <f>($AJ$126*1000)/24/AJ76</f>
        <v>0</v>
      </c>
      <c r="AK92" s="276">
        <f t="shared" ref="AK92:AU92" si="32">($AJ$126*1000)/24/AK76</f>
        <v>0</v>
      </c>
      <c r="AL92" s="276">
        <f t="shared" si="32"/>
        <v>0</v>
      </c>
      <c r="AM92" s="276">
        <f t="shared" si="32"/>
        <v>0</v>
      </c>
      <c r="AN92" s="276">
        <f t="shared" si="32"/>
        <v>0</v>
      </c>
      <c r="AO92" s="276">
        <f t="shared" si="32"/>
        <v>0</v>
      </c>
      <c r="AP92" s="276">
        <f t="shared" si="32"/>
        <v>0</v>
      </c>
      <c r="AQ92" s="276">
        <f t="shared" si="32"/>
        <v>0</v>
      </c>
      <c r="AR92" s="276">
        <f t="shared" si="32"/>
        <v>0</v>
      </c>
      <c r="AS92" s="276">
        <f t="shared" si="32"/>
        <v>0</v>
      </c>
      <c r="AT92" s="276">
        <f t="shared" si="32"/>
        <v>0</v>
      </c>
      <c r="AU92" s="276">
        <f t="shared" si="32"/>
        <v>0</v>
      </c>
      <c r="AX92" s="1068" t="s">
        <v>892</v>
      </c>
      <c r="AY92" s="1070">
        <f>SUM(T50:T94)+SUM(S99:S102)+SUM(AD110:AD176)+SUM(V302:V333)+SUM(V344:V365)</f>
        <v>0</v>
      </c>
      <c r="BB92" s="855"/>
      <c r="BC92" s="855"/>
      <c r="BD92" s="855"/>
      <c r="BE92" s="855"/>
      <c r="BF92" s="855"/>
      <c r="BG92" s="855"/>
      <c r="BH92" s="855"/>
      <c r="BI92" s="855"/>
      <c r="BJ92" s="855"/>
    </row>
    <row r="93" spans="2:62" ht="15" customHeight="1" thickBot="1">
      <c r="B93" s="418" t="str">
        <f>B83</f>
        <v>Material Personalizado:</v>
      </c>
      <c r="C93" s="866" t="str">
        <f>IF('Materiales Personalizados'!$B$30=0,"-",'Materiales Personalizados'!$B$30)</f>
        <v>-</v>
      </c>
      <c r="D93" s="867"/>
      <c r="E93" s="867"/>
      <c r="F93" s="867"/>
      <c r="G93" s="867"/>
      <c r="H93" s="867"/>
      <c r="I93" s="868"/>
      <c r="J93" s="467" t="str">
        <f>IF(L93=0,"-",VLOOKUP('Materiales Personalizados'!$G$50,KMURO,2,TRUE))</f>
        <v>-</v>
      </c>
      <c r="K93" s="467" t="str">
        <f t="shared" si="30"/>
        <v>-</v>
      </c>
      <c r="L93" s="417"/>
      <c r="M93" s="412"/>
      <c r="N93" s="395"/>
      <c r="P93" s="392">
        <f>IF(L93=0,0,VLOOKUP(M93,adyacentem,2,FALSE))</f>
        <v>0</v>
      </c>
      <c r="Q93" s="281">
        <f>IF(L93=0,0,IF(M93=BASE!$DA$7,VLOOKUP(N93,COLORESEXT,2,FALSE),0))</f>
        <v>0</v>
      </c>
      <c r="R93" s="167">
        <f>IF(L93&gt;0,IF($L$295="No",'Materiales Personalizados'!$G$27,IF(H332="No",'Materiales Personalizados'!$G$27,0)),0)</f>
        <v>0</v>
      </c>
      <c r="S93" s="222">
        <f>R93*L93</f>
        <v>0</v>
      </c>
      <c r="T93" s="222">
        <f>IF(L93=0,0,IF($L$362="Si",0,(P93*S93)))</f>
        <v>0</v>
      </c>
      <c r="U93" s="333">
        <f>R93</f>
        <v>0</v>
      </c>
      <c r="V93" s="333">
        <f>U93*L93</f>
        <v>0</v>
      </c>
      <c r="W93" s="333">
        <f>IF(L93=0,0,IF($L$362="Si",0,(P93*V93)))</f>
        <v>0</v>
      </c>
      <c r="X93" s="276">
        <f>IF(M93=BASE!$DA$7,L93,0)</f>
        <v>0</v>
      </c>
      <c r="Y93" s="99">
        <f t="shared" si="28"/>
        <v>0</v>
      </c>
      <c r="Z93" s="976" t="s">
        <v>992</v>
      </c>
      <c r="AA93" s="976"/>
      <c r="AB93" s="976"/>
      <c r="AC93" s="976"/>
      <c r="AD93" s="976"/>
      <c r="AE93" s="976"/>
      <c r="AF93" s="976"/>
      <c r="AG93" s="976"/>
      <c r="AI93" s="160" t="s">
        <v>762</v>
      </c>
      <c r="AJ93" s="276">
        <f t="shared" ref="AJ93:AU93" si="33">($AJ$127*1000)/24/AJ76</f>
        <v>95.833333333333343</v>
      </c>
      <c r="AK93" s="276">
        <f t="shared" si="33"/>
        <v>106.10119047619048</v>
      </c>
      <c r="AL93" s="276">
        <f t="shared" si="33"/>
        <v>95.833333333333343</v>
      </c>
      <c r="AM93" s="276">
        <f t="shared" si="33"/>
        <v>99.027777777777786</v>
      </c>
      <c r="AN93" s="276">
        <f t="shared" si="33"/>
        <v>95.833333333333343</v>
      </c>
      <c r="AO93" s="276">
        <f t="shared" si="33"/>
        <v>99.027777777777786</v>
      </c>
      <c r="AP93" s="276">
        <f t="shared" si="33"/>
        <v>95.833333333333343</v>
      </c>
      <c r="AQ93" s="276">
        <f t="shared" si="33"/>
        <v>95.833333333333343</v>
      </c>
      <c r="AR93" s="276">
        <f t="shared" si="33"/>
        <v>99.027777777777786</v>
      </c>
      <c r="AS93" s="276">
        <f t="shared" si="33"/>
        <v>95.833333333333343</v>
      </c>
      <c r="AT93" s="276">
        <f t="shared" si="33"/>
        <v>99.027777777777786</v>
      </c>
      <c r="AU93" s="276">
        <f t="shared" si="33"/>
        <v>95.833333333333343</v>
      </c>
      <c r="AX93" s="1068"/>
      <c r="AY93" s="1070"/>
      <c r="BB93" s="855"/>
      <c r="BC93" s="855"/>
      <c r="BD93" s="855"/>
      <c r="BE93" s="855"/>
      <c r="BF93" s="855"/>
      <c r="BG93" s="855"/>
      <c r="BH93" s="855"/>
      <c r="BI93" s="855"/>
      <c r="BJ93" s="855"/>
    </row>
    <row r="94" spans="2:62" ht="15" customHeight="1" thickBot="1">
      <c r="B94" s="418" t="str">
        <f>B93</f>
        <v>Material Personalizado:</v>
      </c>
      <c r="C94" s="866" t="str">
        <f>IF('Materiales Personalizados'!$B$53=0,"-",'Materiales Personalizados'!$B$53)</f>
        <v>-</v>
      </c>
      <c r="D94" s="867"/>
      <c r="E94" s="867"/>
      <c r="F94" s="867"/>
      <c r="G94" s="867"/>
      <c r="H94" s="867"/>
      <c r="I94" s="868"/>
      <c r="J94" s="467" t="str">
        <f>IF(L94=0,"-",VLOOKUP('Materiales Personalizados'!$G$73,KMURO,2,TRUE))</f>
        <v>-</v>
      </c>
      <c r="K94" s="467" t="str">
        <f t="shared" si="30"/>
        <v>-</v>
      </c>
      <c r="L94" s="417"/>
      <c r="M94" s="412"/>
      <c r="N94" s="395"/>
      <c r="P94" s="392">
        <f>IF(L94=0,0,VLOOKUP(M94,adyacentem,2,FALSE))</f>
        <v>0</v>
      </c>
      <c r="Q94" s="281">
        <f>IF(L94=0,0,IF(M94=BASE!$DA$7,VLOOKUP(N94,COLORESEXT,2,FALSE),0))</f>
        <v>0</v>
      </c>
      <c r="R94" s="167">
        <f>IF(L94&gt;0,IF($L$295="No",VLOOKUP(C94,PAREDm,2,FALSE),IF(H333="No",VLOOKUP(C94,PAREDm,2,FALSE),0)),0)</f>
        <v>0</v>
      </c>
      <c r="S94" s="222">
        <f>R94*L94</f>
        <v>0</v>
      </c>
      <c r="T94" s="222">
        <f>IF(L94=0,0,IF($L$362="Si",0,(P94*S94)))</f>
        <v>0</v>
      </c>
      <c r="U94" s="333">
        <f>R94</f>
        <v>0</v>
      </c>
      <c r="V94" s="333">
        <f>U94*L94</f>
        <v>0</v>
      </c>
      <c r="W94" s="333">
        <f>IF(L94=0,0,IF($L$362="Si",0,(P94*V94)))</f>
        <v>0</v>
      </c>
      <c r="X94" s="276">
        <f>IF(M94=BASE!$DA$7,L94,0)</f>
        <v>0</v>
      </c>
      <c r="Y94" s="99">
        <f t="shared" si="28"/>
        <v>0</v>
      </c>
      <c r="Z94" s="890" t="s">
        <v>1119</v>
      </c>
      <c r="AA94" s="890"/>
      <c r="AB94" s="890"/>
      <c r="AC94" s="890" t="s">
        <v>1120</v>
      </c>
      <c r="AD94" s="890"/>
      <c r="AE94" s="890"/>
      <c r="AF94" s="494"/>
      <c r="AG94" s="168" t="s">
        <v>1023</v>
      </c>
      <c r="AI94" s="160" t="s">
        <v>896</v>
      </c>
      <c r="AJ94" s="276" t="e">
        <f>SUM(AJ90:AJ93)</f>
        <v>#N/A</v>
      </c>
      <c r="AK94" s="276" t="e">
        <f t="shared" ref="AK94:AU94" si="34">SUM(AK90:AK93)</f>
        <v>#N/A</v>
      </c>
      <c r="AL94" s="276" t="e">
        <f t="shared" si="34"/>
        <v>#N/A</v>
      </c>
      <c r="AM94" s="276" t="e">
        <f t="shared" si="34"/>
        <v>#N/A</v>
      </c>
      <c r="AN94" s="276" t="e">
        <f t="shared" si="34"/>
        <v>#N/A</v>
      </c>
      <c r="AO94" s="276" t="e">
        <f t="shared" si="34"/>
        <v>#N/A</v>
      </c>
      <c r="AP94" s="276" t="e">
        <f t="shared" si="34"/>
        <v>#N/A</v>
      </c>
      <c r="AQ94" s="276" t="e">
        <f t="shared" si="34"/>
        <v>#N/A</v>
      </c>
      <c r="AR94" s="276" t="e">
        <f t="shared" si="34"/>
        <v>#N/A</v>
      </c>
      <c r="AS94" s="276" t="e">
        <f t="shared" si="34"/>
        <v>#N/A</v>
      </c>
      <c r="AT94" s="276" t="e">
        <f t="shared" si="34"/>
        <v>#N/A</v>
      </c>
      <c r="AU94" s="276" t="e">
        <f t="shared" si="34"/>
        <v>#N/A</v>
      </c>
      <c r="AX94" s="1071" t="s">
        <v>893</v>
      </c>
      <c r="AY94" s="1069">
        <f>SUM(W50:W94)+SUM(V99:V102)+SUM(AE110:AE176)+SUM(W302:W333)+SUM(W344:W365)</f>
        <v>0</v>
      </c>
      <c r="BB94" s="855"/>
      <c r="BC94" s="855"/>
      <c r="BD94" s="855"/>
      <c r="BE94" s="855"/>
      <c r="BF94" s="855"/>
      <c r="BG94" s="855"/>
      <c r="BH94" s="855"/>
      <c r="BI94" s="855"/>
      <c r="BJ94" s="855"/>
    </row>
    <row r="95" spans="2:62" ht="6" customHeight="1" thickBot="1">
      <c r="M95" s="332"/>
      <c r="P95" s="246"/>
      <c r="Q95" s="127"/>
      <c r="R95" s="340"/>
      <c r="S95" s="340"/>
      <c r="T95" s="340"/>
      <c r="W95" s="181"/>
      <c r="AX95" s="1071"/>
      <c r="AY95" s="1069"/>
    </row>
    <row r="96" spans="2:62" ht="20" customHeight="1" thickBot="1">
      <c r="B96" s="812" t="s">
        <v>593</v>
      </c>
      <c r="C96" s="812"/>
      <c r="D96" s="812"/>
      <c r="E96" s="812"/>
      <c r="F96" s="812"/>
      <c r="G96" s="812"/>
      <c r="H96" s="812"/>
      <c r="I96" s="812"/>
      <c r="J96" s="812"/>
      <c r="K96" s="812"/>
      <c r="L96" s="812"/>
      <c r="M96" s="812"/>
      <c r="N96" s="812"/>
      <c r="P96" s="845" t="s">
        <v>593</v>
      </c>
      <c r="Q96" s="846"/>
      <c r="R96" s="846"/>
      <c r="S96" s="846"/>
      <c r="T96" s="846"/>
      <c r="U96" s="846"/>
      <c r="V96" s="846"/>
      <c r="W96" s="846"/>
      <c r="X96" s="847"/>
      <c r="Z96" s="851">
        <f>AA70</f>
        <v>0</v>
      </c>
      <c r="AA96" s="851"/>
      <c r="AB96" s="851"/>
      <c r="AC96" s="953">
        <v>39</v>
      </c>
      <c r="AD96" s="953"/>
      <c r="AE96" s="953"/>
      <c r="AF96" s="502"/>
      <c r="AG96" s="282">
        <f>AC96*Z96</f>
        <v>0</v>
      </c>
      <c r="AI96" s="1013" t="s">
        <v>1487</v>
      </c>
      <c r="AJ96" s="1013"/>
      <c r="AK96" s="1013"/>
      <c r="AL96" s="1013"/>
      <c r="AM96" s="1013"/>
      <c r="AN96" s="1013"/>
      <c r="AO96" s="1013"/>
      <c r="AP96" s="1013"/>
      <c r="AQ96" s="1013"/>
      <c r="AR96" s="1013"/>
      <c r="AS96" s="1013"/>
      <c r="AT96" s="1013"/>
      <c r="AU96" s="1013"/>
      <c r="BA96" s="411">
        <f>IF(SUM(M99:M102)=0,0,1)</f>
        <v>0</v>
      </c>
      <c r="BB96" s="855" t="s">
        <v>1939</v>
      </c>
      <c r="BC96" s="855"/>
      <c r="BD96" s="855"/>
      <c r="BE96" s="855"/>
      <c r="BF96" s="855"/>
      <c r="BG96" s="855"/>
      <c r="BH96" s="855"/>
      <c r="BI96" s="855"/>
      <c r="BJ96" s="855"/>
    </row>
    <row r="97" spans="1:80" ht="6" customHeight="1" thickBot="1">
      <c r="E97" s="332"/>
      <c r="F97" s="332"/>
      <c r="M97" s="332"/>
      <c r="P97" s="246"/>
      <c r="Q97" s="127"/>
      <c r="R97" s="100"/>
      <c r="S97" s="100"/>
      <c r="W97" s="181"/>
      <c r="BB97" s="855"/>
      <c r="BC97" s="855"/>
      <c r="BD97" s="855"/>
      <c r="BE97" s="855"/>
      <c r="BF97" s="855"/>
      <c r="BG97" s="855"/>
      <c r="BH97" s="855"/>
      <c r="BI97" s="855"/>
      <c r="BJ97" s="855"/>
    </row>
    <row r="98" spans="1:80" ht="15" customHeight="1" thickBot="1">
      <c r="B98" s="345"/>
      <c r="C98" s="830" t="s">
        <v>222</v>
      </c>
      <c r="D98" s="831"/>
      <c r="E98" s="831"/>
      <c r="F98" s="831"/>
      <c r="G98" s="831"/>
      <c r="H98" s="831"/>
      <c r="I98" s="831"/>
      <c r="J98" s="831"/>
      <c r="K98" s="831"/>
      <c r="L98" s="832"/>
      <c r="M98" s="414" t="s">
        <v>594</v>
      </c>
      <c r="N98" s="461" t="s">
        <v>1356</v>
      </c>
      <c r="P98" s="391" t="s">
        <v>1354</v>
      </c>
      <c r="Q98" s="285" t="s">
        <v>849</v>
      </c>
      <c r="R98" s="285" t="s">
        <v>850</v>
      </c>
      <c r="S98" s="285" t="s">
        <v>1357</v>
      </c>
      <c r="T98" s="286" t="s">
        <v>851</v>
      </c>
      <c r="U98" s="286" t="s">
        <v>891</v>
      </c>
      <c r="V98" s="286" t="s">
        <v>1359</v>
      </c>
      <c r="Z98" s="894" t="s">
        <v>1053</v>
      </c>
      <c r="AA98" s="894"/>
      <c r="AB98" s="894"/>
      <c r="AC98" s="894"/>
      <c r="AD98" s="894"/>
      <c r="AE98" s="894"/>
      <c r="AF98" s="504"/>
      <c r="AG98" s="171" t="e">
        <f>AG82+AG51+AG72+AG46</f>
        <v>#N/A</v>
      </c>
      <c r="AI98" s="160" t="s">
        <v>219</v>
      </c>
      <c r="AJ98" s="276">
        <f>IF(AJ66&gt;=18,$AY$94,$AY$92)</f>
        <v>0</v>
      </c>
      <c r="AK98" s="276">
        <f t="shared" ref="AK98:AU98" si="35">IF(AK66&gt;=18,$AY$94,$AY$92)</f>
        <v>0</v>
      </c>
      <c r="AL98" s="276">
        <f t="shared" si="35"/>
        <v>0</v>
      </c>
      <c r="AM98" s="276">
        <f t="shared" si="35"/>
        <v>0</v>
      </c>
      <c r="AN98" s="276">
        <f t="shared" si="35"/>
        <v>0</v>
      </c>
      <c r="AO98" s="276">
        <f t="shared" si="35"/>
        <v>0</v>
      </c>
      <c r="AP98" s="276">
        <f t="shared" si="35"/>
        <v>0</v>
      </c>
      <c r="AQ98" s="276">
        <f t="shared" si="35"/>
        <v>0</v>
      </c>
      <c r="AR98" s="276">
        <f t="shared" si="35"/>
        <v>0</v>
      </c>
      <c r="AS98" s="276">
        <f t="shared" si="35"/>
        <v>0</v>
      </c>
      <c r="AT98" s="276">
        <f t="shared" si="35"/>
        <v>0</v>
      </c>
      <c r="AU98" s="276">
        <f t="shared" si="35"/>
        <v>0</v>
      </c>
      <c r="AX98" s="1014" t="s">
        <v>1025</v>
      </c>
      <c r="AY98" s="1015"/>
      <c r="BB98" s="855"/>
      <c r="BC98" s="855"/>
      <c r="BD98" s="855"/>
      <c r="BE98" s="855"/>
      <c r="BF98" s="855"/>
      <c r="BG98" s="855"/>
      <c r="BH98" s="855"/>
      <c r="BI98" s="855"/>
      <c r="BJ98" s="855"/>
    </row>
    <row r="99" spans="1:80" ht="15" customHeight="1" thickBot="1">
      <c r="B99" s="418" t="s">
        <v>2030</v>
      </c>
      <c r="C99" s="852"/>
      <c r="D99" s="853"/>
      <c r="E99" s="853"/>
      <c r="F99" s="853"/>
      <c r="G99" s="853"/>
      <c r="H99" s="853"/>
      <c r="I99" s="853"/>
      <c r="J99" s="853"/>
      <c r="K99" s="853"/>
      <c r="L99" s="854"/>
      <c r="M99" s="417"/>
      <c r="N99" s="462"/>
      <c r="P99" s="392">
        <f>IF(M99=0,0,VLOOKUP(N99,adyacentem,2,FALSE))</f>
        <v>0</v>
      </c>
      <c r="Q99" s="167">
        <f>IF(M99=0,0,VLOOKUP(C99,PISOSm,2,FALSE))</f>
        <v>0</v>
      </c>
      <c r="R99" s="222">
        <f>Q99*M99</f>
        <v>0</v>
      </c>
      <c r="S99" s="314">
        <f>R99*P99</f>
        <v>0</v>
      </c>
      <c r="T99" s="333">
        <f>Q99</f>
        <v>0</v>
      </c>
      <c r="U99" s="333">
        <f>T99*M99</f>
        <v>0</v>
      </c>
      <c r="V99" s="172">
        <f>U99*P99</f>
        <v>0</v>
      </c>
      <c r="AI99" s="160" t="s">
        <v>1528</v>
      </c>
      <c r="AJ99" s="281">
        <f>AL56</f>
        <v>0</v>
      </c>
      <c r="AK99" s="281">
        <f>AJ99</f>
        <v>0</v>
      </c>
      <c r="AL99" s="281">
        <f t="shared" ref="AL99:AU99" si="36">AK99</f>
        <v>0</v>
      </c>
      <c r="AM99" s="281">
        <f t="shared" si="36"/>
        <v>0</v>
      </c>
      <c r="AN99" s="281">
        <f t="shared" si="36"/>
        <v>0</v>
      </c>
      <c r="AO99" s="281">
        <f t="shared" si="36"/>
        <v>0</v>
      </c>
      <c r="AP99" s="281">
        <f t="shared" si="36"/>
        <v>0</v>
      </c>
      <c r="AQ99" s="281">
        <f t="shared" si="36"/>
        <v>0</v>
      </c>
      <c r="AR99" s="281">
        <f t="shared" si="36"/>
        <v>0</v>
      </c>
      <c r="AS99" s="281">
        <f t="shared" si="36"/>
        <v>0</v>
      </c>
      <c r="AT99" s="281">
        <f t="shared" si="36"/>
        <v>0</v>
      </c>
      <c r="AU99" s="281">
        <f t="shared" si="36"/>
        <v>0</v>
      </c>
      <c r="AX99" s="1016"/>
      <c r="AY99" s="1017"/>
      <c r="BB99" s="855"/>
      <c r="BC99" s="855"/>
      <c r="BD99" s="855"/>
      <c r="BE99" s="855"/>
      <c r="BF99" s="855"/>
      <c r="BG99" s="855"/>
      <c r="BH99" s="855"/>
      <c r="BI99" s="855"/>
      <c r="BJ99" s="855"/>
    </row>
    <row r="100" spans="1:80" ht="15" customHeight="1" thickBot="1">
      <c r="B100" s="418" t="s">
        <v>2031</v>
      </c>
      <c r="C100" s="852"/>
      <c r="D100" s="853"/>
      <c r="E100" s="853"/>
      <c r="F100" s="853"/>
      <c r="G100" s="853"/>
      <c r="H100" s="853"/>
      <c r="I100" s="853"/>
      <c r="J100" s="853"/>
      <c r="K100" s="853"/>
      <c r="L100" s="854"/>
      <c r="M100" s="417"/>
      <c r="N100" s="462"/>
      <c r="P100" s="392">
        <f>IF(M100=0,0,VLOOKUP(N100,adyacentem,2,FALSE))</f>
        <v>0</v>
      </c>
      <c r="Q100" s="167">
        <f>IF(M100=0,0,VLOOKUP(C100,PISOSm,2,FALSE))</f>
        <v>0</v>
      </c>
      <c r="R100" s="222">
        <f>Q100*M100</f>
        <v>0</v>
      </c>
      <c r="S100" s="314">
        <f t="shared" ref="S100:S101" si="37">R100*P100</f>
        <v>0</v>
      </c>
      <c r="T100" s="333">
        <f t="shared" ref="T100:T101" si="38">Q100</f>
        <v>0</v>
      </c>
      <c r="U100" s="333">
        <f>T100*M100</f>
        <v>0</v>
      </c>
      <c r="V100" s="172">
        <f t="shared" ref="V100:V101" si="39">U100*P100</f>
        <v>0</v>
      </c>
      <c r="AI100" s="160"/>
      <c r="AJ100" s="281"/>
      <c r="AK100" s="281"/>
      <c r="AL100" s="281"/>
      <c r="AM100" s="281"/>
      <c r="AN100" s="281"/>
      <c r="AO100" s="281"/>
      <c r="AP100" s="281"/>
      <c r="AQ100" s="281"/>
      <c r="AR100" s="281"/>
      <c r="AS100" s="281"/>
      <c r="AT100" s="281"/>
      <c r="AU100" s="281"/>
      <c r="AX100" s="1016"/>
      <c r="AY100" s="1017"/>
      <c r="BB100" s="855"/>
      <c r="BC100" s="855"/>
      <c r="BD100" s="855"/>
      <c r="BE100" s="855"/>
      <c r="BF100" s="855"/>
      <c r="BG100" s="855"/>
      <c r="BH100" s="855"/>
      <c r="BI100" s="855"/>
      <c r="BJ100" s="855"/>
    </row>
    <row r="101" spans="1:80" ht="15" customHeight="1" thickBot="1">
      <c r="B101" s="418" t="s">
        <v>2035</v>
      </c>
      <c r="C101" s="878"/>
      <c r="D101" s="879"/>
      <c r="E101" s="879"/>
      <c r="F101" s="879"/>
      <c r="G101" s="879"/>
      <c r="H101" s="879"/>
      <c r="I101" s="879"/>
      <c r="J101" s="879"/>
      <c r="K101" s="879"/>
      <c r="L101" s="880"/>
      <c r="M101" s="417"/>
      <c r="N101" s="462"/>
      <c r="P101" s="392">
        <f>IF(M101=0,0,VLOOKUP(N101,adyacentem,2,FALSE))</f>
        <v>0</v>
      </c>
      <c r="Q101" s="167">
        <f>IF(M101=0,0,VLOOKUP(C101,PISOSm,2,FALSE))</f>
        <v>0</v>
      </c>
      <c r="R101" s="222">
        <f>Q101*M101</f>
        <v>0</v>
      </c>
      <c r="S101" s="314">
        <f t="shared" si="37"/>
        <v>0</v>
      </c>
      <c r="T101" s="333">
        <f t="shared" si="38"/>
        <v>0</v>
      </c>
      <c r="U101" s="333">
        <f>T101*M101</f>
        <v>0</v>
      </c>
      <c r="V101" s="172">
        <f t="shared" si="39"/>
        <v>0</v>
      </c>
      <c r="AI101" s="160"/>
      <c r="AJ101" s="281"/>
      <c r="AK101" s="281"/>
      <c r="AL101" s="281"/>
      <c r="AM101" s="281"/>
      <c r="AN101" s="281"/>
      <c r="AO101" s="281"/>
      <c r="AP101" s="281"/>
      <c r="AQ101" s="281"/>
      <c r="AR101" s="281"/>
      <c r="AS101" s="281"/>
      <c r="AT101" s="281"/>
      <c r="AU101" s="281"/>
      <c r="AX101" s="1018"/>
      <c r="AY101" s="1019"/>
      <c r="BB101" s="855"/>
      <c r="BC101" s="855"/>
      <c r="BD101" s="855"/>
      <c r="BE101" s="855"/>
      <c r="BF101" s="855"/>
      <c r="BG101" s="855"/>
      <c r="BH101" s="855"/>
      <c r="BI101" s="855"/>
      <c r="BJ101" s="855"/>
    </row>
    <row r="102" spans="1:80" ht="15" customHeight="1" thickBot="1">
      <c r="B102" s="418" t="str">
        <f>B94</f>
        <v>Material Personalizado:</v>
      </c>
      <c r="C102" s="914" t="str">
        <f>IF('Materiales Personalizados'!$B$76=0,"-",'Materiales Personalizados'!$B$76)</f>
        <v>-</v>
      </c>
      <c r="D102" s="915"/>
      <c r="E102" s="915"/>
      <c r="F102" s="915"/>
      <c r="G102" s="915"/>
      <c r="H102" s="915"/>
      <c r="I102" s="915"/>
      <c r="J102" s="915"/>
      <c r="K102" s="915"/>
      <c r="L102" s="916"/>
      <c r="M102" s="417"/>
      <c r="N102" s="462"/>
      <c r="P102" s="392">
        <f>IF(M102=0,0,VLOOKUP(N102,adyacentem,2,FALSE))</f>
        <v>0</v>
      </c>
      <c r="Q102" s="167">
        <f>+'Materiales Personalizados'!$G$99</f>
        <v>7.1428571428571423</v>
      </c>
      <c r="R102" s="222">
        <f>Q102*M102</f>
        <v>0</v>
      </c>
      <c r="S102" s="314">
        <f>R102*P102</f>
        <v>0</v>
      </c>
      <c r="T102" s="333">
        <f>Q102</f>
        <v>7.1428571428571423</v>
      </c>
      <c r="U102" s="333">
        <f>T102*M102</f>
        <v>0</v>
      </c>
      <c r="V102" s="172">
        <f>U102*P102</f>
        <v>0</v>
      </c>
      <c r="AI102" s="160" t="s">
        <v>1486</v>
      </c>
      <c r="AJ102" s="281" t="e">
        <f>AJ58</f>
        <v>#DIV/0!</v>
      </c>
      <c r="AK102" s="281" t="e">
        <f>AJ102</f>
        <v>#DIV/0!</v>
      </c>
      <c r="AL102" s="281" t="e">
        <f t="shared" ref="AL102:AU102" si="40">AK102</f>
        <v>#DIV/0!</v>
      </c>
      <c r="AM102" s="281" t="e">
        <f t="shared" si="40"/>
        <v>#DIV/0!</v>
      </c>
      <c r="AN102" s="281" t="e">
        <f t="shared" si="40"/>
        <v>#DIV/0!</v>
      </c>
      <c r="AO102" s="281" t="e">
        <f t="shared" si="40"/>
        <v>#DIV/0!</v>
      </c>
      <c r="AP102" s="281" t="e">
        <f t="shared" si="40"/>
        <v>#DIV/0!</v>
      </c>
      <c r="AQ102" s="281" t="e">
        <f t="shared" si="40"/>
        <v>#DIV/0!</v>
      </c>
      <c r="AR102" s="281" t="e">
        <f t="shared" si="40"/>
        <v>#DIV/0!</v>
      </c>
      <c r="AS102" s="281" t="e">
        <f t="shared" si="40"/>
        <v>#DIV/0!</v>
      </c>
      <c r="AT102" s="281" t="e">
        <f t="shared" si="40"/>
        <v>#DIV/0!</v>
      </c>
      <c r="AU102" s="281" t="e">
        <f t="shared" si="40"/>
        <v>#DIV/0!</v>
      </c>
      <c r="AX102" s="283" t="s">
        <v>233</v>
      </c>
      <c r="AY102" s="284" t="e">
        <f>($AY$92/$AY$68)-(($AY$92/$AY$68)*AY131)</f>
        <v>#DIV/0!</v>
      </c>
      <c r="BB102" s="855"/>
      <c r="BC102" s="855"/>
      <c r="BD102" s="855"/>
      <c r="BE102" s="855"/>
      <c r="BF102" s="855"/>
      <c r="BG102" s="855"/>
      <c r="BH102" s="855"/>
      <c r="BI102" s="855"/>
      <c r="BJ102" s="855"/>
    </row>
    <row r="103" spans="1:80" ht="6" customHeight="1" thickBot="1">
      <c r="E103" s="332"/>
      <c r="F103" s="332"/>
      <c r="M103" s="332"/>
      <c r="P103" s="246"/>
      <c r="Q103" s="127"/>
      <c r="R103" s="100"/>
      <c r="S103" s="100"/>
      <c r="Y103" s="100"/>
    </row>
    <row r="104" spans="1:80" ht="30" customHeight="1" thickBot="1">
      <c r="B104" s="913" t="s">
        <v>1915</v>
      </c>
      <c r="C104" s="913"/>
      <c r="D104" s="913"/>
      <c r="E104" s="913"/>
      <c r="F104" s="913"/>
      <c r="G104" s="913"/>
      <c r="H104" s="913"/>
      <c r="I104" s="913"/>
      <c r="J104" s="913"/>
      <c r="K104" s="913"/>
      <c r="L104" s="913"/>
      <c r="M104" s="913"/>
      <c r="N104" s="913"/>
      <c r="P104" s="891" t="s">
        <v>645</v>
      </c>
      <c r="Q104" s="892"/>
      <c r="R104" s="892"/>
      <c r="S104" s="892"/>
      <c r="T104" s="892"/>
      <c r="U104" s="892"/>
      <c r="V104" s="892"/>
      <c r="W104" s="892"/>
      <c r="X104" s="892"/>
      <c r="Y104" s="892"/>
      <c r="Z104" s="892"/>
      <c r="AA104" s="892"/>
      <c r="AB104" s="892"/>
      <c r="AC104" s="892"/>
      <c r="AD104" s="892"/>
      <c r="AE104" s="892"/>
      <c r="AF104" s="892"/>
      <c r="AG104" s="893"/>
      <c r="AI104" s="160" t="s">
        <v>1524</v>
      </c>
      <c r="AJ104" s="276" t="e">
        <f>AJ98-(AJ98*AJ99)+(AJ98*AJ102)</f>
        <v>#DIV/0!</v>
      </c>
      <c r="AK104" s="276" t="e">
        <f t="shared" ref="AK104:AU104" si="41">AK98-(AK98*AK99)+(AK98*AK102)</f>
        <v>#DIV/0!</v>
      </c>
      <c r="AL104" s="276" t="e">
        <f t="shared" si="41"/>
        <v>#DIV/0!</v>
      </c>
      <c r="AM104" s="276" t="e">
        <f t="shared" si="41"/>
        <v>#DIV/0!</v>
      </c>
      <c r="AN104" s="276" t="e">
        <f t="shared" si="41"/>
        <v>#DIV/0!</v>
      </c>
      <c r="AO104" s="276" t="e">
        <f t="shared" si="41"/>
        <v>#DIV/0!</v>
      </c>
      <c r="AP104" s="276" t="e">
        <f t="shared" si="41"/>
        <v>#DIV/0!</v>
      </c>
      <c r="AQ104" s="276" t="e">
        <f t="shared" si="41"/>
        <v>#DIV/0!</v>
      </c>
      <c r="AR104" s="276" t="e">
        <f t="shared" si="41"/>
        <v>#DIV/0!</v>
      </c>
      <c r="AS104" s="276" t="e">
        <f t="shared" si="41"/>
        <v>#DIV/0!</v>
      </c>
      <c r="AT104" s="276" t="e">
        <f t="shared" si="41"/>
        <v>#DIV/0!</v>
      </c>
      <c r="AU104" s="276" t="e">
        <f t="shared" si="41"/>
        <v>#DIV/0!</v>
      </c>
      <c r="AV104" s="101"/>
      <c r="AW104" s="101"/>
      <c r="AX104" s="283" t="s">
        <v>235</v>
      </c>
      <c r="AY104" s="284" t="e">
        <f>AG98/AY68</f>
        <v>#N/A</v>
      </c>
    </row>
    <row r="105" spans="1:80" ht="6" customHeight="1" thickBot="1">
      <c r="M105" s="332"/>
      <c r="P105" s="246"/>
      <c r="Q105" s="127"/>
      <c r="R105" s="100"/>
      <c r="S105" s="100"/>
      <c r="Y105" s="100"/>
      <c r="AI105" s="127"/>
      <c r="AJ105" s="99"/>
      <c r="AK105" s="99"/>
      <c r="AL105" s="99"/>
      <c r="AM105" s="99"/>
      <c r="AN105" s="99"/>
      <c r="AO105" s="99"/>
      <c r="AP105" s="99"/>
      <c r="AQ105" s="99"/>
      <c r="AR105" s="99"/>
      <c r="AS105" s="99"/>
      <c r="AT105" s="99"/>
      <c r="AU105" s="99"/>
    </row>
    <row r="106" spans="1:80" s="101" customFormat="1" ht="20" customHeight="1" thickBot="1">
      <c r="A106" s="453"/>
      <c r="B106" s="812">
        <f>C37</f>
        <v>0</v>
      </c>
      <c r="C106" s="812"/>
      <c r="D106" s="812"/>
      <c r="E106" s="812"/>
      <c r="F106" s="812"/>
      <c r="G106" s="812"/>
      <c r="H106" s="812"/>
      <c r="I106" s="812"/>
      <c r="J106" s="812"/>
      <c r="K106" s="812"/>
      <c r="L106" s="812"/>
      <c r="M106" s="812"/>
      <c r="N106" s="812"/>
      <c r="O106" s="402"/>
      <c r="P106" s="845">
        <f>B106</f>
        <v>0</v>
      </c>
      <c r="Q106" s="846"/>
      <c r="R106" s="846"/>
      <c r="S106" s="846"/>
      <c r="T106" s="846"/>
      <c r="U106" s="846"/>
      <c r="V106" s="846"/>
      <c r="W106" s="846"/>
      <c r="X106" s="846"/>
      <c r="Y106" s="846"/>
      <c r="Z106" s="846"/>
      <c r="AA106" s="846"/>
      <c r="AB106" s="846"/>
      <c r="AC106" s="846"/>
      <c r="AD106" s="846"/>
      <c r="AE106" s="846"/>
      <c r="AF106" s="846"/>
      <c r="AG106" s="847"/>
      <c r="AI106" s="160" t="s">
        <v>1034</v>
      </c>
      <c r="AJ106" s="290">
        <f>AA64</f>
        <v>0</v>
      </c>
      <c r="AK106" s="290">
        <f>AJ106</f>
        <v>0</v>
      </c>
      <c r="AL106" s="290">
        <f t="shared" ref="AL106:AU106" si="42">AK106</f>
        <v>0</v>
      </c>
      <c r="AM106" s="290">
        <f t="shared" si="42"/>
        <v>0</v>
      </c>
      <c r="AN106" s="290">
        <f t="shared" si="42"/>
        <v>0</v>
      </c>
      <c r="AO106" s="290">
        <f t="shared" si="42"/>
        <v>0</v>
      </c>
      <c r="AP106" s="290">
        <f t="shared" si="42"/>
        <v>0</v>
      </c>
      <c r="AQ106" s="290">
        <f t="shared" si="42"/>
        <v>0</v>
      </c>
      <c r="AR106" s="290">
        <f t="shared" si="42"/>
        <v>0</v>
      </c>
      <c r="AS106" s="290">
        <f t="shared" si="42"/>
        <v>0</v>
      </c>
      <c r="AT106" s="290">
        <f t="shared" si="42"/>
        <v>0</v>
      </c>
      <c r="AU106" s="290">
        <f t="shared" si="42"/>
        <v>0</v>
      </c>
      <c r="AZ106" s="156"/>
      <c r="BA106" s="423"/>
      <c r="BB106" s="157"/>
      <c r="BC106" s="157"/>
      <c r="BD106" s="157"/>
      <c r="BE106" s="157"/>
      <c r="BF106" s="157"/>
      <c r="BG106" s="157"/>
      <c r="BH106" s="157"/>
      <c r="BI106" s="157"/>
      <c r="BJ106" s="157"/>
      <c r="BK106" s="157"/>
      <c r="BL106" s="158"/>
      <c r="BM106" s="102"/>
      <c r="BN106" s="102"/>
      <c r="BO106" s="102"/>
      <c r="BP106" s="102"/>
      <c r="BQ106" s="102"/>
      <c r="BR106" s="102"/>
      <c r="BS106" s="102"/>
      <c r="BT106" s="102"/>
      <c r="BU106" s="102"/>
      <c r="BV106" s="102"/>
      <c r="BW106" s="102"/>
      <c r="BX106" s="102"/>
      <c r="BY106" s="102"/>
      <c r="BZ106" s="159"/>
      <c r="CA106" s="159"/>
      <c r="CB106" s="159"/>
    </row>
    <row r="107" spans="1:80" ht="6" customHeight="1" thickBot="1">
      <c r="M107" s="332"/>
      <c r="Y107" s="346"/>
      <c r="AB107" s="181"/>
      <c r="BA107" s="765"/>
      <c r="BB107" s="334"/>
      <c r="BC107" s="334"/>
      <c r="BD107" s="334"/>
      <c r="BE107" s="334"/>
      <c r="BF107" s="334"/>
      <c r="BG107" s="334"/>
      <c r="BH107" s="334"/>
      <c r="BI107" s="334"/>
      <c r="BJ107" s="334"/>
    </row>
    <row r="108" spans="1:80" ht="15" customHeight="1" thickBot="1">
      <c r="B108" s="833"/>
      <c r="C108" s="830" t="s">
        <v>227</v>
      </c>
      <c r="D108" s="833" t="s">
        <v>1184</v>
      </c>
      <c r="E108" s="833"/>
      <c r="F108" s="833"/>
      <c r="G108" s="833" t="s">
        <v>1188</v>
      </c>
      <c r="H108" s="833"/>
      <c r="I108" s="833" t="s">
        <v>1203</v>
      </c>
      <c r="J108" s="833"/>
      <c r="K108" s="838" t="s">
        <v>790</v>
      </c>
      <c r="L108" s="838" t="s">
        <v>1136</v>
      </c>
      <c r="M108" s="838"/>
      <c r="N108" s="830" t="s">
        <v>2036</v>
      </c>
      <c r="P108" s="388" t="s">
        <v>1651</v>
      </c>
      <c r="Q108" s="849" t="s">
        <v>1064</v>
      </c>
      <c r="R108" s="281" t="s">
        <v>1652</v>
      </c>
      <c r="S108" s="851" t="s">
        <v>1191</v>
      </c>
      <c r="T108" s="281" t="s">
        <v>1190</v>
      </c>
      <c r="U108" s="851" t="s">
        <v>1192</v>
      </c>
      <c r="V108" s="851" t="s">
        <v>1653</v>
      </c>
      <c r="W108" s="851"/>
      <c r="X108" s="281" t="s">
        <v>1654</v>
      </c>
      <c r="Y108" s="851" t="s">
        <v>1403</v>
      </c>
      <c r="Z108" s="851" t="s">
        <v>1404</v>
      </c>
      <c r="AA108" s="851" t="s">
        <v>1210</v>
      </c>
      <c r="AB108" s="851" t="s">
        <v>1201</v>
      </c>
      <c r="AC108" s="851" t="s">
        <v>1202</v>
      </c>
      <c r="AD108" s="850" t="s">
        <v>850</v>
      </c>
      <c r="AE108" s="848" t="str">
        <f>AD108</f>
        <v>W/K Inv</v>
      </c>
      <c r="AF108" s="841" t="str">
        <f>N108</f>
        <v>Persianas</v>
      </c>
      <c r="AG108" s="280" t="s">
        <v>1017</v>
      </c>
      <c r="AI108" s="160" t="s">
        <v>1525</v>
      </c>
      <c r="AJ108" s="276" t="e">
        <f>AJ104+AJ106</f>
        <v>#DIV/0!</v>
      </c>
      <c r="AK108" s="276" t="e">
        <f t="shared" ref="AK108:AU108" si="43">AK104+AK106</f>
        <v>#DIV/0!</v>
      </c>
      <c r="AL108" s="276" t="e">
        <f t="shared" si="43"/>
        <v>#DIV/0!</v>
      </c>
      <c r="AM108" s="276" t="e">
        <f t="shared" si="43"/>
        <v>#DIV/0!</v>
      </c>
      <c r="AN108" s="276" t="e">
        <f t="shared" si="43"/>
        <v>#DIV/0!</v>
      </c>
      <c r="AO108" s="276" t="e">
        <f t="shared" si="43"/>
        <v>#DIV/0!</v>
      </c>
      <c r="AP108" s="276" t="e">
        <f t="shared" si="43"/>
        <v>#DIV/0!</v>
      </c>
      <c r="AQ108" s="276" t="e">
        <f t="shared" si="43"/>
        <v>#DIV/0!</v>
      </c>
      <c r="AR108" s="276" t="e">
        <f t="shared" si="43"/>
        <v>#DIV/0!</v>
      </c>
      <c r="AS108" s="276" t="e">
        <f t="shared" si="43"/>
        <v>#DIV/0!</v>
      </c>
      <c r="AT108" s="276" t="e">
        <f t="shared" si="43"/>
        <v>#DIV/0!</v>
      </c>
      <c r="AU108" s="276" t="e">
        <f t="shared" si="43"/>
        <v>#DIV/0!</v>
      </c>
      <c r="BA108" s="765"/>
      <c r="BB108" s="856">
        <f>SUM(X110:X119)+SUM(X128:X137)+SUM(X146:X155)+SUM(X164:X173)</f>
        <v>0</v>
      </c>
      <c r="BC108" s="855"/>
      <c r="BD108" s="855"/>
      <c r="BE108" s="855"/>
      <c r="BF108" s="855"/>
      <c r="BG108" s="855"/>
      <c r="BH108" s="855"/>
      <c r="BI108" s="855"/>
      <c r="BJ108" s="855"/>
    </row>
    <row r="109" spans="1:80" ht="15" customHeight="1" thickBot="1">
      <c r="B109" s="833"/>
      <c r="C109" s="830"/>
      <c r="D109" s="414" t="s">
        <v>623</v>
      </c>
      <c r="E109" s="414" t="s">
        <v>1185</v>
      </c>
      <c r="F109" s="414" t="s">
        <v>1186</v>
      </c>
      <c r="G109" s="414" t="s">
        <v>623</v>
      </c>
      <c r="H109" s="414" t="s">
        <v>1189</v>
      </c>
      <c r="I109" s="414" t="s">
        <v>757</v>
      </c>
      <c r="J109" s="414" t="s">
        <v>650</v>
      </c>
      <c r="K109" s="838"/>
      <c r="L109" s="419" t="s">
        <v>623</v>
      </c>
      <c r="M109" s="419" t="s">
        <v>1122</v>
      </c>
      <c r="N109" s="830"/>
      <c r="P109" s="388" t="s">
        <v>1187</v>
      </c>
      <c r="Q109" s="849"/>
      <c r="R109" s="281" t="s">
        <v>1187</v>
      </c>
      <c r="S109" s="851"/>
      <c r="T109" s="281" t="s">
        <v>18</v>
      </c>
      <c r="U109" s="851"/>
      <c r="V109" s="281" t="s">
        <v>1199</v>
      </c>
      <c r="W109" s="281" t="s">
        <v>1200</v>
      </c>
      <c r="X109" s="276" t="s">
        <v>1187</v>
      </c>
      <c r="Y109" s="851"/>
      <c r="Z109" s="851"/>
      <c r="AA109" s="851"/>
      <c r="AB109" s="851"/>
      <c r="AC109" s="851"/>
      <c r="AD109" s="850"/>
      <c r="AE109" s="848"/>
      <c r="AF109" s="842"/>
      <c r="AG109" s="277">
        <f>IF((SUM(AG110:AG119))=0,0,(SUM(AG110:AG119))/(COUNT(AG110:AG119)-(COUNTIF(AG110:AG119,0))))</f>
        <v>0</v>
      </c>
      <c r="BA109" s="765"/>
      <c r="BB109" s="855"/>
      <c r="BC109" s="855"/>
      <c r="BD109" s="855"/>
      <c r="BE109" s="855"/>
      <c r="BF109" s="855"/>
      <c r="BG109" s="855"/>
      <c r="BH109" s="855"/>
      <c r="BI109" s="855"/>
      <c r="BJ109" s="855"/>
    </row>
    <row r="110" spans="1:80" ht="15" customHeight="1" thickBot="1">
      <c r="B110" s="418" t="s">
        <v>225</v>
      </c>
      <c r="C110" s="485"/>
      <c r="D110" s="349"/>
      <c r="E110" s="417"/>
      <c r="F110" s="417"/>
      <c r="G110" s="412"/>
      <c r="H110" s="417"/>
      <c r="I110" s="766"/>
      <c r="J110" s="766"/>
      <c r="K110" s="316"/>
      <c r="L110" s="412"/>
      <c r="M110" s="417"/>
      <c r="N110" s="491"/>
      <c r="P110" s="392">
        <f t="shared" ref="P110:P119" si="44">E110*F110</f>
        <v>0</v>
      </c>
      <c r="Q110" s="313">
        <f t="shared" ref="Q110:Q117" si="45">VLOOKUP(D110,VIDRIOSm,2,FALSE)</f>
        <v>0</v>
      </c>
      <c r="R110" s="281">
        <f t="shared" ref="R110:R119" si="46">((H110*F110)*2)+((H110*E110)*2)</f>
        <v>0</v>
      </c>
      <c r="S110" s="281">
        <f t="shared" ref="S110:S117" si="47">VLOOKUP(G110,CARPINTERIAm,2,FALSE)</f>
        <v>0</v>
      </c>
      <c r="T110" s="276">
        <f>((E110+H110)*2)+((F110+H110)*2)</f>
        <v>0</v>
      </c>
      <c r="U110" s="276" t="e">
        <f>((P110*Q110)+(R110*S110)+(T110*0.02))/X110</f>
        <v>#DIV/0!</v>
      </c>
      <c r="V110" s="281" t="e">
        <f>VLOOKUP(K110,TIPOAPERTURASm,2,FALSE)</f>
        <v>#N/A</v>
      </c>
      <c r="W110" s="276">
        <f>IF(X110=0,0,V110*X110)</f>
        <v>0</v>
      </c>
      <c r="X110" s="276">
        <f t="shared" ref="X110:X119" si="48">IF(E110=0,0,(E110+H110)*(F110+H110))</f>
        <v>0</v>
      </c>
      <c r="Y110" s="347">
        <f>(W110*$AY$118)</f>
        <v>0</v>
      </c>
      <c r="Z110" s="347">
        <f>W110*$AY$120</f>
        <v>0</v>
      </c>
      <c r="AA110" s="281">
        <f t="shared" ref="AA110:AA117" si="49">VLOOKUP(D110,VIDRIOSm,3,FALSE)</f>
        <v>0</v>
      </c>
      <c r="AB110" s="276">
        <f>IF(X110=0,0,(($AY$110*AA110)+Y110+(U110*$AY$114))/X110)</f>
        <v>0</v>
      </c>
      <c r="AC110" s="276">
        <f t="shared" ref="AC110:AC119" si="50">IF(X110=0,0,(($AY$112*AA110)-(Y110+U110)*$AY$116)/X110)</f>
        <v>0</v>
      </c>
      <c r="AD110" s="222">
        <f t="shared" ref="AD110:AD119" si="51">IF(P110=0,0,(U110*P110))*C110</f>
        <v>0</v>
      </c>
      <c r="AE110" s="333">
        <f t="shared" ref="AE110:AE119" si="52">AD110</f>
        <v>0</v>
      </c>
      <c r="AF110" s="333">
        <f>IF(N110=0,0,IF(N110="Si",'Materiales Personalizados'!$BV$29,0))</f>
        <v>0</v>
      </c>
      <c r="AG110" s="497">
        <f>'Materiales Personalizados'!BP30+AF110</f>
        <v>0</v>
      </c>
      <c r="AI110" s="160" t="s">
        <v>1527</v>
      </c>
      <c r="AJ110" s="276" t="e">
        <f>AJ94/AJ108</f>
        <v>#N/A</v>
      </c>
      <c r="AK110" s="276" t="e">
        <f t="shared" ref="AK110:AU110" si="53">AK94/AK108</f>
        <v>#N/A</v>
      </c>
      <c r="AL110" s="276" t="e">
        <f t="shared" si="53"/>
        <v>#N/A</v>
      </c>
      <c r="AM110" s="276" t="e">
        <f t="shared" si="53"/>
        <v>#N/A</v>
      </c>
      <c r="AN110" s="276" t="e">
        <f t="shared" si="53"/>
        <v>#N/A</v>
      </c>
      <c r="AO110" s="276" t="e">
        <f t="shared" si="53"/>
        <v>#N/A</v>
      </c>
      <c r="AP110" s="276" t="e">
        <f t="shared" si="53"/>
        <v>#N/A</v>
      </c>
      <c r="AQ110" s="276" t="e">
        <f t="shared" si="53"/>
        <v>#N/A</v>
      </c>
      <c r="AR110" s="276" t="e">
        <f t="shared" si="53"/>
        <v>#N/A</v>
      </c>
      <c r="AS110" s="276" t="e">
        <f t="shared" si="53"/>
        <v>#N/A</v>
      </c>
      <c r="AT110" s="276" t="e">
        <f t="shared" si="53"/>
        <v>#N/A</v>
      </c>
      <c r="AU110" s="276" t="e">
        <f t="shared" si="53"/>
        <v>#N/A</v>
      </c>
      <c r="AX110" s="281" t="s">
        <v>1205</v>
      </c>
      <c r="AY110" s="281">
        <f>VLOOKUP(Q4,CLIMA,21,FALSE)</f>
        <v>0</v>
      </c>
      <c r="BA110" s="765">
        <f>IF(C110&gt;0,IF(I110=0,IF(J110=0,1,IF(I110=0,1,0)),IF(J110=0,1,0)),0)</f>
        <v>0</v>
      </c>
      <c r="BB110" s="855" t="s">
        <v>2147</v>
      </c>
      <c r="BC110" s="855"/>
      <c r="BD110" s="855"/>
      <c r="BE110" s="855"/>
      <c r="BF110" s="855"/>
      <c r="BG110" s="855"/>
      <c r="BH110" s="855"/>
      <c r="BI110" s="855"/>
      <c r="BJ110" s="855"/>
    </row>
    <row r="111" spans="1:80" ht="15" customHeight="1" thickBot="1">
      <c r="B111" s="418" t="s">
        <v>226</v>
      </c>
      <c r="C111" s="485"/>
      <c r="D111" s="349"/>
      <c r="E111" s="417"/>
      <c r="F111" s="417"/>
      <c r="G111" s="578"/>
      <c r="H111" s="579"/>
      <c r="I111" s="766"/>
      <c r="J111" s="766"/>
      <c r="K111" s="316"/>
      <c r="L111" s="578"/>
      <c r="M111" s="579"/>
      <c r="N111" s="491"/>
      <c r="P111" s="392">
        <f t="shared" si="44"/>
        <v>0</v>
      </c>
      <c r="Q111" s="313">
        <f t="shared" si="45"/>
        <v>0</v>
      </c>
      <c r="R111" s="281">
        <f t="shared" si="46"/>
        <v>0</v>
      </c>
      <c r="S111" s="281">
        <f t="shared" si="47"/>
        <v>0</v>
      </c>
      <c r="T111" s="276">
        <f t="shared" ref="T111:T119" si="54">(E111+H111)*2+(F111+H111)*2</f>
        <v>0</v>
      </c>
      <c r="U111" s="276" t="e">
        <f t="shared" ref="U111:U117" si="55">((P111*Q111)+(R111*S111)+(T111*0.02))/X111</f>
        <v>#DIV/0!</v>
      </c>
      <c r="V111" s="281" t="e">
        <f>VLOOKUP(K111,TIPOAPERTURASm,2,FALSE)</f>
        <v>#N/A</v>
      </c>
      <c r="W111" s="276">
        <f t="shared" ref="W111:W119" si="56">IF(X111=0,0,V111*X111)</f>
        <v>0</v>
      </c>
      <c r="X111" s="276">
        <f t="shared" si="48"/>
        <v>0</v>
      </c>
      <c r="Y111" s="347">
        <f t="shared" ref="Y111:Y116" si="57">(W111*$AY$118)</f>
        <v>0</v>
      </c>
      <c r="Z111" s="347">
        <f t="shared" ref="Z111:Z117" si="58">W111*$AY$120</f>
        <v>0</v>
      </c>
      <c r="AA111" s="281">
        <f t="shared" si="49"/>
        <v>0</v>
      </c>
      <c r="AB111" s="276">
        <f t="shared" ref="AB111:AB119" si="59">IF(X111=0,0,(($AY$110*AA111)+Y111+(U111*$AY$114))/X111)</f>
        <v>0</v>
      </c>
      <c r="AC111" s="276">
        <f t="shared" si="50"/>
        <v>0</v>
      </c>
      <c r="AD111" s="222">
        <f t="shared" si="51"/>
        <v>0</v>
      </c>
      <c r="AE111" s="333">
        <f t="shared" si="52"/>
        <v>0</v>
      </c>
      <c r="AF111" s="333">
        <f>IF(N111=0,0,IF(N111="Si",'Materiales Personalizados'!$BV$29,0))</f>
        <v>0</v>
      </c>
      <c r="AG111" s="513">
        <f>'Materiales Personalizados'!BP31+AF111</f>
        <v>0</v>
      </c>
      <c r="AI111" s="162" t="s">
        <v>1526</v>
      </c>
      <c r="AJ111" s="277" t="e">
        <f>AJ66+AJ110</f>
        <v>#N/A</v>
      </c>
      <c r="AK111" s="277" t="e">
        <f t="shared" ref="AK111:AU111" si="60">AK66+AK110</f>
        <v>#N/A</v>
      </c>
      <c r="AL111" s="277" t="e">
        <f t="shared" si="60"/>
        <v>#N/A</v>
      </c>
      <c r="AM111" s="277" t="e">
        <f t="shared" si="60"/>
        <v>#N/A</v>
      </c>
      <c r="AN111" s="277" t="e">
        <f t="shared" si="60"/>
        <v>#N/A</v>
      </c>
      <c r="AO111" s="277" t="e">
        <f t="shared" si="60"/>
        <v>#N/A</v>
      </c>
      <c r="AP111" s="277" t="e">
        <f t="shared" si="60"/>
        <v>#N/A</v>
      </c>
      <c r="AQ111" s="277" t="e">
        <f t="shared" si="60"/>
        <v>#N/A</v>
      </c>
      <c r="AR111" s="277" t="e">
        <f t="shared" si="60"/>
        <v>#N/A</v>
      </c>
      <c r="AS111" s="277" t="e">
        <f t="shared" si="60"/>
        <v>#N/A</v>
      </c>
      <c r="AT111" s="277" t="e">
        <f t="shared" si="60"/>
        <v>#N/A</v>
      </c>
      <c r="AU111" s="277" t="e">
        <f t="shared" si="60"/>
        <v>#N/A</v>
      </c>
      <c r="AY111" s="99"/>
      <c r="BA111" s="765">
        <f t="shared" ref="BA111:BA119" si="61">IF(C111&gt;0,IF(I111=0,IF(J111=0,1,IF(I111=0,1,0)),IF(J111=0,1,0)),0)</f>
        <v>0</v>
      </c>
      <c r="BB111" s="855" t="s">
        <v>2147</v>
      </c>
      <c r="BC111" s="855"/>
      <c r="BD111" s="855"/>
      <c r="BE111" s="855"/>
      <c r="BF111" s="855"/>
      <c r="BG111" s="855"/>
      <c r="BH111" s="855"/>
      <c r="BI111" s="855"/>
      <c r="BJ111" s="855"/>
    </row>
    <row r="112" spans="1:80" ht="15" customHeight="1" thickBot="1">
      <c r="B112" s="418" t="s">
        <v>597</v>
      </c>
      <c r="C112" s="485"/>
      <c r="D112" s="349"/>
      <c r="E112" s="417"/>
      <c r="F112" s="417"/>
      <c r="G112" s="578"/>
      <c r="H112" s="579"/>
      <c r="I112" s="766"/>
      <c r="J112" s="766"/>
      <c r="K112" s="316"/>
      <c r="L112" s="578"/>
      <c r="M112" s="579"/>
      <c r="N112" s="491"/>
      <c r="P112" s="392">
        <f t="shared" si="44"/>
        <v>0</v>
      </c>
      <c r="Q112" s="313">
        <f t="shared" si="45"/>
        <v>0</v>
      </c>
      <c r="R112" s="281">
        <f t="shared" si="46"/>
        <v>0</v>
      </c>
      <c r="S112" s="281">
        <f t="shared" si="47"/>
        <v>0</v>
      </c>
      <c r="T112" s="276">
        <f t="shared" si="54"/>
        <v>0</v>
      </c>
      <c r="U112" s="276" t="e">
        <f t="shared" si="55"/>
        <v>#DIV/0!</v>
      </c>
      <c r="V112" s="281" t="e">
        <f t="shared" ref="V112:V119" si="62">VLOOKUP(K112,TIPOAPERTURASm,2,FALSE)</f>
        <v>#N/A</v>
      </c>
      <c r="W112" s="276">
        <f t="shared" si="56"/>
        <v>0</v>
      </c>
      <c r="X112" s="276">
        <f t="shared" si="48"/>
        <v>0</v>
      </c>
      <c r="Y112" s="347">
        <f t="shared" si="57"/>
        <v>0</v>
      </c>
      <c r="Z112" s="347">
        <f t="shared" si="58"/>
        <v>0</v>
      </c>
      <c r="AA112" s="281">
        <f t="shared" si="49"/>
        <v>0</v>
      </c>
      <c r="AB112" s="276">
        <f t="shared" si="59"/>
        <v>0</v>
      </c>
      <c r="AC112" s="276">
        <f t="shared" si="50"/>
        <v>0</v>
      </c>
      <c r="AD112" s="222">
        <f t="shared" si="51"/>
        <v>0</v>
      </c>
      <c r="AE112" s="333">
        <f t="shared" si="52"/>
        <v>0</v>
      </c>
      <c r="AF112" s="333">
        <f>IF(N112=0,0,IF(N112="Si",'Materiales Personalizados'!$BV$29,0))</f>
        <v>0</v>
      </c>
      <c r="AG112" s="513">
        <f>'Materiales Personalizados'!BP32+AF112</f>
        <v>0</v>
      </c>
      <c r="AI112" s="160" t="s">
        <v>1529</v>
      </c>
      <c r="AJ112" s="276" t="e">
        <f>IF((AJ111-$AY$64)&lt;0,0,AJ111-$AY$64)</f>
        <v>#N/A</v>
      </c>
      <c r="AK112" s="276" t="e">
        <f t="shared" ref="AK112:AU112" si="63">IF((AK111-$AY$64)&lt;0,0,AK111-$AY$64)</f>
        <v>#N/A</v>
      </c>
      <c r="AL112" s="276" t="e">
        <f t="shared" si="63"/>
        <v>#N/A</v>
      </c>
      <c r="AM112" s="276" t="e">
        <f t="shared" si="63"/>
        <v>#N/A</v>
      </c>
      <c r="AN112" s="276" t="e">
        <f t="shared" si="63"/>
        <v>#N/A</v>
      </c>
      <c r="AO112" s="276" t="e">
        <f t="shared" si="63"/>
        <v>#N/A</v>
      </c>
      <c r="AP112" s="276" t="e">
        <f t="shared" si="63"/>
        <v>#N/A</v>
      </c>
      <c r="AQ112" s="276" t="e">
        <f t="shared" si="63"/>
        <v>#N/A</v>
      </c>
      <c r="AR112" s="276" t="e">
        <f t="shared" si="63"/>
        <v>#N/A</v>
      </c>
      <c r="AS112" s="276" t="e">
        <f t="shared" si="63"/>
        <v>#N/A</v>
      </c>
      <c r="AT112" s="276" t="e">
        <f t="shared" si="63"/>
        <v>#N/A</v>
      </c>
      <c r="AU112" s="276" t="e">
        <f t="shared" si="63"/>
        <v>#N/A</v>
      </c>
      <c r="AX112" s="281" t="s">
        <v>1209</v>
      </c>
      <c r="AY112" s="281">
        <f>VLOOKUP(Q4,CLIMA,20,FALSE)</f>
        <v>0</v>
      </c>
      <c r="BA112" s="765">
        <f t="shared" si="61"/>
        <v>0</v>
      </c>
      <c r="BB112" s="855" t="s">
        <v>2147</v>
      </c>
      <c r="BC112" s="855"/>
      <c r="BD112" s="855"/>
      <c r="BE112" s="855"/>
      <c r="BF112" s="855"/>
      <c r="BG112" s="855"/>
      <c r="BH112" s="855"/>
      <c r="BI112" s="855"/>
      <c r="BJ112" s="855"/>
    </row>
    <row r="113" spans="1:81" ht="15" customHeight="1" thickBot="1">
      <c r="B113" s="418" t="s">
        <v>1222</v>
      </c>
      <c r="C113" s="485"/>
      <c r="D113" s="349"/>
      <c r="E113" s="417"/>
      <c r="F113" s="417"/>
      <c r="G113" s="578"/>
      <c r="H113" s="579"/>
      <c r="I113" s="766"/>
      <c r="J113" s="766"/>
      <c r="K113" s="316"/>
      <c r="L113" s="412"/>
      <c r="M113" s="417"/>
      <c r="N113" s="491"/>
      <c r="P113" s="392">
        <f t="shared" si="44"/>
        <v>0</v>
      </c>
      <c r="Q113" s="313">
        <f t="shared" si="45"/>
        <v>0</v>
      </c>
      <c r="R113" s="281">
        <f t="shared" si="46"/>
        <v>0</v>
      </c>
      <c r="S113" s="281">
        <f t="shared" si="47"/>
        <v>0</v>
      </c>
      <c r="T113" s="276">
        <f t="shared" si="54"/>
        <v>0</v>
      </c>
      <c r="U113" s="276" t="e">
        <f t="shared" si="55"/>
        <v>#DIV/0!</v>
      </c>
      <c r="V113" s="281" t="e">
        <f t="shared" si="62"/>
        <v>#N/A</v>
      </c>
      <c r="W113" s="276">
        <f t="shared" si="56"/>
        <v>0</v>
      </c>
      <c r="X113" s="276">
        <f t="shared" si="48"/>
        <v>0</v>
      </c>
      <c r="Y113" s="347">
        <f t="shared" si="57"/>
        <v>0</v>
      </c>
      <c r="Z113" s="347">
        <f t="shared" si="58"/>
        <v>0</v>
      </c>
      <c r="AA113" s="281">
        <f t="shared" si="49"/>
        <v>0</v>
      </c>
      <c r="AB113" s="276">
        <f t="shared" si="59"/>
        <v>0</v>
      </c>
      <c r="AC113" s="276">
        <f t="shared" si="50"/>
        <v>0</v>
      </c>
      <c r="AD113" s="222">
        <f t="shared" si="51"/>
        <v>0</v>
      </c>
      <c r="AE113" s="333">
        <f t="shared" si="52"/>
        <v>0</v>
      </c>
      <c r="AF113" s="333">
        <f>IF(N113=0,0,IF(N113="Si",'Materiales Personalizados'!$BV$29,0))</f>
        <v>0</v>
      </c>
      <c r="AG113" s="513">
        <f>'Materiales Personalizados'!BP33+AF113</f>
        <v>0</v>
      </c>
      <c r="AI113" s="160" t="s">
        <v>1530</v>
      </c>
      <c r="AJ113" s="313" t="e">
        <f>IF(AJ111&gt;$AY$64,0,IF(AJ111&lt;$AY$63,$AY$63-AJ111,0))</f>
        <v>#N/A</v>
      </c>
      <c r="AK113" s="313" t="e">
        <f t="shared" ref="AK113:AU113" si="64">IF(AK111&gt;$AY$64,0,IF(AK111&lt;$AY$63,$AY$63-AK111,0))</f>
        <v>#N/A</v>
      </c>
      <c r="AL113" s="313" t="e">
        <f t="shared" si="64"/>
        <v>#N/A</v>
      </c>
      <c r="AM113" s="313" t="e">
        <f t="shared" si="64"/>
        <v>#N/A</v>
      </c>
      <c r="AN113" s="313" t="e">
        <f t="shared" si="64"/>
        <v>#N/A</v>
      </c>
      <c r="AO113" s="313" t="e">
        <f t="shared" si="64"/>
        <v>#N/A</v>
      </c>
      <c r="AP113" s="313" t="e">
        <f t="shared" si="64"/>
        <v>#N/A</v>
      </c>
      <c r="AQ113" s="313" t="e">
        <f t="shared" si="64"/>
        <v>#N/A</v>
      </c>
      <c r="AR113" s="313" t="e">
        <f t="shared" si="64"/>
        <v>#N/A</v>
      </c>
      <c r="AS113" s="313" t="e">
        <f t="shared" si="64"/>
        <v>#N/A</v>
      </c>
      <c r="AT113" s="313" t="e">
        <f t="shared" si="64"/>
        <v>#N/A</v>
      </c>
      <c r="AU113" s="313" t="e">
        <f t="shared" si="64"/>
        <v>#N/A</v>
      </c>
      <c r="AY113" s="99"/>
      <c r="BA113" s="765">
        <f t="shared" si="61"/>
        <v>0</v>
      </c>
      <c r="BB113" s="855" t="s">
        <v>2147</v>
      </c>
      <c r="BC113" s="855"/>
      <c r="BD113" s="855"/>
      <c r="BE113" s="855"/>
      <c r="BF113" s="855"/>
      <c r="BG113" s="855"/>
      <c r="BH113" s="855"/>
      <c r="BI113" s="855"/>
      <c r="BJ113" s="855"/>
    </row>
    <row r="114" spans="1:81" ht="15" customHeight="1" thickBot="1">
      <c r="B114" s="418" t="s">
        <v>1223</v>
      </c>
      <c r="C114" s="485"/>
      <c r="D114" s="349"/>
      <c r="E114" s="417"/>
      <c r="F114" s="417"/>
      <c r="G114" s="412"/>
      <c r="H114" s="417"/>
      <c r="I114" s="766"/>
      <c r="J114" s="766"/>
      <c r="K114" s="316"/>
      <c r="L114" s="412"/>
      <c r="M114" s="417"/>
      <c r="N114" s="491"/>
      <c r="P114" s="392">
        <f t="shared" si="44"/>
        <v>0</v>
      </c>
      <c r="Q114" s="313">
        <f t="shared" si="45"/>
        <v>0</v>
      </c>
      <c r="R114" s="281">
        <f t="shared" si="46"/>
        <v>0</v>
      </c>
      <c r="S114" s="281">
        <f t="shared" si="47"/>
        <v>0</v>
      </c>
      <c r="T114" s="276">
        <f t="shared" si="54"/>
        <v>0</v>
      </c>
      <c r="U114" s="276" t="e">
        <f t="shared" si="55"/>
        <v>#DIV/0!</v>
      </c>
      <c r="V114" s="281" t="e">
        <f t="shared" si="62"/>
        <v>#N/A</v>
      </c>
      <c r="W114" s="276">
        <f t="shared" si="56"/>
        <v>0</v>
      </c>
      <c r="X114" s="276">
        <f t="shared" si="48"/>
        <v>0</v>
      </c>
      <c r="Y114" s="347">
        <f t="shared" si="57"/>
        <v>0</v>
      </c>
      <c r="Z114" s="347">
        <f t="shared" si="58"/>
        <v>0</v>
      </c>
      <c r="AA114" s="281">
        <f t="shared" si="49"/>
        <v>0</v>
      </c>
      <c r="AB114" s="276">
        <f t="shared" si="59"/>
        <v>0</v>
      </c>
      <c r="AC114" s="276">
        <f t="shared" si="50"/>
        <v>0</v>
      </c>
      <c r="AD114" s="222">
        <f t="shared" si="51"/>
        <v>0</v>
      </c>
      <c r="AE114" s="333">
        <f t="shared" si="52"/>
        <v>0</v>
      </c>
      <c r="AF114" s="333">
        <f>IF(N114=0,0,IF(N114="Si",'Materiales Personalizados'!$BV$29,0))</f>
        <v>0</v>
      </c>
      <c r="AG114" s="513">
        <f>'Materiales Personalizados'!BP34+AF114</f>
        <v>0</v>
      </c>
      <c r="AI114" s="160" t="s">
        <v>1540</v>
      </c>
      <c r="AJ114" s="276" t="e">
        <f>(AJ112+AJ113)*24</f>
        <v>#N/A</v>
      </c>
      <c r="AK114" s="276" t="e">
        <f t="shared" ref="AK114:AU114" si="65">(AK112+AK113)*24</f>
        <v>#N/A</v>
      </c>
      <c r="AL114" s="276" t="e">
        <f t="shared" si="65"/>
        <v>#N/A</v>
      </c>
      <c r="AM114" s="276" t="e">
        <f t="shared" si="65"/>
        <v>#N/A</v>
      </c>
      <c r="AN114" s="276" t="e">
        <f t="shared" si="65"/>
        <v>#N/A</v>
      </c>
      <c r="AO114" s="276" t="e">
        <f t="shared" si="65"/>
        <v>#N/A</v>
      </c>
      <c r="AP114" s="276" t="e">
        <f t="shared" si="65"/>
        <v>#N/A</v>
      </c>
      <c r="AQ114" s="276" t="e">
        <f t="shared" si="65"/>
        <v>#N/A</v>
      </c>
      <c r="AR114" s="276" t="e">
        <f t="shared" si="65"/>
        <v>#N/A</v>
      </c>
      <c r="AS114" s="276" t="e">
        <f t="shared" si="65"/>
        <v>#N/A</v>
      </c>
      <c r="AT114" s="276" t="e">
        <f t="shared" si="65"/>
        <v>#N/A</v>
      </c>
      <c r="AU114" s="276" t="e">
        <f t="shared" si="65"/>
        <v>#N/A</v>
      </c>
      <c r="AX114" s="281" t="s">
        <v>1207</v>
      </c>
      <c r="AY114" s="281">
        <f>VLOOKUP(Q4,CLIMA,19,FALSE)</f>
        <v>0</v>
      </c>
      <c r="BA114" s="765">
        <f t="shared" si="61"/>
        <v>0</v>
      </c>
      <c r="BB114" s="855" t="s">
        <v>2147</v>
      </c>
      <c r="BC114" s="855"/>
      <c r="BD114" s="855"/>
      <c r="BE114" s="855"/>
      <c r="BF114" s="855"/>
      <c r="BG114" s="855"/>
      <c r="BH114" s="855"/>
      <c r="BI114" s="855"/>
      <c r="BJ114" s="855"/>
    </row>
    <row r="115" spans="1:81" ht="15" customHeight="1" thickBot="1">
      <c r="B115" s="418" t="s">
        <v>1224</v>
      </c>
      <c r="C115" s="485"/>
      <c r="D115" s="349"/>
      <c r="E115" s="417"/>
      <c r="F115" s="417"/>
      <c r="G115" s="412"/>
      <c r="H115" s="417"/>
      <c r="I115" s="766"/>
      <c r="J115" s="766"/>
      <c r="K115" s="316"/>
      <c r="L115" s="412"/>
      <c r="M115" s="417"/>
      <c r="N115" s="491"/>
      <c r="P115" s="392">
        <f t="shared" si="44"/>
        <v>0</v>
      </c>
      <c r="Q115" s="313">
        <f t="shared" si="45"/>
        <v>0</v>
      </c>
      <c r="R115" s="281">
        <f t="shared" si="46"/>
        <v>0</v>
      </c>
      <c r="S115" s="281">
        <f t="shared" si="47"/>
        <v>0</v>
      </c>
      <c r="T115" s="276">
        <f t="shared" si="54"/>
        <v>0</v>
      </c>
      <c r="U115" s="276" t="e">
        <f t="shared" si="55"/>
        <v>#DIV/0!</v>
      </c>
      <c r="V115" s="281" t="e">
        <f t="shared" si="62"/>
        <v>#N/A</v>
      </c>
      <c r="W115" s="276">
        <f t="shared" si="56"/>
        <v>0</v>
      </c>
      <c r="X115" s="276">
        <f t="shared" si="48"/>
        <v>0</v>
      </c>
      <c r="Y115" s="347">
        <f t="shared" si="57"/>
        <v>0</v>
      </c>
      <c r="Z115" s="347">
        <f t="shared" si="58"/>
        <v>0</v>
      </c>
      <c r="AA115" s="281">
        <f t="shared" si="49"/>
        <v>0</v>
      </c>
      <c r="AB115" s="276">
        <f t="shared" si="59"/>
        <v>0</v>
      </c>
      <c r="AC115" s="276">
        <f t="shared" si="50"/>
        <v>0</v>
      </c>
      <c r="AD115" s="222">
        <f t="shared" si="51"/>
        <v>0</v>
      </c>
      <c r="AE115" s="333">
        <f t="shared" si="52"/>
        <v>0</v>
      </c>
      <c r="AF115" s="333">
        <f>IF(N115=0,0,IF(N115="Si",'Materiales Personalizados'!$BV$29,0))</f>
        <v>0</v>
      </c>
      <c r="AG115" s="513">
        <f>'Materiales Personalizados'!BP35+AF115</f>
        <v>0</v>
      </c>
      <c r="AY115" s="99"/>
      <c r="BA115" s="765">
        <f t="shared" si="61"/>
        <v>0</v>
      </c>
      <c r="BB115" s="855" t="s">
        <v>2147</v>
      </c>
      <c r="BC115" s="855"/>
      <c r="BD115" s="855"/>
      <c r="BE115" s="855"/>
      <c r="BF115" s="855"/>
      <c r="BG115" s="855"/>
      <c r="BH115" s="855"/>
      <c r="BI115" s="855"/>
      <c r="BJ115" s="855"/>
    </row>
    <row r="116" spans="1:81" ht="15" customHeight="1" thickBot="1">
      <c r="B116" s="418" t="s">
        <v>1225</v>
      </c>
      <c r="C116" s="485"/>
      <c r="D116" s="349"/>
      <c r="E116" s="417"/>
      <c r="F116" s="417"/>
      <c r="G116" s="412"/>
      <c r="H116" s="417"/>
      <c r="I116" s="766"/>
      <c r="J116" s="766"/>
      <c r="K116" s="316"/>
      <c r="L116" s="412"/>
      <c r="M116" s="417"/>
      <c r="N116" s="491"/>
      <c r="P116" s="392">
        <f t="shared" si="44"/>
        <v>0</v>
      </c>
      <c r="Q116" s="313">
        <f t="shared" si="45"/>
        <v>0</v>
      </c>
      <c r="R116" s="281">
        <f t="shared" si="46"/>
        <v>0</v>
      </c>
      <c r="S116" s="281">
        <f t="shared" si="47"/>
        <v>0</v>
      </c>
      <c r="T116" s="276">
        <f t="shared" si="54"/>
        <v>0</v>
      </c>
      <c r="U116" s="276" t="e">
        <f t="shared" si="55"/>
        <v>#DIV/0!</v>
      </c>
      <c r="V116" s="281" t="e">
        <f t="shared" si="62"/>
        <v>#N/A</v>
      </c>
      <c r="W116" s="276">
        <f t="shared" si="56"/>
        <v>0</v>
      </c>
      <c r="X116" s="276">
        <f t="shared" si="48"/>
        <v>0</v>
      </c>
      <c r="Y116" s="347">
        <f t="shared" si="57"/>
        <v>0</v>
      </c>
      <c r="Z116" s="347">
        <f t="shared" si="58"/>
        <v>0</v>
      </c>
      <c r="AA116" s="281">
        <f t="shared" si="49"/>
        <v>0</v>
      </c>
      <c r="AB116" s="276">
        <f t="shared" si="59"/>
        <v>0</v>
      </c>
      <c r="AC116" s="276">
        <f t="shared" si="50"/>
        <v>0</v>
      </c>
      <c r="AD116" s="222">
        <f t="shared" si="51"/>
        <v>0</v>
      </c>
      <c r="AE116" s="333">
        <f t="shared" si="52"/>
        <v>0</v>
      </c>
      <c r="AF116" s="333">
        <f>IF(N116=0,0,IF(N116="Si",'Materiales Personalizados'!$BV$29,0))</f>
        <v>0</v>
      </c>
      <c r="AG116" s="513">
        <f>'Materiales Personalizados'!BP36+AF116</f>
        <v>0</v>
      </c>
      <c r="AX116" s="281" t="s">
        <v>1206</v>
      </c>
      <c r="AY116" s="281">
        <f>VLOOKUP(Q4,CLIMA,18,FALSE)</f>
        <v>0</v>
      </c>
      <c r="BA116" s="765">
        <f t="shared" si="61"/>
        <v>0</v>
      </c>
      <c r="BB116" s="855" t="s">
        <v>2147</v>
      </c>
      <c r="BC116" s="855"/>
      <c r="BD116" s="855"/>
      <c r="BE116" s="855"/>
      <c r="BF116" s="855"/>
      <c r="BG116" s="855"/>
      <c r="BH116" s="855"/>
      <c r="BI116" s="855"/>
      <c r="BJ116" s="855"/>
    </row>
    <row r="117" spans="1:81" ht="15" customHeight="1" thickBot="1">
      <c r="B117" s="418" t="s">
        <v>1226</v>
      </c>
      <c r="C117" s="485"/>
      <c r="D117" s="349"/>
      <c r="E117" s="417"/>
      <c r="F117" s="417"/>
      <c r="G117" s="412"/>
      <c r="H117" s="417"/>
      <c r="I117" s="766"/>
      <c r="J117" s="766"/>
      <c r="K117" s="316"/>
      <c r="L117" s="412"/>
      <c r="M117" s="417"/>
      <c r="N117" s="491"/>
      <c r="P117" s="392">
        <f t="shared" si="44"/>
        <v>0</v>
      </c>
      <c r="Q117" s="313">
        <f t="shared" si="45"/>
        <v>0</v>
      </c>
      <c r="R117" s="281">
        <f t="shared" si="46"/>
        <v>0</v>
      </c>
      <c r="S117" s="281">
        <f t="shared" si="47"/>
        <v>0</v>
      </c>
      <c r="T117" s="276">
        <f t="shared" si="54"/>
        <v>0</v>
      </c>
      <c r="U117" s="276" t="e">
        <f t="shared" si="55"/>
        <v>#DIV/0!</v>
      </c>
      <c r="V117" s="281" t="e">
        <f t="shared" si="62"/>
        <v>#N/A</v>
      </c>
      <c r="W117" s="276">
        <f t="shared" si="56"/>
        <v>0</v>
      </c>
      <c r="X117" s="276">
        <f t="shared" si="48"/>
        <v>0</v>
      </c>
      <c r="Y117" s="347">
        <f>(W117*$AY$118)</f>
        <v>0</v>
      </c>
      <c r="Z117" s="347">
        <f t="shared" si="58"/>
        <v>0</v>
      </c>
      <c r="AA117" s="281">
        <f t="shared" si="49"/>
        <v>0</v>
      </c>
      <c r="AB117" s="276">
        <f t="shared" si="59"/>
        <v>0</v>
      </c>
      <c r="AC117" s="276">
        <f t="shared" si="50"/>
        <v>0</v>
      </c>
      <c r="AD117" s="222">
        <f t="shared" si="51"/>
        <v>0</v>
      </c>
      <c r="AE117" s="333">
        <f t="shared" si="52"/>
        <v>0</v>
      </c>
      <c r="AF117" s="333">
        <f>IF(N117=0,0,IF(N117="Si",'Materiales Personalizados'!$BV$29,0))</f>
        <v>0</v>
      </c>
      <c r="AG117" s="513">
        <f>'Materiales Personalizados'!BP37+AF117</f>
        <v>0</v>
      </c>
      <c r="AI117" s="160" t="s">
        <v>1541</v>
      </c>
      <c r="AJ117" s="281">
        <f t="shared" ref="AJ117:AU117" si="66">AJ68*24</f>
        <v>0</v>
      </c>
      <c r="AK117" s="281">
        <f t="shared" si="66"/>
        <v>0</v>
      </c>
      <c r="AL117" s="281">
        <f t="shared" si="66"/>
        <v>0</v>
      </c>
      <c r="AM117" s="281">
        <f t="shared" si="66"/>
        <v>0</v>
      </c>
      <c r="AN117" s="281">
        <f t="shared" si="66"/>
        <v>0</v>
      </c>
      <c r="AO117" s="281">
        <f t="shared" si="66"/>
        <v>0</v>
      </c>
      <c r="AP117" s="281">
        <f t="shared" si="66"/>
        <v>0</v>
      </c>
      <c r="AQ117" s="281">
        <f t="shared" si="66"/>
        <v>0</v>
      </c>
      <c r="AR117" s="281">
        <f t="shared" si="66"/>
        <v>0</v>
      </c>
      <c r="AS117" s="281">
        <f t="shared" si="66"/>
        <v>0</v>
      </c>
      <c r="AT117" s="281">
        <f t="shared" si="66"/>
        <v>0</v>
      </c>
      <c r="AU117" s="281">
        <f t="shared" si="66"/>
        <v>0</v>
      </c>
      <c r="AY117" s="99"/>
      <c r="BA117" s="765">
        <f t="shared" si="61"/>
        <v>0</v>
      </c>
      <c r="BB117" s="855" t="s">
        <v>2147</v>
      </c>
      <c r="BC117" s="855"/>
      <c r="BD117" s="855"/>
      <c r="BE117" s="855"/>
      <c r="BF117" s="855"/>
      <c r="BG117" s="855"/>
      <c r="BH117" s="855"/>
      <c r="BI117" s="855"/>
      <c r="BJ117" s="855"/>
    </row>
    <row r="118" spans="1:81" ht="15" customHeight="1" thickBot="1">
      <c r="B118" s="418" t="str">
        <f>B102</f>
        <v>Material Personalizado:</v>
      </c>
      <c r="C118" s="485"/>
      <c r="D118" s="415" t="str">
        <f>IF('Materiales Personalizados'!$D$102=0,"-",'Materiales Personalizados'!$D$102)</f>
        <v>-</v>
      </c>
      <c r="E118" s="417"/>
      <c r="F118" s="417"/>
      <c r="G118" s="412"/>
      <c r="H118" s="417"/>
      <c r="I118" s="766"/>
      <c r="J118" s="766"/>
      <c r="K118" s="316"/>
      <c r="L118" s="412"/>
      <c r="M118" s="417"/>
      <c r="N118" s="491"/>
      <c r="P118" s="392">
        <f t="shared" si="44"/>
        <v>0</v>
      </c>
      <c r="Q118" s="313">
        <f>'Materiales Personalizados'!$D$105</f>
        <v>0</v>
      </c>
      <c r="R118" s="281">
        <f t="shared" si="46"/>
        <v>0</v>
      </c>
      <c r="S118" s="275">
        <f>'Materiales Personalizados'!$D$106</f>
        <v>0</v>
      </c>
      <c r="T118" s="276">
        <f t="shared" si="54"/>
        <v>0</v>
      </c>
      <c r="U118" s="313" t="e">
        <f>((P118*Q118)+(R118*S118)+(T118*'Materiales Personalizados'!$D$107))/X118</f>
        <v>#DIV/0!</v>
      </c>
      <c r="V118" s="281" t="e">
        <f t="shared" si="62"/>
        <v>#N/A</v>
      </c>
      <c r="W118" s="276">
        <f t="shared" si="56"/>
        <v>0</v>
      </c>
      <c r="X118" s="276">
        <f t="shared" si="48"/>
        <v>0</v>
      </c>
      <c r="Y118" s="347">
        <f>IF('Materiales Personalizados'!$D$109=0,(W118*$AY$118),'Materiales Personalizados'!$D$109)</f>
        <v>0</v>
      </c>
      <c r="Z118" s="347">
        <f>Y118</f>
        <v>0</v>
      </c>
      <c r="AA118" s="275">
        <f>'Materiales Personalizados'!$D$108</f>
        <v>0</v>
      </c>
      <c r="AB118" s="276">
        <f t="shared" si="59"/>
        <v>0</v>
      </c>
      <c r="AC118" s="276">
        <f t="shared" si="50"/>
        <v>0</v>
      </c>
      <c r="AD118" s="222">
        <f t="shared" si="51"/>
        <v>0</v>
      </c>
      <c r="AE118" s="333">
        <f t="shared" si="52"/>
        <v>0</v>
      </c>
      <c r="AF118" s="333">
        <f>IF(N118=0,0,IF(N118="Si",'Materiales Personalizados'!$BV$29,0))</f>
        <v>0</v>
      </c>
      <c r="AG118" s="513">
        <f>'Materiales Personalizados'!BP38+AF118</f>
        <v>0</v>
      </c>
      <c r="AI118" s="160" t="s">
        <v>1545</v>
      </c>
      <c r="AJ118" s="281">
        <f>(AJ70*24/100)</f>
        <v>4.32</v>
      </c>
      <c r="AK118" s="281">
        <f t="shared" ref="AK118:AU118" si="67">(AK70*24/100)</f>
        <v>4.32</v>
      </c>
      <c r="AL118" s="281">
        <f t="shared" si="67"/>
        <v>4.32</v>
      </c>
      <c r="AM118" s="281">
        <f t="shared" si="67"/>
        <v>4.32</v>
      </c>
      <c r="AN118" s="281">
        <f t="shared" si="67"/>
        <v>4.32</v>
      </c>
      <c r="AO118" s="281">
        <f t="shared" si="67"/>
        <v>4.32</v>
      </c>
      <c r="AP118" s="281">
        <f t="shared" si="67"/>
        <v>4.32</v>
      </c>
      <c r="AQ118" s="281">
        <f t="shared" si="67"/>
        <v>4.32</v>
      </c>
      <c r="AR118" s="281">
        <f t="shared" si="67"/>
        <v>4.32</v>
      </c>
      <c r="AS118" s="281">
        <f t="shared" si="67"/>
        <v>4.32</v>
      </c>
      <c r="AT118" s="281">
        <f t="shared" si="67"/>
        <v>4.32</v>
      </c>
      <c r="AU118" s="281">
        <f t="shared" si="67"/>
        <v>4.32</v>
      </c>
      <c r="AX118" s="281" t="s">
        <v>1405</v>
      </c>
      <c r="AY118" s="281">
        <f>VLOOKUP(Q4,CLIMA,22,FALSE)</f>
        <v>0</v>
      </c>
      <c r="BA118" s="765">
        <f t="shared" si="61"/>
        <v>0</v>
      </c>
      <c r="BB118" s="855" t="s">
        <v>2147</v>
      </c>
      <c r="BC118" s="855"/>
      <c r="BD118" s="855"/>
      <c r="BE118" s="855"/>
      <c r="BF118" s="855"/>
      <c r="BG118" s="855"/>
      <c r="BH118" s="855"/>
      <c r="BI118" s="855"/>
      <c r="BJ118" s="855"/>
    </row>
    <row r="119" spans="1:81" ht="15" customHeight="1" thickBot="1">
      <c r="B119" s="418" t="str">
        <f>B118</f>
        <v>Material Personalizado:</v>
      </c>
      <c r="C119" s="485"/>
      <c r="D119" s="415" t="str">
        <f>IF('Materiales Personalizados'!$D$112=0,"-",'Materiales Personalizados'!$D$112)</f>
        <v>-</v>
      </c>
      <c r="E119" s="417"/>
      <c r="F119" s="417"/>
      <c r="G119" s="412"/>
      <c r="H119" s="417"/>
      <c r="I119" s="766"/>
      <c r="J119" s="766"/>
      <c r="K119" s="316"/>
      <c r="L119" s="412"/>
      <c r="M119" s="417"/>
      <c r="N119" s="491"/>
      <c r="P119" s="392">
        <f t="shared" si="44"/>
        <v>0</v>
      </c>
      <c r="Q119" s="313">
        <f>'Materiales Personalizados'!$D$115</f>
        <v>0</v>
      </c>
      <c r="R119" s="281">
        <f t="shared" si="46"/>
        <v>0</v>
      </c>
      <c r="S119" s="275">
        <f>'Materiales Personalizados'!$D$116</f>
        <v>0</v>
      </c>
      <c r="T119" s="276">
        <f t="shared" si="54"/>
        <v>0</v>
      </c>
      <c r="U119" s="313" t="e">
        <f>((P119*Q119)+(R119*S119)+(T119*'Materiales Personalizados'!$D$117))/X119</f>
        <v>#DIV/0!</v>
      </c>
      <c r="V119" s="281" t="e">
        <f t="shared" si="62"/>
        <v>#N/A</v>
      </c>
      <c r="W119" s="276">
        <f t="shared" si="56"/>
        <v>0</v>
      </c>
      <c r="X119" s="276">
        <f t="shared" si="48"/>
        <v>0</v>
      </c>
      <c r="Y119" s="347">
        <f>IF('Materiales Personalizados'!$D$119=0,(W118*$AY$118),'Materiales Personalizados'!$D$119)</f>
        <v>0</v>
      </c>
      <c r="Z119" s="347">
        <f>Y119</f>
        <v>0</v>
      </c>
      <c r="AA119" s="275">
        <f>'Materiales Personalizados'!$D$118</f>
        <v>0</v>
      </c>
      <c r="AB119" s="276">
        <f t="shared" si="59"/>
        <v>0</v>
      </c>
      <c r="AC119" s="276">
        <f t="shared" si="50"/>
        <v>0</v>
      </c>
      <c r="AD119" s="222">
        <f t="shared" si="51"/>
        <v>0</v>
      </c>
      <c r="AE119" s="333">
        <f t="shared" si="52"/>
        <v>0</v>
      </c>
      <c r="AF119" s="333">
        <f>IF(N119=0,0,IF(N119="Si",'Materiales Personalizados'!$BV$29,0))</f>
        <v>0</v>
      </c>
      <c r="AG119" s="513">
        <f>'Materiales Personalizados'!BP39+AF119</f>
        <v>0</v>
      </c>
      <c r="AX119" s="99"/>
      <c r="AY119" s="99"/>
      <c r="BA119" s="765">
        <f t="shared" si="61"/>
        <v>0</v>
      </c>
      <c r="BB119" s="855" t="s">
        <v>2147</v>
      </c>
      <c r="BC119" s="855"/>
      <c r="BD119" s="855"/>
      <c r="BE119" s="855"/>
      <c r="BF119" s="855"/>
      <c r="BG119" s="855"/>
      <c r="BH119" s="855"/>
      <c r="BI119" s="855"/>
      <c r="BJ119" s="855"/>
    </row>
    <row r="120" spans="1:81" ht="15" customHeight="1" thickBot="1">
      <c r="E120" s="332"/>
      <c r="F120" s="332"/>
      <c r="L120" s="332"/>
      <c r="M120" s="332"/>
      <c r="R120" s="100"/>
      <c r="S120" s="100"/>
      <c r="W120" s="100"/>
      <c r="Y120" s="100"/>
      <c r="AI120" s="289" t="s">
        <v>1544</v>
      </c>
      <c r="AJ120" s="313" t="e">
        <f>IF(($AY$63-AJ66)&lt;0,0,(($AY$63-AJ66)*24)*AJ118-AJ114)</f>
        <v>#N/A</v>
      </c>
      <c r="AK120" s="313" t="e">
        <f t="shared" ref="AK120:AU120" si="68">IF(($AY$63-AK66)&lt;0,0,(($AY$63-AK66)*24)*AK118-AK114)</f>
        <v>#N/A</v>
      </c>
      <c r="AL120" s="313" t="e">
        <f t="shared" si="68"/>
        <v>#N/A</v>
      </c>
      <c r="AM120" s="313" t="e">
        <f t="shared" si="68"/>
        <v>#N/A</v>
      </c>
      <c r="AN120" s="313" t="e">
        <f t="shared" si="68"/>
        <v>#N/A</v>
      </c>
      <c r="AO120" s="313" t="e">
        <f t="shared" si="68"/>
        <v>#N/A</v>
      </c>
      <c r="AP120" s="313" t="e">
        <f t="shared" si="68"/>
        <v>#N/A</v>
      </c>
      <c r="AQ120" s="313" t="e">
        <f t="shared" si="68"/>
        <v>#N/A</v>
      </c>
      <c r="AR120" s="313" t="e">
        <f t="shared" si="68"/>
        <v>#N/A</v>
      </c>
      <c r="AS120" s="313" t="e">
        <f t="shared" si="68"/>
        <v>#N/A</v>
      </c>
      <c r="AT120" s="313" t="e">
        <f t="shared" si="68"/>
        <v>#N/A</v>
      </c>
      <c r="AU120" s="313" t="e">
        <f t="shared" si="68"/>
        <v>#N/A</v>
      </c>
      <c r="AX120" s="281" t="s">
        <v>1406</v>
      </c>
      <c r="AY120" s="281">
        <f>VLOOKUP(Q4,CLIMA,23,FALSE)</f>
        <v>0</v>
      </c>
      <c r="BA120" s="765"/>
      <c r="BB120" s="334"/>
      <c r="BC120" s="334"/>
      <c r="BD120" s="334"/>
      <c r="BE120" s="334"/>
      <c r="BF120" s="334"/>
      <c r="BG120" s="334"/>
      <c r="BH120" s="334"/>
      <c r="BI120" s="334"/>
      <c r="BJ120" s="334"/>
      <c r="CC120" s="102"/>
    </row>
    <row r="121" spans="1:81" ht="15" customHeight="1" thickBot="1">
      <c r="C121" s="830" t="s">
        <v>1204</v>
      </c>
      <c r="D121" s="831"/>
      <c r="E121" s="832"/>
      <c r="F121" s="414" t="s">
        <v>1185</v>
      </c>
      <c r="G121" s="414" t="s">
        <v>1186</v>
      </c>
      <c r="H121" s="414" t="s">
        <v>227</v>
      </c>
      <c r="L121" s="332"/>
      <c r="M121" s="332"/>
      <c r="R121" s="100"/>
      <c r="S121" s="100"/>
      <c r="W121" s="100"/>
      <c r="Y121" s="100"/>
      <c r="AJ121" s="276" t="e">
        <f>IF(AJ120&lt;0,0,AJ120)</f>
        <v>#N/A</v>
      </c>
      <c r="AK121" s="276" t="e">
        <f t="shared" ref="AK121:AU121" si="69">IF(AK120&lt;0,0,AK120)</f>
        <v>#N/A</v>
      </c>
      <c r="AL121" s="276" t="e">
        <f t="shared" si="69"/>
        <v>#N/A</v>
      </c>
      <c r="AM121" s="276" t="e">
        <f t="shared" si="69"/>
        <v>#N/A</v>
      </c>
      <c r="AN121" s="276" t="e">
        <f t="shared" si="69"/>
        <v>#N/A</v>
      </c>
      <c r="AO121" s="276" t="e">
        <f t="shared" si="69"/>
        <v>#N/A</v>
      </c>
      <c r="AP121" s="276" t="e">
        <f t="shared" si="69"/>
        <v>#N/A</v>
      </c>
      <c r="AQ121" s="276" t="e">
        <f t="shared" si="69"/>
        <v>#N/A</v>
      </c>
      <c r="AR121" s="276" t="e">
        <f t="shared" si="69"/>
        <v>#N/A</v>
      </c>
      <c r="AS121" s="276" t="e">
        <f t="shared" si="69"/>
        <v>#N/A</v>
      </c>
      <c r="AT121" s="276" t="e">
        <f t="shared" si="69"/>
        <v>#N/A</v>
      </c>
      <c r="AU121" s="276" t="e">
        <f t="shared" si="69"/>
        <v>#N/A</v>
      </c>
      <c r="AY121" s="99"/>
      <c r="BA121" s="765"/>
      <c r="BB121" s="334"/>
      <c r="BC121" s="334"/>
      <c r="BD121" s="334"/>
      <c r="BE121" s="334"/>
      <c r="BF121" s="334"/>
      <c r="BG121" s="334"/>
      <c r="BH121" s="334"/>
      <c r="BI121" s="334"/>
      <c r="BJ121" s="334"/>
      <c r="CC121" s="102"/>
    </row>
    <row r="122" spans="1:81" ht="15" customHeight="1" thickBot="1">
      <c r="B122" s="418" t="s">
        <v>768</v>
      </c>
      <c r="C122" s="818"/>
      <c r="D122" s="819"/>
      <c r="E122" s="820"/>
      <c r="F122" s="417"/>
      <c r="G122" s="417"/>
      <c r="H122" s="321"/>
      <c r="L122" s="332"/>
      <c r="M122" s="332"/>
      <c r="U122" s="276">
        <f>(IF(F122=0,0,VLOOKUP(C122,PUERTASm,2,FALSE)))*H122</f>
        <v>0</v>
      </c>
      <c r="W122" s="100"/>
      <c r="Y122" s="100"/>
      <c r="AD122" s="222">
        <f>IF($L$369="No",U122*F122*G122,((U122*F122*G122)*0.09*$L$370)*U122*F122*G122)</f>
        <v>0</v>
      </c>
      <c r="AE122" s="333">
        <f>AD122</f>
        <v>0</v>
      </c>
      <c r="AI122" s="1013" t="s">
        <v>1542</v>
      </c>
      <c r="AJ122" s="1013"/>
      <c r="AK122" s="1013"/>
      <c r="AL122" s="1013"/>
      <c r="AM122" s="1013"/>
      <c r="AN122" s="1013"/>
      <c r="AO122" s="1013"/>
      <c r="AP122" s="1013"/>
      <c r="AQ122" s="1013"/>
      <c r="AR122" s="1013"/>
      <c r="AS122" s="1013"/>
      <c r="AT122" s="1013"/>
      <c r="AU122" s="1013"/>
      <c r="AY122" s="99"/>
      <c r="BA122" s="765"/>
      <c r="BB122" s="334"/>
      <c r="BC122" s="334"/>
      <c r="BD122" s="334"/>
      <c r="BE122" s="334"/>
      <c r="BF122" s="334"/>
      <c r="BG122" s="334"/>
      <c r="BH122" s="334"/>
      <c r="BI122" s="334"/>
      <c r="BJ122" s="334"/>
      <c r="CC122" s="102"/>
    </row>
    <row r="123" spans="1:81" ht="6" customHeight="1" thickBot="1">
      <c r="K123" s="421"/>
      <c r="M123" s="332"/>
      <c r="Y123" s="346"/>
      <c r="Z123" s="348"/>
      <c r="AA123" s="181"/>
      <c r="AB123" s="181"/>
      <c r="AY123" s="99"/>
      <c r="BA123" s="765"/>
      <c r="BB123" s="334"/>
      <c r="BC123" s="334"/>
      <c r="BD123" s="334"/>
      <c r="BE123" s="334"/>
      <c r="BF123" s="334"/>
      <c r="BG123" s="334"/>
      <c r="BH123" s="334"/>
      <c r="BI123" s="334"/>
      <c r="BJ123" s="334"/>
      <c r="CC123" s="102"/>
    </row>
    <row r="124" spans="1:81" ht="20" customHeight="1" thickBot="1">
      <c r="B124" s="812">
        <f>C38</f>
        <v>0</v>
      </c>
      <c r="C124" s="812"/>
      <c r="D124" s="812"/>
      <c r="E124" s="812"/>
      <c r="F124" s="812"/>
      <c r="G124" s="812"/>
      <c r="H124" s="812"/>
      <c r="I124" s="812"/>
      <c r="J124" s="812"/>
      <c r="K124" s="812"/>
      <c r="L124" s="812"/>
      <c r="M124" s="812"/>
      <c r="N124" s="812"/>
      <c r="P124" s="845">
        <f>B124</f>
        <v>0</v>
      </c>
      <c r="Q124" s="846"/>
      <c r="R124" s="846"/>
      <c r="S124" s="846"/>
      <c r="T124" s="846"/>
      <c r="U124" s="846"/>
      <c r="V124" s="846"/>
      <c r="W124" s="846"/>
      <c r="X124" s="846"/>
      <c r="Y124" s="846"/>
      <c r="Z124" s="846"/>
      <c r="AA124" s="846"/>
      <c r="AB124" s="846"/>
      <c r="AC124" s="846"/>
      <c r="AD124" s="846"/>
      <c r="AE124" s="846"/>
      <c r="AF124" s="846"/>
      <c r="AG124" s="847"/>
      <c r="AI124" s="160" t="s">
        <v>1656</v>
      </c>
      <c r="AJ124" s="276" t="e">
        <f>AJ104*AJ114*24/500</f>
        <v>#DIV/0!</v>
      </c>
      <c r="AK124" s="276" t="e">
        <f t="shared" ref="AK124:AU124" si="70">AK104*AK114*24/500</f>
        <v>#DIV/0!</v>
      </c>
      <c r="AL124" s="276" t="e">
        <f t="shared" si="70"/>
        <v>#DIV/0!</v>
      </c>
      <c r="AM124" s="276" t="e">
        <f t="shared" si="70"/>
        <v>#DIV/0!</v>
      </c>
      <c r="AN124" s="276" t="e">
        <f t="shared" si="70"/>
        <v>#DIV/0!</v>
      </c>
      <c r="AO124" s="276" t="e">
        <f t="shared" si="70"/>
        <v>#DIV/0!</v>
      </c>
      <c r="AP124" s="276" t="e">
        <f t="shared" si="70"/>
        <v>#DIV/0!</v>
      </c>
      <c r="AQ124" s="276" t="e">
        <f t="shared" si="70"/>
        <v>#DIV/0!</v>
      </c>
      <c r="AR124" s="276" t="e">
        <f t="shared" si="70"/>
        <v>#DIV/0!</v>
      </c>
      <c r="AS124" s="276" t="e">
        <f t="shared" si="70"/>
        <v>#DIV/0!</v>
      </c>
      <c r="AT124" s="276" t="e">
        <f t="shared" si="70"/>
        <v>#DIV/0!</v>
      </c>
      <c r="AU124" s="276" t="e">
        <f t="shared" si="70"/>
        <v>#DIV/0!</v>
      </c>
      <c r="AY124" s="99"/>
      <c r="BA124" s="765"/>
      <c r="BB124" s="334"/>
      <c r="BC124" s="334"/>
      <c r="BD124" s="334"/>
      <c r="BE124" s="334"/>
      <c r="BF124" s="334"/>
      <c r="BG124" s="334"/>
      <c r="BH124" s="334"/>
      <c r="BI124" s="334"/>
      <c r="BJ124" s="334"/>
      <c r="CC124" s="102"/>
    </row>
    <row r="125" spans="1:81" ht="6" customHeight="1" thickBot="1">
      <c r="M125" s="332"/>
      <c r="Y125" s="346"/>
      <c r="Z125" s="348"/>
      <c r="AA125" s="181"/>
      <c r="AB125" s="181"/>
      <c r="AH125" s="340"/>
      <c r="AY125" s="99"/>
      <c r="BA125" s="765"/>
      <c r="BB125" s="334"/>
      <c r="BC125" s="334"/>
      <c r="BD125" s="334"/>
      <c r="BE125" s="334"/>
      <c r="BF125" s="334"/>
      <c r="BG125" s="334"/>
      <c r="BH125" s="334"/>
      <c r="BI125" s="334"/>
      <c r="BJ125" s="334"/>
      <c r="CC125" s="102"/>
    </row>
    <row r="126" spans="1:81" ht="15" customHeight="1" thickBot="1">
      <c r="B126" s="833"/>
      <c r="C126" s="830" t="s">
        <v>227</v>
      </c>
      <c r="D126" s="833" t="s">
        <v>1184</v>
      </c>
      <c r="E126" s="833"/>
      <c r="F126" s="833"/>
      <c r="G126" s="833" t="s">
        <v>1188</v>
      </c>
      <c r="H126" s="833"/>
      <c r="I126" s="833" t="s">
        <v>1203</v>
      </c>
      <c r="J126" s="833"/>
      <c r="K126" s="838" t="s">
        <v>790</v>
      </c>
      <c r="L126" s="838" t="s">
        <v>1136</v>
      </c>
      <c r="M126" s="838"/>
      <c r="N126" s="830" t="s">
        <v>2036</v>
      </c>
      <c r="P126" s="388" t="s">
        <v>1651</v>
      </c>
      <c r="Q126" s="849" t="s">
        <v>1064</v>
      </c>
      <c r="R126" s="281" t="s">
        <v>1652</v>
      </c>
      <c r="S126" s="851" t="s">
        <v>1191</v>
      </c>
      <c r="T126" s="281" t="s">
        <v>1190</v>
      </c>
      <c r="U126" s="851" t="s">
        <v>1192</v>
      </c>
      <c r="V126" s="851" t="s">
        <v>1653</v>
      </c>
      <c r="W126" s="851"/>
      <c r="X126" s="281" t="s">
        <v>1654</v>
      </c>
      <c r="Y126" s="851" t="s">
        <v>1403</v>
      </c>
      <c r="Z126" s="851" t="s">
        <v>1404</v>
      </c>
      <c r="AA126" s="851" t="s">
        <v>1210</v>
      </c>
      <c r="AB126" s="851" t="s">
        <v>1201</v>
      </c>
      <c r="AC126" s="851" t="s">
        <v>1202</v>
      </c>
      <c r="AD126" s="850" t="s">
        <v>850</v>
      </c>
      <c r="AE126" s="848" t="str">
        <f>AD126</f>
        <v>W/K Inv</v>
      </c>
      <c r="AF126" s="841" t="str">
        <f>N126</f>
        <v>Persianas</v>
      </c>
      <c r="AG126" s="280" t="s">
        <v>1017</v>
      </c>
      <c r="AH126" s="340"/>
      <c r="AI126" s="160" t="s">
        <v>760</v>
      </c>
      <c r="AJ126" s="276">
        <f>(AE64/AP214)*31/1000*(6.1/6)</f>
        <v>0</v>
      </c>
      <c r="AK126" s="276">
        <f>AJ126</f>
        <v>0</v>
      </c>
      <c r="AL126" s="276">
        <f t="shared" ref="AL126:AU126" si="71">AK126</f>
        <v>0</v>
      </c>
      <c r="AM126" s="276">
        <f t="shared" si="71"/>
        <v>0</v>
      </c>
      <c r="AN126" s="276">
        <f t="shared" si="71"/>
        <v>0</v>
      </c>
      <c r="AO126" s="276">
        <f t="shared" si="71"/>
        <v>0</v>
      </c>
      <c r="AP126" s="276">
        <f t="shared" si="71"/>
        <v>0</v>
      </c>
      <c r="AQ126" s="276">
        <f t="shared" si="71"/>
        <v>0</v>
      </c>
      <c r="AR126" s="276">
        <f t="shared" si="71"/>
        <v>0</v>
      </c>
      <c r="AS126" s="276">
        <f t="shared" si="71"/>
        <v>0</v>
      </c>
      <c r="AT126" s="276">
        <f t="shared" si="71"/>
        <v>0</v>
      </c>
      <c r="AU126" s="276">
        <f t="shared" si="71"/>
        <v>0</v>
      </c>
      <c r="AX126" s="100" t="str">
        <f>'Materiales Personalizados'!AK91</f>
        <v>Sin Agrupamiento</v>
      </c>
      <c r="AY126" s="100">
        <v>0</v>
      </c>
      <c r="BA126" s="765"/>
      <c r="BB126" s="334"/>
      <c r="BC126" s="334"/>
      <c r="BD126" s="334"/>
      <c r="BE126" s="334"/>
      <c r="BF126" s="334"/>
      <c r="BG126" s="334"/>
      <c r="BH126" s="334"/>
      <c r="BI126" s="334"/>
      <c r="BJ126" s="334"/>
      <c r="CC126" s="102"/>
    </row>
    <row r="127" spans="1:81" ht="15" customHeight="1" thickBot="1">
      <c r="B127" s="833"/>
      <c r="C127" s="830"/>
      <c r="D127" s="414" t="s">
        <v>623</v>
      </c>
      <c r="E127" s="414" t="s">
        <v>1185</v>
      </c>
      <c r="F127" s="414" t="s">
        <v>1186</v>
      </c>
      <c r="G127" s="414" t="s">
        <v>623</v>
      </c>
      <c r="H127" s="414" t="s">
        <v>1189</v>
      </c>
      <c r="I127" s="414" t="s">
        <v>757</v>
      </c>
      <c r="J127" s="414" t="s">
        <v>650</v>
      </c>
      <c r="K127" s="838"/>
      <c r="L127" s="419" t="s">
        <v>623</v>
      </c>
      <c r="M127" s="419" t="s">
        <v>1122</v>
      </c>
      <c r="N127" s="830"/>
      <c r="P127" s="388" t="s">
        <v>1187</v>
      </c>
      <c r="Q127" s="849"/>
      <c r="R127" s="281" t="s">
        <v>1187</v>
      </c>
      <c r="S127" s="851"/>
      <c r="T127" s="281" t="s">
        <v>18</v>
      </c>
      <c r="U127" s="851"/>
      <c r="V127" s="281" t="s">
        <v>1199</v>
      </c>
      <c r="W127" s="281" t="s">
        <v>1200</v>
      </c>
      <c r="X127" s="276" t="s">
        <v>1187</v>
      </c>
      <c r="Y127" s="851"/>
      <c r="Z127" s="851"/>
      <c r="AA127" s="851"/>
      <c r="AB127" s="851"/>
      <c r="AC127" s="851"/>
      <c r="AD127" s="850"/>
      <c r="AE127" s="848"/>
      <c r="AF127" s="842"/>
      <c r="AG127" s="277">
        <f>IF((SUM(AG128:AG137))=0,0,(SUM(AG128:AG137))/(COUNT(AG128:AG137)-(COUNTIF(AG128:AG137,0))))</f>
        <v>0</v>
      </c>
      <c r="AH127" s="340"/>
      <c r="AI127" s="9" t="s">
        <v>762</v>
      </c>
      <c r="AJ127" s="276">
        <f>AM127*AJ76/30</f>
        <v>71.3</v>
      </c>
      <c r="AK127" s="276">
        <f>AM127*AK76/30</f>
        <v>64.400000000000006</v>
      </c>
      <c r="AL127" s="276">
        <f>AJ127</f>
        <v>71.3</v>
      </c>
      <c r="AM127" s="276">
        <f>AL54</f>
        <v>69</v>
      </c>
      <c r="AN127" s="276">
        <f>AL127</f>
        <v>71.3</v>
      </c>
      <c r="AO127" s="276">
        <f>AM127</f>
        <v>69</v>
      </c>
      <c r="AP127" s="276">
        <f>AL127</f>
        <v>71.3</v>
      </c>
      <c r="AQ127" s="276">
        <f>AL127</f>
        <v>71.3</v>
      </c>
      <c r="AR127" s="276">
        <f>AM127</f>
        <v>69</v>
      </c>
      <c r="AS127" s="276">
        <f>AL127</f>
        <v>71.3</v>
      </c>
      <c r="AT127" s="276">
        <f>AM127</f>
        <v>69</v>
      </c>
      <c r="AU127" s="276">
        <f>AL127</f>
        <v>71.3</v>
      </c>
      <c r="AX127" s="100" t="str">
        <f>'Materiales Personalizados'!AK92</f>
        <v>Dispersa</v>
      </c>
      <c r="AY127" s="100">
        <v>0.05</v>
      </c>
      <c r="BA127" s="765"/>
      <c r="BB127" s="334"/>
      <c r="BC127" s="334"/>
      <c r="BD127" s="334"/>
      <c r="BE127" s="334"/>
      <c r="BF127" s="334"/>
      <c r="BG127" s="334"/>
      <c r="BH127" s="334"/>
      <c r="BI127" s="334"/>
      <c r="BJ127" s="334"/>
      <c r="CC127" s="102"/>
    </row>
    <row r="128" spans="1:81" s="101" customFormat="1" ht="15" customHeight="1" thickBot="1">
      <c r="A128" s="332"/>
      <c r="B128" s="418" t="s">
        <v>225</v>
      </c>
      <c r="C128" s="485"/>
      <c r="D128" s="349"/>
      <c r="E128" s="417"/>
      <c r="F128" s="417"/>
      <c r="G128" s="412"/>
      <c r="H128" s="417"/>
      <c r="I128" s="766"/>
      <c r="J128" s="766"/>
      <c r="K128" s="316"/>
      <c r="L128" s="412"/>
      <c r="M128" s="417"/>
      <c r="N128" s="491"/>
      <c r="O128" s="402"/>
      <c r="P128" s="392">
        <f t="shared" ref="P128:P137" si="72">E128*F128</f>
        <v>0</v>
      </c>
      <c r="Q128" s="313">
        <f t="shared" ref="Q128:Q135" si="73">VLOOKUP(D128,VIDRIOSm,2,FALSE)</f>
        <v>0</v>
      </c>
      <c r="R128" s="281">
        <f t="shared" ref="R128:R137" si="74">((H128*F128)*2)+((H128*E128)*2)</f>
        <v>0</v>
      </c>
      <c r="S128" s="281">
        <f t="shared" ref="S128:S135" si="75">VLOOKUP(G128,CARPINTERIAm,2,FALSE)</f>
        <v>0</v>
      </c>
      <c r="T128" s="276">
        <f t="shared" ref="T128:T137" si="76">(E128+H128)*2+(F128+H128)*2</f>
        <v>0</v>
      </c>
      <c r="U128" s="276" t="e">
        <f>((P128*Q128)+(R128*S128)+(T128*0.02))/X128</f>
        <v>#DIV/0!</v>
      </c>
      <c r="V128" s="281" t="e">
        <f t="shared" ref="V128:V137" si="77">VLOOKUP(K128,TIPOAPERTURASm,2,FALSE)</f>
        <v>#N/A</v>
      </c>
      <c r="W128" s="276">
        <f>IF(X128=0,0,V128*X128)</f>
        <v>0</v>
      </c>
      <c r="X128" s="276">
        <f t="shared" ref="X128:X137" si="78">IF(E128=0,0,(E128+H128)*(F128+H128))</f>
        <v>0</v>
      </c>
      <c r="Y128" s="347">
        <f>(W128*$AY$118)</f>
        <v>0</v>
      </c>
      <c r="Z128" s="347">
        <f>W128*$AY$120</f>
        <v>0</v>
      </c>
      <c r="AA128" s="281">
        <f t="shared" ref="AA128:AA135" si="79">VLOOKUP(D128,VIDRIOSm,3,FALSE)</f>
        <v>0</v>
      </c>
      <c r="AB128" s="276">
        <f t="shared" ref="AB128:AB137" si="80">IF(X128=0,0,(($AY$110*AA128)+Y128+(U128*$AY$114))/X128)</f>
        <v>0</v>
      </c>
      <c r="AC128" s="276">
        <f t="shared" ref="AC128:AC137" si="81">IF(X128=0,0,(($AY$112*AA128)-(Y128+U128)*$AY$116)/X128)</f>
        <v>0</v>
      </c>
      <c r="AD128" s="222">
        <f t="shared" ref="AD128:AD137" si="82">IF(P128=0,0,(U128*P128))*C128</f>
        <v>0</v>
      </c>
      <c r="AE128" s="333">
        <f t="shared" ref="AE128:AE137" si="83">AD128</f>
        <v>0</v>
      </c>
      <c r="AF128" s="333">
        <f>IF(N128=0,0,IF(N128="Si",'Materiales Personalizados'!$BV$29,0))</f>
        <v>0</v>
      </c>
      <c r="AG128" s="497">
        <f>'Materiales Personalizados'!BP48+AF128</f>
        <v>0</v>
      </c>
      <c r="AH128" s="100"/>
      <c r="AI128" s="160" t="s">
        <v>1033</v>
      </c>
      <c r="AJ128" s="276" t="e">
        <f t="shared" ref="AJ128:AU128" si="84">AJ84*23*AJ76/1000</f>
        <v>#N/A</v>
      </c>
      <c r="AK128" s="276" t="e">
        <f t="shared" si="84"/>
        <v>#N/A</v>
      </c>
      <c r="AL128" s="276" t="e">
        <f t="shared" si="84"/>
        <v>#N/A</v>
      </c>
      <c r="AM128" s="276" t="e">
        <f t="shared" si="84"/>
        <v>#N/A</v>
      </c>
      <c r="AN128" s="276" t="e">
        <f t="shared" si="84"/>
        <v>#N/A</v>
      </c>
      <c r="AO128" s="276" t="e">
        <f t="shared" si="84"/>
        <v>#N/A</v>
      </c>
      <c r="AP128" s="276" t="e">
        <f t="shared" si="84"/>
        <v>#N/A</v>
      </c>
      <c r="AQ128" s="276" t="e">
        <f t="shared" si="84"/>
        <v>#N/A</v>
      </c>
      <c r="AR128" s="276" t="e">
        <f t="shared" si="84"/>
        <v>#N/A</v>
      </c>
      <c r="AS128" s="276" t="e">
        <f t="shared" si="84"/>
        <v>#N/A</v>
      </c>
      <c r="AT128" s="276" t="e">
        <f t="shared" si="84"/>
        <v>#N/A</v>
      </c>
      <c r="AU128" s="276" t="e">
        <f t="shared" si="84"/>
        <v>#N/A</v>
      </c>
      <c r="AX128" s="100" t="str">
        <f>'Materiales Personalizados'!AK93</f>
        <v>Compacta</v>
      </c>
      <c r="AY128" s="101">
        <v>0.1</v>
      </c>
      <c r="AZ128" s="156"/>
      <c r="BA128" s="765">
        <f>IF(C128&gt;0,IF(I128=0,IF(J128=0,1,IF(I128=0,1,0)),IF(J128=0,1,0)),0)</f>
        <v>0</v>
      </c>
      <c r="BB128" s="855" t="s">
        <v>2147</v>
      </c>
      <c r="BC128" s="855"/>
      <c r="BD128" s="855"/>
      <c r="BE128" s="855"/>
      <c r="BF128" s="855"/>
      <c r="BG128" s="855"/>
      <c r="BH128" s="855"/>
      <c r="BI128" s="855"/>
      <c r="BJ128" s="855"/>
      <c r="BK128" s="157"/>
      <c r="BL128" s="158"/>
      <c r="BM128" s="102"/>
      <c r="BN128" s="102"/>
      <c r="BO128" s="102"/>
      <c r="BP128" s="102"/>
      <c r="BQ128" s="102"/>
      <c r="BR128" s="102"/>
      <c r="BS128" s="102"/>
      <c r="BT128" s="102"/>
      <c r="BU128" s="102"/>
      <c r="BV128" s="102"/>
      <c r="BW128" s="102"/>
      <c r="BX128" s="102"/>
      <c r="BY128" s="102"/>
      <c r="BZ128" s="159"/>
      <c r="CA128" s="159"/>
      <c r="CB128" s="159"/>
      <c r="CC128" s="159"/>
    </row>
    <row r="129" spans="2:81" ht="15" customHeight="1" thickBot="1">
      <c r="B129" s="418" t="s">
        <v>226</v>
      </c>
      <c r="C129" s="485"/>
      <c r="D129" s="349"/>
      <c r="E129" s="417"/>
      <c r="F129" s="417"/>
      <c r="G129" s="412"/>
      <c r="H129" s="417"/>
      <c r="I129" s="766"/>
      <c r="J129" s="766"/>
      <c r="K129" s="316"/>
      <c r="L129" s="412"/>
      <c r="M129" s="417"/>
      <c r="N129" s="491"/>
      <c r="P129" s="392">
        <f t="shared" si="72"/>
        <v>0</v>
      </c>
      <c r="Q129" s="313">
        <f t="shared" si="73"/>
        <v>0</v>
      </c>
      <c r="R129" s="281">
        <f t="shared" si="74"/>
        <v>0</v>
      </c>
      <c r="S129" s="281">
        <f t="shared" si="75"/>
        <v>0</v>
      </c>
      <c r="T129" s="276">
        <f t="shared" si="76"/>
        <v>0</v>
      </c>
      <c r="U129" s="276" t="e">
        <f t="shared" ref="U129:U135" si="85">((P129*Q129)+(R129*S129)+(T129*0.02))/X129</f>
        <v>#DIV/0!</v>
      </c>
      <c r="V129" s="281" t="e">
        <f t="shared" si="77"/>
        <v>#N/A</v>
      </c>
      <c r="W129" s="276">
        <f t="shared" ref="W129:W137" si="86">IF(X129=0,0,V129*X129)</f>
        <v>0</v>
      </c>
      <c r="X129" s="276">
        <f t="shared" si="78"/>
        <v>0</v>
      </c>
      <c r="Y129" s="347">
        <f t="shared" ref="Y129:Y135" si="87">(W129*$AY$118)</f>
        <v>0</v>
      </c>
      <c r="Z129" s="347">
        <f t="shared" ref="Z129:Z135" si="88">W129*$AY$120</f>
        <v>0</v>
      </c>
      <c r="AA129" s="281">
        <f t="shared" si="79"/>
        <v>0</v>
      </c>
      <c r="AB129" s="276">
        <f t="shared" si="80"/>
        <v>0</v>
      </c>
      <c r="AC129" s="276">
        <f t="shared" si="81"/>
        <v>0</v>
      </c>
      <c r="AD129" s="222">
        <f t="shared" si="82"/>
        <v>0</v>
      </c>
      <c r="AE129" s="333">
        <f t="shared" si="83"/>
        <v>0</v>
      </c>
      <c r="AF129" s="333">
        <f>IF(N129=0,0,IF(N129="Si",'Materiales Personalizados'!$BV$29,0))</f>
        <v>0</v>
      </c>
      <c r="AG129" s="513">
        <f>'Materiales Personalizados'!BP49+AF129</f>
        <v>0</v>
      </c>
      <c r="AH129" s="340"/>
      <c r="AI129" s="160" t="s">
        <v>991</v>
      </c>
      <c r="AJ129" s="276">
        <f t="shared" ref="AJ129:AU129" si="89">AJ91*31*24/1000</f>
        <v>0</v>
      </c>
      <c r="AK129" s="276">
        <f t="shared" si="89"/>
        <v>0</v>
      </c>
      <c r="AL129" s="276">
        <f t="shared" si="89"/>
        <v>0</v>
      </c>
      <c r="AM129" s="276">
        <f t="shared" si="89"/>
        <v>0</v>
      </c>
      <c r="AN129" s="276">
        <f t="shared" si="89"/>
        <v>0</v>
      </c>
      <c r="AO129" s="276">
        <f t="shared" si="89"/>
        <v>0</v>
      </c>
      <c r="AP129" s="276">
        <f t="shared" si="89"/>
        <v>0</v>
      </c>
      <c r="AQ129" s="276">
        <f t="shared" si="89"/>
        <v>0</v>
      </c>
      <c r="AR129" s="276">
        <f t="shared" si="89"/>
        <v>0</v>
      </c>
      <c r="AS129" s="276">
        <f t="shared" si="89"/>
        <v>0</v>
      </c>
      <c r="AT129" s="276">
        <f t="shared" si="89"/>
        <v>0</v>
      </c>
      <c r="AU129" s="276">
        <f t="shared" si="89"/>
        <v>0</v>
      </c>
      <c r="AX129" s="100" t="str">
        <f>'Materiales Personalizados'!AK94</f>
        <v>Continua</v>
      </c>
      <c r="AY129" s="100">
        <v>0.2</v>
      </c>
      <c r="BA129" s="765">
        <f t="shared" ref="BA129:BA137" si="90">IF(C129&gt;0,IF(I129=0,IF(J129=0,1,IF(I129=0,1,0)),IF(J129=0,1,0)),0)</f>
        <v>0</v>
      </c>
      <c r="BB129" s="855" t="s">
        <v>2147</v>
      </c>
      <c r="BC129" s="855"/>
      <c r="BD129" s="855"/>
      <c r="BE129" s="855"/>
      <c r="BF129" s="855"/>
      <c r="BG129" s="855"/>
      <c r="BH129" s="855"/>
      <c r="BI129" s="855"/>
      <c r="BJ129" s="855"/>
      <c r="CC129" s="102"/>
    </row>
    <row r="130" spans="2:81" ht="15" customHeight="1" thickBot="1">
      <c r="B130" s="418" t="s">
        <v>597</v>
      </c>
      <c r="C130" s="485"/>
      <c r="D130" s="349"/>
      <c r="E130" s="417"/>
      <c r="F130" s="417"/>
      <c r="G130" s="412"/>
      <c r="H130" s="417"/>
      <c r="I130" s="766"/>
      <c r="J130" s="766"/>
      <c r="K130" s="316"/>
      <c r="L130" s="412"/>
      <c r="M130" s="417"/>
      <c r="N130" s="491"/>
      <c r="P130" s="392">
        <f t="shared" si="72"/>
        <v>0</v>
      </c>
      <c r="Q130" s="313">
        <f t="shared" si="73"/>
        <v>0</v>
      </c>
      <c r="R130" s="281">
        <f t="shared" si="74"/>
        <v>0</v>
      </c>
      <c r="S130" s="281">
        <f t="shared" si="75"/>
        <v>0</v>
      </c>
      <c r="T130" s="276">
        <f t="shared" si="76"/>
        <v>0</v>
      </c>
      <c r="U130" s="276" t="e">
        <f t="shared" si="85"/>
        <v>#DIV/0!</v>
      </c>
      <c r="V130" s="281" t="e">
        <f t="shared" si="77"/>
        <v>#N/A</v>
      </c>
      <c r="W130" s="276">
        <f t="shared" si="86"/>
        <v>0</v>
      </c>
      <c r="X130" s="276">
        <f t="shared" si="78"/>
        <v>0</v>
      </c>
      <c r="Y130" s="347">
        <f t="shared" si="87"/>
        <v>0</v>
      </c>
      <c r="Z130" s="347">
        <f t="shared" si="88"/>
        <v>0</v>
      </c>
      <c r="AA130" s="281">
        <f t="shared" si="79"/>
        <v>0</v>
      </c>
      <c r="AB130" s="276">
        <f t="shared" si="80"/>
        <v>0</v>
      </c>
      <c r="AC130" s="276">
        <f t="shared" si="81"/>
        <v>0</v>
      </c>
      <c r="AD130" s="222">
        <f t="shared" si="82"/>
        <v>0</v>
      </c>
      <c r="AE130" s="333">
        <f t="shared" si="83"/>
        <v>0</v>
      </c>
      <c r="AF130" s="333">
        <f>IF(N130=0,0,IF(N130="Si",'Materiales Personalizados'!$BV$29,0))</f>
        <v>0</v>
      </c>
      <c r="AG130" s="513">
        <f>'Materiales Personalizados'!BP50+AF130</f>
        <v>0</v>
      </c>
      <c r="BA130" s="765">
        <f t="shared" si="90"/>
        <v>0</v>
      </c>
      <c r="BB130" s="855" t="s">
        <v>2147</v>
      </c>
      <c r="BC130" s="855"/>
      <c r="BD130" s="855"/>
      <c r="BE130" s="855"/>
      <c r="BF130" s="855"/>
      <c r="BG130" s="855"/>
      <c r="BH130" s="855"/>
      <c r="BI130" s="855"/>
      <c r="BJ130" s="855"/>
      <c r="CC130" s="102"/>
    </row>
    <row r="131" spans="2:81" ht="15" customHeight="1" thickBot="1">
      <c r="B131" s="418" t="s">
        <v>1222</v>
      </c>
      <c r="C131" s="485"/>
      <c r="D131" s="349"/>
      <c r="E131" s="417"/>
      <c r="F131" s="417"/>
      <c r="G131" s="412"/>
      <c r="H131" s="417"/>
      <c r="I131" s="766"/>
      <c r="J131" s="766"/>
      <c r="K131" s="316"/>
      <c r="L131" s="412"/>
      <c r="M131" s="417"/>
      <c r="N131" s="491"/>
      <c r="P131" s="392">
        <f t="shared" si="72"/>
        <v>0</v>
      </c>
      <c r="Q131" s="313">
        <f t="shared" si="73"/>
        <v>0</v>
      </c>
      <c r="R131" s="281">
        <f t="shared" si="74"/>
        <v>0</v>
      </c>
      <c r="S131" s="281">
        <f t="shared" si="75"/>
        <v>0</v>
      </c>
      <c r="T131" s="276">
        <f t="shared" si="76"/>
        <v>0</v>
      </c>
      <c r="U131" s="276" t="e">
        <f t="shared" si="85"/>
        <v>#DIV/0!</v>
      </c>
      <c r="V131" s="281" t="e">
        <f t="shared" si="77"/>
        <v>#N/A</v>
      </c>
      <c r="W131" s="276">
        <f t="shared" si="86"/>
        <v>0</v>
      </c>
      <c r="X131" s="276">
        <f t="shared" si="78"/>
        <v>0</v>
      </c>
      <c r="Y131" s="347">
        <f t="shared" si="87"/>
        <v>0</v>
      </c>
      <c r="Z131" s="347">
        <f t="shared" si="88"/>
        <v>0</v>
      </c>
      <c r="AA131" s="281">
        <f t="shared" si="79"/>
        <v>0</v>
      </c>
      <c r="AB131" s="276">
        <f t="shared" si="80"/>
        <v>0</v>
      </c>
      <c r="AC131" s="276">
        <f t="shared" si="81"/>
        <v>0</v>
      </c>
      <c r="AD131" s="222">
        <f t="shared" si="82"/>
        <v>0</v>
      </c>
      <c r="AE131" s="333">
        <f t="shared" si="83"/>
        <v>0</v>
      </c>
      <c r="AF131" s="333">
        <f>IF(N131=0,0,IF(N131="Si",'Materiales Personalizados'!$BV$29,0))</f>
        <v>0</v>
      </c>
      <c r="AG131" s="513">
        <f>'Materiales Personalizados'!BP51+AF131</f>
        <v>0</v>
      </c>
      <c r="AH131" s="340"/>
      <c r="AI131" s="160" t="s">
        <v>1620</v>
      </c>
      <c r="AJ131" s="276" t="e">
        <f>AA335</f>
        <v>#N/A</v>
      </c>
      <c r="AK131" s="276" t="e">
        <f>AB335</f>
        <v>#N/A</v>
      </c>
      <c r="AL131" s="276" t="e">
        <f>AC335</f>
        <v>#N/A</v>
      </c>
      <c r="AM131" s="276" t="e">
        <f>AD335</f>
        <v>#N/A</v>
      </c>
      <c r="AN131" s="276" t="e">
        <f>AE335</f>
        <v>#N/A</v>
      </c>
      <c r="AO131" s="276" t="e">
        <f t="shared" ref="AO131:AU131" si="91">AG335</f>
        <v>#N/A</v>
      </c>
      <c r="AP131" s="276" t="e">
        <f t="shared" si="91"/>
        <v>#N/A</v>
      </c>
      <c r="AQ131" s="276" t="e">
        <f t="shared" si="91"/>
        <v>#N/A</v>
      </c>
      <c r="AR131" s="276" t="e">
        <f t="shared" si="91"/>
        <v>#N/A</v>
      </c>
      <c r="AS131" s="276" t="e">
        <f t="shared" si="91"/>
        <v>#N/A</v>
      </c>
      <c r="AT131" s="276" t="e">
        <f t="shared" si="91"/>
        <v>#N/A</v>
      </c>
      <c r="AU131" s="276" t="e">
        <f t="shared" si="91"/>
        <v>#N/A</v>
      </c>
      <c r="AX131" s="155" t="str">
        <f>L271</f>
        <v>Compacta</v>
      </c>
      <c r="AY131" s="155">
        <f>VLOOKUP(AX131,AX126:AY129,2,FALSE)</f>
        <v>0.1</v>
      </c>
      <c r="BA131" s="765">
        <f t="shared" si="90"/>
        <v>0</v>
      </c>
      <c r="BB131" s="855" t="s">
        <v>2147</v>
      </c>
      <c r="BC131" s="855"/>
      <c r="BD131" s="855"/>
      <c r="BE131" s="855"/>
      <c r="BF131" s="855"/>
      <c r="BG131" s="855"/>
      <c r="BH131" s="855"/>
      <c r="BI131" s="855"/>
      <c r="BJ131" s="855"/>
    </row>
    <row r="132" spans="2:81" ht="15" customHeight="1" thickBot="1">
      <c r="B132" s="418" t="s">
        <v>1223</v>
      </c>
      <c r="C132" s="485"/>
      <c r="D132" s="349"/>
      <c r="E132" s="417"/>
      <c r="F132" s="417"/>
      <c r="G132" s="412"/>
      <c r="H132" s="417"/>
      <c r="I132" s="766"/>
      <c r="J132" s="766"/>
      <c r="K132" s="316"/>
      <c r="L132" s="412"/>
      <c r="M132" s="417"/>
      <c r="N132" s="491"/>
      <c r="P132" s="392">
        <f t="shared" si="72"/>
        <v>0</v>
      </c>
      <c r="Q132" s="313">
        <f t="shared" si="73"/>
        <v>0</v>
      </c>
      <c r="R132" s="281">
        <f t="shared" si="74"/>
        <v>0</v>
      </c>
      <c r="S132" s="281">
        <f t="shared" si="75"/>
        <v>0</v>
      </c>
      <c r="T132" s="276">
        <f t="shared" si="76"/>
        <v>0</v>
      </c>
      <c r="U132" s="276" t="e">
        <f t="shared" si="85"/>
        <v>#DIV/0!</v>
      </c>
      <c r="V132" s="281" t="e">
        <f t="shared" si="77"/>
        <v>#N/A</v>
      </c>
      <c r="W132" s="276">
        <f t="shared" si="86"/>
        <v>0</v>
      </c>
      <c r="X132" s="276">
        <f t="shared" si="78"/>
        <v>0</v>
      </c>
      <c r="Y132" s="347">
        <f t="shared" si="87"/>
        <v>0</v>
      </c>
      <c r="Z132" s="347">
        <f t="shared" si="88"/>
        <v>0</v>
      </c>
      <c r="AA132" s="281">
        <f t="shared" si="79"/>
        <v>0</v>
      </c>
      <c r="AB132" s="276">
        <f t="shared" si="80"/>
        <v>0</v>
      </c>
      <c r="AC132" s="276">
        <f t="shared" si="81"/>
        <v>0</v>
      </c>
      <c r="AD132" s="222">
        <f t="shared" si="82"/>
        <v>0</v>
      </c>
      <c r="AE132" s="333">
        <f t="shared" si="83"/>
        <v>0</v>
      </c>
      <c r="AF132" s="333">
        <f>IF(N132=0,0,IF(N132="Si",'Materiales Personalizados'!$BV$29,0))</f>
        <v>0</v>
      </c>
      <c r="AG132" s="513">
        <f>'Materiales Personalizados'!BP52+AF132</f>
        <v>0</v>
      </c>
      <c r="BA132" s="765">
        <f t="shared" si="90"/>
        <v>0</v>
      </c>
      <c r="BB132" s="855" t="s">
        <v>2147</v>
      </c>
      <c r="BC132" s="855"/>
      <c r="BD132" s="855"/>
      <c r="BE132" s="855"/>
      <c r="BF132" s="855"/>
      <c r="BG132" s="855"/>
      <c r="BH132" s="855"/>
      <c r="BI132" s="855"/>
      <c r="BJ132" s="855"/>
      <c r="BO132" s="128"/>
      <c r="BP132" s="128"/>
      <c r="BQ132" s="128"/>
      <c r="BR132" s="128"/>
      <c r="BS132" s="128"/>
      <c r="BT132" s="128"/>
      <c r="BU132" s="128"/>
      <c r="BV132" s="128"/>
      <c r="BW132" s="128"/>
      <c r="BX132" s="128"/>
      <c r="BY132" s="128"/>
      <c r="BZ132" s="128"/>
      <c r="CA132" s="128"/>
      <c r="CB132" s="128"/>
      <c r="CC132" s="128"/>
    </row>
    <row r="133" spans="2:81" ht="15" customHeight="1" thickBot="1">
      <c r="B133" s="418" t="s">
        <v>1224</v>
      </c>
      <c r="C133" s="485"/>
      <c r="D133" s="349"/>
      <c r="E133" s="417"/>
      <c r="F133" s="417"/>
      <c r="G133" s="412"/>
      <c r="H133" s="417"/>
      <c r="I133" s="766"/>
      <c r="J133" s="766"/>
      <c r="K133" s="316"/>
      <c r="L133" s="412"/>
      <c r="M133" s="417"/>
      <c r="N133" s="491"/>
      <c r="P133" s="392">
        <f t="shared" si="72"/>
        <v>0</v>
      </c>
      <c r="Q133" s="313">
        <f t="shared" si="73"/>
        <v>0</v>
      </c>
      <c r="R133" s="281">
        <f t="shared" si="74"/>
        <v>0</v>
      </c>
      <c r="S133" s="281">
        <f t="shared" si="75"/>
        <v>0</v>
      </c>
      <c r="T133" s="276">
        <f t="shared" si="76"/>
        <v>0</v>
      </c>
      <c r="U133" s="276" t="e">
        <f t="shared" si="85"/>
        <v>#DIV/0!</v>
      </c>
      <c r="V133" s="281" t="e">
        <f t="shared" si="77"/>
        <v>#N/A</v>
      </c>
      <c r="W133" s="276">
        <f t="shared" si="86"/>
        <v>0</v>
      </c>
      <c r="X133" s="276">
        <f t="shared" si="78"/>
        <v>0</v>
      </c>
      <c r="Y133" s="347">
        <f t="shared" si="87"/>
        <v>0</v>
      </c>
      <c r="Z133" s="347">
        <f t="shared" si="88"/>
        <v>0</v>
      </c>
      <c r="AA133" s="281">
        <f t="shared" si="79"/>
        <v>0</v>
      </c>
      <c r="AB133" s="276">
        <f t="shared" si="80"/>
        <v>0</v>
      </c>
      <c r="AC133" s="276">
        <f t="shared" si="81"/>
        <v>0</v>
      </c>
      <c r="AD133" s="222">
        <f t="shared" si="82"/>
        <v>0</v>
      </c>
      <c r="AE133" s="333">
        <f t="shared" si="83"/>
        <v>0</v>
      </c>
      <c r="AF133" s="333">
        <f>IF(N133=0,0,IF(N133="Si",'Materiales Personalizados'!$BV$29,0))</f>
        <v>0</v>
      </c>
      <c r="AG133" s="513">
        <f>'Materiales Personalizados'!BP53+AF133</f>
        <v>0</v>
      </c>
      <c r="AH133" s="340"/>
      <c r="BA133" s="765">
        <f t="shared" si="90"/>
        <v>0</v>
      </c>
      <c r="BB133" s="855" t="s">
        <v>2147</v>
      </c>
      <c r="BC133" s="855"/>
      <c r="BD133" s="855"/>
      <c r="BE133" s="855"/>
      <c r="BF133" s="855"/>
      <c r="BG133" s="855"/>
      <c r="BH133" s="855"/>
      <c r="BI133" s="855"/>
      <c r="BJ133" s="855"/>
      <c r="BO133" s="128"/>
      <c r="BP133" s="128"/>
      <c r="BQ133" s="128"/>
      <c r="BR133" s="128"/>
      <c r="BS133" s="128"/>
      <c r="BT133" s="128"/>
      <c r="BU133" s="128"/>
      <c r="BV133" s="128"/>
      <c r="BW133" s="128"/>
      <c r="BX133" s="128"/>
      <c r="BY133" s="128"/>
      <c r="BZ133" s="128"/>
      <c r="CA133" s="128"/>
      <c r="CB133" s="128"/>
      <c r="CC133" s="128"/>
    </row>
    <row r="134" spans="2:81" ht="15" customHeight="1" thickBot="1">
      <c r="B134" s="418" t="s">
        <v>1225</v>
      </c>
      <c r="C134" s="485"/>
      <c r="D134" s="349"/>
      <c r="E134" s="417"/>
      <c r="F134" s="417"/>
      <c r="G134" s="412"/>
      <c r="H134" s="417"/>
      <c r="I134" s="766"/>
      <c r="J134" s="766"/>
      <c r="K134" s="316"/>
      <c r="L134" s="412"/>
      <c r="M134" s="417"/>
      <c r="N134" s="491"/>
      <c r="P134" s="392">
        <f t="shared" si="72"/>
        <v>0</v>
      </c>
      <c r="Q134" s="313">
        <f t="shared" si="73"/>
        <v>0</v>
      </c>
      <c r="R134" s="281">
        <f t="shared" si="74"/>
        <v>0</v>
      </c>
      <c r="S134" s="281">
        <f t="shared" si="75"/>
        <v>0</v>
      </c>
      <c r="T134" s="276">
        <f t="shared" si="76"/>
        <v>0</v>
      </c>
      <c r="U134" s="276" t="e">
        <f t="shared" si="85"/>
        <v>#DIV/0!</v>
      </c>
      <c r="V134" s="281" t="e">
        <f t="shared" si="77"/>
        <v>#N/A</v>
      </c>
      <c r="W134" s="276">
        <f t="shared" si="86"/>
        <v>0</v>
      </c>
      <c r="X134" s="276">
        <f t="shared" si="78"/>
        <v>0</v>
      </c>
      <c r="Y134" s="347">
        <f t="shared" si="87"/>
        <v>0</v>
      </c>
      <c r="Z134" s="347">
        <f t="shared" si="88"/>
        <v>0</v>
      </c>
      <c r="AA134" s="281">
        <f t="shared" si="79"/>
        <v>0</v>
      </c>
      <c r="AB134" s="276">
        <f t="shared" si="80"/>
        <v>0</v>
      </c>
      <c r="AC134" s="276">
        <f t="shared" si="81"/>
        <v>0</v>
      </c>
      <c r="AD134" s="222">
        <f t="shared" si="82"/>
        <v>0</v>
      </c>
      <c r="AE134" s="333">
        <f t="shared" si="83"/>
        <v>0</v>
      </c>
      <c r="AF134" s="333">
        <f>IF(N134=0,0,IF(N134="Si",'Materiales Personalizados'!$BV$29,0))</f>
        <v>0</v>
      </c>
      <c r="AG134" s="513">
        <f>'Materiales Personalizados'!BP54+AF134</f>
        <v>0</v>
      </c>
      <c r="AI134" s="160" t="s">
        <v>1784</v>
      </c>
      <c r="AJ134" s="276">
        <f t="shared" ref="AJ134:AU134" si="92">IF(AJ66&lt;=$AY$63,(($AH$181*AJ74*24*($R$181*0.5)*AJ76/(2.5*1000))*-1),0)</f>
        <v>0</v>
      </c>
      <c r="AK134" s="276">
        <f t="shared" si="92"/>
        <v>0</v>
      </c>
      <c r="AL134" s="276">
        <f t="shared" si="92"/>
        <v>0</v>
      </c>
      <c r="AM134" s="276">
        <f t="shared" si="92"/>
        <v>0</v>
      </c>
      <c r="AN134" s="276">
        <f t="shared" si="92"/>
        <v>0</v>
      </c>
      <c r="AO134" s="276">
        <f t="shared" si="92"/>
        <v>0</v>
      </c>
      <c r="AP134" s="276">
        <f t="shared" si="92"/>
        <v>0</v>
      </c>
      <c r="AQ134" s="276">
        <f t="shared" si="92"/>
        <v>0</v>
      </c>
      <c r="AR134" s="276">
        <f t="shared" si="92"/>
        <v>0</v>
      </c>
      <c r="AS134" s="276">
        <f t="shared" si="92"/>
        <v>0</v>
      </c>
      <c r="AT134" s="276">
        <f t="shared" si="92"/>
        <v>0</v>
      </c>
      <c r="AU134" s="276">
        <f t="shared" si="92"/>
        <v>0</v>
      </c>
      <c r="BA134" s="765">
        <f t="shared" si="90"/>
        <v>0</v>
      </c>
      <c r="BB134" s="855" t="s">
        <v>2147</v>
      </c>
      <c r="BC134" s="855"/>
      <c r="BD134" s="855"/>
      <c r="BE134" s="855"/>
      <c r="BF134" s="855"/>
      <c r="BG134" s="855"/>
      <c r="BH134" s="855"/>
      <c r="BI134" s="855"/>
      <c r="BJ134" s="855"/>
      <c r="BO134" s="128"/>
      <c r="BP134" s="128"/>
      <c r="BQ134" s="128"/>
      <c r="BR134" s="128"/>
      <c r="BS134" s="128"/>
      <c r="BT134" s="128"/>
      <c r="BU134" s="128"/>
      <c r="BV134" s="128"/>
      <c r="BW134" s="128"/>
      <c r="BX134" s="128"/>
      <c r="BY134" s="128"/>
      <c r="BZ134" s="128"/>
      <c r="CA134" s="128"/>
      <c r="CB134" s="128"/>
      <c r="CC134" s="128"/>
    </row>
    <row r="135" spans="2:81" ht="15" customHeight="1" thickBot="1">
      <c r="B135" s="418" t="s">
        <v>1226</v>
      </c>
      <c r="C135" s="485"/>
      <c r="D135" s="349"/>
      <c r="E135" s="417"/>
      <c r="F135" s="417"/>
      <c r="G135" s="412"/>
      <c r="H135" s="417"/>
      <c r="I135" s="766"/>
      <c r="J135" s="766"/>
      <c r="K135" s="316"/>
      <c r="L135" s="412"/>
      <c r="M135" s="417"/>
      <c r="N135" s="491"/>
      <c r="P135" s="392">
        <f t="shared" si="72"/>
        <v>0</v>
      </c>
      <c r="Q135" s="313">
        <f t="shared" si="73"/>
        <v>0</v>
      </c>
      <c r="R135" s="281">
        <f t="shared" si="74"/>
        <v>0</v>
      </c>
      <c r="S135" s="281">
        <f t="shared" si="75"/>
        <v>0</v>
      </c>
      <c r="T135" s="276">
        <f t="shared" si="76"/>
        <v>0</v>
      </c>
      <c r="U135" s="276" t="e">
        <f t="shared" si="85"/>
        <v>#DIV/0!</v>
      </c>
      <c r="V135" s="281" t="e">
        <f t="shared" si="77"/>
        <v>#N/A</v>
      </c>
      <c r="W135" s="276">
        <f t="shared" si="86"/>
        <v>0</v>
      </c>
      <c r="X135" s="276">
        <f t="shared" si="78"/>
        <v>0</v>
      </c>
      <c r="Y135" s="347">
        <f t="shared" si="87"/>
        <v>0</v>
      </c>
      <c r="Z135" s="347">
        <f t="shared" si="88"/>
        <v>0</v>
      </c>
      <c r="AA135" s="281">
        <f t="shared" si="79"/>
        <v>0</v>
      </c>
      <c r="AB135" s="276">
        <f t="shared" si="80"/>
        <v>0</v>
      </c>
      <c r="AC135" s="276">
        <f t="shared" si="81"/>
        <v>0</v>
      </c>
      <c r="AD135" s="222">
        <f t="shared" si="82"/>
        <v>0</v>
      </c>
      <c r="AE135" s="333">
        <f t="shared" si="83"/>
        <v>0</v>
      </c>
      <c r="AF135" s="333">
        <f>IF(N135=0,0,IF(N135="Si",'Materiales Personalizados'!$BV$29,0))</f>
        <v>0</v>
      </c>
      <c r="AG135" s="513">
        <f>'Materiales Personalizados'!BP55+AF135</f>
        <v>0</v>
      </c>
      <c r="AH135" s="340"/>
      <c r="AI135" s="149"/>
      <c r="AJ135" s="149"/>
      <c r="AK135" s="149"/>
      <c r="AL135" s="149"/>
      <c r="AM135" s="149"/>
      <c r="AN135" s="149"/>
      <c r="AO135" s="149"/>
      <c r="AP135" s="149"/>
      <c r="AQ135" s="149"/>
      <c r="AR135" s="149"/>
      <c r="AS135" s="149"/>
      <c r="AT135" s="149"/>
      <c r="AU135" s="149"/>
      <c r="BA135" s="765">
        <f t="shared" si="90"/>
        <v>0</v>
      </c>
      <c r="BB135" s="855" t="s">
        <v>2147</v>
      </c>
      <c r="BC135" s="855"/>
      <c r="BD135" s="855"/>
      <c r="BE135" s="855"/>
      <c r="BF135" s="855"/>
      <c r="BG135" s="855"/>
      <c r="BH135" s="855"/>
      <c r="BI135" s="855"/>
      <c r="BJ135" s="855"/>
      <c r="BO135" s="128"/>
      <c r="BP135" s="128"/>
      <c r="BQ135" s="128"/>
      <c r="BR135" s="128"/>
      <c r="BS135" s="128"/>
      <c r="BT135" s="128"/>
      <c r="BU135" s="128"/>
      <c r="BV135" s="128"/>
      <c r="BW135" s="128"/>
      <c r="BX135" s="128"/>
      <c r="BY135" s="128"/>
      <c r="BZ135" s="128"/>
      <c r="CA135" s="128"/>
      <c r="CB135" s="128"/>
      <c r="CC135" s="128"/>
    </row>
    <row r="136" spans="2:81" ht="15" customHeight="1" thickBot="1">
      <c r="B136" s="418" t="str">
        <f>B118</f>
        <v>Material Personalizado:</v>
      </c>
      <c r="C136" s="485"/>
      <c r="D136" s="415" t="str">
        <f>IF('Materiales Personalizados'!$D$102=0,"-",'Materiales Personalizados'!$D$102)</f>
        <v>-</v>
      </c>
      <c r="E136" s="417"/>
      <c r="F136" s="417"/>
      <c r="G136" s="412"/>
      <c r="H136" s="417"/>
      <c r="I136" s="766"/>
      <c r="J136" s="766"/>
      <c r="K136" s="316"/>
      <c r="L136" s="412"/>
      <c r="M136" s="417"/>
      <c r="N136" s="491"/>
      <c r="P136" s="392">
        <f t="shared" si="72"/>
        <v>0</v>
      </c>
      <c r="Q136" s="313">
        <f>'Materiales Personalizados'!$D$105</f>
        <v>0</v>
      </c>
      <c r="R136" s="281">
        <f t="shared" si="74"/>
        <v>0</v>
      </c>
      <c r="S136" s="275">
        <f>'Materiales Personalizados'!$D$106</f>
        <v>0</v>
      </c>
      <c r="T136" s="276">
        <f t="shared" si="76"/>
        <v>0</v>
      </c>
      <c r="U136" s="313" t="e">
        <f>((P136*Q136)+(R136*S136)+(T136*'Materiales Personalizados'!$D$107))/X136</f>
        <v>#DIV/0!</v>
      </c>
      <c r="V136" s="281" t="e">
        <f t="shared" si="77"/>
        <v>#N/A</v>
      </c>
      <c r="W136" s="276">
        <f t="shared" si="86"/>
        <v>0</v>
      </c>
      <c r="X136" s="276">
        <f t="shared" si="78"/>
        <v>0</v>
      </c>
      <c r="Y136" s="347">
        <f>IF('Materiales Personalizados'!$D$109=0,(W136*$AY$118),'Materiales Personalizados'!$D$109)</f>
        <v>0</v>
      </c>
      <c r="Z136" s="347">
        <f>Y136</f>
        <v>0</v>
      </c>
      <c r="AA136" s="275">
        <f>'Materiales Personalizados'!$D$108</f>
        <v>0</v>
      </c>
      <c r="AB136" s="276">
        <f t="shared" si="80"/>
        <v>0</v>
      </c>
      <c r="AC136" s="276">
        <f t="shared" si="81"/>
        <v>0</v>
      </c>
      <c r="AD136" s="222">
        <f t="shared" si="82"/>
        <v>0</v>
      </c>
      <c r="AE136" s="333">
        <f t="shared" si="83"/>
        <v>0</v>
      </c>
      <c r="AF136" s="333">
        <f>IF(N136=0,0,IF(N136="Si",'Materiales Personalizados'!$BV$29,0))</f>
        <v>0</v>
      </c>
      <c r="AG136" s="513">
        <f>'Materiales Personalizados'!BP56+AF136</f>
        <v>0</v>
      </c>
      <c r="AI136" s="160" t="s">
        <v>1785</v>
      </c>
      <c r="AJ136" s="276">
        <f>IF(($AA$64*AJ74*24*AJ76/(2.5*1000))&lt;0,0,$AA$64*AJ74*24*AJ76/(2.5*1000))</f>
        <v>0</v>
      </c>
      <c r="AK136" s="276">
        <f t="shared" ref="AK136:AU136" si="93">IF(($AA$64*AK74*24*AK76/(2.5*1000))&lt;0,0,$AA$64*AK74*24*AK76/(2.5*1000))</f>
        <v>0</v>
      </c>
      <c r="AL136" s="276">
        <f t="shared" si="93"/>
        <v>0</v>
      </c>
      <c r="AM136" s="276">
        <f t="shared" si="93"/>
        <v>0</v>
      </c>
      <c r="AN136" s="276">
        <f t="shared" si="93"/>
        <v>0</v>
      </c>
      <c r="AO136" s="276">
        <f t="shared" si="93"/>
        <v>0</v>
      </c>
      <c r="AP136" s="276">
        <f t="shared" si="93"/>
        <v>0</v>
      </c>
      <c r="AQ136" s="276">
        <f t="shared" si="93"/>
        <v>0</v>
      </c>
      <c r="AR136" s="276">
        <f t="shared" si="93"/>
        <v>0</v>
      </c>
      <c r="AS136" s="276">
        <f t="shared" si="93"/>
        <v>0</v>
      </c>
      <c r="AT136" s="276">
        <f t="shared" si="93"/>
        <v>0</v>
      </c>
      <c r="AU136" s="276">
        <f t="shared" si="93"/>
        <v>0</v>
      </c>
      <c r="BA136" s="765">
        <f t="shared" si="90"/>
        <v>0</v>
      </c>
      <c r="BB136" s="855" t="s">
        <v>2147</v>
      </c>
      <c r="BC136" s="855"/>
      <c r="BD136" s="855"/>
      <c r="BE136" s="855"/>
      <c r="BF136" s="855"/>
      <c r="BG136" s="855"/>
      <c r="BH136" s="855"/>
      <c r="BI136" s="855"/>
      <c r="BJ136" s="855"/>
      <c r="CB136" s="128"/>
      <c r="CC136" s="128"/>
    </row>
    <row r="137" spans="2:81" ht="15" customHeight="1" thickBot="1">
      <c r="B137" s="418" t="str">
        <f>B136</f>
        <v>Material Personalizado:</v>
      </c>
      <c r="C137" s="485"/>
      <c r="D137" s="415" t="str">
        <f>IF('Materiales Personalizados'!$D$112=0,"-",'Materiales Personalizados'!$D$112)</f>
        <v>-</v>
      </c>
      <c r="E137" s="417"/>
      <c r="F137" s="417"/>
      <c r="G137" s="412"/>
      <c r="H137" s="417"/>
      <c r="I137" s="766"/>
      <c r="J137" s="766"/>
      <c r="K137" s="316"/>
      <c r="L137" s="412"/>
      <c r="M137" s="417"/>
      <c r="N137" s="491"/>
      <c r="P137" s="392">
        <f t="shared" si="72"/>
        <v>0</v>
      </c>
      <c r="Q137" s="313">
        <f>'Materiales Personalizados'!$D$115</f>
        <v>0</v>
      </c>
      <c r="R137" s="281">
        <f t="shared" si="74"/>
        <v>0</v>
      </c>
      <c r="S137" s="275">
        <f>'Materiales Personalizados'!$D$116</f>
        <v>0</v>
      </c>
      <c r="T137" s="276">
        <f t="shared" si="76"/>
        <v>0</v>
      </c>
      <c r="U137" s="313" t="e">
        <f>((P137*Q137)+(R137*S137)+(T137*'Materiales Personalizados'!$D$117))/X137</f>
        <v>#DIV/0!</v>
      </c>
      <c r="V137" s="281" t="e">
        <f t="shared" si="77"/>
        <v>#N/A</v>
      </c>
      <c r="W137" s="276">
        <f t="shared" si="86"/>
        <v>0</v>
      </c>
      <c r="X137" s="276">
        <f t="shared" si="78"/>
        <v>0</v>
      </c>
      <c r="Y137" s="347">
        <f>IF('Materiales Personalizados'!$D$119=0,(W136*$AY$118),'Materiales Personalizados'!$D$119)</f>
        <v>0</v>
      </c>
      <c r="Z137" s="347">
        <f>Y137</f>
        <v>0</v>
      </c>
      <c r="AA137" s="275">
        <f>'Materiales Personalizados'!$D$118</f>
        <v>0</v>
      </c>
      <c r="AB137" s="276">
        <f t="shared" si="80"/>
        <v>0</v>
      </c>
      <c r="AC137" s="276">
        <f t="shared" si="81"/>
        <v>0</v>
      </c>
      <c r="AD137" s="222">
        <f t="shared" si="82"/>
        <v>0</v>
      </c>
      <c r="AE137" s="333">
        <f t="shared" si="83"/>
        <v>0</v>
      </c>
      <c r="AF137" s="333">
        <f>IF(N137=0,0,IF(N137="Si",'Materiales Personalizados'!$BV$29,0))</f>
        <v>0</v>
      </c>
      <c r="AG137" s="513">
        <f>'Materiales Personalizados'!BP57+AF137</f>
        <v>0</v>
      </c>
      <c r="AH137" s="340"/>
      <c r="BA137" s="765">
        <f t="shared" si="90"/>
        <v>0</v>
      </c>
      <c r="BB137" s="855" t="s">
        <v>2147</v>
      </c>
      <c r="BC137" s="855"/>
      <c r="BD137" s="855"/>
      <c r="BE137" s="855"/>
      <c r="BF137" s="855"/>
      <c r="BG137" s="855"/>
      <c r="BH137" s="855"/>
      <c r="BI137" s="855"/>
      <c r="BJ137" s="855"/>
      <c r="CB137" s="128"/>
      <c r="CC137" s="128"/>
    </row>
    <row r="138" spans="2:81" ht="15" customHeight="1" thickBot="1">
      <c r="E138" s="332"/>
      <c r="F138" s="332"/>
      <c r="L138" s="332"/>
      <c r="M138" s="332"/>
      <c r="R138" s="100"/>
      <c r="S138" s="100"/>
      <c r="W138" s="100"/>
      <c r="Y138" s="100"/>
      <c r="AH138" s="340"/>
      <c r="AI138" s="160" t="s">
        <v>1543</v>
      </c>
      <c r="AJ138" s="276" t="e">
        <f t="shared" ref="AJ138:AU138" si="94">IF($L$271="No",($AY$94*AJ117*24/1000),($AY$94*AJ117*24/1000)+(AJ124*0.05))</f>
        <v>#DIV/0!</v>
      </c>
      <c r="AK138" s="276" t="e">
        <f t="shared" si="94"/>
        <v>#DIV/0!</v>
      </c>
      <c r="AL138" s="276" t="e">
        <f t="shared" si="94"/>
        <v>#DIV/0!</v>
      </c>
      <c r="AM138" s="276" t="e">
        <f t="shared" si="94"/>
        <v>#DIV/0!</v>
      </c>
      <c r="AN138" s="276" t="e">
        <f t="shared" si="94"/>
        <v>#DIV/0!</v>
      </c>
      <c r="AO138" s="276" t="e">
        <f t="shared" si="94"/>
        <v>#DIV/0!</v>
      </c>
      <c r="AP138" s="276" t="e">
        <f t="shared" si="94"/>
        <v>#DIV/0!</v>
      </c>
      <c r="AQ138" s="276" t="e">
        <f t="shared" si="94"/>
        <v>#DIV/0!</v>
      </c>
      <c r="AR138" s="276" t="e">
        <f t="shared" si="94"/>
        <v>#DIV/0!</v>
      </c>
      <c r="AS138" s="276" t="e">
        <f t="shared" si="94"/>
        <v>#DIV/0!</v>
      </c>
      <c r="AT138" s="276" t="e">
        <f t="shared" si="94"/>
        <v>#DIV/0!</v>
      </c>
      <c r="AU138" s="276" t="e">
        <f t="shared" si="94"/>
        <v>#DIV/0!</v>
      </c>
      <c r="BA138" s="765"/>
      <c r="BB138" s="334"/>
      <c r="BC138" s="334"/>
      <c r="BD138" s="334"/>
      <c r="BE138" s="334"/>
      <c r="BF138" s="334"/>
      <c r="BG138" s="334"/>
      <c r="BH138" s="334"/>
      <c r="BI138" s="334"/>
      <c r="BJ138" s="334"/>
      <c r="BO138" s="174" t="s">
        <v>1026</v>
      </c>
      <c r="BP138" s="175">
        <f t="shared" ref="BP138:CA138" si="95">AJ149</f>
        <v>0</v>
      </c>
      <c r="BQ138" s="175">
        <f t="shared" si="95"/>
        <v>0</v>
      </c>
      <c r="BR138" s="175">
        <f t="shared" si="95"/>
        <v>0</v>
      </c>
      <c r="BS138" s="175">
        <f t="shared" si="95"/>
        <v>0</v>
      </c>
      <c r="BT138" s="175">
        <f t="shared" si="95"/>
        <v>0</v>
      </c>
      <c r="BU138" s="175">
        <f t="shared" si="95"/>
        <v>0</v>
      </c>
      <c r="BV138" s="175">
        <f t="shared" si="95"/>
        <v>0</v>
      </c>
      <c r="BW138" s="175">
        <f t="shared" si="95"/>
        <v>0</v>
      </c>
      <c r="BX138" s="175">
        <f t="shared" si="95"/>
        <v>0</v>
      </c>
      <c r="BY138" s="175">
        <f t="shared" si="95"/>
        <v>0</v>
      </c>
      <c r="BZ138" s="175">
        <f t="shared" si="95"/>
        <v>0</v>
      </c>
      <c r="CA138" s="175">
        <f t="shared" si="95"/>
        <v>0</v>
      </c>
      <c r="CB138" s="128"/>
      <c r="CC138" s="128"/>
    </row>
    <row r="139" spans="2:81" ht="15" customHeight="1" thickBot="1">
      <c r="C139" s="830" t="s">
        <v>1204</v>
      </c>
      <c r="D139" s="831"/>
      <c r="E139" s="832"/>
      <c r="F139" s="414" t="s">
        <v>1185</v>
      </c>
      <c r="G139" s="414" t="s">
        <v>1186</v>
      </c>
      <c r="H139" s="414" t="s">
        <v>227</v>
      </c>
      <c r="L139" s="332"/>
      <c r="M139" s="332"/>
      <c r="R139" s="100"/>
      <c r="S139" s="100"/>
      <c r="W139" s="100"/>
      <c r="Y139" s="100"/>
      <c r="AH139" s="340"/>
      <c r="AJ139" s="276">
        <f>$AA$64*AJ117*24/(7.2*1000)</f>
        <v>0</v>
      </c>
      <c r="AK139" s="276">
        <f t="shared" ref="AK139:AU139" si="96">$AA$64*AK117*24/(7.2*1000)</f>
        <v>0</v>
      </c>
      <c r="AL139" s="276">
        <f t="shared" si="96"/>
        <v>0</v>
      </c>
      <c r="AM139" s="276">
        <f t="shared" si="96"/>
        <v>0</v>
      </c>
      <c r="AN139" s="276">
        <f t="shared" si="96"/>
        <v>0</v>
      </c>
      <c r="AO139" s="276">
        <f t="shared" si="96"/>
        <v>0</v>
      </c>
      <c r="AP139" s="276">
        <f t="shared" si="96"/>
        <v>0</v>
      </c>
      <c r="AQ139" s="276">
        <f t="shared" si="96"/>
        <v>0</v>
      </c>
      <c r="AR139" s="276">
        <f t="shared" si="96"/>
        <v>0</v>
      </c>
      <c r="AS139" s="276">
        <f t="shared" si="96"/>
        <v>0</v>
      </c>
      <c r="AT139" s="276">
        <f t="shared" si="96"/>
        <v>0</v>
      </c>
      <c r="AU139" s="276">
        <f t="shared" si="96"/>
        <v>0</v>
      </c>
      <c r="BA139" s="765"/>
      <c r="BB139" s="334"/>
      <c r="BC139" s="334"/>
      <c r="BD139" s="334"/>
      <c r="BE139" s="334"/>
      <c r="BF139" s="334"/>
      <c r="BG139" s="334"/>
      <c r="BH139" s="334"/>
      <c r="BI139" s="334"/>
      <c r="BJ139" s="334"/>
      <c r="BO139" s="176"/>
      <c r="BP139" s="176"/>
      <c r="BQ139" s="176"/>
      <c r="BR139" s="176"/>
      <c r="BS139" s="176"/>
      <c r="BT139" s="176"/>
      <c r="BU139" s="176"/>
      <c r="BV139" s="176"/>
      <c r="BW139" s="176"/>
      <c r="BX139" s="176"/>
      <c r="BY139" s="176"/>
      <c r="BZ139" s="176"/>
      <c r="CA139" s="176"/>
      <c r="CB139" s="128"/>
      <c r="CC139" s="128"/>
    </row>
    <row r="140" spans="2:81" ht="15" customHeight="1" thickBot="1">
      <c r="B140" s="418" t="s">
        <v>768</v>
      </c>
      <c r="C140" s="818"/>
      <c r="D140" s="819"/>
      <c r="E140" s="820"/>
      <c r="F140" s="417"/>
      <c r="G140" s="417"/>
      <c r="H140" s="321"/>
      <c r="L140" s="332"/>
      <c r="M140" s="332"/>
      <c r="U140" s="276">
        <f>(IF(F140=0,0,VLOOKUP(C140,PUERTASm,2,FALSE)))*H140</f>
        <v>0</v>
      </c>
      <c r="W140" s="100"/>
      <c r="Y140" s="100"/>
      <c r="AD140" s="222">
        <f>IF($L$369="No",U140*F140*G140,((U140*F140*G140)*0.09*$L$370)*U140*F140*G140)</f>
        <v>0</v>
      </c>
      <c r="AE140" s="333">
        <f>AD140</f>
        <v>0</v>
      </c>
      <c r="BA140" s="765"/>
      <c r="BB140" s="334"/>
      <c r="BC140" s="334"/>
      <c r="BD140" s="334"/>
      <c r="BE140" s="334"/>
      <c r="BF140" s="334"/>
      <c r="BG140" s="334"/>
      <c r="BH140" s="334"/>
      <c r="BI140" s="334"/>
      <c r="BJ140" s="334"/>
      <c r="BO140" s="174" t="s">
        <v>1027</v>
      </c>
      <c r="BP140" s="175">
        <f t="shared" ref="BP140:CA140" si="97">AJ151</f>
        <v>0</v>
      </c>
      <c r="BQ140" s="175">
        <f t="shared" si="97"/>
        <v>0</v>
      </c>
      <c r="BR140" s="175">
        <f t="shared" si="97"/>
        <v>0</v>
      </c>
      <c r="BS140" s="175">
        <f t="shared" si="97"/>
        <v>0</v>
      </c>
      <c r="BT140" s="175">
        <f t="shared" si="97"/>
        <v>0</v>
      </c>
      <c r="BU140" s="175">
        <f t="shared" si="97"/>
        <v>0</v>
      </c>
      <c r="BV140" s="175">
        <f t="shared" si="97"/>
        <v>0</v>
      </c>
      <c r="BW140" s="175">
        <f t="shared" si="97"/>
        <v>0</v>
      </c>
      <c r="BX140" s="175">
        <f t="shared" si="97"/>
        <v>0</v>
      </c>
      <c r="BY140" s="175">
        <f t="shared" si="97"/>
        <v>0</v>
      </c>
      <c r="BZ140" s="175">
        <f t="shared" si="97"/>
        <v>0</v>
      </c>
      <c r="CA140" s="175">
        <f t="shared" si="97"/>
        <v>0</v>
      </c>
      <c r="CB140" s="128"/>
      <c r="CC140" s="128"/>
    </row>
    <row r="141" spans="2:81" ht="6" customHeight="1" thickBot="1">
      <c r="M141" s="332"/>
      <c r="Y141" s="346"/>
      <c r="Z141" s="348"/>
      <c r="AA141" s="181"/>
      <c r="AB141" s="181"/>
      <c r="BA141" s="765"/>
      <c r="BB141" s="334"/>
      <c r="BC141" s="334"/>
      <c r="BD141" s="334"/>
      <c r="BE141" s="334"/>
      <c r="BF141" s="334"/>
      <c r="BG141" s="334"/>
      <c r="BH141" s="334"/>
      <c r="BI141" s="334"/>
      <c r="BJ141" s="334"/>
      <c r="CB141" s="128"/>
      <c r="CC141" s="128"/>
    </row>
    <row r="142" spans="2:81" ht="20" customHeight="1" thickBot="1">
      <c r="B142" s="812">
        <f>C39</f>
        <v>0</v>
      </c>
      <c r="C142" s="812"/>
      <c r="D142" s="812"/>
      <c r="E142" s="812"/>
      <c r="F142" s="812"/>
      <c r="G142" s="812"/>
      <c r="H142" s="812"/>
      <c r="I142" s="812"/>
      <c r="J142" s="812"/>
      <c r="K142" s="812"/>
      <c r="L142" s="812"/>
      <c r="M142" s="812"/>
      <c r="N142" s="812"/>
      <c r="P142" s="845">
        <f>B142</f>
        <v>0</v>
      </c>
      <c r="Q142" s="846"/>
      <c r="R142" s="846"/>
      <c r="S142" s="846"/>
      <c r="T142" s="846"/>
      <c r="U142" s="846"/>
      <c r="V142" s="846"/>
      <c r="W142" s="846"/>
      <c r="X142" s="846"/>
      <c r="Y142" s="846"/>
      <c r="Z142" s="846"/>
      <c r="AA142" s="846"/>
      <c r="AB142" s="846"/>
      <c r="AC142" s="846"/>
      <c r="AD142" s="846"/>
      <c r="AE142" s="846"/>
      <c r="AF142" s="846"/>
      <c r="AG142" s="847"/>
      <c r="AI142" s="160" t="s">
        <v>1621</v>
      </c>
      <c r="AJ142" s="276" t="e">
        <f>IF(AJ66&gt;$AY$63,0,($AY$102*$AY$68*(24/1000)*AJ118*AJ121)-AJ131-(AJ134*0.15))</f>
        <v>#DIV/0!</v>
      </c>
      <c r="AK142" s="276" t="e">
        <f t="shared" ref="AK142:AU142" si="98">IF(AK66&gt;$AY$63,0,($AY$102*$AY$68*(24/1000)*AK118*AK121)-AK131-(AK134*0.15))</f>
        <v>#DIV/0!</v>
      </c>
      <c r="AL142" s="276" t="e">
        <f t="shared" si="98"/>
        <v>#DIV/0!</v>
      </c>
      <c r="AM142" s="276" t="e">
        <f t="shared" si="98"/>
        <v>#DIV/0!</v>
      </c>
      <c r="AN142" s="276" t="e">
        <f t="shared" si="98"/>
        <v>#DIV/0!</v>
      </c>
      <c r="AO142" s="276" t="e">
        <f t="shared" si="98"/>
        <v>#DIV/0!</v>
      </c>
      <c r="AP142" s="276" t="e">
        <f t="shared" si="98"/>
        <v>#DIV/0!</v>
      </c>
      <c r="AQ142" s="276" t="e">
        <f t="shared" si="98"/>
        <v>#DIV/0!</v>
      </c>
      <c r="AR142" s="276" t="e">
        <f t="shared" si="98"/>
        <v>#DIV/0!</v>
      </c>
      <c r="AS142" s="276" t="e">
        <f t="shared" si="98"/>
        <v>#DIV/0!</v>
      </c>
      <c r="AT142" s="276" t="e">
        <f t="shared" si="98"/>
        <v>#DIV/0!</v>
      </c>
      <c r="AU142" s="276" t="e">
        <f t="shared" si="98"/>
        <v>#DIV/0!</v>
      </c>
      <c r="BA142" s="765"/>
      <c r="BB142" s="334"/>
      <c r="BC142" s="334"/>
      <c r="BD142" s="334"/>
      <c r="BE142" s="334"/>
      <c r="BF142" s="334"/>
      <c r="BG142" s="334"/>
      <c r="BH142" s="334"/>
      <c r="BI142" s="334"/>
      <c r="BJ142" s="334"/>
      <c r="BP142" s="226" t="s">
        <v>823</v>
      </c>
      <c r="BQ142" s="226" t="s">
        <v>824</v>
      </c>
      <c r="BR142" s="226" t="s">
        <v>825</v>
      </c>
      <c r="BS142" s="226" t="s">
        <v>826</v>
      </c>
      <c r="BT142" s="226" t="s">
        <v>827</v>
      </c>
      <c r="BU142" s="226" t="s">
        <v>828</v>
      </c>
      <c r="BV142" s="226" t="s">
        <v>829</v>
      </c>
      <c r="BW142" s="226" t="s">
        <v>830</v>
      </c>
      <c r="BX142" s="226" t="s">
        <v>831</v>
      </c>
      <c r="BY142" s="226" t="s">
        <v>832</v>
      </c>
      <c r="BZ142" s="226" t="s">
        <v>833</v>
      </c>
      <c r="CA142" s="226" t="s">
        <v>834</v>
      </c>
      <c r="CB142" s="128"/>
      <c r="CC142" s="128"/>
    </row>
    <row r="143" spans="2:81" ht="6" customHeight="1" thickBot="1">
      <c r="M143" s="332"/>
      <c r="Y143" s="346"/>
      <c r="Z143" s="348"/>
      <c r="AA143" s="181"/>
      <c r="AB143" s="181"/>
      <c r="BA143" s="765"/>
      <c r="BB143" s="334"/>
      <c r="BC143" s="334"/>
      <c r="BD143" s="334"/>
      <c r="BE143" s="334"/>
      <c r="BF143" s="334"/>
      <c r="BG143" s="334"/>
      <c r="BH143" s="334"/>
      <c r="BI143" s="334"/>
      <c r="BJ143" s="334"/>
      <c r="CB143" s="128"/>
      <c r="CC143" s="128"/>
    </row>
    <row r="144" spans="2:81" ht="15" customHeight="1" thickBot="1">
      <c r="B144" s="833"/>
      <c r="C144" s="830" t="s">
        <v>227</v>
      </c>
      <c r="D144" s="833" t="s">
        <v>1184</v>
      </c>
      <c r="E144" s="833"/>
      <c r="F144" s="833"/>
      <c r="G144" s="833" t="s">
        <v>1188</v>
      </c>
      <c r="H144" s="833"/>
      <c r="I144" s="833" t="s">
        <v>1203</v>
      </c>
      <c r="J144" s="833"/>
      <c r="K144" s="838" t="s">
        <v>790</v>
      </c>
      <c r="L144" s="838" t="s">
        <v>1136</v>
      </c>
      <c r="M144" s="838"/>
      <c r="N144" s="830" t="s">
        <v>2036</v>
      </c>
      <c r="P144" s="388" t="s">
        <v>1651</v>
      </c>
      <c r="Q144" s="849" t="s">
        <v>1064</v>
      </c>
      <c r="R144" s="281" t="s">
        <v>1652</v>
      </c>
      <c r="S144" s="851" t="s">
        <v>1191</v>
      </c>
      <c r="T144" s="281" t="s">
        <v>1190</v>
      </c>
      <c r="U144" s="851" t="s">
        <v>1192</v>
      </c>
      <c r="V144" s="851" t="s">
        <v>1653</v>
      </c>
      <c r="W144" s="851"/>
      <c r="X144" s="281" t="s">
        <v>1654</v>
      </c>
      <c r="Y144" s="851" t="s">
        <v>1403</v>
      </c>
      <c r="Z144" s="851" t="s">
        <v>1404</v>
      </c>
      <c r="AA144" s="851" t="s">
        <v>1210</v>
      </c>
      <c r="AB144" s="851" t="s">
        <v>1201</v>
      </c>
      <c r="AC144" s="851" t="s">
        <v>1202</v>
      </c>
      <c r="AD144" s="850" t="s">
        <v>850</v>
      </c>
      <c r="AE144" s="848" t="str">
        <f>AD144</f>
        <v>W/K Inv</v>
      </c>
      <c r="AF144" s="841" t="str">
        <f>N144</f>
        <v>Persianas</v>
      </c>
      <c r="AG144" s="280" t="s">
        <v>1017</v>
      </c>
      <c r="BA144" s="765"/>
      <c r="BB144" s="334"/>
      <c r="BC144" s="334"/>
      <c r="BD144" s="334"/>
      <c r="BE144" s="334"/>
      <c r="BF144" s="334"/>
      <c r="BG144" s="334"/>
      <c r="BH144" s="334"/>
      <c r="BI144" s="334"/>
      <c r="BJ144" s="334"/>
      <c r="CB144" s="128"/>
      <c r="CC144" s="128"/>
    </row>
    <row r="145" spans="1:81" ht="15" customHeight="1" thickBot="1">
      <c r="B145" s="833"/>
      <c r="C145" s="830"/>
      <c r="D145" s="414" t="s">
        <v>623</v>
      </c>
      <c r="E145" s="414" t="s">
        <v>1185</v>
      </c>
      <c r="F145" s="414" t="s">
        <v>1186</v>
      </c>
      <c r="G145" s="414" t="s">
        <v>623</v>
      </c>
      <c r="H145" s="414" t="s">
        <v>1189</v>
      </c>
      <c r="I145" s="414" t="s">
        <v>757</v>
      </c>
      <c r="J145" s="414" t="s">
        <v>650</v>
      </c>
      <c r="K145" s="838"/>
      <c r="L145" s="419" t="s">
        <v>623</v>
      </c>
      <c r="M145" s="419" t="s">
        <v>1122</v>
      </c>
      <c r="N145" s="830"/>
      <c r="P145" s="388" t="s">
        <v>1187</v>
      </c>
      <c r="Q145" s="849"/>
      <c r="R145" s="281" t="s">
        <v>1187</v>
      </c>
      <c r="S145" s="851"/>
      <c r="T145" s="281" t="s">
        <v>18</v>
      </c>
      <c r="U145" s="851"/>
      <c r="V145" s="281" t="s">
        <v>1199</v>
      </c>
      <c r="W145" s="281" t="s">
        <v>1200</v>
      </c>
      <c r="X145" s="276" t="s">
        <v>1187</v>
      </c>
      <c r="Y145" s="851"/>
      <c r="Z145" s="851"/>
      <c r="AA145" s="851"/>
      <c r="AB145" s="851"/>
      <c r="AC145" s="851"/>
      <c r="AD145" s="850"/>
      <c r="AE145" s="848"/>
      <c r="AF145" s="842"/>
      <c r="AG145" s="277">
        <f>IF((SUM(AG146:AG155))=0,0,(SUM(AG146:AG155))/(COUNT(AG146:AG155)-(COUNTIF(AG146:AG155,0))))</f>
        <v>0</v>
      </c>
      <c r="AI145" s="1024" t="s">
        <v>1065</v>
      </c>
      <c r="AJ145" s="1025"/>
      <c r="AK145" s="1025"/>
      <c r="AL145" s="1025"/>
      <c r="AM145" s="1025"/>
      <c r="AN145" s="1025"/>
      <c r="AO145" s="1025"/>
      <c r="AP145" s="1025"/>
      <c r="AQ145" s="1025"/>
      <c r="AR145" s="1025"/>
      <c r="AS145" s="1025"/>
      <c r="AT145" s="1025"/>
      <c r="AU145" s="1026"/>
      <c r="BA145" s="765"/>
      <c r="BB145" s="334"/>
      <c r="BC145" s="334"/>
      <c r="BD145" s="334"/>
      <c r="BE145" s="334"/>
      <c r="BF145" s="334"/>
      <c r="BG145" s="334"/>
      <c r="BH145" s="334"/>
      <c r="BI145" s="334"/>
      <c r="BJ145" s="334"/>
      <c r="BO145" s="128"/>
      <c r="BP145" s="128"/>
      <c r="BQ145" s="128"/>
      <c r="BR145" s="128"/>
      <c r="BS145" s="128"/>
      <c r="BT145" s="128"/>
      <c r="BU145" s="128"/>
      <c r="BV145" s="128"/>
      <c r="BW145" s="128"/>
      <c r="BX145" s="128"/>
      <c r="BY145" s="128"/>
      <c r="BZ145" s="128"/>
      <c r="CA145" s="128"/>
      <c r="CB145" s="128"/>
      <c r="CC145" s="128"/>
    </row>
    <row r="146" spans="1:81" s="101" customFormat="1" ht="15" customHeight="1" thickBot="1">
      <c r="A146" s="332"/>
      <c r="B146" s="418" t="s">
        <v>225</v>
      </c>
      <c r="C146" s="485"/>
      <c r="D146" s="349"/>
      <c r="E146" s="579"/>
      <c r="F146" s="579"/>
      <c r="G146" s="578"/>
      <c r="H146" s="579"/>
      <c r="I146" s="766"/>
      <c r="J146" s="766"/>
      <c r="K146" s="316"/>
      <c r="L146" s="578"/>
      <c r="M146" s="579"/>
      <c r="N146" s="578"/>
      <c r="O146" s="402"/>
      <c r="P146" s="392">
        <f t="shared" ref="P146:P155" si="99">E146*F146</f>
        <v>0</v>
      </c>
      <c r="Q146" s="313">
        <f t="shared" ref="Q146:Q153" si="100">VLOOKUP(D146,VIDRIOSm,2,FALSE)</f>
        <v>0</v>
      </c>
      <c r="R146" s="281">
        <f t="shared" ref="R146:R155" si="101">((H146*F146)*2)+((H146*E146)*2)</f>
        <v>0</v>
      </c>
      <c r="S146" s="281">
        <f t="shared" ref="S146:S153" si="102">VLOOKUP(G146,CARPINTERIAm,2,FALSE)</f>
        <v>0</v>
      </c>
      <c r="T146" s="276">
        <f t="shared" ref="T146:T155" si="103">(E146+H146)*2+(F146+H146)*2</f>
        <v>0</v>
      </c>
      <c r="U146" s="276" t="e">
        <f>((P146*Q146)+(R146*S146)+(T146*0.02))/X146</f>
        <v>#DIV/0!</v>
      </c>
      <c r="V146" s="281" t="e">
        <f t="shared" ref="V146:V155" si="104">VLOOKUP(K146,TIPOAPERTURASm,2,FALSE)</f>
        <v>#N/A</v>
      </c>
      <c r="W146" s="276">
        <f>IF(X146=0,0,V146*X146)</f>
        <v>0</v>
      </c>
      <c r="X146" s="276">
        <f t="shared" ref="X146:X155" si="105">IF(E146=0,0,(E146+H146)*(F146+H146))</f>
        <v>0</v>
      </c>
      <c r="Y146" s="347">
        <f>(W146*$AY$118)</f>
        <v>0</v>
      </c>
      <c r="Z146" s="347">
        <f>W146*$AY$120</f>
        <v>0</v>
      </c>
      <c r="AA146" s="281">
        <f t="shared" ref="AA146:AA153" si="106">VLOOKUP(D146,VIDRIOSm,3,FALSE)</f>
        <v>0</v>
      </c>
      <c r="AB146" s="276">
        <f t="shared" ref="AB146:AB155" si="107">IF(X146=0,0,(($AY$110*AA146)+Y146+(U146*$AY$114))/X146)</f>
        <v>0</v>
      </c>
      <c r="AC146" s="276">
        <f t="shared" ref="AC146:AC155" si="108">IF(X146=0,0,(($AY$112*AA146)-(Y146+U146)*$AY$116)/X146)</f>
        <v>0</v>
      </c>
      <c r="AD146" s="222">
        <f t="shared" ref="AD146:AD155" si="109">IF(P146=0,0,(U146*P146))*C146</f>
        <v>0</v>
      </c>
      <c r="AE146" s="333">
        <f t="shared" ref="AE146:AE155" si="110">AD146</f>
        <v>0</v>
      </c>
      <c r="AF146" s="333">
        <f>IF(N146=0,0,IF(N146="Si",'Materiales Personalizados'!$BV$29,0))</f>
        <v>0</v>
      </c>
      <c r="AG146" s="497">
        <f>'Materiales Personalizados'!BP66+AF146</f>
        <v>0</v>
      </c>
      <c r="AI146" s="1027"/>
      <c r="AJ146" s="1028"/>
      <c r="AK146" s="1028"/>
      <c r="AL146" s="1028"/>
      <c r="AM146" s="1028"/>
      <c r="AN146" s="1028"/>
      <c r="AO146" s="1028"/>
      <c r="AP146" s="1028"/>
      <c r="AQ146" s="1028"/>
      <c r="AR146" s="1028"/>
      <c r="AS146" s="1028"/>
      <c r="AT146" s="1028"/>
      <c r="AU146" s="1029"/>
      <c r="AZ146" s="156"/>
      <c r="BA146" s="765">
        <f>IF(C146&gt;0,IF(I146=0,IF(J146=0,1,IF(I146=0,1,0)),IF(J146=0,1,0)),0)</f>
        <v>0</v>
      </c>
      <c r="BB146" s="855" t="s">
        <v>2147</v>
      </c>
      <c r="BC146" s="855"/>
      <c r="BD146" s="855"/>
      <c r="BE146" s="855"/>
      <c r="BF146" s="855"/>
      <c r="BG146" s="855"/>
      <c r="BH146" s="855"/>
      <c r="BI146" s="855"/>
      <c r="BJ146" s="855"/>
      <c r="BK146" s="157"/>
      <c r="BL146" s="158"/>
      <c r="BM146" s="159"/>
      <c r="BN146" s="159"/>
      <c r="BO146" s="350"/>
      <c r="BP146" s="350"/>
      <c r="BQ146" s="350"/>
      <c r="BR146" s="350"/>
      <c r="BS146" s="350"/>
      <c r="BT146" s="350"/>
      <c r="BU146" s="350"/>
      <c r="BV146" s="350"/>
      <c r="BW146" s="350"/>
      <c r="BX146" s="350"/>
      <c r="BY146" s="350"/>
      <c r="BZ146" s="350"/>
      <c r="CA146" s="350"/>
      <c r="CB146" s="350"/>
      <c r="CC146" s="350"/>
    </row>
    <row r="147" spans="1:81" s="101" customFormat="1" ht="15" customHeight="1" thickBot="1">
      <c r="A147" s="332"/>
      <c r="B147" s="418" t="s">
        <v>226</v>
      </c>
      <c r="C147" s="485"/>
      <c r="D147" s="349"/>
      <c r="E147" s="579"/>
      <c r="F147" s="579"/>
      <c r="G147" s="578"/>
      <c r="H147" s="579"/>
      <c r="I147" s="766"/>
      <c r="J147" s="766"/>
      <c r="K147" s="316"/>
      <c r="L147" s="578"/>
      <c r="M147" s="579"/>
      <c r="N147" s="578"/>
      <c r="O147" s="402"/>
      <c r="P147" s="392">
        <f t="shared" si="99"/>
        <v>0</v>
      </c>
      <c r="Q147" s="313">
        <f t="shared" si="100"/>
        <v>0</v>
      </c>
      <c r="R147" s="281">
        <f t="shared" si="101"/>
        <v>0</v>
      </c>
      <c r="S147" s="281">
        <f t="shared" si="102"/>
        <v>0</v>
      </c>
      <c r="T147" s="276">
        <f t="shared" si="103"/>
        <v>0</v>
      </c>
      <c r="U147" s="276" t="e">
        <f t="shared" ref="U147:U153" si="111">((P147*Q147)+(R147*S147)+(T147*0.02))/X147</f>
        <v>#DIV/0!</v>
      </c>
      <c r="V147" s="281" t="e">
        <f t="shared" si="104"/>
        <v>#N/A</v>
      </c>
      <c r="W147" s="276">
        <f t="shared" ref="W147:W155" si="112">IF(X147=0,0,V147*X147)</f>
        <v>0</v>
      </c>
      <c r="X147" s="276">
        <f t="shared" si="105"/>
        <v>0</v>
      </c>
      <c r="Y147" s="347">
        <f t="shared" ref="Y147:Y153" si="113">(W147*$AY$118)</f>
        <v>0</v>
      </c>
      <c r="Z147" s="347">
        <f t="shared" ref="Z147:Z153" si="114">W147*$AY$120</f>
        <v>0</v>
      </c>
      <c r="AA147" s="281">
        <f t="shared" si="106"/>
        <v>0</v>
      </c>
      <c r="AB147" s="276">
        <f t="shared" si="107"/>
        <v>0</v>
      </c>
      <c r="AC147" s="276">
        <f t="shared" si="108"/>
        <v>0</v>
      </c>
      <c r="AD147" s="222">
        <f t="shared" si="109"/>
        <v>0</v>
      </c>
      <c r="AE147" s="333">
        <f t="shared" si="110"/>
        <v>0</v>
      </c>
      <c r="AF147" s="333">
        <f>IF(N147=0,0,IF(N147="Si",'Materiales Personalizados'!$BV$29,0))</f>
        <v>0</v>
      </c>
      <c r="AG147" s="513">
        <f>'Materiales Personalizados'!BP67+AF147</f>
        <v>0</v>
      </c>
      <c r="AI147" s="1030"/>
      <c r="AJ147" s="1031"/>
      <c r="AK147" s="1031"/>
      <c r="AL147" s="1031"/>
      <c r="AM147" s="1031"/>
      <c r="AN147" s="1031"/>
      <c r="AO147" s="1031"/>
      <c r="AP147" s="1031"/>
      <c r="AQ147" s="1031"/>
      <c r="AR147" s="1031"/>
      <c r="AS147" s="1031"/>
      <c r="AT147" s="1031"/>
      <c r="AU147" s="1032"/>
      <c r="AZ147" s="156"/>
      <c r="BA147" s="765">
        <f t="shared" ref="BA147:BA155" si="115">IF(C147&gt;0,IF(I147=0,IF(J147=0,1,IF(I147=0,1,0)),IF(J147=0,1,0)),0)</f>
        <v>0</v>
      </c>
      <c r="BB147" s="855" t="s">
        <v>2147</v>
      </c>
      <c r="BC147" s="855"/>
      <c r="BD147" s="855"/>
      <c r="BE147" s="855"/>
      <c r="BF147" s="855"/>
      <c r="BG147" s="855"/>
      <c r="BH147" s="855"/>
      <c r="BI147" s="855"/>
      <c r="BJ147" s="855"/>
      <c r="BK147" s="157"/>
      <c r="BL147" s="158"/>
      <c r="BM147" s="159"/>
      <c r="BN147" s="159"/>
      <c r="BO147" s="350"/>
      <c r="BP147" s="350"/>
      <c r="BQ147" s="350"/>
      <c r="BR147" s="350"/>
      <c r="BS147" s="350"/>
      <c r="BT147" s="350"/>
      <c r="BU147" s="350"/>
      <c r="BV147" s="350"/>
      <c r="BW147" s="350"/>
      <c r="BX147" s="350"/>
      <c r="BY147" s="350"/>
      <c r="BZ147" s="350"/>
      <c r="CA147" s="350"/>
      <c r="CB147" s="350"/>
      <c r="CC147" s="350"/>
    </row>
    <row r="148" spans="1:81" s="101" customFormat="1" ht="15" customHeight="1" thickBot="1">
      <c r="A148" s="332"/>
      <c r="B148" s="418" t="s">
        <v>597</v>
      </c>
      <c r="C148" s="485"/>
      <c r="D148" s="349"/>
      <c r="E148" s="417"/>
      <c r="F148" s="417"/>
      <c r="G148" s="412"/>
      <c r="H148" s="417"/>
      <c r="I148" s="766"/>
      <c r="J148" s="766"/>
      <c r="K148" s="316"/>
      <c r="L148" s="412"/>
      <c r="M148" s="417"/>
      <c r="N148" s="491"/>
      <c r="O148" s="402"/>
      <c r="P148" s="392">
        <f t="shared" si="99"/>
        <v>0</v>
      </c>
      <c r="Q148" s="313">
        <f t="shared" si="100"/>
        <v>0</v>
      </c>
      <c r="R148" s="281">
        <f t="shared" si="101"/>
        <v>0</v>
      </c>
      <c r="S148" s="281">
        <f t="shared" si="102"/>
        <v>0</v>
      </c>
      <c r="T148" s="276">
        <f t="shared" si="103"/>
        <v>0</v>
      </c>
      <c r="U148" s="276" t="e">
        <f t="shared" si="111"/>
        <v>#DIV/0!</v>
      </c>
      <c r="V148" s="281" t="e">
        <f t="shared" si="104"/>
        <v>#N/A</v>
      </c>
      <c r="W148" s="276">
        <f t="shared" si="112"/>
        <v>0</v>
      </c>
      <c r="X148" s="276">
        <f t="shared" si="105"/>
        <v>0</v>
      </c>
      <c r="Y148" s="347">
        <f t="shared" si="113"/>
        <v>0</v>
      </c>
      <c r="Z148" s="347">
        <f t="shared" si="114"/>
        <v>0</v>
      </c>
      <c r="AA148" s="281">
        <f t="shared" si="106"/>
        <v>0</v>
      </c>
      <c r="AB148" s="276">
        <f t="shared" si="107"/>
        <v>0</v>
      </c>
      <c r="AC148" s="276">
        <f t="shared" si="108"/>
        <v>0</v>
      </c>
      <c r="AD148" s="222">
        <f t="shared" si="109"/>
        <v>0</v>
      </c>
      <c r="AE148" s="333">
        <f t="shared" si="110"/>
        <v>0</v>
      </c>
      <c r="AF148" s="333">
        <f>IF(N148=0,0,IF(N148="Si",'Materiales Personalizados'!$BV$29,0))</f>
        <v>0</v>
      </c>
      <c r="AG148" s="513">
        <f>'Materiales Personalizados'!BP68+AF148</f>
        <v>0</v>
      </c>
      <c r="AI148" s="100"/>
      <c r="AJ148" s="100"/>
      <c r="AK148" s="100"/>
      <c r="AL148" s="100"/>
      <c r="AM148" s="100"/>
      <c r="AN148" s="100"/>
      <c r="AO148" s="100"/>
      <c r="AP148" s="100"/>
      <c r="AQ148" s="100"/>
      <c r="AR148" s="100"/>
      <c r="AS148" s="100"/>
      <c r="AT148" s="100"/>
      <c r="AU148" s="100"/>
      <c r="AZ148" s="156"/>
      <c r="BA148" s="765">
        <f t="shared" si="115"/>
        <v>0</v>
      </c>
      <c r="BB148" s="855" t="s">
        <v>2147</v>
      </c>
      <c r="BC148" s="855"/>
      <c r="BD148" s="855"/>
      <c r="BE148" s="855"/>
      <c r="BF148" s="855"/>
      <c r="BG148" s="855"/>
      <c r="BH148" s="855"/>
      <c r="BI148" s="855"/>
      <c r="BJ148" s="855"/>
      <c r="BK148" s="157"/>
      <c r="BL148" s="158"/>
      <c r="BM148" s="159"/>
      <c r="BN148" s="159"/>
      <c r="BO148" s="350"/>
      <c r="BP148" s="350"/>
      <c r="BQ148" s="350"/>
      <c r="BR148" s="350"/>
      <c r="BS148" s="350"/>
      <c r="BT148" s="350"/>
      <c r="BU148" s="350"/>
      <c r="BV148" s="350"/>
      <c r="BW148" s="350"/>
      <c r="BX148" s="350"/>
      <c r="BY148" s="350"/>
      <c r="BZ148" s="350"/>
      <c r="CA148" s="350"/>
      <c r="CB148" s="350"/>
      <c r="CC148" s="350"/>
    </row>
    <row r="149" spans="1:81" ht="15" customHeight="1" thickBot="1">
      <c r="B149" s="418" t="s">
        <v>1222</v>
      </c>
      <c r="C149" s="485"/>
      <c r="D149" s="349"/>
      <c r="E149" s="417"/>
      <c r="F149" s="417"/>
      <c r="G149" s="412"/>
      <c r="H149" s="417"/>
      <c r="I149" s="766"/>
      <c r="J149" s="766"/>
      <c r="K149" s="316"/>
      <c r="L149" s="412"/>
      <c r="M149" s="417"/>
      <c r="N149" s="491"/>
      <c r="P149" s="392">
        <f t="shared" si="99"/>
        <v>0</v>
      </c>
      <c r="Q149" s="313">
        <f t="shared" si="100"/>
        <v>0</v>
      </c>
      <c r="R149" s="281">
        <f t="shared" si="101"/>
        <v>0</v>
      </c>
      <c r="S149" s="281">
        <f t="shared" si="102"/>
        <v>0</v>
      </c>
      <c r="T149" s="276">
        <f t="shared" si="103"/>
        <v>0</v>
      </c>
      <c r="U149" s="276" t="e">
        <f t="shared" si="111"/>
        <v>#DIV/0!</v>
      </c>
      <c r="V149" s="281" t="e">
        <f t="shared" si="104"/>
        <v>#N/A</v>
      </c>
      <c r="W149" s="276">
        <f t="shared" si="112"/>
        <v>0</v>
      </c>
      <c r="X149" s="276">
        <f t="shared" si="105"/>
        <v>0</v>
      </c>
      <c r="Y149" s="347">
        <f t="shared" si="113"/>
        <v>0</v>
      </c>
      <c r="Z149" s="347">
        <f t="shared" si="114"/>
        <v>0</v>
      </c>
      <c r="AA149" s="281">
        <f t="shared" si="106"/>
        <v>0</v>
      </c>
      <c r="AB149" s="276">
        <f t="shared" si="107"/>
        <v>0</v>
      </c>
      <c r="AC149" s="276">
        <f t="shared" si="108"/>
        <v>0</v>
      </c>
      <c r="AD149" s="222">
        <f t="shared" si="109"/>
        <v>0</v>
      </c>
      <c r="AE149" s="333">
        <f t="shared" si="110"/>
        <v>0</v>
      </c>
      <c r="AF149" s="333">
        <f>IF(N149=0,0,IF(N149="Si",'Materiales Personalizados'!$BV$29,0))</f>
        <v>0</v>
      </c>
      <c r="AG149" s="513">
        <f>'Materiales Personalizados'!BP69+AF149</f>
        <v>0</v>
      </c>
      <c r="AI149" s="177" t="s">
        <v>1026</v>
      </c>
      <c r="AJ149" s="178">
        <f>IF($AV$18=0,0,IF(AJ142&lt;0,0,AJ142))</f>
        <v>0</v>
      </c>
      <c r="AK149" s="178">
        <f t="shared" ref="AK149:AU149" si="116">IF($AV$18=0,0,IF(AK142&lt;0,0,AK142))</f>
        <v>0</v>
      </c>
      <c r="AL149" s="178">
        <f t="shared" si="116"/>
        <v>0</v>
      </c>
      <c r="AM149" s="178">
        <f t="shared" si="116"/>
        <v>0</v>
      </c>
      <c r="AN149" s="178">
        <f t="shared" si="116"/>
        <v>0</v>
      </c>
      <c r="AO149" s="178">
        <f t="shared" si="116"/>
        <v>0</v>
      </c>
      <c r="AP149" s="178">
        <f t="shared" si="116"/>
        <v>0</v>
      </c>
      <c r="AQ149" s="178">
        <f t="shared" si="116"/>
        <v>0</v>
      </c>
      <c r="AR149" s="178">
        <f t="shared" si="116"/>
        <v>0</v>
      </c>
      <c r="AS149" s="178">
        <f t="shared" si="116"/>
        <v>0</v>
      </c>
      <c r="AT149" s="178">
        <f t="shared" si="116"/>
        <v>0</v>
      </c>
      <c r="AU149" s="178">
        <f t="shared" si="116"/>
        <v>0</v>
      </c>
      <c r="AV149" s="276">
        <f>SUM(AJ149:AU149)</f>
        <v>0</v>
      </c>
      <c r="BA149" s="765">
        <f t="shared" si="115"/>
        <v>0</v>
      </c>
      <c r="BB149" s="855" t="s">
        <v>2147</v>
      </c>
      <c r="BC149" s="855"/>
      <c r="BD149" s="855"/>
      <c r="BE149" s="855"/>
      <c r="BF149" s="855"/>
      <c r="BG149" s="855"/>
      <c r="BH149" s="855"/>
      <c r="BI149" s="855"/>
      <c r="BJ149" s="855"/>
      <c r="BO149" s="128"/>
      <c r="BP149" s="128"/>
      <c r="BQ149" s="128"/>
      <c r="BR149" s="128"/>
      <c r="BS149" s="128"/>
      <c r="BT149" s="128"/>
      <c r="BU149" s="128"/>
      <c r="BV149" s="128"/>
      <c r="BW149" s="128"/>
      <c r="BX149" s="128"/>
      <c r="BY149" s="128"/>
      <c r="BZ149" s="128"/>
      <c r="CA149" s="128"/>
      <c r="CB149" s="128"/>
      <c r="CC149" s="128"/>
    </row>
    <row r="150" spans="1:81" ht="15" customHeight="1" thickBot="1">
      <c r="B150" s="418" t="s">
        <v>1223</v>
      </c>
      <c r="C150" s="485"/>
      <c r="D150" s="349"/>
      <c r="E150" s="417"/>
      <c r="F150" s="417"/>
      <c r="G150" s="412"/>
      <c r="H150" s="417"/>
      <c r="I150" s="766"/>
      <c r="J150" s="766"/>
      <c r="K150" s="316"/>
      <c r="L150" s="412"/>
      <c r="M150" s="417"/>
      <c r="N150" s="491"/>
      <c r="P150" s="392">
        <f t="shared" si="99"/>
        <v>0</v>
      </c>
      <c r="Q150" s="313">
        <f t="shared" si="100"/>
        <v>0</v>
      </c>
      <c r="R150" s="281">
        <f t="shared" si="101"/>
        <v>0</v>
      </c>
      <c r="S150" s="281">
        <f t="shared" si="102"/>
        <v>0</v>
      </c>
      <c r="T150" s="276">
        <f t="shared" si="103"/>
        <v>0</v>
      </c>
      <c r="U150" s="276" t="e">
        <f t="shared" si="111"/>
        <v>#DIV/0!</v>
      </c>
      <c r="V150" s="281" t="e">
        <f t="shared" si="104"/>
        <v>#N/A</v>
      </c>
      <c r="W150" s="276">
        <f t="shared" si="112"/>
        <v>0</v>
      </c>
      <c r="X150" s="276">
        <f t="shared" si="105"/>
        <v>0</v>
      </c>
      <c r="Y150" s="347">
        <f t="shared" si="113"/>
        <v>0</v>
      </c>
      <c r="Z150" s="347">
        <f t="shared" si="114"/>
        <v>0</v>
      </c>
      <c r="AA150" s="281">
        <f t="shared" si="106"/>
        <v>0</v>
      </c>
      <c r="AB150" s="276">
        <f t="shared" si="107"/>
        <v>0</v>
      </c>
      <c r="AC150" s="276">
        <f t="shared" si="108"/>
        <v>0</v>
      </c>
      <c r="AD150" s="222">
        <f t="shared" si="109"/>
        <v>0</v>
      </c>
      <c r="AE150" s="333">
        <f t="shared" si="110"/>
        <v>0</v>
      </c>
      <c r="AF150" s="333">
        <f>IF(N150=0,0,IF(N150="Si",'Materiales Personalizados'!$BV$29,0))</f>
        <v>0</v>
      </c>
      <c r="AG150" s="513">
        <f>'Materiales Personalizados'!BP70+AF150</f>
        <v>0</v>
      </c>
      <c r="AI150" s="149"/>
      <c r="AJ150" s="149"/>
      <c r="AK150" s="149"/>
      <c r="AL150" s="149"/>
      <c r="AM150" s="149"/>
      <c r="AN150" s="149"/>
      <c r="AO150" s="149"/>
      <c r="AP150" s="149"/>
      <c r="AQ150" s="149"/>
      <c r="AR150" s="149"/>
      <c r="AS150" s="149"/>
      <c r="AT150" s="149"/>
      <c r="AU150" s="149"/>
      <c r="BA150" s="765">
        <f t="shared" si="115"/>
        <v>0</v>
      </c>
      <c r="BB150" s="855" t="s">
        <v>2147</v>
      </c>
      <c r="BC150" s="855"/>
      <c r="BD150" s="855"/>
      <c r="BE150" s="855"/>
      <c r="BF150" s="855"/>
      <c r="BG150" s="855"/>
      <c r="BH150" s="855"/>
      <c r="BI150" s="855"/>
      <c r="BJ150" s="855"/>
      <c r="BO150" s="128"/>
      <c r="BP150" s="128"/>
      <c r="BQ150" s="128"/>
      <c r="BR150" s="128"/>
      <c r="BS150" s="128"/>
      <c r="BT150" s="128"/>
      <c r="BU150" s="128"/>
      <c r="BV150" s="128"/>
      <c r="BW150" s="128"/>
      <c r="BX150" s="128"/>
      <c r="BY150" s="128"/>
      <c r="BZ150" s="128"/>
      <c r="CA150" s="128"/>
      <c r="CB150" s="128"/>
      <c r="CC150" s="128"/>
    </row>
    <row r="151" spans="1:81" ht="15" customHeight="1" thickBot="1">
      <c r="B151" s="418" t="s">
        <v>1224</v>
      </c>
      <c r="C151" s="485"/>
      <c r="D151" s="349"/>
      <c r="E151" s="417"/>
      <c r="F151" s="417"/>
      <c r="G151" s="412"/>
      <c r="H151" s="417"/>
      <c r="I151" s="766"/>
      <c r="J151" s="766"/>
      <c r="K151" s="316"/>
      <c r="L151" s="412"/>
      <c r="M151" s="417"/>
      <c r="N151" s="491"/>
      <c r="P151" s="392">
        <f t="shared" si="99"/>
        <v>0</v>
      </c>
      <c r="Q151" s="313">
        <f t="shared" si="100"/>
        <v>0</v>
      </c>
      <c r="R151" s="281">
        <f t="shared" si="101"/>
        <v>0</v>
      </c>
      <c r="S151" s="281">
        <f t="shared" si="102"/>
        <v>0</v>
      </c>
      <c r="T151" s="276">
        <f t="shared" si="103"/>
        <v>0</v>
      </c>
      <c r="U151" s="276" t="e">
        <f t="shared" si="111"/>
        <v>#DIV/0!</v>
      </c>
      <c r="V151" s="281" t="e">
        <f t="shared" si="104"/>
        <v>#N/A</v>
      </c>
      <c r="W151" s="276">
        <f t="shared" si="112"/>
        <v>0</v>
      </c>
      <c r="X151" s="276">
        <f t="shared" si="105"/>
        <v>0</v>
      </c>
      <c r="Y151" s="347">
        <f t="shared" si="113"/>
        <v>0</v>
      </c>
      <c r="Z151" s="347">
        <f t="shared" si="114"/>
        <v>0</v>
      </c>
      <c r="AA151" s="281">
        <f t="shared" si="106"/>
        <v>0</v>
      </c>
      <c r="AB151" s="276">
        <f t="shared" si="107"/>
        <v>0</v>
      </c>
      <c r="AC151" s="276">
        <f t="shared" si="108"/>
        <v>0</v>
      </c>
      <c r="AD151" s="222">
        <f t="shared" si="109"/>
        <v>0</v>
      </c>
      <c r="AE151" s="333">
        <f t="shared" si="110"/>
        <v>0</v>
      </c>
      <c r="AF151" s="333">
        <f>IF(N151=0,0,IF(N151="Si",'Materiales Personalizados'!$BV$29,0))</f>
        <v>0</v>
      </c>
      <c r="AG151" s="513">
        <f>'Materiales Personalizados'!BP71+AF151</f>
        <v>0</v>
      </c>
      <c r="AI151" s="179" t="s">
        <v>1027</v>
      </c>
      <c r="AJ151" s="180">
        <f>IF($AV$18=0,0,IF(AJ111&gt;$AY$64,SUM(AJ124:AJ129)+SUM(AJ138:AJ139)+AJ114-(AJ136*0.01),0))</f>
        <v>0</v>
      </c>
      <c r="AK151" s="180">
        <f t="shared" ref="AK151:AU151" si="117">IF($AV$18=0,0,IF(AK111&gt;$AY$64,SUM(AK124:AK129)+SUM(AK138:AK139)+AK114-(AK136*0.01),0))</f>
        <v>0</v>
      </c>
      <c r="AL151" s="180">
        <f t="shared" si="117"/>
        <v>0</v>
      </c>
      <c r="AM151" s="180">
        <f t="shared" si="117"/>
        <v>0</v>
      </c>
      <c r="AN151" s="180">
        <f t="shared" si="117"/>
        <v>0</v>
      </c>
      <c r="AO151" s="180">
        <f t="shared" si="117"/>
        <v>0</v>
      </c>
      <c r="AP151" s="180">
        <f t="shared" si="117"/>
        <v>0</v>
      </c>
      <c r="AQ151" s="180">
        <f t="shared" si="117"/>
        <v>0</v>
      </c>
      <c r="AR151" s="180">
        <f t="shared" si="117"/>
        <v>0</v>
      </c>
      <c r="AS151" s="180">
        <f t="shared" si="117"/>
        <v>0</v>
      </c>
      <c r="AT151" s="180">
        <f t="shared" si="117"/>
        <v>0</v>
      </c>
      <c r="AU151" s="180">
        <f t="shared" si="117"/>
        <v>0</v>
      </c>
      <c r="AV151" s="276">
        <f>SUM(AJ151:AU151)</f>
        <v>0</v>
      </c>
      <c r="BA151" s="765">
        <f t="shared" si="115"/>
        <v>0</v>
      </c>
      <c r="BB151" s="855" t="s">
        <v>2147</v>
      </c>
      <c r="BC151" s="855"/>
      <c r="BD151" s="855"/>
      <c r="BE151" s="855"/>
      <c r="BF151" s="855"/>
      <c r="BG151" s="855"/>
      <c r="BH151" s="855"/>
      <c r="BI151" s="855"/>
      <c r="BJ151" s="855"/>
      <c r="BO151" s="128"/>
      <c r="BP151" s="128"/>
      <c r="BQ151" s="128"/>
      <c r="BR151" s="128"/>
      <c r="BS151" s="128"/>
      <c r="BT151" s="128"/>
      <c r="BU151" s="128"/>
      <c r="BV151" s="128"/>
      <c r="BW151" s="128"/>
      <c r="BX151" s="128"/>
      <c r="BY151" s="128"/>
      <c r="BZ151" s="128"/>
      <c r="CA151" s="128"/>
      <c r="CB151" s="128"/>
      <c r="CC151" s="128"/>
    </row>
    <row r="152" spans="1:81" ht="15" customHeight="1" thickBot="1">
      <c r="B152" s="418" t="s">
        <v>1225</v>
      </c>
      <c r="C152" s="485"/>
      <c r="D152" s="349"/>
      <c r="E152" s="417"/>
      <c r="F152" s="417"/>
      <c r="G152" s="412"/>
      <c r="H152" s="417"/>
      <c r="I152" s="766"/>
      <c r="J152" s="766"/>
      <c r="K152" s="316"/>
      <c r="L152" s="412"/>
      <c r="M152" s="417"/>
      <c r="N152" s="491"/>
      <c r="P152" s="392">
        <f t="shared" si="99"/>
        <v>0</v>
      </c>
      <c r="Q152" s="313">
        <f t="shared" si="100"/>
        <v>0</v>
      </c>
      <c r="R152" s="281">
        <f t="shared" si="101"/>
        <v>0</v>
      </c>
      <c r="S152" s="281">
        <f t="shared" si="102"/>
        <v>0</v>
      </c>
      <c r="T152" s="276">
        <f t="shared" si="103"/>
        <v>0</v>
      </c>
      <c r="U152" s="276" t="e">
        <f t="shared" si="111"/>
        <v>#DIV/0!</v>
      </c>
      <c r="V152" s="281" t="e">
        <f t="shared" si="104"/>
        <v>#N/A</v>
      </c>
      <c r="W152" s="276">
        <f t="shared" si="112"/>
        <v>0</v>
      </c>
      <c r="X152" s="276">
        <f t="shared" si="105"/>
        <v>0</v>
      </c>
      <c r="Y152" s="347">
        <f t="shared" si="113"/>
        <v>0</v>
      </c>
      <c r="Z152" s="347">
        <f t="shared" si="114"/>
        <v>0</v>
      </c>
      <c r="AA152" s="281">
        <f t="shared" si="106"/>
        <v>0</v>
      </c>
      <c r="AB152" s="276">
        <f t="shared" si="107"/>
        <v>0</v>
      </c>
      <c r="AC152" s="276">
        <f t="shared" si="108"/>
        <v>0</v>
      </c>
      <c r="AD152" s="222">
        <f t="shared" si="109"/>
        <v>0</v>
      </c>
      <c r="AE152" s="333">
        <f t="shared" si="110"/>
        <v>0</v>
      </c>
      <c r="AF152" s="333">
        <f>IF(N152=0,0,IF(N152="Si",'Materiales Personalizados'!$BV$29,0))</f>
        <v>0</v>
      </c>
      <c r="AG152" s="513">
        <f>'Materiales Personalizados'!BP72+AF152</f>
        <v>0</v>
      </c>
      <c r="AJ152" s="148">
        <f>IF(AJ151&gt;1,1,0)</f>
        <v>0</v>
      </c>
      <c r="AK152" s="148">
        <f t="shared" ref="AK152:AU152" si="118">IF(AK151&gt;1,1,0)</f>
        <v>0</v>
      </c>
      <c r="AL152" s="148">
        <f t="shared" si="118"/>
        <v>0</v>
      </c>
      <c r="AM152" s="148">
        <f t="shared" si="118"/>
        <v>0</v>
      </c>
      <c r="AN152" s="148">
        <f t="shared" si="118"/>
        <v>0</v>
      </c>
      <c r="AO152" s="148">
        <f t="shared" si="118"/>
        <v>0</v>
      </c>
      <c r="AP152" s="148">
        <f t="shared" si="118"/>
        <v>0</v>
      </c>
      <c r="AQ152" s="148">
        <f t="shared" si="118"/>
        <v>0</v>
      </c>
      <c r="AR152" s="148">
        <f t="shared" si="118"/>
        <v>0</v>
      </c>
      <c r="AS152" s="148">
        <f t="shared" si="118"/>
        <v>0</v>
      </c>
      <c r="AT152" s="148">
        <f t="shared" si="118"/>
        <v>0</v>
      </c>
      <c r="AU152" s="148">
        <f t="shared" si="118"/>
        <v>0</v>
      </c>
      <c r="BA152" s="765">
        <f t="shared" si="115"/>
        <v>0</v>
      </c>
      <c r="BB152" s="855" t="s">
        <v>2147</v>
      </c>
      <c r="BC152" s="855"/>
      <c r="BD152" s="855"/>
      <c r="BE152" s="855"/>
      <c r="BF152" s="855"/>
      <c r="BG152" s="855"/>
      <c r="BH152" s="855"/>
      <c r="BI152" s="855"/>
      <c r="BJ152" s="855"/>
      <c r="BO152" s="128"/>
      <c r="BP152" s="128"/>
      <c r="BQ152" s="128"/>
      <c r="BR152" s="128"/>
      <c r="BS152" s="128"/>
      <c r="BT152" s="128"/>
      <c r="BU152" s="128"/>
      <c r="BV152" s="128"/>
      <c r="BW152" s="128"/>
      <c r="BX152" s="128"/>
      <c r="BY152" s="128"/>
      <c r="BZ152" s="128"/>
      <c r="CA152" s="128"/>
      <c r="CB152" s="128"/>
      <c r="CC152" s="128"/>
    </row>
    <row r="153" spans="1:81" ht="15" customHeight="1" thickBot="1">
      <c r="B153" s="418" t="s">
        <v>1226</v>
      </c>
      <c r="C153" s="485"/>
      <c r="D153" s="349"/>
      <c r="E153" s="417"/>
      <c r="F153" s="417"/>
      <c r="G153" s="412"/>
      <c r="H153" s="417"/>
      <c r="I153" s="766"/>
      <c r="J153" s="766"/>
      <c r="K153" s="316"/>
      <c r="L153" s="412"/>
      <c r="M153" s="417"/>
      <c r="N153" s="491"/>
      <c r="P153" s="392">
        <f t="shared" si="99"/>
        <v>0</v>
      </c>
      <c r="Q153" s="313">
        <f t="shared" si="100"/>
        <v>0</v>
      </c>
      <c r="R153" s="281">
        <f t="shared" si="101"/>
        <v>0</v>
      </c>
      <c r="S153" s="281">
        <f t="shared" si="102"/>
        <v>0</v>
      </c>
      <c r="T153" s="276">
        <f t="shared" si="103"/>
        <v>0</v>
      </c>
      <c r="U153" s="276" t="e">
        <f t="shared" si="111"/>
        <v>#DIV/0!</v>
      </c>
      <c r="V153" s="281" t="e">
        <f t="shared" si="104"/>
        <v>#N/A</v>
      </c>
      <c r="W153" s="276">
        <f t="shared" si="112"/>
        <v>0</v>
      </c>
      <c r="X153" s="276">
        <f t="shared" si="105"/>
        <v>0</v>
      </c>
      <c r="Y153" s="347">
        <f t="shared" si="113"/>
        <v>0</v>
      </c>
      <c r="Z153" s="347">
        <f t="shared" si="114"/>
        <v>0</v>
      </c>
      <c r="AA153" s="281">
        <f t="shared" si="106"/>
        <v>0</v>
      </c>
      <c r="AB153" s="276">
        <f t="shared" si="107"/>
        <v>0</v>
      </c>
      <c r="AC153" s="276">
        <f t="shared" si="108"/>
        <v>0</v>
      </c>
      <c r="AD153" s="222">
        <f t="shared" si="109"/>
        <v>0</v>
      </c>
      <c r="AE153" s="333">
        <f t="shared" si="110"/>
        <v>0</v>
      </c>
      <c r="AF153" s="333">
        <f>IF(N153=0,0,IF(N153="Si",'Materiales Personalizados'!$BV$29,0))</f>
        <v>0</v>
      </c>
      <c r="AG153" s="513">
        <f>'Materiales Personalizados'!BP73+AF153</f>
        <v>0</v>
      </c>
      <c r="AJ153" s="148">
        <f>IF(AJ152=1,AJ76,0)</f>
        <v>0</v>
      </c>
      <c r="AK153" s="148">
        <f t="shared" ref="AK153:AU153" si="119">IF(AK152=1,AK76,0)</f>
        <v>0</v>
      </c>
      <c r="AL153" s="148">
        <f t="shared" si="119"/>
        <v>0</v>
      </c>
      <c r="AM153" s="148">
        <f t="shared" si="119"/>
        <v>0</v>
      </c>
      <c r="AN153" s="148">
        <f t="shared" si="119"/>
        <v>0</v>
      </c>
      <c r="AO153" s="148">
        <f t="shared" si="119"/>
        <v>0</v>
      </c>
      <c r="AP153" s="148">
        <f t="shared" si="119"/>
        <v>0</v>
      </c>
      <c r="AQ153" s="148">
        <f t="shared" si="119"/>
        <v>0</v>
      </c>
      <c r="AR153" s="148">
        <f t="shared" si="119"/>
        <v>0</v>
      </c>
      <c r="AS153" s="148">
        <f t="shared" si="119"/>
        <v>0</v>
      </c>
      <c r="AT153" s="148">
        <f t="shared" si="119"/>
        <v>0</v>
      </c>
      <c r="AU153" s="148">
        <f t="shared" si="119"/>
        <v>0</v>
      </c>
      <c r="AV153" s="283">
        <f>SUM(AJ153:AU153)</f>
        <v>0</v>
      </c>
      <c r="BA153" s="765">
        <f t="shared" si="115"/>
        <v>0</v>
      </c>
      <c r="BB153" s="855" t="s">
        <v>2147</v>
      </c>
      <c r="BC153" s="855"/>
      <c r="BD153" s="855"/>
      <c r="BE153" s="855"/>
      <c r="BF153" s="855"/>
      <c r="BG153" s="855"/>
      <c r="BH153" s="855"/>
      <c r="BI153" s="855"/>
      <c r="BJ153" s="855"/>
      <c r="BO153" s="128"/>
      <c r="BP153" s="128"/>
      <c r="BQ153" s="128"/>
      <c r="BR153" s="128"/>
      <c r="BS153" s="128"/>
      <c r="BT153" s="128"/>
      <c r="BU153" s="128"/>
      <c r="BV153" s="128"/>
      <c r="BW153" s="128"/>
      <c r="BX153" s="128"/>
      <c r="BY153" s="128"/>
      <c r="BZ153" s="128"/>
      <c r="CA153" s="128"/>
      <c r="CB153" s="128"/>
      <c r="CC153" s="128"/>
    </row>
    <row r="154" spans="1:81" s="101" customFormat="1" ht="15" customHeight="1" thickBot="1">
      <c r="A154" s="332"/>
      <c r="B154" s="418" t="str">
        <f>B136</f>
        <v>Material Personalizado:</v>
      </c>
      <c r="C154" s="485"/>
      <c r="D154" s="415" t="str">
        <f>IF('Materiales Personalizados'!$D$102=0,"-",'Materiales Personalizados'!$D$102)</f>
        <v>-</v>
      </c>
      <c r="E154" s="417"/>
      <c r="F154" s="417"/>
      <c r="G154" s="412"/>
      <c r="H154" s="417"/>
      <c r="I154" s="766"/>
      <c r="J154" s="766"/>
      <c r="K154" s="316"/>
      <c r="L154" s="412"/>
      <c r="M154" s="417"/>
      <c r="N154" s="491"/>
      <c r="O154" s="402"/>
      <c r="P154" s="392">
        <f t="shared" si="99"/>
        <v>0</v>
      </c>
      <c r="Q154" s="313">
        <f>'Materiales Personalizados'!$D$105</f>
        <v>0</v>
      </c>
      <c r="R154" s="281">
        <f t="shared" si="101"/>
        <v>0</v>
      </c>
      <c r="S154" s="275">
        <f>'Materiales Personalizados'!$D$106</f>
        <v>0</v>
      </c>
      <c r="T154" s="276">
        <f t="shared" si="103"/>
        <v>0</v>
      </c>
      <c r="U154" s="313" t="e">
        <f>((P154*Q154)+(R154*S154)+(T154*'Materiales Personalizados'!$D$107))/X154</f>
        <v>#DIV/0!</v>
      </c>
      <c r="V154" s="281" t="e">
        <f t="shared" si="104"/>
        <v>#N/A</v>
      </c>
      <c r="W154" s="276">
        <f t="shared" si="112"/>
        <v>0</v>
      </c>
      <c r="X154" s="276">
        <f t="shared" si="105"/>
        <v>0</v>
      </c>
      <c r="Y154" s="347">
        <f>IF('Materiales Personalizados'!$D$109=0,(W154*$AY$118),'Materiales Personalizados'!$D$109)</f>
        <v>0</v>
      </c>
      <c r="Z154" s="347">
        <f>Y154</f>
        <v>0</v>
      </c>
      <c r="AA154" s="275">
        <f>'Materiales Personalizados'!$D$108</f>
        <v>0</v>
      </c>
      <c r="AB154" s="276">
        <f t="shared" si="107"/>
        <v>0</v>
      </c>
      <c r="AC154" s="276">
        <f t="shared" si="108"/>
        <v>0</v>
      </c>
      <c r="AD154" s="222">
        <f t="shared" si="109"/>
        <v>0</v>
      </c>
      <c r="AE154" s="333">
        <f t="shared" si="110"/>
        <v>0</v>
      </c>
      <c r="AF154" s="333">
        <f>IF(N154=0,0,IF(N154="Si",'Materiales Personalizados'!$BV$29,0))</f>
        <v>0</v>
      </c>
      <c r="AG154" s="513">
        <f>'Materiales Personalizados'!BP74+AF154</f>
        <v>0</v>
      </c>
      <c r="AZ154" s="156"/>
      <c r="BA154" s="765">
        <f t="shared" si="115"/>
        <v>0</v>
      </c>
      <c r="BB154" s="855" t="s">
        <v>2147</v>
      </c>
      <c r="BC154" s="855"/>
      <c r="BD154" s="855"/>
      <c r="BE154" s="855"/>
      <c r="BF154" s="855"/>
      <c r="BG154" s="855"/>
      <c r="BH154" s="855"/>
      <c r="BI154" s="855"/>
      <c r="BJ154" s="855"/>
      <c r="BK154" s="157"/>
      <c r="BL154" s="158"/>
      <c r="BM154" s="159"/>
      <c r="BN154" s="159"/>
      <c r="BO154" s="350"/>
      <c r="BP154" s="350"/>
      <c r="BQ154" s="350"/>
      <c r="BR154" s="350"/>
      <c r="BS154" s="350"/>
      <c r="BT154" s="350"/>
      <c r="BU154" s="350"/>
      <c r="BV154" s="350"/>
      <c r="BW154" s="350"/>
      <c r="BX154" s="350"/>
      <c r="BY154" s="350"/>
      <c r="BZ154" s="350"/>
      <c r="CA154" s="350"/>
      <c r="CB154" s="350"/>
      <c r="CC154" s="350"/>
    </row>
    <row r="155" spans="1:81" ht="15" customHeight="1" thickBot="1">
      <c r="B155" s="418" t="str">
        <f>B154</f>
        <v>Material Personalizado:</v>
      </c>
      <c r="C155" s="485"/>
      <c r="D155" s="415" t="str">
        <f>IF('Materiales Personalizados'!$D$112=0,"-",'Materiales Personalizados'!$D$112)</f>
        <v>-</v>
      </c>
      <c r="E155" s="417"/>
      <c r="F155" s="417"/>
      <c r="G155" s="412"/>
      <c r="H155" s="417"/>
      <c r="I155" s="766"/>
      <c r="J155" s="766"/>
      <c r="K155" s="316"/>
      <c r="L155" s="412"/>
      <c r="M155" s="417"/>
      <c r="N155" s="491"/>
      <c r="P155" s="392">
        <f t="shared" si="99"/>
        <v>0</v>
      </c>
      <c r="Q155" s="313">
        <f>'Materiales Personalizados'!$D$115</f>
        <v>0</v>
      </c>
      <c r="R155" s="281">
        <f t="shared" si="101"/>
        <v>0</v>
      </c>
      <c r="S155" s="275">
        <f>'Materiales Personalizados'!$D$116</f>
        <v>0</v>
      </c>
      <c r="T155" s="276">
        <f t="shared" si="103"/>
        <v>0</v>
      </c>
      <c r="U155" s="313" t="e">
        <f>((P155*Q155)+(R155*S155)+(T155*'Materiales Personalizados'!$D$117))/X155</f>
        <v>#DIV/0!</v>
      </c>
      <c r="V155" s="281" t="e">
        <f t="shared" si="104"/>
        <v>#N/A</v>
      </c>
      <c r="W155" s="276">
        <f t="shared" si="112"/>
        <v>0</v>
      </c>
      <c r="X155" s="276">
        <f t="shared" si="105"/>
        <v>0</v>
      </c>
      <c r="Y155" s="347">
        <f>IF('Materiales Personalizados'!$D$119=0,(W154*$AY$118),'Materiales Personalizados'!$D$119)</f>
        <v>0</v>
      </c>
      <c r="Z155" s="347">
        <f>Y155</f>
        <v>0</v>
      </c>
      <c r="AA155" s="275">
        <f>'Materiales Personalizados'!$D$118</f>
        <v>0</v>
      </c>
      <c r="AB155" s="276">
        <f t="shared" si="107"/>
        <v>0</v>
      </c>
      <c r="AC155" s="276">
        <f t="shared" si="108"/>
        <v>0</v>
      </c>
      <c r="AD155" s="222">
        <f t="shared" si="109"/>
        <v>0</v>
      </c>
      <c r="AE155" s="333">
        <f t="shared" si="110"/>
        <v>0</v>
      </c>
      <c r="AF155" s="333">
        <f>IF(N155=0,0,IF(N155="Si",'Materiales Personalizados'!$BV$29,0))</f>
        <v>0</v>
      </c>
      <c r="AG155" s="513">
        <f>'Materiales Personalizados'!BP75+AF155</f>
        <v>0</v>
      </c>
      <c r="BA155" s="765">
        <f t="shared" si="115"/>
        <v>0</v>
      </c>
      <c r="BB155" s="855" t="s">
        <v>2147</v>
      </c>
      <c r="BC155" s="855"/>
      <c r="BD155" s="855"/>
      <c r="BE155" s="855"/>
      <c r="BF155" s="855"/>
      <c r="BG155" s="855"/>
      <c r="BH155" s="855"/>
      <c r="BI155" s="855"/>
      <c r="BJ155" s="855"/>
      <c r="BO155" s="128"/>
      <c r="BP155" s="128"/>
      <c r="BQ155" s="128"/>
      <c r="BR155" s="128"/>
      <c r="BS155" s="128"/>
      <c r="BT155" s="128"/>
      <c r="BU155" s="128"/>
      <c r="BV155" s="128"/>
      <c r="BW155" s="128"/>
      <c r="BX155" s="128"/>
      <c r="BY155" s="128"/>
      <c r="BZ155" s="128"/>
      <c r="CA155" s="128"/>
      <c r="CB155" s="128"/>
      <c r="CC155" s="128"/>
    </row>
    <row r="156" spans="1:81" ht="15" customHeight="1" thickBot="1">
      <c r="E156" s="332"/>
      <c r="F156" s="332"/>
      <c r="L156" s="332"/>
      <c r="M156" s="332"/>
      <c r="R156" s="100"/>
      <c r="S156" s="100"/>
      <c r="W156" s="100"/>
      <c r="Y156" s="100"/>
      <c r="BA156" s="765"/>
      <c r="BB156" s="334"/>
      <c r="BC156" s="334"/>
      <c r="BD156" s="334"/>
      <c r="BE156" s="334"/>
      <c r="BF156" s="334"/>
      <c r="BG156" s="334"/>
      <c r="BH156" s="334"/>
      <c r="BI156" s="334"/>
      <c r="BJ156" s="334"/>
      <c r="BO156" s="128"/>
      <c r="BP156" s="128"/>
      <c r="BQ156" s="128"/>
      <c r="BR156" s="128"/>
      <c r="BS156" s="128"/>
      <c r="BT156" s="128"/>
      <c r="BU156" s="128"/>
      <c r="BV156" s="128"/>
      <c r="BW156" s="128"/>
      <c r="BX156" s="128"/>
      <c r="BY156" s="128"/>
      <c r="BZ156" s="128"/>
      <c r="CA156" s="128"/>
      <c r="CB156" s="128"/>
      <c r="CC156" s="128"/>
    </row>
    <row r="157" spans="1:81" ht="15" customHeight="1" thickBot="1">
      <c r="C157" s="830" t="s">
        <v>1204</v>
      </c>
      <c r="D157" s="831"/>
      <c r="E157" s="832"/>
      <c r="F157" s="414" t="s">
        <v>1185</v>
      </c>
      <c r="G157" s="414" t="s">
        <v>1186</v>
      </c>
      <c r="H157" s="414" t="s">
        <v>227</v>
      </c>
      <c r="L157" s="332"/>
      <c r="M157" s="332"/>
      <c r="R157" s="100"/>
      <c r="S157" s="100"/>
      <c r="W157" s="100"/>
      <c r="Y157" s="100"/>
      <c r="BA157" s="765"/>
      <c r="BB157" s="334"/>
      <c r="BC157" s="334"/>
      <c r="BD157" s="334"/>
      <c r="BE157" s="334"/>
      <c r="BF157" s="334"/>
      <c r="BG157" s="334"/>
      <c r="BH157" s="334"/>
      <c r="BI157" s="334"/>
      <c r="BJ157" s="334"/>
      <c r="BO157" s="128"/>
      <c r="BP157" s="128"/>
      <c r="BQ157" s="128"/>
      <c r="BR157" s="128"/>
      <c r="BS157" s="128"/>
      <c r="BT157" s="128"/>
      <c r="BU157" s="128"/>
      <c r="BV157" s="128"/>
      <c r="BW157" s="128"/>
      <c r="BX157" s="128"/>
      <c r="BY157" s="128"/>
      <c r="BZ157" s="128"/>
      <c r="CA157" s="128"/>
      <c r="CB157" s="128"/>
      <c r="CC157" s="128"/>
    </row>
    <row r="158" spans="1:81" ht="15" customHeight="1" thickBot="1">
      <c r="B158" s="418" t="s">
        <v>768</v>
      </c>
      <c r="C158" s="818"/>
      <c r="D158" s="819"/>
      <c r="E158" s="820"/>
      <c r="F158" s="417"/>
      <c r="G158" s="417"/>
      <c r="H158" s="321"/>
      <c r="L158" s="332"/>
      <c r="M158" s="332"/>
      <c r="U158" s="276">
        <f>(IF(F158=0,0,VLOOKUP(C158,PUERTASm,2,FALSE)))*H158</f>
        <v>0</v>
      </c>
      <c r="W158" s="100"/>
      <c r="Y158" s="100"/>
      <c r="AD158" s="222">
        <f>IF($L$369="No",U158*F158*G158,((U158*F158*G158)*0.09*$L$370)*U158*F158*G158)</f>
        <v>0</v>
      </c>
      <c r="AE158" s="333">
        <f>AD158</f>
        <v>0</v>
      </c>
      <c r="BA158" s="765"/>
      <c r="BB158" s="334"/>
      <c r="BC158" s="334"/>
      <c r="BD158" s="334"/>
      <c r="BE158" s="334"/>
      <c r="BF158" s="334"/>
      <c r="BG158" s="334"/>
      <c r="BH158" s="334"/>
      <c r="BI158" s="334"/>
      <c r="BJ158" s="334"/>
      <c r="BO158" s="128"/>
      <c r="BP158" s="128"/>
      <c r="BQ158" s="128"/>
      <c r="BR158" s="128"/>
      <c r="BS158" s="128"/>
      <c r="BT158" s="128"/>
      <c r="BU158" s="128"/>
      <c r="BV158" s="128"/>
      <c r="BW158" s="128"/>
      <c r="BX158" s="128"/>
      <c r="BY158" s="128"/>
      <c r="BZ158" s="128"/>
      <c r="CA158" s="128"/>
      <c r="CB158" s="128"/>
      <c r="CC158" s="128"/>
    </row>
    <row r="159" spans="1:81" ht="6" customHeight="1" thickBot="1">
      <c r="M159" s="332"/>
      <c r="Y159" s="346"/>
      <c r="Z159" s="348"/>
      <c r="AA159" s="181"/>
      <c r="AB159" s="181"/>
      <c r="BA159" s="765"/>
      <c r="BB159" s="334"/>
      <c r="BC159" s="334"/>
      <c r="BD159" s="334"/>
      <c r="BE159" s="334"/>
      <c r="BF159" s="334"/>
      <c r="BG159" s="334"/>
      <c r="BH159" s="334"/>
      <c r="BI159" s="334"/>
      <c r="BJ159" s="334"/>
      <c r="BO159" s="128"/>
      <c r="BP159" s="128"/>
      <c r="BQ159" s="128"/>
      <c r="BR159" s="128"/>
      <c r="BS159" s="128"/>
      <c r="BT159" s="128"/>
      <c r="BU159" s="128"/>
      <c r="BV159" s="128"/>
      <c r="BW159" s="128"/>
      <c r="BX159" s="128"/>
      <c r="BY159" s="128"/>
      <c r="BZ159" s="128"/>
      <c r="CA159" s="128"/>
      <c r="CB159" s="128"/>
      <c r="CC159" s="128"/>
    </row>
    <row r="160" spans="1:81" ht="20" customHeight="1" thickBot="1">
      <c r="B160" s="812">
        <f>C40</f>
        <v>0</v>
      </c>
      <c r="C160" s="812"/>
      <c r="D160" s="812"/>
      <c r="E160" s="812"/>
      <c r="F160" s="812"/>
      <c r="G160" s="812"/>
      <c r="H160" s="812"/>
      <c r="I160" s="812"/>
      <c r="J160" s="812"/>
      <c r="K160" s="812"/>
      <c r="L160" s="812"/>
      <c r="M160" s="812"/>
      <c r="N160" s="812"/>
      <c r="P160" s="845">
        <f>B160</f>
        <v>0</v>
      </c>
      <c r="Q160" s="846"/>
      <c r="R160" s="846"/>
      <c r="S160" s="846"/>
      <c r="T160" s="846"/>
      <c r="U160" s="846"/>
      <c r="V160" s="846"/>
      <c r="W160" s="846"/>
      <c r="X160" s="846"/>
      <c r="Y160" s="846"/>
      <c r="Z160" s="846"/>
      <c r="AA160" s="846"/>
      <c r="AB160" s="846"/>
      <c r="AC160" s="846"/>
      <c r="AD160" s="846"/>
      <c r="AE160" s="846"/>
      <c r="AF160" s="846"/>
      <c r="AG160" s="847"/>
      <c r="BA160" s="765"/>
      <c r="BB160" s="334"/>
      <c r="BC160" s="334"/>
      <c r="BD160" s="334"/>
      <c r="BE160" s="334"/>
      <c r="BF160" s="334"/>
      <c r="BG160" s="334"/>
      <c r="BH160" s="334"/>
      <c r="BI160" s="334"/>
      <c r="BJ160" s="334"/>
      <c r="BO160" s="128"/>
      <c r="BP160" s="128"/>
      <c r="BQ160" s="128"/>
      <c r="BR160" s="128"/>
      <c r="BS160" s="128"/>
      <c r="BT160" s="128"/>
      <c r="BU160" s="128"/>
      <c r="BV160" s="128"/>
      <c r="BW160" s="128"/>
      <c r="BX160" s="128"/>
      <c r="BY160" s="128"/>
      <c r="BZ160" s="128"/>
      <c r="CA160" s="128"/>
      <c r="CB160" s="128"/>
      <c r="CC160" s="128"/>
    </row>
    <row r="161" spans="1:81" ht="6" customHeight="1" thickBot="1">
      <c r="M161" s="332"/>
      <c r="Y161" s="346"/>
      <c r="Z161" s="348"/>
      <c r="AA161" s="181"/>
      <c r="AB161" s="181"/>
      <c r="BA161" s="765"/>
      <c r="BB161" s="334"/>
      <c r="BC161" s="334"/>
      <c r="BD161" s="334"/>
      <c r="BE161" s="334"/>
      <c r="BF161" s="334"/>
      <c r="BG161" s="334"/>
      <c r="BH161" s="334"/>
      <c r="BI161" s="334"/>
      <c r="BJ161" s="334"/>
      <c r="BO161" s="128"/>
      <c r="BP161" s="128"/>
      <c r="BQ161" s="128"/>
      <c r="BR161" s="128"/>
      <c r="BS161" s="128"/>
      <c r="BT161" s="128"/>
      <c r="BU161" s="128"/>
      <c r="BV161" s="128"/>
      <c r="BW161" s="128"/>
      <c r="BX161" s="128"/>
      <c r="BY161" s="128"/>
      <c r="BZ161" s="128"/>
      <c r="CA161" s="128"/>
      <c r="CB161" s="128"/>
      <c r="CC161" s="128"/>
    </row>
    <row r="162" spans="1:81" ht="15" customHeight="1" thickBot="1">
      <c r="B162" s="833"/>
      <c r="C162" s="830" t="s">
        <v>227</v>
      </c>
      <c r="D162" s="833" t="s">
        <v>1184</v>
      </c>
      <c r="E162" s="833"/>
      <c r="F162" s="833"/>
      <c r="G162" s="833" t="s">
        <v>1188</v>
      </c>
      <c r="H162" s="833"/>
      <c r="I162" s="833" t="s">
        <v>1203</v>
      </c>
      <c r="J162" s="833"/>
      <c r="K162" s="838" t="s">
        <v>790</v>
      </c>
      <c r="L162" s="838" t="s">
        <v>1136</v>
      </c>
      <c r="M162" s="838"/>
      <c r="N162" s="830" t="s">
        <v>2036</v>
      </c>
      <c r="P162" s="388" t="s">
        <v>1651</v>
      </c>
      <c r="Q162" s="849" t="s">
        <v>1064</v>
      </c>
      <c r="R162" s="281" t="s">
        <v>1652</v>
      </c>
      <c r="S162" s="851" t="s">
        <v>1191</v>
      </c>
      <c r="T162" s="281" t="s">
        <v>1190</v>
      </c>
      <c r="U162" s="851" t="s">
        <v>1192</v>
      </c>
      <c r="V162" s="851" t="s">
        <v>1653</v>
      </c>
      <c r="W162" s="851"/>
      <c r="X162" s="281" t="s">
        <v>1654</v>
      </c>
      <c r="Y162" s="851" t="s">
        <v>1403</v>
      </c>
      <c r="Z162" s="851" t="s">
        <v>1404</v>
      </c>
      <c r="AA162" s="851" t="s">
        <v>1210</v>
      </c>
      <c r="AB162" s="851" t="s">
        <v>1201</v>
      </c>
      <c r="AC162" s="851" t="s">
        <v>1202</v>
      </c>
      <c r="AD162" s="850" t="s">
        <v>850</v>
      </c>
      <c r="AE162" s="848" t="str">
        <f>AD162</f>
        <v>W/K Inv</v>
      </c>
      <c r="AF162" s="841" t="str">
        <f>N162</f>
        <v>Persianas</v>
      </c>
      <c r="AG162" s="280" t="s">
        <v>1017</v>
      </c>
      <c r="BA162" s="765"/>
      <c r="BB162" s="334"/>
      <c r="BC162" s="334"/>
      <c r="BD162" s="334"/>
      <c r="BE162" s="334"/>
      <c r="BF162" s="334"/>
      <c r="BG162" s="334"/>
      <c r="BH162" s="334"/>
      <c r="BI162" s="334"/>
      <c r="BJ162" s="334"/>
      <c r="BO162" s="128"/>
      <c r="BP162" s="128"/>
      <c r="BQ162" s="128"/>
      <c r="BR162" s="128"/>
      <c r="BS162" s="128"/>
      <c r="BT162" s="128"/>
      <c r="BU162" s="128"/>
      <c r="BV162" s="128"/>
      <c r="BW162" s="128"/>
      <c r="BX162" s="128"/>
      <c r="BY162" s="128"/>
      <c r="BZ162" s="128"/>
      <c r="CA162" s="128"/>
      <c r="CB162" s="128"/>
      <c r="CC162" s="128"/>
    </row>
    <row r="163" spans="1:81" ht="15" customHeight="1" thickBot="1">
      <c r="B163" s="833"/>
      <c r="C163" s="830"/>
      <c r="D163" s="414" t="s">
        <v>623</v>
      </c>
      <c r="E163" s="414" t="s">
        <v>1185</v>
      </c>
      <c r="F163" s="414" t="s">
        <v>1186</v>
      </c>
      <c r="G163" s="414" t="s">
        <v>623</v>
      </c>
      <c r="H163" s="414" t="s">
        <v>1189</v>
      </c>
      <c r="I163" s="414" t="s">
        <v>757</v>
      </c>
      <c r="J163" s="414" t="s">
        <v>650</v>
      </c>
      <c r="K163" s="838"/>
      <c r="L163" s="419" t="s">
        <v>623</v>
      </c>
      <c r="M163" s="419" t="s">
        <v>1122</v>
      </c>
      <c r="N163" s="830"/>
      <c r="P163" s="388" t="s">
        <v>1187</v>
      </c>
      <c r="Q163" s="849"/>
      <c r="R163" s="281" t="s">
        <v>1187</v>
      </c>
      <c r="S163" s="851"/>
      <c r="T163" s="281" t="s">
        <v>18</v>
      </c>
      <c r="U163" s="851"/>
      <c r="V163" s="281" t="s">
        <v>1199</v>
      </c>
      <c r="W163" s="281" t="s">
        <v>1200</v>
      </c>
      <c r="X163" s="276" t="s">
        <v>1187</v>
      </c>
      <c r="Y163" s="851"/>
      <c r="Z163" s="851"/>
      <c r="AA163" s="851"/>
      <c r="AB163" s="851"/>
      <c r="AC163" s="851"/>
      <c r="AD163" s="850"/>
      <c r="AE163" s="848"/>
      <c r="AF163" s="842"/>
      <c r="AG163" s="277">
        <f>IF((SUM(AG164:AG173))=0,0,(SUM(AG164:AG173))/(COUNT(AG164:AG173)-(COUNTIF(AG164:AG173,0))))</f>
        <v>0</v>
      </c>
      <c r="BA163" s="765"/>
      <c r="BB163" s="334"/>
      <c r="BC163" s="334"/>
      <c r="BD163" s="334"/>
      <c r="BE163" s="334"/>
      <c r="BF163" s="334"/>
      <c r="BG163" s="334"/>
      <c r="BH163" s="334"/>
      <c r="BI163" s="334"/>
      <c r="BJ163" s="334"/>
      <c r="BO163" s="128"/>
      <c r="BP163" s="128"/>
      <c r="BQ163" s="128"/>
      <c r="BR163" s="128"/>
      <c r="BS163" s="128"/>
      <c r="BT163" s="128"/>
      <c r="BU163" s="128"/>
      <c r="BV163" s="128"/>
      <c r="BW163" s="128"/>
      <c r="BX163" s="128"/>
      <c r="BY163" s="128"/>
      <c r="BZ163" s="128"/>
      <c r="CA163" s="128"/>
      <c r="CB163" s="128"/>
      <c r="CC163" s="128"/>
    </row>
    <row r="164" spans="1:81" ht="15" customHeight="1" thickBot="1">
      <c r="B164" s="418" t="s">
        <v>225</v>
      </c>
      <c r="C164" s="485"/>
      <c r="D164" s="349"/>
      <c r="E164" s="417"/>
      <c r="F164" s="417"/>
      <c r="G164" s="412"/>
      <c r="H164" s="417"/>
      <c r="I164" s="766"/>
      <c r="J164" s="766"/>
      <c r="K164" s="316"/>
      <c r="L164" s="412"/>
      <c r="M164" s="417"/>
      <c r="N164" s="491"/>
      <c r="P164" s="392">
        <f t="shared" ref="P164:P173" si="120">E164*F164</f>
        <v>0</v>
      </c>
      <c r="Q164" s="313">
        <f t="shared" ref="Q164:Q171" si="121">VLOOKUP(D164,VIDRIOSm,2,FALSE)</f>
        <v>0</v>
      </c>
      <c r="R164" s="281">
        <f t="shared" ref="R164:R173" si="122">((H164*F164)*2)+((H164*E164)*2)</f>
        <v>0</v>
      </c>
      <c r="S164" s="281">
        <f t="shared" ref="S164:S171" si="123">VLOOKUP(G164,CARPINTERIAm,2,FALSE)</f>
        <v>0</v>
      </c>
      <c r="T164" s="276">
        <f t="shared" ref="T164:T173" si="124">(E164+H164)*2+(F164+H164)*2</f>
        <v>0</v>
      </c>
      <c r="U164" s="276" t="e">
        <f>((P164*Q164)+(R164*S164)+(T164*0.02))/X164</f>
        <v>#DIV/0!</v>
      </c>
      <c r="V164" s="281" t="e">
        <f t="shared" ref="V164:V173" si="125">VLOOKUP(K164,TIPOAPERTURASm,2,FALSE)</f>
        <v>#N/A</v>
      </c>
      <c r="W164" s="276">
        <f>IF(X164=0,0,V164*X164)</f>
        <v>0</v>
      </c>
      <c r="X164" s="276">
        <f t="shared" ref="X164:X173" si="126">IF(E164=0,0,(E164+H164)*(F164+H164))</f>
        <v>0</v>
      </c>
      <c r="Y164" s="347">
        <f>(W164*$AY$118)</f>
        <v>0</v>
      </c>
      <c r="Z164" s="347">
        <f>W164*$AY$120</f>
        <v>0</v>
      </c>
      <c r="AA164" s="281">
        <f t="shared" ref="AA164:AA171" si="127">VLOOKUP(D164,VIDRIOSm,3,FALSE)</f>
        <v>0</v>
      </c>
      <c r="AB164" s="276">
        <f t="shared" ref="AB164:AB173" si="128">IF(X164=0,0,(($AY$110*AA164)+Y164+(U164*$AY$114))/X164)</f>
        <v>0</v>
      </c>
      <c r="AC164" s="276">
        <f t="shared" ref="AC164:AC173" si="129">IF(X164=0,0,(($AY$112*AA164)-(Y164+U164)*$AY$116)/X164)</f>
        <v>0</v>
      </c>
      <c r="AD164" s="222">
        <f t="shared" ref="AD164:AD173" si="130">IF(P164=0,0,(U164*P164))*C164</f>
        <v>0</v>
      </c>
      <c r="AE164" s="333">
        <f t="shared" ref="AE164:AE173" si="131">AD164</f>
        <v>0</v>
      </c>
      <c r="AF164" s="333">
        <f>IF(N164=0,0,IF(N164="Si",'Materiales Personalizados'!$BV$29,0))</f>
        <v>0</v>
      </c>
      <c r="AG164" s="497">
        <f>'Materiales Personalizados'!BP84+AF164</f>
        <v>0</v>
      </c>
      <c r="BA164" s="765">
        <f>IF(C164&gt;0,IF(I164=0,IF(J164=0,1,IF(I164=0,1,0)),IF(J164=0,1,0)),0)</f>
        <v>0</v>
      </c>
      <c r="BB164" s="855" t="s">
        <v>2147</v>
      </c>
      <c r="BC164" s="855"/>
      <c r="BD164" s="855"/>
      <c r="BE164" s="855"/>
      <c r="BF164" s="855"/>
      <c r="BG164" s="855"/>
      <c r="BH164" s="855"/>
      <c r="BI164" s="855"/>
      <c r="BJ164" s="855"/>
      <c r="BO164" s="128"/>
      <c r="BP164" s="128"/>
      <c r="BQ164" s="128"/>
      <c r="BR164" s="128"/>
      <c r="BS164" s="128"/>
      <c r="BT164" s="128"/>
      <c r="BU164" s="128"/>
      <c r="BV164" s="128"/>
      <c r="BW164" s="128"/>
      <c r="BX164" s="128"/>
      <c r="BY164" s="128"/>
      <c r="BZ164" s="128"/>
      <c r="CA164" s="128"/>
      <c r="CB164" s="128"/>
      <c r="CC164" s="128"/>
    </row>
    <row r="165" spans="1:81" ht="15" customHeight="1" thickBot="1">
      <c r="B165" s="418" t="s">
        <v>226</v>
      </c>
      <c r="C165" s="485"/>
      <c r="D165" s="349"/>
      <c r="E165" s="417"/>
      <c r="F165" s="417"/>
      <c r="G165" s="412"/>
      <c r="H165" s="417"/>
      <c r="I165" s="766"/>
      <c r="J165" s="766"/>
      <c r="K165" s="316"/>
      <c r="L165" s="412"/>
      <c r="M165" s="417"/>
      <c r="N165" s="491"/>
      <c r="P165" s="392">
        <f t="shared" si="120"/>
        <v>0</v>
      </c>
      <c r="Q165" s="313">
        <f t="shared" si="121"/>
        <v>0</v>
      </c>
      <c r="R165" s="281">
        <f t="shared" si="122"/>
        <v>0</v>
      </c>
      <c r="S165" s="281">
        <f t="shared" si="123"/>
        <v>0</v>
      </c>
      <c r="T165" s="276">
        <f t="shared" si="124"/>
        <v>0</v>
      </c>
      <c r="U165" s="276" t="e">
        <f t="shared" ref="U165:U171" si="132">((P165*Q165)+(R165*S165)+(T165*0.02))/X165</f>
        <v>#DIV/0!</v>
      </c>
      <c r="V165" s="281" t="e">
        <f t="shared" si="125"/>
        <v>#N/A</v>
      </c>
      <c r="W165" s="276">
        <f t="shared" ref="W165:W173" si="133">IF(X165=0,0,V165*X165)</f>
        <v>0</v>
      </c>
      <c r="X165" s="276">
        <f t="shared" si="126"/>
        <v>0</v>
      </c>
      <c r="Y165" s="347">
        <f t="shared" ref="Y165:Y171" si="134">(W165*$AY$118)</f>
        <v>0</v>
      </c>
      <c r="Z165" s="347">
        <f t="shared" ref="Z165:Z171" si="135">W165*$AY$120</f>
        <v>0</v>
      </c>
      <c r="AA165" s="281">
        <f t="shared" si="127"/>
        <v>0</v>
      </c>
      <c r="AB165" s="276">
        <f t="shared" si="128"/>
        <v>0</v>
      </c>
      <c r="AC165" s="276">
        <f t="shared" si="129"/>
        <v>0</v>
      </c>
      <c r="AD165" s="222">
        <f t="shared" si="130"/>
        <v>0</v>
      </c>
      <c r="AE165" s="333">
        <f t="shared" si="131"/>
        <v>0</v>
      </c>
      <c r="AF165" s="333">
        <f>IF(N165=0,0,IF(N165="Si",'Materiales Personalizados'!$BV$29,0))</f>
        <v>0</v>
      </c>
      <c r="AG165" s="513">
        <f>'Materiales Personalizados'!BP85+AF165</f>
        <v>0</v>
      </c>
      <c r="BA165" s="765">
        <f t="shared" ref="BA165:BA173" si="136">IF(C165&gt;0,IF(I165=0,IF(J165=0,1,IF(I165=0,1,0)),IF(J165=0,1,0)),0)</f>
        <v>0</v>
      </c>
      <c r="BB165" s="855" t="s">
        <v>2147</v>
      </c>
      <c r="BC165" s="855"/>
      <c r="BD165" s="855"/>
      <c r="BE165" s="855"/>
      <c r="BF165" s="855"/>
      <c r="BG165" s="855"/>
      <c r="BH165" s="855"/>
      <c r="BI165" s="855"/>
      <c r="BJ165" s="855"/>
    </row>
    <row r="166" spans="1:81" ht="15" customHeight="1" thickBot="1">
      <c r="B166" s="418" t="s">
        <v>597</v>
      </c>
      <c r="C166" s="485"/>
      <c r="D166" s="349"/>
      <c r="E166" s="417"/>
      <c r="F166" s="417"/>
      <c r="G166" s="412"/>
      <c r="H166" s="417"/>
      <c r="I166" s="766"/>
      <c r="J166" s="766"/>
      <c r="K166" s="316"/>
      <c r="L166" s="412"/>
      <c r="M166" s="417"/>
      <c r="N166" s="491"/>
      <c r="P166" s="392">
        <f t="shared" si="120"/>
        <v>0</v>
      </c>
      <c r="Q166" s="313">
        <f t="shared" si="121"/>
        <v>0</v>
      </c>
      <c r="R166" s="281">
        <f t="shared" si="122"/>
        <v>0</v>
      </c>
      <c r="S166" s="281">
        <f t="shared" si="123"/>
        <v>0</v>
      </c>
      <c r="T166" s="276">
        <f t="shared" si="124"/>
        <v>0</v>
      </c>
      <c r="U166" s="276" t="e">
        <f t="shared" si="132"/>
        <v>#DIV/0!</v>
      </c>
      <c r="V166" s="281" t="e">
        <f t="shared" si="125"/>
        <v>#N/A</v>
      </c>
      <c r="W166" s="276">
        <f t="shared" si="133"/>
        <v>0</v>
      </c>
      <c r="X166" s="276">
        <f t="shared" si="126"/>
        <v>0</v>
      </c>
      <c r="Y166" s="347">
        <f t="shared" si="134"/>
        <v>0</v>
      </c>
      <c r="Z166" s="347">
        <f t="shared" si="135"/>
        <v>0</v>
      </c>
      <c r="AA166" s="281">
        <f t="shared" si="127"/>
        <v>0</v>
      </c>
      <c r="AB166" s="276">
        <f t="shared" si="128"/>
        <v>0</v>
      </c>
      <c r="AC166" s="276">
        <f t="shared" si="129"/>
        <v>0</v>
      </c>
      <c r="AD166" s="222">
        <f t="shared" si="130"/>
        <v>0</v>
      </c>
      <c r="AE166" s="333">
        <f t="shared" si="131"/>
        <v>0</v>
      </c>
      <c r="AF166" s="333">
        <f>IF(N166=0,0,IF(N166="Si",'Materiales Personalizados'!$BV$29,0))</f>
        <v>0</v>
      </c>
      <c r="AG166" s="513">
        <f>'Materiales Personalizados'!BP86+AF166</f>
        <v>0</v>
      </c>
      <c r="BA166" s="765">
        <f t="shared" si="136"/>
        <v>0</v>
      </c>
      <c r="BB166" s="855" t="s">
        <v>2147</v>
      </c>
      <c r="BC166" s="855"/>
      <c r="BD166" s="855"/>
      <c r="BE166" s="855"/>
      <c r="BF166" s="855"/>
      <c r="BG166" s="855"/>
      <c r="BH166" s="855"/>
      <c r="BI166" s="855"/>
      <c r="BJ166" s="855"/>
    </row>
    <row r="167" spans="1:81" ht="15" customHeight="1" thickBot="1">
      <c r="B167" s="418" t="s">
        <v>1222</v>
      </c>
      <c r="C167" s="485"/>
      <c r="D167" s="349"/>
      <c r="E167" s="417"/>
      <c r="F167" s="417"/>
      <c r="G167" s="412"/>
      <c r="H167" s="417"/>
      <c r="I167" s="766"/>
      <c r="J167" s="766"/>
      <c r="K167" s="316"/>
      <c r="L167" s="412"/>
      <c r="M167" s="417"/>
      <c r="N167" s="491"/>
      <c r="P167" s="392">
        <f t="shared" si="120"/>
        <v>0</v>
      </c>
      <c r="Q167" s="313">
        <f t="shared" si="121"/>
        <v>0</v>
      </c>
      <c r="R167" s="281">
        <f t="shared" si="122"/>
        <v>0</v>
      </c>
      <c r="S167" s="281">
        <f t="shared" si="123"/>
        <v>0</v>
      </c>
      <c r="T167" s="276">
        <f t="shared" si="124"/>
        <v>0</v>
      </c>
      <c r="U167" s="276" t="e">
        <f t="shared" si="132"/>
        <v>#DIV/0!</v>
      </c>
      <c r="V167" s="281" t="e">
        <f t="shared" si="125"/>
        <v>#N/A</v>
      </c>
      <c r="W167" s="276">
        <f t="shared" si="133"/>
        <v>0</v>
      </c>
      <c r="X167" s="276">
        <f t="shared" si="126"/>
        <v>0</v>
      </c>
      <c r="Y167" s="347">
        <f t="shared" si="134"/>
        <v>0</v>
      </c>
      <c r="Z167" s="347">
        <f t="shared" si="135"/>
        <v>0</v>
      </c>
      <c r="AA167" s="281">
        <f t="shared" si="127"/>
        <v>0</v>
      </c>
      <c r="AB167" s="276">
        <f t="shared" si="128"/>
        <v>0</v>
      </c>
      <c r="AC167" s="276">
        <f t="shared" si="129"/>
        <v>0</v>
      </c>
      <c r="AD167" s="222">
        <f t="shared" si="130"/>
        <v>0</v>
      </c>
      <c r="AE167" s="333">
        <f t="shared" si="131"/>
        <v>0</v>
      </c>
      <c r="AF167" s="333">
        <f>IF(N167=0,0,IF(N167="Si",'Materiales Personalizados'!$BV$29,0))</f>
        <v>0</v>
      </c>
      <c r="AG167" s="513">
        <f>'Materiales Personalizados'!BP87+AF167</f>
        <v>0</v>
      </c>
      <c r="BA167" s="765">
        <f t="shared" si="136"/>
        <v>0</v>
      </c>
      <c r="BB167" s="855" t="s">
        <v>2147</v>
      </c>
      <c r="BC167" s="855"/>
      <c r="BD167" s="855"/>
      <c r="BE167" s="855"/>
      <c r="BF167" s="855"/>
      <c r="BG167" s="855"/>
      <c r="BH167" s="855"/>
      <c r="BI167" s="855"/>
      <c r="BJ167" s="855"/>
    </row>
    <row r="168" spans="1:81" ht="15" customHeight="1" thickBot="1">
      <c r="B168" s="418" t="s">
        <v>1223</v>
      </c>
      <c r="C168" s="485"/>
      <c r="D168" s="349"/>
      <c r="E168" s="417"/>
      <c r="F168" s="417"/>
      <c r="G168" s="412"/>
      <c r="H168" s="417"/>
      <c r="I168" s="766"/>
      <c r="J168" s="766"/>
      <c r="K168" s="316"/>
      <c r="L168" s="412"/>
      <c r="M168" s="417"/>
      <c r="N168" s="491"/>
      <c r="P168" s="392">
        <f t="shared" si="120"/>
        <v>0</v>
      </c>
      <c r="Q168" s="313">
        <f t="shared" si="121"/>
        <v>0</v>
      </c>
      <c r="R168" s="281">
        <f t="shared" si="122"/>
        <v>0</v>
      </c>
      <c r="S168" s="281">
        <f t="shared" si="123"/>
        <v>0</v>
      </c>
      <c r="T168" s="276">
        <f t="shared" si="124"/>
        <v>0</v>
      </c>
      <c r="U168" s="276" t="e">
        <f t="shared" si="132"/>
        <v>#DIV/0!</v>
      </c>
      <c r="V168" s="281" t="e">
        <f t="shared" si="125"/>
        <v>#N/A</v>
      </c>
      <c r="W168" s="276">
        <f t="shared" si="133"/>
        <v>0</v>
      </c>
      <c r="X168" s="276">
        <f t="shared" si="126"/>
        <v>0</v>
      </c>
      <c r="Y168" s="347">
        <f t="shared" si="134"/>
        <v>0</v>
      </c>
      <c r="Z168" s="347">
        <f t="shared" si="135"/>
        <v>0</v>
      </c>
      <c r="AA168" s="281">
        <f t="shared" si="127"/>
        <v>0</v>
      </c>
      <c r="AB168" s="276">
        <f t="shared" si="128"/>
        <v>0</v>
      </c>
      <c r="AC168" s="276">
        <f t="shared" si="129"/>
        <v>0</v>
      </c>
      <c r="AD168" s="222">
        <f t="shared" si="130"/>
        <v>0</v>
      </c>
      <c r="AE168" s="333">
        <f t="shared" si="131"/>
        <v>0</v>
      </c>
      <c r="AF168" s="333">
        <f>IF(N168=0,0,IF(N168="Si",'Materiales Personalizados'!$BV$29,0))</f>
        <v>0</v>
      </c>
      <c r="AG168" s="513">
        <f>'Materiales Personalizados'!BP88+AF168</f>
        <v>0</v>
      </c>
      <c r="BA168" s="765">
        <f t="shared" si="136"/>
        <v>0</v>
      </c>
      <c r="BB168" s="855" t="s">
        <v>2147</v>
      </c>
      <c r="BC168" s="855"/>
      <c r="BD168" s="855"/>
      <c r="BE168" s="855"/>
      <c r="BF168" s="855"/>
      <c r="BG168" s="855"/>
      <c r="BH168" s="855"/>
      <c r="BI168" s="855"/>
      <c r="BJ168" s="855"/>
    </row>
    <row r="169" spans="1:81" ht="15" customHeight="1" thickBot="1">
      <c r="B169" s="418" t="s">
        <v>1224</v>
      </c>
      <c r="C169" s="485"/>
      <c r="D169" s="349"/>
      <c r="E169" s="417"/>
      <c r="F169" s="417"/>
      <c r="G169" s="412"/>
      <c r="H169" s="417"/>
      <c r="I169" s="766"/>
      <c r="J169" s="766"/>
      <c r="K169" s="316"/>
      <c r="L169" s="412"/>
      <c r="M169" s="417"/>
      <c r="N169" s="491"/>
      <c r="P169" s="392">
        <f t="shared" si="120"/>
        <v>0</v>
      </c>
      <c r="Q169" s="313">
        <f t="shared" si="121"/>
        <v>0</v>
      </c>
      <c r="R169" s="281">
        <f t="shared" si="122"/>
        <v>0</v>
      </c>
      <c r="S169" s="281">
        <f t="shared" si="123"/>
        <v>0</v>
      </c>
      <c r="T169" s="276">
        <f t="shared" si="124"/>
        <v>0</v>
      </c>
      <c r="U169" s="276" t="e">
        <f t="shared" si="132"/>
        <v>#DIV/0!</v>
      </c>
      <c r="V169" s="281" t="e">
        <f t="shared" si="125"/>
        <v>#N/A</v>
      </c>
      <c r="W169" s="276">
        <f t="shared" si="133"/>
        <v>0</v>
      </c>
      <c r="X169" s="276">
        <f t="shared" si="126"/>
        <v>0</v>
      </c>
      <c r="Y169" s="347">
        <f t="shared" si="134"/>
        <v>0</v>
      </c>
      <c r="Z169" s="347">
        <f t="shared" si="135"/>
        <v>0</v>
      </c>
      <c r="AA169" s="281">
        <f t="shared" si="127"/>
        <v>0</v>
      </c>
      <c r="AB169" s="276">
        <f t="shared" si="128"/>
        <v>0</v>
      </c>
      <c r="AC169" s="276">
        <f t="shared" si="129"/>
        <v>0</v>
      </c>
      <c r="AD169" s="222">
        <f t="shared" si="130"/>
        <v>0</v>
      </c>
      <c r="AE169" s="333">
        <f t="shared" si="131"/>
        <v>0</v>
      </c>
      <c r="AF169" s="333">
        <f>IF(N169=0,0,IF(N169="Si",'Materiales Personalizados'!$BV$29,0))</f>
        <v>0</v>
      </c>
      <c r="AG169" s="513">
        <f>'Materiales Personalizados'!BP89+AF169</f>
        <v>0</v>
      </c>
      <c r="BA169" s="765">
        <f t="shared" si="136"/>
        <v>0</v>
      </c>
      <c r="BB169" s="855" t="s">
        <v>2147</v>
      </c>
      <c r="BC169" s="855"/>
      <c r="BD169" s="855"/>
      <c r="BE169" s="855"/>
      <c r="BF169" s="855"/>
      <c r="BG169" s="855"/>
      <c r="BH169" s="855"/>
      <c r="BI169" s="855"/>
      <c r="BJ169" s="855"/>
    </row>
    <row r="170" spans="1:81" ht="15" customHeight="1" thickBot="1">
      <c r="B170" s="418" t="s">
        <v>1225</v>
      </c>
      <c r="C170" s="485"/>
      <c r="D170" s="349"/>
      <c r="E170" s="417"/>
      <c r="F170" s="417"/>
      <c r="G170" s="412"/>
      <c r="H170" s="417"/>
      <c r="I170" s="766"/>
      <c r="J170" s="766"/>
      <c r="K170" s="316"/>
      <c r="L170" s="412"/>
      <c r="M170" s="417"/>
      <c r="N170" s="491"/>
      <c r="P170" s="392">
        <f t="shared" si="120"/>
        <v>0</v>
      </c>
      <c r="Q170" s="313">
        <f t="shared" si="121"/>
        <v>0</v>
      </c>
      <c r="R170" s="281">
        <f t="shared" si="122"/>
        <v>0</v>
      </c>
      <c r="S170" s="281">
        <f t="shared" si="123"/>
        <v>0</v>
      </c>
      <c r="T170" s="276">
        <f t="shared" si="124"/>
        <v>0</v>
      </c>
      <c r="U170" s="276" t="e">
        <f t="shared" si="132"/>
        <v>#DIV/0!</v>
      </c>
      <c r="V170" s="281" t="e">
        <f t="shared" si="125"/>
        <v>#N/A</v>
      </c>
      <c r="W170" s="276">
        <f t="shared" si="133"/>
        <v>0</v>
      </c>
      <c r="X170" s="276">
        <f t="shared" si="126"/>
        <v>0</v>
      </c>
      <c r="Y170" s="347">
        <f t="shared" si="134"/>
        <v>0</v>
      </c>
      <c r="Z170" s="347">
        <f t="shared" si="135"/>
        <v>0</v>
      </c>
      <c r="AA170" s="281">
        <f t="shared" si="127"/>
        <v>0</v>
      </c>
      <c r="AB170" s="276">
        <f t="shared" si="128"/>
        <v>0</v>
      </c>
      <c r="AC170" s="276">
        <f t="shared" si="129"/>
        <v>0</v>
      </c>
      <c r="AD170" s="222">
        <f t="shared" si="130"/>
        <v>0</v>
      </c>
      <c r="AE170" s="333">
        <f t="shared" si="131"/>
        <v>0</v>
      </c>
      <c r="AF170" s="333">
        <f>IF(N170=0,0,IF(N170="Si",'Materiales Personalizados'!$BV$29,0))</f>
        <v>0</v>
      </c>
      <c r="AG170" s="513">
        <f>'Materiales Personalizados'!BP90+AF170</f>
        <v>0</v>
      </c>
      <c r="BA170" s="765">
        <f t="shared" si="136"/>
        <v>0</v>
      </c>
      <c r="BB170" s="855" t="s">
        <v>2147</v>
      </c>
      <c r="BC170" s="855"/>
      <c r="BD170" s="855"/>
      <c r="BE170" s="855"/>
      <c r="BF170" s="855"/>
      <c r="BG170" s="855"/>
      <c r="BH170" s="855"/>
      <c r="BI170" s="855"/>
      <c r="BJ170" s="855"/>
    </row>
    <row r="171" spans="1:81" ht="15" customHeight="1" thickBot="1">
      <c r="B171" s="418" t="s">
        <v>1226</v>
      </c>
      <c r="C171" s="485"/>
      <c r="D171" s="349"/>
      <c r="E171" s="417"/>
      <c r="F171" s="417"/>
      <c r="G171" s="412"/>
      <c r="H171" s="417"/>
      <c r="I171" s="766"/>
      <c r="J171" s="766"/>
      <c r="K171" s="316"/>
      <c r="L171" s="412"/>
      <c r="M171" s="417"/>
      <c r="N171" s="491"/>
      <c r="P171" s="392">
        <f t="shared" si="120"/>
        <v>0</v>
      </c>
      <c r="Q171" s="313">
        <f t="shared" si="121"/>
        <v>0</v>
      </c>
      <c r="R171" s="281">
        <f t="shared" si="122"/>
        <v>0</v>
      </c>
      <c r="S171" s="281">
        <f t="shared" si="123"/>
        <v>0</v>
      </c>
      <c r="T171" s="276">
        <f t="shared" si="124"/>
        <v>0</v>
      </c>
      <c r="U171" s="276" t="e">
        <f t="shared" si="132"/>
        <v>#DIV/0!</v>
      </c>
      <c r="V171" s="281" t="e">
        <f t="shared" si="125"/>
        <v>#N/A</v>
      </c>
      <c r="W171" s="276">
        <f t="shared" si="133"/>
        <v>0</v>
      </c>
      <c r="X171" s="276">
        <f t="shared" si="126"/>
        <v>0</v>
      </c>
      <c r="Y171" s="347">
        <f t="shared" si="134"/>
        <v>0</v>
      </c>
      <c r="Z171" s="347">
        <f t="shared" si="135"/>
        <v>0</v>
      </c>
      <c r="AA171" s="281">
        <f t="shared" si="127"/>
        <v>0</v>
      </c>
      <c r="AB171" s="276">
        <f t="shared" si="128"/>
        <v>0</v>
      </c>
      <c r="AC171" s="276">
        <f t="shared" si="129"/>
        <v>0</v>
      </c>
      <c r="AD171" s="222">
        <f t="shared" si="130"/>
        <v>0</v>
      </c>
      <c r="AE171" s="333">
        <f t="shared" si="131"/>
        <v>0</v>
      </c>
      <c r="AF171" s="333">
        <f>IF(N171=0,0,IF(N171="Si",'Materiales Personalizados'!$BV$29,0))</f>
        <v>0</v>
      </c>
      <c r="AG171" s="513">
        <f>'Materiales Personalizados'!BP91+AF171</f>
        <v>0</v>
      </c>
      <c r="BA171" s="765">
        <f t="shared" si="136"/>
        <v>0</v>
      </c>
      <c r="BB171" s="855" t="s">
        <v>2147</v>
      </c>
      <c r="BC171" s="855"/>
      <c r="BD171" s="855"/>
      <c r="BE171" s="855"/>
      <c r="BF171" s="855"/>
      <c r="BG171" s="855"/>
      <c r="BH171" s="855"/>
      <c r="BI171" s="855"/>
      <c r="BJ171" s="855"/>
    </row>
    <row r="172" spans="1:81" s="101" customFormat="1" ht="15" customHeight="1" thickBot="1">
      <c r="A172" s="332"/>
      <c r="B172" s="418" t="str">
        <f>B154</f>
        <v>Material Personalizado:</v>
      </c>
      <c r="C172" s="485"/>
      <c r="D172" s="415" t="str">
        <f>IF('Materiales Personalizados'!$D$102=0,"-",'Materiales Personalizados'!$D$102)</f>
        <v>-</v>
      </c>
      <c r="E172" s="417"/>
      <c r="F172" s="417"/>
      <c r="G172" s="412"/>
      <c r="H172" s="417"/>
      <c r="I172" s="766"/>
      <c r="J172" s="766"/>
      <c r="K172" s="316"/>
      <c r="L172" s="412"/>
      <c r="M172" s="417"/>
      <c r="N172" s="491"/>
      <c r="O172" s="402"/>
      <c r="P172" s="392">
        <f t="shared" si="120"/>
        <v>0</v>
      </c>
      <c r="Q172" s="313">
        <f>'Materiales Personalizados'!$D$105</f>
        <v>0</v>
      </c>
      <c r="R172" s="281">
        <f t="shared" si="122"/>
        <v>0</v>
      </c>
      <c r="S172" s="275">
        <f>'Materiales Personalizados'!$D$106</f>
        <v>0</v>
      </c>
      <c r="T172" s="276">
        <f t="shared" si="124"/>
        <v>0</v>
      </c>
      <c r="U172" s="313" t="e">
        <f>((P172*Q172)+(R172*S172)+(T172*'Materiales Personalizados'!$D$107))/X172</f>
        <v>#DIV/0!</v>
      </c>
      <c r="V172" s="281" t="e">
        <f t="shared" si="125"/>
        <v>#N/A</v>
      </c>
      <c r="W172" s="276">
        <f t="shared" si="133"/>
        <v>0</v>
      </c>
      <c r="X172" s="276">
        <f t="shared" si="126"/>
        <v>0</v>
      </c>
      <c r="Y172" s="347">
        <f>IF('Materiales Personalizados'!$D$109=0,(W172*$AY$118),'Materiales Personalizados'!$D$109)</f>
        <v>0</v>
      </c>
      <c r="Z172" s="347">
        <f>Y172</f>
        <v>0</v>
      </c>
      <c r="AA172" s="275">
        <f>'Materiales Personalizados'!$D$108</f>
        <v>0</v>
      </c>
      <c r="AB172" s="276">
        <f t="shared" si="128"/>
        <v>0</v>
      </c>
      <c r="AC172" s="276">
        <f t="shared" si="129"/>
        <v>0</v>
      </c>
      <c r="AD172" s="222">
        <f t="shared" si="130"/>
        <v>0</v>
      </c>
      <c r="AE172" s="333">
        <f t="shared" si="131"/>
        <v>0</v>
      </c>
      <c r="AF172" s="333">
        <f>IF(N172=0,0,IF(N172="Si",'Materiales Personalizados'!$BV$29,0))</f>
        <v>0</v>
      </c>
      <c r="AG172" s="513">
        <f>'Materiales Personalizados'!BP92+AF172</f>
        <v>0</v>
      </c>
      <c r="AZ172" s="156"/>
      <c r="BA172" s="765">
        <f t="shared" si="136"/>
        <v>0</v>
      </c>
      <c r="BB172" s="855" t="s">
        <v>2147</v>
      </c>
      <c r="BC172" s="855"/>
      <c r="BD172" s="855"/>
      <c r="BE172" s="855"/>
      <c r="BF172" s="855"/>
      <c r="BG172" s="855"/>
      <c r="BH172" s="855"/>
      <c r="BI172" s="855"/>
      <c r="BJ172" s="855"/>
      <c r="BK172" s="157"/>
      <c r="BL172" s="158"/>
      <c r="BM172" s="159"/>
      <c r="BN172" s="159"/>
      <c r="BO172" s="159"/>
      <c r="BP172" s="159"/>
      <c r="BQ172" s="159"/>
      <c r="BR172" s="159"/>
      <c r="BS172" s="159"/>
      <c r="BT172" s="159"/>
      <c r="BU172" s="159"/>
      <c r="BV172" s="159"/>
      <c r="BW172" s="159"/>
      <c r="BX172" s="159"/>
      <c r="BY172" s="159"/>
      <c r="BZ172" s="159"/>
      <c r="CA172" s="159"/>
      <c r="CB172" s="159"/>
    </row>
    <row r="173" spans="1:81" ht="15" customHeight="1" thickBot="1">
      <c r="B173" s="418" t="str">
        <f>B172</f>
        <v>Material Personalizado:</v>
      </c>
      <c r="C173" s="485"/>
      <c r="D173" s="415" t="str">
        <f>IF('Materiales Personalizados'!$D$112=0,"-",'Materiales Personalizados'!$D$112)</f>
        <v>-</v>
      </c>
      <c r="E173" s="417"/>
      <c r="F173" s="417"/>
      <c r="G173" s="412"/>
      <c r="H173" s="417"/>
      <c r="I173" s="766"/>
      <c r="J173" s="766"/>
      <c r="K173" s="316"/>
      <c r="L173" s="412"/>
      <c r="M173" s="417"/>
      <c r="N173" s="491"/>
      <c r="P173" s="392">
        <f t="shared" si="120"/>
        <v>0</v>
      </c>
      <c r="Q173" s="313">
        <f>'Materiales Personalizados'!$D$115</f>
        <v>0</v>
      </c>
      <c r="R173" s="281">
        <f t="shared" si="122"/>
        <v>0</v>
      </c>
      <c r="S173" s="275">
        <f>'Materiales Personalizados'!$D$116</f>
        <v>0</v>
      </c>
      <c r="T173" s="276">
        <f t="shared" si="124"/>
        <v>0</v>
      </c>
      <c r="U173" s="313" t="e">
        <f>((P173*Q173)+(R173*S173)+(T173*'Materiales Personalizados'!$D$117))/X173</f>
        <v>#DIV/0!</v>
      </c>
      <c r="V173" s="281" t="e">
        <f t="shared" si="125"/>
        <v>#N/A</v>
      </c>
      <c r="W173" s="276">
        <f t="shared" si="133"/>
        <v>0</v>
      </c>
      <c r="X173" s="276">
        <f t="shared" si="126"/>
        <v>0</v>
      </c>
      <c r="Y173" s="347">
        <f>IF('Materiales Personalizados'!$D$119=0,(W172*$AY$118),'Materiales Personalizados'!$D$119)</f>
        <v>0</v>
      </c>
      <c r="Z173" s="347">
        <f>Y173</f>
        <v>0</v>
      </c>
      <c r="AA173" s="275">
        <f>'Materiales Personalizados'!$D$118</f>
        <v>0</v>
      </c>
      <c r="AB173" s="276">
        <f t="shared" si="128"/>
        <v>0</v>
      </c>
      <c r="AC173" s="276">
        <f t="shared" si="129"/>
        <v>0</v>
      </c>
      <c r="AD173" s="222">
        <f t="shared" si="130"/>
        <v>0</v>
      </c>
      <c r="AE173" s="333">
        <f t="shared" si="131"/>
        <v>0</v>
      </c>
      <c r="AF173" s="333">
        <f>IF(N173=0,0,IF(N173="Si",'Materiales Personalizados'!$BV$29,0))</f>
        <v>0</v>
      </c>
      <c r="AG173" s="513">
        <f>'Materiales Personalizados'!BP93+AF173</f>
        <v>0</v>
      </c>
      <c r="BA173" s="765">
        <f t="shared" si="136"/>
        <v>0</v>
      </c>
      <c r="BB173" s="855" t="s">
        <v>2147</v>
      </c>
      <c r="BC173" s="855"/>
      <c r="BD173" s="855"/>
      <c r="BE173" s="855"/>
      <c r="BF173" s="855"/>
      <c r="BG173" s="855"/>
      <c r="BH173" s="855"/>
      <c r="BI173" s="855"/>
      <c r="BJ173" s="855"/>
    </row>
    <row r="174" spans="1:81" ht="15" customHeight="1" thickBot="1">
      <c r="E174" s="332"/>
      <c r="F174" s="332"/>
      <c r="L174" s="332"/>
      <c r="M174" s="332"/>
      <c r="R174" s="100"/>
      <c r="S174" s="100"/>
      <c r="W174" s="100"/>
      <c r="Y174" s="100"/>
      <c r="BA174" s="765"/>
      <c r="BB174" s="334"/>
      <c r="BC174" s="334"/>
      <c r="BD174" s="334"/>
      <c r="BE174" s="334"/>
      <c r="BF174" s="334"/>
      <c r="BG174" s="334"/>
      <c r="BH174" s="334"/>
      <c r="BI174" s="334"/>
      <c r="BJ174" s="334"/>
    </row>
    <row r="175" spans="1:81" ht="15" customHeight="1" thickBot="1">
      <c r="C175" s="830" t="s">
        <v>1204</v>
      </c>
      <c r="D175" s="831"/>
      <c r="E175" s="832"/>
      <c r="F175" s="414" t="s">
        <v>1185</v>
      </c>
      <c r="G175" s="414" t="s">
        <v>1186</v>
      </c>
      <c r="H175" s="414" t="s">
        <v>227</v>
      </c>
      <c r="L175" s="332"/>
      <c r="M175" s="332"/>
      <c r="R175" s="100"/>
      <c r="S175" s="100"/>
      <c r="W175" s="100"/>
      <c r="Y175" s="100"/>
      <c r="BA175" s="765"/>
      <c r="BB175" s="334"/>
      <c r="BC175" s="334"/>
      <c r="BD175" s="334"/>
      <c r="BE175" s="334"/>
      <c r="BF175" s="334"/>
      <c r="BG175" s="334"/>
      <c r="BH175" s="334"/>
      <c r="BI175" s="334"/>
      <c r="BJ175" s="334"/>
    </row>
    <row r="176" spans="1:81" ht="15" customHeight="1" thickBot="1">
      <c r="B176" s="418" t="s">
        <v>768</v>
      </c>
      <c r="C176" s="818"/>
      <c r="D176" s="819"/>
      <c r="E176" s="820"/>
      <c r="F176" s="579"/>
      <c r="G176" s="579"/>
      <c r="H176" s="321"/>
      <c r="L176" s="332"/>
      <c r="M176" s="332"/>
      <c r="U176" s="276">
        <f>(IF(F176=0,0,VLOOKUP(C176,PUERTASm,2,FALSE)))*H176</f>
        <v>0</v>
      </c>
      <c r="W176" s="100"/>
      <c r="Y176" s="100"/>
      <c r="AD176" s="222">
        <f>IF($L$369="No",U176*F176*G176,((U176*F176*G176)*0.09*$L$370)*U176*F176*G176)</f>
        <v>0</v>
      </c>
      <c r="AE176" s="333">
        <f>AD176</f>
        <v>0</v>
      </c>
      <c r="BA176" s="765"/>
      <c r="BB176" s="334"/>
      <c r="BC176" s="334"/>
      <c r="BD176" s="334"/>
      <c r="BE176" s="334"/>
      <c r="BF176" s="334"/>
      <c r="BG176" s="334"/>
      <c r="BH176" s="334"/>
      <c r="BI176" s="334"/>
      <c r="BJ176" s="334"/>
    </row>
    <row r="177" spans="2:77" ht="6" customHeight="1" thickBot="1">
      <c r="E177" s="332"/>
      <c r="F177" s="332"/>
      <c r="P177" s="246"/>
      <c r="Q177" s="127"/>
      <c r="R177" s="100"/>
      <c r="S177" s="100"/>
      <c r="BA177" s="765"/>
      <c r="BB177" s="334"/>
      <c r="BC177" s="334"/>
      <c r="BD177" s="334"/>
      <c r="BE177" s="334"/>
      <c r="BF177" s="334"/>
      <c r="BG177" s="334"/>
      <c r="BH177" s="334"/>
      <c r="BI177" s="334"/>
      <c r="BJ177" s="334"/>
    </row>
    <row r="178" spans="2:77" ht="30" customHeight="1" thickBot="1">
      <c r="B178" s="840" t="s">
        <v>1916</v>
      </c>
      <c r="C178" s="840"/>
      <c r="D178" s="840"/>
      <c r="E178" s="840"/>
      <c r="F178" s="840"/>
      <c r="G178" s="840"/>
      <c r="H178" s="840"/>
      <c r="I178" s="840"/>
      <c r="J178" s="840"/>
      <c r="K178" s="840"/>
      <c r="L178" s="840"/>
      <c r="M178" s="840"/>
      <c r="N178" s="840"/>
      <c r="P178" s="938" t="s">
        <v>601</v>
      </c>
      <c r="Q178" s="939"/>
      <c r="R178" s="939"/>
      <c r="S178" s="939"/>
      <c r="T178" s="939"/>
      <c r="U178" s="939"/>
      <c r="V178" s="939"/>
      <c r="W178" s="939"/>
      <c r="X178" s="939"/>
      <c r="Y178" s="939"/>
      <c r="Z178" s="939"/>
      <c r="AA178" s="939"/>
      <c r="AB178" s="939"/>
      <c r="AC178" s="939"/>
      <c r="AD178" s="939"/>
      <c r="AE178" s="939"/>
      <c r="AF178" s="939"/>
      <c r="AG178" s="939"/>
      <c r="AH178" s="940"/>
      <c r="BA178" s="765"/>
      <c r="BB178" s="334"/>
      <c r="BC178" s="334"/>
      <c r="BD178" s="334"/>
      <c r="BE178" s="334"/>
      <c r="BF178" s="334"/>
      <c r="BG178" s="334"/>
      <c r="BH178" s="334"/>
      <c r="BI178" s="334"/>
      <c r="BJ178" s="334"/>
      <c r="BN178" s="128"/>
      <c r="BO178" s="128"/>
      <c r="BP178" s="128"/>
      <c r="BQ178" s="128"/>
      <c r="BR178" s="128"/>
      <c r="BS178" s="128"/>
      <c r="BT178" s="128"/>
      <c r="BU178" s="128"/>
      <c r="BV178" s="128"/>
      <c r="BW178" s="128"/>
      <c r="BX178" s="128"/>
      <c r="BY178" s="128"/>
    </row>
    <row r="179" spans="2:77" ht="6" customHeight="1" thickBot="1">
      <c r="P179" s="246"/>
      <c r="R179" s="100"/>
      <c r="S179" s="100"/>
      <c r="BA179" s="765"/>
      <c r="BB179" s="334"/>
      <c r="BC179" s="334"/>
      <c r="BD179" s="334"/>
      <c r="BE179" s="334"/>
      <c r="BF179" s="334"/>
      <c r="BG179" s="334"/>
      <c r="BH179" s="334"/>
      <c r="BI179" s="334"/>
      <c r="BJ179" s="334"/>
      <c r="BN179" s="128"/>
      <c r="BO179" s="128"/>
      <c r="BP179" s="128"/>
      <c r="BQ179" s="128"/>
      <c r="BR179" s="128"/>
      <c r="BS179" s="128"/>
      <c r="BT179" s="128"/>
      <c r="BU179" s="128"/>
      <c r="BV179" s="128"/>
      <c r="BW179" s="128"/>
      <c r="BX179" s="128"/>
      <c r="BY179" s="128"/>
    </row>
    <row r="180" spans="2:77" ht="15" customHeight="1" thickBot="1">
      <c r="B180" s="414" t="s">
        <v>598</v>
      </c>
      <c r="C180" s="830" t="s">
        <v>1034</v>
      </c>
      <c r="D180" s="831"/>
      <c r="E180" s="831"/>
      <c r="F180" s="831"/>
      <c r="G180" s="831"/>
      <c r="H180" s="831"/>
      <c r="I180" s="831"/>
      <c r="J180" s="831"/>
      <c r="K180" s="831"/>
      <c r="L180" s="831"/>
      <c r="M180" s="831"/>
      <c r="N180" s="832"/>
      <c r="Q180" s="275" t="s">
        <v>1388</v>
      </c>
      <c r="R180" s="275" t="s">
        <v>1389</v>
      </c>
      <c r="V180" s="128"/>
      <c r="Y180" s="275" t="s">
        <v>1392</v>
      </c>
      <c r="AA180" s="275" t="s">
        <v>1393</v>
      </c>
      <c r="AB180" s="275" t="s">
        <v>1391</v>
      </c>
      <c r="AC180" s="275" t="s">
        <v>1390</v>
      </c>
      <c r="AE180" s="275" t="s">
        <v>1393</v>
      </c>
      <c r="AF180" s="495"/>
      <c r="AG180" s="275" t="s">
        <v>1391</v>
      </c>
      <c r="AH180" s="275" t="s">
        <v>1394</v>
      </c>
      <c r="BA180" s="765"/>
      <c r="BB180" s="334"/>
      <c r="BC180" s="334"/>
      <c r="BD180" s="334"/>
      <c r="BE180" s="334"/>
      <c r="BF180" s="334"/>
      <c r="BG180" s="334"/>
      <c r="BH180" s="334"/>
      <c r="BI180" s="334"/>
      <c r="BJ180" s="334"/>
      <c r="BN180" s="128"/>
      <c r="BO180" s="128"/>
      <c r="BP180" s="128"/>
      <c r="BQ180" s="128"/>
      <c r="BR180" s="128"/>
      <c r="BS180" s="128"/>
      <c r="BT180" s="128"/>
      <c r="BU180" s="128"/>
      <c r="BV180" s="128"/>
      <c r="BW180" s="128"/>
      <c r="BX180" s="128"/>
      <c r="BY180" s="128"/>
    </row>
    <row r="181" spans="2:77" ht="15" customHeight="1" thickBot="1">
      <c r="B181" s="418" t="s">
        <v>574</v>
      </c>
      <c r="C181" s="818"/>
      <c r="D181" s="819"/>
      <c r="E181" s="819"/>
      <c r="F181" s="819"/>
      <c r="G181" s="819"/>
      <c r="H181" s="819"/>
      <c r="I181" s="819"/>
      <c r="J181" s="819"/>
      <c r="K181" s="819"/>
      <c r="L181" s="819"/>
      <c r="M181" s="819"/>
      <c r="N181" s="820"/>
      <c r="P181" s="388">
        <f t="shared" ref="P181:P186" si="137">IF(AL10&gt;1,1,0)</f>
        <v>0</v>
      </c>
      <c r="Q181" s="275">
        <f>IF(P181=0,0,IF(C181='Materiales Personalizados'!$AG$30,55,IF(C181='Materiales Personalizados'!$AG$31,25,IF(C181='Materiales Personalizados'!$AG$32,55,0))))</f>
        <v>0</v>
      </c>
      <c r="R181" s="910">
        <f>IF(SUM(Q181:Q190)=0,0,SUM(Q181:Q190))</f>
        <v>0</v>
      </c>
      <c r="U181" s="440">
        <f t="shared" ref="U181:U190" si="138">IF(C181=0,0,1)</f>
        <v>0</v>
      </c>
      <c r="V181" s="935">
        <f>IF(SUM(U181:U190)=0,0,IF((SUM(U181:U190)/SUM(P181:P190))=1,1,0))</f>
        <v>0</v>
      </c>
      <c r="Y181" s="910">
        <f>((R181*AY68)/3600)*0.33</f>
        <v>0</v>
      </c>
      <c r="AA181" s="932">
        <v>0.3</v>
      </c>
      <c r="AB181" s="910">
        <f>(Y181+AA181)*1200</f>
        <v>360</v>
      </c>
      <c r="AC181" s="910">
        <f>(1/1000)*AB181*(AJ68)</f>
        <v>0</v>
      </c>
      <c r="AE181" s="932">
        <v>0.3</v>
      </c>
      <c r="AF181" s="499"/>
      <c r="AG181" s="910">
        <f>(AE181)*1200</f>
        <v>360</v>
      </c>
      <c r="AH181" s="910">
        <f>(1/1000)*AG181*(AP70)</f>
        <v>6.4799999999999995</v>
      </c>
      <c r="BN181" s="128"/>
      <c r="BO181" s="128"/>
      <c r="BP181" s="128"/>
      <c r="BQ181" s="128"/>
      <c r="BR181" s="128"/>
      <c r="BS181" s="128"/>
      <c r="BT181" s="128"/>
      <c r="BU181" s="128"/>
      <c r="BV181" s="128"/>
      <c r="BW181" s="128"/>
      <c r="BX181" s="128"/>
      <c r="BY181" s="128"/>
    </row>
    <row r="182" spans="2:77" ht="15" customHeight="1" thickBot="1">
      <c r="B182" s="418" t="s">
        <v>575</v>
      </c>
      <c r="C182" s="818"/>
      <c r="D182" s="819"/>
      <c r="E182" s="819"/>
      <c r="F182" s="819"/>
      <c r="G182" s="819"/>
      <c r="H182" s="819"/>
      <c r="I182" s="819"/>
      <c r="J182" s="819"/>
      <c r="K182" s="819"/>
      <c r="L182" s="819"/>
      <c r="M182" s="819"/>
      <c r="N182" s="820"/>
      <c r="P182" s="388">
        <f t="shared" si="137"/>
        <v>0</v>
      </c>
      <c r="Q182" s="275">
        <f>IF(P182=0,0,IF(C182='Materiales Personalizados'!$AG$30,55,IF(C182='Materiales Personalizados'!$AG$31,25,IF(C182='Materiales Personalizados'!$AG$32,55,0))))</f>
        <v>0</v>
      </c>
      <c r="R182" s="911"/>
      <c r="U182" s="440">
        <f t="shared" si="138"/>
        <v>0</v>
      </c>
      <c r="V182" s="936"/>
      <c r="Y182" s="911"/>
      <c r="AA182" s="933"/>
      <c r="AB182" s="911"/>
      <c r="AC182" s="911"/>
      <c r="AE182" s="933"/>
      <c r="AF182" s="500"/>
      <c r="AG182" s="911"/>
      <c r="AH182" s="911"/>
      <c r="BN182" s="128"/>
      <c r="BO182" s="128"/>
      <c r="BP182" s="128"/>
      <c r="BQ182" s="128"/>
      <c r="BR182" s="128"/>
      <c r="BS182" s="128"/>
      <c r="BT182" s="128"/>
      <c r="BU182" s="128"/>
      <c r="BV182" s="128"/>
      <c r="BW182" s="128"/>
      <c r="BX182" s="128"/>
      <c r="BY182" s="128"/>
    </row>
    <row r="183" spans="2:77" ht="15" customHeight="1" thickBot="1">
      <c r="B183" s="418" t="s">
        <v>576</v>
      </c>
      <c r="C183" s="818"/>
      <c r="D183" s="819"/>
      <c r="E183" s="819"/>
      <c r="F183" s="819"/>
      <c r="G183" s="819"/>
      <c r="H183" s="819"/>
      <c r="I183" s="819"/>
      <c r="J183" s="819"/>
      <c r="K183" s="819"/>
      <c r="L183" s="819"/>
      <c r="M183" s="819"/>
      <c r="N183" s="820"/>
      <c r="P183" s="388">
        <f t="shared" si="137"/>
        <v>0</v>
      </c>
      <c r="Q183" s="275">
        <f>IF(P183=0,0,IF(C183='Materiales Personalizados'!$AG$30,55,IF(C183='Materiales Personalizados'!$AG$31,25,IF(C183='Materiales Personalizados'!$AG$32,55,0))))</f>
        <v>0</v>
      </c>
      <c r="R183" s="911"/>
      <c r="T183" s="340"/>
      <c r="U183" s="440">
        <f t="shared" si="138"/>
        <v>0</v>
      </c>
      <c r="V183" s="936"/>
      <c r="Y183" s="911"/>
      <c r="AA183" s="933"/>
      <c r="AB183" s="911"/>
      <c r="AC183" s="911"/>
      <c r="AE183" s="933"/>
      <c r="AF183" s="500"/>
      <c r="AG183" s="911"/>
      <c r="AH183" s="911"/>
      <c r="BN183" s="128"/>
      <c r="BO183" s="128"/>
      <c r="BP183" s="128"/>
      <c r="BQ183" s="128"/>
      <c r="BR183" s="128"/>
      <c r="BS183" s="128"/>
      <c r="BT183" s="128"/>
      <c r="BU183" s="128"/>
      <c r="BV183" s="128"/>
      <c r="BW183" s="128"/>
      <c r="BX183" s="128"/>
      <c r="BY183" s="128"/>
    </row>
    <row r="184" spans="2:77" ht="15" customHeight="1" thickBot="1">
      <c r="B184" s="418" t="s">
        <v>577</v>
      </c>
      <c r="C184" s="818"/>
      <c r="D184" s="819"/>
      <c r="E184" s="819"/>
      <c r="F184" s="819"/>
      <c r="G184" s="819"/>
      <c r="H184" s="819"/>
      <c r="I184" s="819"/>
      <c r="J184" s="819"/>
      <c r="K184" s="819"/>
      <c r="L184" s="819"/>
      <c r="M184" s="819"/>
      <c r="N184" s="820"/>
      <c r="P184" s="388">
        <f t="shared" si="137"/>
        <v>0</v>
      </c>
      <c r="Q184" s="275">
        <f>IF(P184=0,0,IF(C184='Materiales Personalizados'!$AG$30,55,IF(C184='Materiales Personalizados'!$AG$31,25,IF(C184='Materiales Personalizados'!$AG$32,55,0))))</f>
        <v>0</v>
      </c>
      <c r="R184" s="911"/>
      <c r="T184" s="340"/>
      <c r="U184" s="440">
        <f t="shared" si="138"/>
        <v>0</v>
      </c>
      <c r="V184" s="936"/>
      <c r="Y184" s="911"/>
      <c r="AA184" s="933"/>
      <c r="AB184" s="911"/>
      <c r="AC184" s="911"/>
      <c r="AE184" s="933"/>
      <c r="AF184" s="500"/>
      <c r="AG184" s="911"/>
      <c r="AH184" s="911"/>
      <c r="BN184" s="128"/>
      <c r="BO184" s="128"/>
      <c r="BP184" s="128"/>
      <c r="BQ184" s="128"/>
      <c r="BR184" s="128"/>
      <c r="BS184" s="128"/>
      <c r="BT184" s="128"/>
      <c r="BU184" s="128"/>
      <c r="BV184" s="128"/>
      <c r="BW184" s="128"/>
      <c r="BX184" s="128"/>
      <c r="BY184" s="128"/>
    </row>
    <row r="185" spans="2:77" ht="15" customHeight="1" thickBot="1">
      <c r="B185" s="418" t="s">
        <v>578</v>
      </c>
      <c r="C185" s="818"/>
      <c r="D185" s="819"/>
      <c r="E185" s="819"/>
      <c r="F185" s="819"/>
      <c r="G185" s="819"/>
      <c r="H185" s="819"/>
      <c r="I185" s="819"/>
      <c r="J185" s="819"/>
      <c r="K185" s="819"/>
      <c r="L185" s="819"/>
      <c r="M185" s="819"/>
      <c r="N185" s="820"/>
      <c r="P185" s="388">
        <f t="shared" si="137"/>
        <v>0</v>
      </c>
      <c r="Q185" s="275">
        <f>IF(P185=0,0,IF(C185='Materiales Personalizados'!$AG$30,55,IF(C185='Materiales Personalizados'!$AG$31,25,IF(C185='Materiales Personalizados'!$AG$32,55,0))))</f>
        <v>0</v>
      </c>
      <c r="R185" s="911"/>
      <c r="U185" s="440">
        <f t="shared" si="138"/>
        <v>0</v>
      </c>
      <c r="V185" s="936"/>
      <c r="Y185" s="911"/>
      <c r="AA185" s="933"/>
      <c r="AB185" s="911"/>
      <c r="AC185" s="911"/>
      <c r="AE185" s="933"/>
      <c r="AF185" s="500"/>
      <c r="AG185" s="911"/>
      <c r="AH185" s="911"/>
      <c r="BN185" s="128"/>
      <c r="BO185" s="128"/>
      <c r="BP185" s="128"/>
      <c r="BQ185" s="128"/>
      <c r="BR185" s="128"/>
      <c r="BS185" s="128"/>
      <c r="BT185" s="128"/>
      <c r="BU185" s="128"/>
      <c r="BV185" s="128"/>
      <c r="BW185" s="128"/>
      <c r="BX185" s="128"/>
      <c r="BY185" s="128"/>
    </row>
    <row r="186" spans="2:77" ht="15" customHeight="1" thickBot="1">
      <c r="B186" s="418" t="s">
        <v>579</v>
      </c>
      <c r="C186" s="818"/>
      <c r="D186" s="819"/>
      <c r="E186" s="819"/>
      <c r="F186" s="819"/>
      <c r="G186" s="819"/>
      <c r="H186" s="819"/>
      <c r="I186" s="819"/>
      <c r="J186" s="819"/>
      <c r="K186" s="819"/>
      <c r="L186" s="819"/>
      <c r="M186" s="819"/>
      <c r="N186" s="820"/>
      <c r="P186" s="388">
        <f t="shared" si="137"/>
        <v>0</v>
      </c>
      <c r="Q186" s="275">
        <f>IF(P186=0,0,IF(C186='Materiales Personalizados'!$AG$30,55,IF(C186='Materiales Personalizados'!$AG$31,25,IF(C186='Materiales Personalizados'!$AG$32,55,0))))</f>
        <v>0</v>
      </c>
      <c r="R186" s="911"/>
      <c r="U186" s="440">
        <f t="shared" si="138"/>
        <v>0</v>
      </c>
      <c r="V186" s="936"/>
      <c r="Y186" s="911"/>
      <c r="AA186" s="933"/>
      <c r="AB186" s="911"/>
      <c r="AC186" s="911"/>
      <c r="AE186" s="933"/>
      <c r="AF186" s="500"/>
      <c r="AG186" s="911"/>
      <c r="AH186" s="911"/>
      <c r="BN186" s="128"/>
      <c r="BO186" s="128"/>
      <c r="BP186" s="128"/>
      <c r="BQ186" s="128"/>
      <c r="BR186" s="128"/>
      <c r="BS186" s="128"/>
      <c r="BT186" s="128"/>
      <c r="BU186" s="128"/>
      <c r="BV186" s="128"/>
      <c r="BW186" s="128"/>
      <c r="BX186" s="128"/>
      <c r="BY186" s="128"/>
    </row>
    <row r="187" spans="2:77" ht="15" customHeight="1" thickBot="1">
      <c r="B187" s="418" t="s">
        <v>636</v>
      </c>
      <c r="C187" s="818"/>
      <c r="D187" s="819"/>
      <c r="E187" s="819"/>
      <c r="F187" s="819"/>
      <c r="G187" s="819"/>
      <c r="H187" s="819"/>
      <c r="I187" s="819"/>
      <c r="J187" s="819"/>
      <c r="K187" s="819"/>
      <c r="L187" s="819"/>
      <c r="M187" s="819"/>
      <c r="N187" s="820"/>
      <c r="P187" s="388">
        <f>IF((AL16+AL17)&gt;1,1,0)</f>
        <v>0</v>
      </c>
      <c r="Q187" s="275">
        <f>IF(P187=0,0,IF(C187='Materiales Personalizados'!$AG$30,55,IF(C187='Materiales Personalizados'!$AG$31,25,IF(C187='Materiales Personalizados'!$AG$32,55,0))))</f>
        <v>0</v>
      </c>
      <c r="R187" s="911"/>
      <c r="U187" s="440">
        <f t="shared" si="138"/>
        <v>0</v>
      </c>
      <c r="V187" s="936"/>
      <c r="Y187" s="911"/>
      <c r="AA187" s="933"/>
      <c r="AB187" s="911"/>
      <c r="AC187" s="911"/>
      <c r="AE187" s="933"/>
      <c r="AF187" s="500"/>
      <c r="AG187" s="911"/>
      <c r="AH187" s="911"/>
      <c r="BN187" s="128"/>
      <c r="BO187" s="128"/>
      <c r="BP187" s="128"/>
      <c r="BQ187" s="128"/>
      <c r="BR187" s="128"/>
      <c r="BS187" s="128"/>
      <c r="BT187" s="128"/>
      <c r="BU187" s="128"/>
      <c r="BV187" s="128"/>
      <c r="BW187" s="128"/>
      <c r="BX187" s="128"/>
      <c r="BY187" s="128"/>
    </row>
    <row r="188" spans="2:77" ht="15" customHeight="1" thickBot="1">
      <c r="B188" s="418" t="s">
        <v>582</v>
      </c>
      <c r="C188" s="895"/>
      <c r="D188" s="896"/>
      <c r="E188" s="896"/>
      <c r="F188" s="896"/>
      <c r="G188" s="896"/>
      <c r="H188" s="896"/>
      <c r="I188" s="896"/>
      <c r="J188" s="896"/>
      <c r="K188" s="896"/>
      <c r="L188" s="896"/>
      <c r="M188" s="896"/>
      <c r="N188" s="897"/>
      <c r="P188" s="388">
        <f>IF(AL18&gt;1,1,0)</f>
        <v>0</v>
      </c>
      <c r="Q188" s="275">
        <f>IF(P188=0,0,IF(C188='Materiales Personalizados'!$AG$30,55,IF(C188='Materiales Personalizados'!$AG$31,25,IF(C188='Materiales Personalizados'!$AG$32,55,0))))</f>
        <v>0</v>
      </c>
      <c r="R188" s="911"/>
      <c r="U188" s="440">
        <f t="shared" si="138"/>
        <v>0</v>
      </c>
      <c r="V188" s="936"/>
      <c r="Y188" s="911"/>
      <c r="AA188" s="933"/>
      <c r="AB188" s="911"/>
      <c r="AC188" s="911"/>
      <c r="AE188" s="933"/>
      <c r="AF188" s="500"/>
      <c r="AG188" s="911"/>
      <c r="AH188" s="911"/>
      <c r="BN188" s="128"/>
      <c r="BO188" s="128"/>
      <c r="BP188" s="128"/>
      <c r="BQ188" s="128"/>
      <c r="BR188" s="128"/>
      <c r="BS188" s="128"/>
      <c r="BT188" s="128"/>
      <c r="BU188" s="128"/>
      <c r="BV188" s="128"/>
      <c r="BW188" s="128"/>
      <c r="BX188" s="128"/>
      <c r="BY188" s="128"/>
    </row>
    <row r="189" spans="2:77" ht="15" customHeight="1" thickBot="1">
      <c r="B189" s="418" t="s">
        <v>566</v>
      </c>
      <c r="C189" s="818"/>
      <c r="D189" s="819"/>
      <c r="E189" s="819"/>
      <c r="F189" s="819"/>
      <c r="G189" s="819"/>
      <c r="H189" s="819"/>
      <c r="I189" s="819"/>
      <c r="J189" s="819"/>
      <c r="K189" s="819"/>
      <c r="L189" s="819"/>
      <c r="M189" s="819"/>
      <c r="N189" s="820"/>
      <c r="P189" s="388">
        <f>IF(AL20&gt;1,1,0)</f>
        <v>0</v>
      </c>
      <c r="Q189" s="275">
        <f>IF(P189=0,0,IF(C189='Materiales Personalizados'!$AG$30,55,IF(C189='Materiales Personalizados'!$AG$31,25,IF(C189='Materiales Personalizados'!$AG$32,55,0))))</f>
        <v>0</v>
      </c>
      <c r="R189" s="911"/>
      <c r="U189" s="440">
        <f t="shared" si="138"/>
        <v>0</v>
      </c>
      <c r="V189" s="936"/>
      <c r="Y189" s="911"/>
      <c r="AA189" s="933"/>
      <c r="AB189" s="911"/>
      <c r="AC189" s="911"/>
      <c r="AE189" s="933"/>
      <c r="AF189" s="500"/>
      <c r="AG189" s="911"/>
      <c r="AH189" s="911"/>
      <c r="BN189" s="128"/>
      <c r="BO189" s="128"/>
      <c r="BP189" s="128"/>
      <c r="BQ189" s="128"/>
      <c r="BR189" s="128"/>
      <c r="BS189" s="128"/>
      <c r="BT189" s="128"/>
      <c r="BU189" s="128"/>
      <c r="BV189" s="128"/>
      <c r="BW189" s="128"/>
      <c r="BX189" s="128"/>
      <c r="BY189" s="128"/>
    </row>
    <row r="190" spans="2:77" ht="15" customHeight="1" thickBot="1">
      <c r="B190" s="418" t="s">
        <v>572</v>
      </c>
      <c r="C190" s="818"/>
      <c r="D190" s="819"/>
      <c r="E190" s="819"/>
      <c r="F190" s="819"/>
      <c r="G190" s="819"/>
      <c r="H190" s="819"/>
      <c r="I190" s="819"/>
      <c r="J190" s="819"/>
      <c r="K190" s="819"/>
      <c r="L190" s="819"/>
      <c r="M190" s="819"/>
      <c r="N190" s="820"/>
      <c r="P190" s="388">
        <f>IF(AL21&gt;1,1,0)</f>
        <v>0</v>
      </c>
      <c r="Q190" s="275">
        <f>IF(P190=0,0,IF(C190='Materiales Personalizados'!$AG$30,55,IF(C190='Materiales Personalizados'!$AG$31,25,IF(C190='Materiales Personalizados'!$AG$32,55,0))))</f>
        <v>0</v>
      </c>
      <c r="R190" s="912"/>
      <c r="U190" s="440">
        <f t="shared" si="138"/>
        <v>0</v>
      </c>
      <c r="V190" s="937"/>
      <c r="Y190" s="912"/>
      <c r="AA190" s="934"/>
      <c r="AB190" s="912"/>
      <c r="AC190" s="912"/>
      <c r="AE190" s="934"/>
      <c r="AF190" s="501"/>
      <c r="AG190" s="912"/>
      <c r="AH190" s="912"/>
      <c r="BB190" s="1023" t="s">
        <v>1855</v>
      </c>
      <c r="BC190" s="1023"/>
      <c r="BD190" s="1023"/>
      <c r="BE190" s="1023"/>
      <c r="BF190" s="1023"/>
      <c r="BG190" s="1023"/>
      <c r="BH190" s="1023"/>
      <c r="BI190" s="1023"/>
      <c r="BJ190" s="1023"/>
      <c r="BN190" s="128"/>
      <c r="BO190" s="128"/>
      <c r="BP190" s="128"/>
      <c r="BQ190" s="128"/>
      <c r="BR190" s="128"/>
      <c r="BS190" s="128"/>
      <c r="BT190" s="128"/>
      <c r="BU190" s="128"/>
      <c r="BV190" s="128"/>
      <c r="BW190" s="128"/>
      <c r="BX190" s="128"/>
      <c r="BY190" s="128"/>
    </row>
    <row r="191" spans="2:77" ht="6" customHeight="1" thickBot="1">
      <c r="E191" s="332"/>
      <c r="F191" s="332"/>
      <c r="P191" s="338"/>
      <c r="Q191" s="348"/>
      <c r="R191" s="348"/>
      <c r="S191" s="348"/>
      <c r="T191" s="348"/>
      <c r="U191" s="348"/>
      <c r="V191" s="348"/>
      <c r="W191" s="348"/>
      <c r="X191" s="348"/>
      <c r="AX191" s="127"/>
      <c r="AY191" s="99"/>
      <c r="AZ191" s="142"/>
      <c r="BB191" s="146"/>
      <c r="BC191" s="146"/>
      <c r="BD191" s="146"/>
      <c r="BE191" s="146"/>
      <c r="BF191" s="146"/>
      <c r="BG191" s="146"/>
      <c r="BH191" s="146"/>
      <c r="BI191" s="146"/>
      <c r="BJ191" s="146"/>
      <c r="BK191" s="146"/>
      <c r="BL191" s="147"/>
      <c r="BM191" s="148"/>
      <c r="BN191" s="141"/>
      <c r="BO191" s="128"/>
      <c r="BP191" s="128"/>
      <c r="BQ191" s="128"/>
      <c r="BR191" s="128"/>
      <c r="BS191" s="128"/>
      <c r="BT191" s="128"/>
      <c r="BU191" s="128"/>
      <c r="BV191" s="128"/>
      <c r="BW191" s="128"/>
      <c r="BX191" s="128"/>
      <c r="BY191" s="128"/>
    </row>
    <row r="192" spans="2:77" ht="30" customHeight="1" thickBot="1">
      <c r="B192" s="840" t="s">
        <v>660</v>
      </c>
      <c r="C192" s="840"/>
      <c r="D192" s="840"/>
      <c r="E192" s="840"/>
      <c r="F192" s="840"/>
      <c r="G192" s="840"/>
      <c r="H192" s="840"/>
      <c r="I192" s="840"/>
      <c r="J192" s="840"/>
      <c r="K192" s="840"/>
      <c r="L192" s="840"/>
      <c r="M192" s="840"/>
      <c r="N192" s="840"/>
      <c r="P192" s="909" t="s">
        <v>660</v>
      </c>
      <c r="Q192" s="909"/>
      <c r="R192" s="909"/>
      <c r="S192" s="909"/>
      <c r="T192" s="909"/>
      <c r="U192" s="909"/>
      <c r="V192" s="909"/>
      <c r="W192" s="909"/>
      <c r="Y192" s="909" t="s">
        <v>660</v>
      </c>
      <c r="Z192" s="909"/>
      <c r="AA192" s="909"/>
      <c r="AB192" s="909"/>
      <c r="AC192" s="909"/>
      <c r="AD192" s="909"/>
      <c r="AE192" s="909"/>
      <c r="AF192" s="909"/>
      <c r="AG192" s="909"/>
      <c r="AH192" s="909"/>
      <c r="AI192" s="909"/>
      <c r="AJ192" s="909"/>
      <c r="AK192" s="909"/>
      <c r="AL192" s="909"/>
      <c r="AM192" s="909"/>
      <c r="AN192" s="909"/>
      <c r="AO192" s="909"/>
      <c r="AP192" s="909"/>
      <c r="AQ192" s="909"/>
      <c r="AR192" s="909"/>
      <c r="AS192" s="909"/>
      <c r="AT192" s="909"/>
      <c r="AU192" s="909"/>
      <c r="AV192" s="909"/>
      <c r="AW192" s="909"/>
      <c r="AX192" s="909"/>
      <c r="AY192" s="909"/>
      <c r="AZ192" s="142"/>
      <c r="BB192" s="1002"/>
      <c r="BC192" s="1003"/>
      <c r="BD192" s="1003"/>
      <c r="BE192" s="1003"/>
      <c r="BF192" s="1003"/>
      <c r="BG192" s="1003"/>
      <c r="BH192" s="1003"/>
      <c r="BI192" s="1003"/>
      <c r="BJ192" s="1004"/>
      <c r="BK192" s="146"/>
      <c r="BL192" s="147"/>
      <c r="BM192" s="148"/>
      <c r="BN192" s="128"/>
      <c r="BO192" s="128"/>
      <c r="BP192" s="128"/>
      <c r="BQ192" s="128"/>
      <c r="BR192" s="128"/>
      <c r="BS192" s="128"/>
      <c r="BT192" s="128"/>
      <c r="BU192" s="128"/>
      <c r="BV192" s="128"/>
      <c r="BW192" s="128"/>
      <c r="BX192" s="128"/>
      <c r="BY192" s="128"/>
    </row>
    <row r="193" spans="1:80" ht="6" customHeight="1" thickBot="1">
      <c r="P193" s="331"/>
      <c r="Q193" s="128"/>
      <c r="R193" s="141"/>
      <c r="S193" s="141"/>
      <c r="T193" s="128"/>
      <c r="U193" s="128"/>
      <c r="V193" s="128"/>
      <c r="W193" s="141"/>
      <c r="AX193" s="127"/>
      <c r="AY193" s="99"/>
      <c r="AZ193" s="142"/>
      <c r="BB193" s="1005"/>
      <c r="BC193" s="1006"/>
      <c r="BD193" s="1006"/>
      <c r="BE193" s="1006"/>
      <c r="BF193" s="1006"/>
      <c r="BG193" s="1006"/>
      <c r="BH193" s="1006"/>
      <c r="BI193" s="1006"/>
      <c r="BJ193" s="1007"/>
      <c r="BK193" s="146"/>
      <c r="BL193" s="147"/>
      <c r="BM193" s="148"/>
      <c r="BN193" s="141"/>
      <c r="BO193" s="128"/>
      <c r="BP193" s="128"/>
      <c r="BQ193" s="128"/>
      <c r="BR193" s="128"/>
      <c r="BS193" s="128"/>
      <c r="BT193" s="128"/>
      <c r="BU193" s="128"/>
      <c r="BV193" s="128"/>
      <c r="BW193" s="128"/>
      <c r="BX193" s="128"/>
      <c r="BY193" s="128"/>
    </row>
    <row r="194" spans="1:80" s="99" customFormat="1" ht="35" customHeight="1" thickBot="1">
      <c r="A194" s="421"/>
      <c r="B194" s="414" t="s">
        <v>598</v>
      </c>
      <c r="C194" s="838" t="s">
        <v>662</v>
      </c>
      <c r="D194" s="838"/>
      <c r="E194" s="838"/>
      <c r="F194" s="838"/>
      <c r="G194" s="838"/>
      <c r="H194" s="838"/>
      <c r="I194" s="421"/>
      <c r="J194" s="838" t="s">
        <v>661</v>
      </c>
      <c r="K194" s="838"/>
      <c r="L194" s="838"/>
      <c r="M194" s="838"/>
      <c r="N194" s="838"/>
      <c r="O194" s="404"/>
      <c r="P194" s="389" t="s">
        <v>598</v>
      </c>
      <c r="Q194" s="959" t="s">
        <v>662</v>
      </c>
      <c r="R194" s="959"/>
      <c r="S194" s="275" t="s">
        <v>1148</v>
      </c>
      <c r="T194" s="281" t="s">
        <v>1166</v>
      </c>
      <c r="U194" s="294" t="s">
        <v>661</v>
      </c>
      <c r="V194" s="275" t="s">
        <v>1169</v>
      </c>
      <c r="W194" s="281" t="s">
        <v>1166</v>
      </c>
      <c r="Y194" s="906" t="s">
        <v>1657</v>
      </c>
      <c r="Z194" s="906"/>
      <c r="AA194" s="906"/>
      <c r="AC194" s="906" t="s">
        <v>1657</v>
      </c>
      <c r="AD194" s="906"/>
      <c r="AE194" s="906"/>
      <c r="AF194" s="281" t="s">
        <v>1182</v>
      </c>
      <c r="AI194" s="1020">
        <f>IF(DATOS!I88=1,1,IF((AQ194+AI211)&gt;0,0,1))</f>
        <v>1</v>
      </c>
      <c r="AJ194" s="275" t="s">
        <v>1148</v>
      </c>
      <c r="AK194" s="281" t="s">
        <v>1166</v>
      </c>
      <c r="AM194" s="906" t="s">
        <v>1657</v>
      </c>
      <c r="AN194" s="906"/>
      <c r="AO194" s="906"/>
      <c r="AQ194" s="526">
        <f>IF(DATOS!G53="No",0,SUM(AQ195:AQ205))</f>
        <v>0</v>
      </c>
      <c r="AR194" s="275" t="s">
        <v>1169</v>
      </c>
      <c r="AS194" s="281" t="s">
        <v>1166</v>
      </c>
      <c r="AT194" s="906" t="s">
        <v>1657</v>
      </c>
      <c r="AU194" s="906"/>
      <c r="AV194" s="906"/>
      <c r="AW194" s="1011" t="s">
        <v>1895</v>
      </c>
      <c r="AX194" s="1012"/>
      <c r="AY194" s="293" t="s">
        <v>1182</v>
      </c>
      <c r="AZ194" s="142"/>
      <c r="BA194" s="411"/>
      <c r="BB194" s="1005"/>
      <c r="BC194" s="1006"/>
      <c r="BD194" s="1006"/>
      <c r="BE194" s="1006"/>
      <c r="BF194" s="1006"/>
      <c r="BG194" s="1006"/>
      <c r="BH194" s="1006"/>
      <c r="BI194" s="1006"/>
      <c r="BJ194" s="1007"/>
      <c r="BK194" s="146"/>
      <c r="BL194" s="147"/>
      <c r="BM194" s="148"/>
      <c r="BN194" s="141"/>
      <c r="BO194" s="141"/>
      <c r="BP194" s="141"/>
      <c r="BQ194" s="141"/>
      <c r="BR194" s="141"/>
      <c r="BS194" s="141"/>
      <c r="BT194" s="141"/>
      <c r="BU194" s="141"/>
      <c r="BV194" s="141"/>
      <c r="BW194" s="141"/>
      <c r="BX194" s="141"/>
      <c r="BY194" s="141"/>
      <c r="BZ194" s="148"/>
      <c r="CA194" s="148"/>
      <c r="CB194" s="148"/>
    </row>
    <row r="195" spans="1:80" s="99" customFormat="1" ht="15" customHeight="1" thickBot="1">
      <c r="A195" s="421"/>
      <c r="B195" s="418" t="s">
        <v>574</v>
      </c>
      <c r="C195" s="835"/>
      <c r="D195" s="835"/>
      <c r="E195" s="835"/>
      <c r="F195" s="835"/>
      <c r="G195" s="835"/>
      <c r="H195" s="835"/>
      <c r="I195" s="421" t="s">
        <v>17</v>
      </c>
      <c r="J195" s="835"/>
      <c r="K195" s="835"/>
      <c r="L195" s="835"/>
      <c r="M195" s="835"/>
      <c r="N195" s="835"/>
      <c r="O195" s="404"/>
      <c r="P195" s="397" t="s">
        <v>574</v>
      </c>
      <c r="Q195" s="952" t="str">
        <f>'BASE DE DATOS'!GO12</f>
        <v>Estufa de Tiro Balanceado - Etiqueta A (Gas)</v>
      </c>
      <c r="R195" s="952"/>
      <c r="S195" s="275">
        <f t="shared" ref="S195:S205" si="139">IF(X195=0,0,VLOOKUP(Q195,CALEFACCIONm,2,FALSE))</f>
        <v>0</v>
      </c>
      <c r="T195" s="281">
        <f t="shared" ref="T195:T205" si="140">IF(S195=0,0,VLOOKUP(Q195,CALEFACCIONm,3,FALSE))</f>
        <v>0</v>
      </c>
      <c r="U195" s="536" t="str">
        <f>'BASE DE DATOS'!GS12</f>
        <v>Aire Acondicionado - Clase A - Tipo Split</v>
      </c>
      <c r="V195" s="281">
        <f t="shared" ref="V195:V205" si="141">IF(S195=0,0,VLOOKUP(U195,REFRIGERACIONm,2,FALSE))</f>
        <v>0</v>
      </c>
      <c r="W195" s="281">
        <f t="shared" ref="W195:W205" si="142">IF(S195=0,0,VLOOKUP(U195,REFRIGERACIONm,3,FALSE))</f>
        <v>0</v>
      </c>
      <c r="X195" s="281">
        <f t="shared" ref="X195:X200" si="143">IF(AL10&gt;1,1,0)</f>
        <v>0</v>
      </c>
      <c r="Y195" s="293" t="s">
        <v>1162</v>
      </c>
      <c r="Z195" s="276" t="e">
        <f>VLOOKUP(Q41,LINEASBASE,3,FALSE)</f>
        <v>#N/A</v>
      </c>
      <c r="AA195" s="281" t="s">
        <v>755</v>
      </c>
      <c r="AB195" s="99">
        <f>X195</f>
        <v>0</v>
      </c>
      <c r="AC195" s="293" t="s">
        <v>1168</v>
      </c>
      <c r="AD195" s="276" t="e">
        <f>VLOOKUP($X$4,LINEASBASE,2,FALSE)</f>
        <v>#N/A</v>
      </c>
      <c r="AE195" s="281" t="s">
        <v>755</v>
      </c>
      <c r="AF195" s="276" t="e">
        <f>Z205</f>
        <v>#N/A</v>
      </c>
      <c r="AG195" s="99" t="str">
        <f>IF(DATOS!$G$53="Si",IF(C195=0,0,1),"-")</f>
        <v>-</v>
      </c>
      <c r="AH195" s="99" t="str">
        <f>IF(DATOS!$G$52="Si",IF(J195=0,0,1),"-")</f>
        <v>-</v>
      </c>
      <c r="AI195" s="1021"/>
      <c r="AJ195" s="275">
        <f t="shared" ref="AJ195:AJ205" si="144">IF(S195=0,0,VLOOKUP(C195,CALEFACCIONm,2,FALSE))</f>
        <v>0</v>
      </c>
      <c r="AK195" s="281">
        <f t="shared" ref="AK195:AK205" si="145">IF(AJ195=0,0,VLOOKUP(C195,CALEFACCIONm,3,FALSE))</f>
        <v>0</v>
      </c>
      <c r="AL195" s="281">
        <f>P181</f>
        <v>0</v>
      </c>
      <c r="AM195" s="293" t="s">
        <v>1162</v>
      </c>
      <c r="AN195" s="276">
        <f>AV149</f>
        <v>0</v>
      </c>
      <c r="AO195" s="281" t="s">
        <v>755</v>
      </c>
      <c r="AP195" s="99">
        <f t="shared" ref="AP195:AP205" si="146">IF(C195=0,0,1)</f>
        <v>0</v>
      </c>
      <c r="AQ195" s="99">
        <f t="shared" ref="AQ195:AQ205" si="147">+IF(AP195=AL195,0,1)</f>
        <v>0</v>
      </c>
      <c r="AR195" s="281">
        <f>IF(AJ195=0,0,VLOOKUP(J195,REFRIGERACIONm,2,FALSE))</f>
        <v>0</v>
      </c>
      <c r="AS195" s="281">
        <f t="shared" ref="AS195:AS205" si="148">IF(AJ195=0,0,VLOOKUP(J195,REFRIGERACIONm,3,FALSE))</f>
        <v>0</v>
      </c>
      <c r="AT195" s="293" t="s">
        <v>1168</v>
      </c>
      <c r="AU195" s="276">
        <f>AV151</f>
        <v>0</v>
      </c>
      <c r="AV195" s="281" t="s">
        <v>755</v>
      </c>
      <c r="AW195" s="281">
        <f>IF(X195=0,0,VLOOKUP(C195,BASE!$BX$4:$CE$36,8,FALSE))</f>
        <v>0</v>
      </c>
      <c r="AX195" s="941" t="e">
        <f>SUM(AW195:AW205)*AN203</f>
        <v>#DIV/0!</v>
      </c>
      <c r="AY195" s="276" t="e">
        <f>IF(DATOS!I88=1,DATOS!G93+DATOS!G94,AN205)</f>
        <v>#DIV/0!</v>
      </c>
      <c r="AZ195" s="142"/>
      <c r="BA195" s="411"/>
      <c r="BB195" s="1005"/>
      <c r="BC195" s="1006"/>
      <c r="BD195" s="1006"/>
      <c r="BE195" s="1006"/>
      <c r="BF195" s="1006"/>
      <c r="BG195" s="1006"/>
      <c r="BH195" s="1006"/>
      <c r="BI195" s="1006"/>
      <c r="BJ195" s="1007"/>
      <c r="BK195" s="146"/>
      <c r="BL195" s="147"/>
      <c r="BM195" s="148"/>
      <c r="BN195" s="141"/>
      <c r="BO195" s="141"/>
      <c r="BP195" s="141"/>
      <c r="BQ195" s="141"/>
      <c r="BR195" s="141"/>
      <c r="BS195" s="141"/>
      <c r="BT195" s="141"/>
      <c r="BU195" s="141"/>
      <c r="BV195" s="141"/>
      <c r="BW195" s="141"/>
      <c r="BX195" s="141"/>
      <c r="BY195" s="141"/>
      <c r="BZ195" s="148"/>
      <c r="CA195" s="148"/>
      <c r="CB195" s="148"/>
    </row>
    <row r="196" spans="1:80" s="99" customFormat="1" ht="15" customHeight="1" thickBot="1">
      <c r="A196" s="421"/>
      <c r="B196" s="418" t="s">
        <v>575</v>
      </c>
      <c r="C196" s="835"/>
      <c r="D196" s="835"/>
      <c r="E196" s="835"/>
      <c r="F196" s="835"/>
      <c r="G196" s="835"/>
      <c r="H196" s="835"/>
      <c r="I196" s="421"/>
      <c r="J196" s="835"/>
      <c r="K196" s="835"/>
      <c r="L196" s="835"/>
      <c r="M196" s="835"/>
      <c r="N196" s="835"/>
      <c r="O196" s="404"/>
      <c r="P196" s="397" t="s">
        <v>575</v>
      </c>
      <c r="Q196" s="907" t="str">
        <f>Q195</f>
        <v>Estufa de Tiro Balanceado - Etiqueta A (Gas)</v>
      </c>
      <c r="R196" s="907"/>
      <c r="S196" s="275">
        <f t="shared" si="139"/>
        <v>0</v>
      </c>
      <c r="T196" s="281">
        <f t="shared" si="140"/>
        <v>0</v>
      </c>
      <c r="U196" s="288" t="str">
        <f>U195</f>
        <v>Aire Acondicionado - Clase A - Tipo Split</v>
      </c>
      <c r="V196" s="281">
        <f t="shared" si="141"/>
        <v>0</v>
      </c>
      <c r="W196" s="281">
        <f t="shared" si="142"/>
        <v>0</v>
      </c>
      <c r="X196" s="281">
        <f t="shared" si="143"/>
        <v>0</v>
      </c>
      <c r="AB196" s="99">
        <f t="shared" ref="AB196:AB206" si="149">X196</f>
        <v>0</v>
      </c>
      <c r="AF196" s="278" t="s">
        <v>809</v>
      </c>
      <c r="AG196" s="99" t="str">
        <f>IF(DATOS!$G$53="Si",IF(C196=0,0,1),"-")</f>
        <v>-</v>
      </c>
      <c r="AH196" s="99" t="str">
        <f>IF(DATOS!$G$52="Si",IF(J196=0,0,1),"-")</f>
        <v>-</v>
      </c>
      <c r="AI196" s="1021"/>
      <c r="AJ196" s="275">
        <f t="shared" si="144"/>
        <v>0</v>
      </c>
      <c r="AK196" s="281">
        <f t="shared" si="145"/>
        <v>0</v>
      </c>
      <c r="AL196" s="281">
        <f t="shared" ref="AL196:AL199" si="150">P182</f>
        <v>0</v>
      </c>
      <c r="AP196" s="99">
        <f t="shared" si="146"/>
        <v>0</v>
      </c>
      <c r="AQ196" s="99">
        <f t="shared" si="147"/>
        <v>0</v>
      </c>
      <c r="AR196" s="281">
        <f t="shared" ref="AR196:AR205" si="151">IF(AJ196=0,0,VLOOKUP(J196,REFRIGERACIONm,2,FALSE))</f>
        <v>0</v>
      </c>
      <c r="AS196" s="281">
        <f t="shared" si="148"/>
        <v>0</v>
      </c>
      <c r="AW196" s="525">
        <f>IF(X196=0,0,VLOOKUP(C196,BASE!$BX$4:$CE$36,8,FALSE))</f>
        <v>0</v>
      </c>
      <c r="AX196" s="942"/>
      <c r="AY196" s="278" t="s">
        <v>809</v>
      </c>
      <c r="AZ196" s="142"/>
      <c r="BA196" s="411"/>
      <c r="BB196" s="1005"/>
      <c r="BC196" s="1006"/>
      <c r="BD196" s="1006"/>
      <c r="BE196" s="1006"/>
      <c r="BF196" s="1006"/>
      <c r="BG196" s="1006"/>
      <c r="BH196" s="1006"/>
      <c r="BI196" s="1006"/>
      <c r="BJ196" s="1007"/>
      <c r="BK196" s="146"/>
      <c r="BL196" s="147"/>
      <c r="BM196" s="148"/>
      <c r="BN196" s="141"/>
      <c r="BO196" s="141"/>
      <c r="BP196" s="141"/>
      <c r="BQ196" s="141"/>
      <c r="BR196" s="141"/>
      <c r="BS196" s="141"/>
      <c r="BT196" s="141"/>
      <c r="BU196" s="141"/>
      <c r="BV196" s="141"/>
      <c r="BW196" s="141"/>
      <c r="BX196" s="141"/>
      <c r="BY196" s="141"/>
      <c r="BZ196" s="148"/>
      <c r="CA196" s="148"/>
      <c r="CB196" s="148"/>
    </row>
    <row r="197" spans="1:80" s="99" customFormat="1" ht="15" customHeight="1" thickBot="1">
      <c r="A197" s="421"/>
      <c r="B197" s="418" t="s">
        <v>576</v>
      </c>
      <c r="C197" s="835"/>
      <c r="D197" s="835"/>
      <c r="E197" s="835"/>
      <c r="F197" s="835"/>
      <c r="G197" s="835"/>
      <c r="H197" s="835"/>
      <c r="I197" s="421"/>
      <c r="J197" s="835"/>
      <c r="K197" s="835"/>
      <c r="L197" s="835"/>
      <c r="M197" s="835"/>
      <c r="N197" s="835"/>
      <c r="O197" s="404"/>
      <c r="P197" s="397" t="s">
        <v>576</v>
      </c>
      <c r="Q197" s="907" t="str">
        <f t="shared" ref="Q197:Q205" si="152">Q196</f>
        <v>Estufa de Tiro Balanceado - Etiqueta A (Gas)</v>
      </c>
      <c r="R197" s="907"/>
      <c r="S197" s="275">
        <f t="shared" si="139"/>
        <v>0</v>
      </c>
      <c r="T197" s="281">
        <f t="shared" si="140"/>
        <v>0</v>
      </c>
      <c r="U197" s="288" t="str">
        <f t="shared" ref="U197:U205" si="153">U196</f>
        <v>Aire Acondicionado - Clase A - Tipo Split</v>
      </c>
      <c r="V197" s="281">
        <f t="shared" si="141"/>
        <v>0</v>
      </c>
      <c r="W197" s="281">
        <f t="shared" si="142"/>
        <v>0</v>
      </c>
      <c r="X197" s="281">
        <f t="shared" si="143"/>
        <v>0</v>
      </c>
      <c r="Y197" s="906" t="s">
        <v>1658</v>
      </c>
      <c r="Z197" s="906"/>
      <c r="AA197" s="906"/>
      <c r="AB197" s="99">
        <f t="shared" si="149"/>
        <v>0</v>
      </c>
      <c r="AC197" s="906" t="s">
        <v>1658</v>
      </c>
      <c r="AD197" s="906"/>
      <c r="AE197" s="906"/>
      <c r="AF197" s="898" t="e">
        <f>Z203+AD203</f>
        <v>#N/A</v>
      </c>
      <c r="AG197" s="99" t="str">
        <f>IF(DATOS!$G$53="Si",IF(C197=0,0,1),"-")</f>
        <v>-</v>
      </c>
      <c r="AH197" s="99" t="str">
        <f>IF(DATOS!$G$52="Si",IF(J197=0,0,1),"-")</f>
        <v>-</v>
      </c>
      <c r="AI197" s="1021"/>
      <c r="AJ197" s="275">
        <f t="shared" si="144"/>
        <v>0</v>
      </c>
      <c r="AK197" s="281">
        <f t="shared" si="145"/>
        <v>0</v>
      </c>
      <c r="AL197" s="281">
        <f t="shared" si="150"/>
        <v>0</v>
      </c>
      <c r="AM197" s="906" t="s">
        <v>1658</v>
      </c>
      <c r="AN197" s="906"/>
      <c r="AO197" s="906"/>
      <c r="AP197" s="99">
        <f t="shared" si="146"/>
        <v>0</v>
      </c>
      <c r="AQ197" s="99">
        <f t="shared" si="147"/>
        <v>0</v>
      </c>
      <c r="AR197" s="281">
        <f t="shared" si="151"/>
        <v>0</v>
      </c>
      <c r="AS197" s="281">
        <f t="shared" si="148"/>
        <v>0</v>
      </c>
      <c r="AT197" s="906" t="s">
        <v>1658</v>
      </c>
      <c r="AU197" s="906"/>
      <c r="AV197" s="906"/>
      <c r="AW197" s="525">
        <f>IF(X197=0,0,VLOOKUP(C197,BASE!$BX$4:$CE$36,8,FALSE))</f>
        <v>0</v>
      </c>
      <c r="AX197" s="942"/>
      <c r="AY197" s="898" t="e">
        <f>IF(DATOS!I88=1,(DATOS!F93+DATOS!F94),((AN203+AU203+AV207)*AW207)*AY207)</f>
        <v>#DIV/0!</v>
      </c>
      <c r="AZ197" s="142"/>
      <c r="BA197" s="411"/>
      <c r="BB197" s="1005"/>
      <c r="BC197" s="1006"/>
      <c r="BD197" s="1006"/>
      <c r="BE197" s="1006"/>
      <c r="BF197" s="1006"/>
      <c r="BG197" s="1006"/>
      <c r="BH197" s="1006"/>
      <c r="BI197" s="1006"/>
      <c r="BJ197" s="1007"/>
      <c r="BK197" s="146"/>
      <c r="BL197" s="147"/>
      <c r="BM197" s="148"/>
      <c r="BN197" s="141"/>
      <c r="BO197" s="141"/>
      <c r="BP197" s="141"/>
      <c r="BQ197" s="141"/>
      <c r="BR197" s="141"/>
      <c r="BS197" s="141"/>
      <c r="BT197" s="141"/>
      <c r="BU197" s="141"/>
      <c r="BV197" s="141"/>
      <c r="BW197" s="141"/>
      <c r="BX197" s="141"/>
      <c r="BY197" s="141"/>
      <c r="BZ197" s="148"/>
      <c r="CA197" s="148"/>
      <c r="CB197" s="148"/>
    </row>
    <row r="198" spans="1:80" s="99" customFormat="1" ht="15" customHeight="1" thickBot="1">
      <c r="A198" s="421"/>
      <c r="B198" s="418" t="s">
        <v>577</v>
      </c>
      <c r="C198" s="835"/>
      <c r="D198" s="835"/>
      <c r="E198" s="835"/>
      <c r="F198" s="835"/>
      <c r="G198" s="835"/>
      <c r="H198" s="835"/>
      <c r="I198" s="421"/>
      <c r="J198" s="835"/>
      <c r="K198" s="835"/>
      <c r="L198" s="835"/>
      <c r="M198" s="835"/>
      <c r="N198" s="835"/>
      <c r="O198" s="404"/>
      <c r="P198" s="397" t="s">
        <v>577</v>
      </c>
      <c r="Q198" s="907" t="str">
        <f t="shared" si="152"/>
        <v>Estufa de Tiro Balanceado - Etiqueta A (Gas)</v>
      </c>
      <c r="R198" s="907"/>
      <c r="S198" s="275">
        <f t="shared" si="139"/>
        <v>0</v>
      </c>
      <c r="T198" s="281">
        <f t="shared" si="140"/>
        <v>0</v>
      </c>
      <c r="U198" s="288" t="str">
        <f t="shared" si="153"/>
        <v>Aire Acondicionado - Clase A - Tipo Split</v>
      </c>
      <c r="V198" s="281">
        <f t="shared" si="141"/>
        <v>0</v>
      </c>
      <c r="W198" s="281">
        <f t="shared" si="142"/>
        <v>0</v>
      </c>
      <c r="X198" s="281">
        <f t="shared" si="143"/>
        <v>0</v>
      </c>
      <c r="Y198" s="281" t="s">
        <v>1163</v>
      </c>
      <c r="Z198" s="276" t="e">
        <f>SUM(S195:S205)/SUMIF(X195:X205,1,AB195:AB205)</f>
        <v>#DIV/0!</v>
      </c>
      <c r="AA198" s="281"/>
      <c r="AB198" s="99">
        <f t="shared" si="149"/>
        <v>0</v>
      </c>
      <c r="AC198" s="281" t="s">
        <v>1163</v>
      </c>
      <c r="AD198" s="276" t="e">
        <f>SUM(V195:V205)/(COUNT(V195:V205)-COUNTIF(V195:V205,0))</f>
        <v>#DIV/0!</v>
      </c>
      <c r="AE198" s="281"/>
      <c r="AF198" s="898"/>
      <c r="AG198" s="99" t="str">
        <f>IF(DATOS!$G$53="Si",IF(C198=0,0,1),"-")</f>
        <v>-</v>
      </c>
      <c r="AH198" s="99" t="str">
        <f>IF(DATOS!$G$52="Si",IF(J198=0,0,1),"-")</f>
        <v>-</v>
      </c>
      <c r="AI198" s="1021"/>
      <c r="AJ198" s="275">
        <f t="shared" si="144"/>
        <v>0</v>
      </c>
      <c r="AK198" s="281">
        <f t="shared" si="145"/>
        <v>0</v>
      </c>
      <c r="AL198" s="281">
        <f t="shared" si="150"/>
        <v>0</v>
      </c>
      <c r="AM198" s="281" t="s">
        <v>1163</v>
      </c>
      <c r="AN198" s="276" t="e">
        <f>IF(DATOS!G53="No",Z198,SUM(AJ195:AJ205)/(COUNT(AJ195:AJ205)-COUNTIF(AJ195:AJ205,0)))</f>
        <v>#DIV/0!</v>
      </c>
      <c r="AO198" s="281"/>
      <c r="AP198" s="99">
        <f t="shared" si="146"/>
        <v>0</v>
      </c>
      <c r="AQ198" s="99">
        <f t="shared" si="147"/>
        <v>0</v>
      </c>
      <c r="AR198" s="281">
        <f t="shared" si="151"/>
        <v>0</v>
      </c>
      <c r="AS198" s="281">
        <f t="shared" si="148"/>
        <v>0</v>
      </c>
      <c r="AT198" s="281" t="s">
        <v>1163</v>
      </c>
      <c r="AU198" s="276" t="e">
        <f>IF(DATOS!G52="No",AN198,SUM(AR195:AR205)/(COUNT(AR195:AR205)-COUNTIF(AR195:AR205,0)))</f>
        <v>#DIV/0!</v>
      </c>
      <c r="AV198" s="281"/>
      <c r="AW198" s="525">
        <f>IF(X198=0,0,VLOOKUP(C198,BASE!$BX$4:$CE$36,8,FALSE))</f>
        <v>0</v>
      </c>
      <c r="AX198" s="942"/>
      <c r="AY198" s="898"/>
      <c r="AZ198" s="142"/>
      <c r="BA198" s="411"/>
      <c r="BB198" s="1005"/>
      <c r="BC198" s="1006"/>
      <c r="BD198" s="1006"/>
      <c r="BE198" s="1006"/>
      <c r="BF198" s="1006"/>
      <c r="BG198" s="1006"/>
      <c r="BH198" s="1006"/>
      <c r="BI198" s="1006"/>
      <c r="BJ198" s="1007"/>
      <c r="BK198" s="146"/>
      <c r="BL198" s="147"/>
      <c r="BM198" s="148"/>
      <c r="BN198" s="141"/>
      <c r="BO198" s="141"/>
      <c r="BP198" s="141"/>
      <c r="BQ198" s="141"/>
      <c r="BR198" s="141"/>
      <c r="BS198" s="141"/>
      <c r="BT198" s="141"/>
      <c r="BU198" s="141"/>
      <c r="BV198" s="141"/>
      <c r="BW198" s="141"/>
      <c r="BX198" s="141"/>
      <c r="BY198" s="141"/>
      <c r="BZ198" s="148"/>
      <c r="CA198" s="148"/>
      <c r="CB198" s="148"/>
    </row>
    <row r="199" spans="1:80" s="99" customFormat="1" ht="15" customHeight="1" thickBot="1">
      <c r="A199" s="421"/>
      <c r="B199" s="418" t="s">
        <v>578</v>
      </c>
      <c r="C199" s="835"/>
      <c r="D199" s="835"/>
      <c r="E199" s="835"/>
      <c r="F199" s="835"/>
      <c r="G199" s="835"/>
      <c r="H199" s="835"/>
      <c r="I199" s="421"/>
      <c r="J199" s="835"/>
      <c r="K199" s="835"/>
      <c r="L199" s="835"/>
      <c r="M199" s="835"/>
      <c r="N199" s="835"/>
      <c r="O199" s="404"/>
      <c r="P199" s="397" t="s">
        <v>578</v>
      </c>
      <c r="Q199" s="907" t="str">
        <f t="shared" si="152"/>
        <v>Estufa de Tiro Balanceado - Etiqueta A (Gas)</v>
      </c>
      <c r="R199" s="907"/>
      <c r="S199" s="275">
        <f t="shared" si="139"/>
        <v>0</v>
      </c>
      <c r="T199" s="281">
        <f t="shared" si="140"/>
        <v>0</v>
      </c>
      <c r="U199" s="288" t="str">
        <f t="shared" si="153"/>
        <v>Aire Acondicionado - Clase A - Tipo Split</v>
      </c>
      <c r="V199" s="281">
        <f t="shared" si="141"/>
        <v>0</v>
      </c>
      <c r="W199" s="281">
        <f t="shared" si="142"/>
        <v>0</v>
      </c>
      <c r="X199" s="281">
        <f t="shared" si="143"/>
        <v>0</v>
      </c>
      <c r="Y199" s="281" t="s">
        <v>1164</v>
      </c>
      <c r="Z199" s="276" t="e">
        <f>Z195/Z198</f>
        <v>#N/A</v>
      </c>
      <c r="AA199" s="281" t="s">
        <v>755</v>
      </c>
      <c r="AB199" s="99">
        <f t="shared" si="149"/>
        <v>0</v>
      </c>
      <c r="AC199" s="281" t="s">
        <v>1164</v>
      </c>
      <c r="AD199" s="276" t="e">
        <f>AD195/AD198</f>
        <v>#N/A</v>
      </c>
      <c r="AE199" s="281" t="s">
        <v>755</v>
      </c>
      <c r="AF199" s="898"/>
      <c r="AG199" s="99" t="str">
        <f>IF(DATOS!$G$53="Si",IF(C199=0,0,1),"-")</f>
        <v>-</v>
      </c>
      <c r="AH199" s="99" t="str">
        <f>IF(DATOS!$G$52="Si",IF(J199=0,0,1),"-")</f>
        <v>-</v>
      </c>
      <c r="AI199" s="1021"/>
      <c r="AJ199" s="275">
        <f t="shared" si="144"/>
        <v>0</v>
      </c>
      <c r="AK199" s="281">
        <f t="shared" si="145"/>
        <v>0</v>
      </c>
      <c r="AL199" s="281">
        <f t="shared" si="150"/>
        <v>0</v>
      </c>
      <c r="AM199" s="281" t="s">
        <v>1164</v>
      </c>
      <c r="AN199" s="276" t="e">
        <f>AN195/AN198</f>
        <v>#DIV/0!</v>
      </c>
      <c r="AO199" s="281" t="s">
        <v>755</v>
      </c>
      <c r="AP199" s="99">
        <f t="shared" si="146"/>
        <v>0</v>
      </c>
      <c r="AQ199" s="99">
        <f t="shared" si="147"/>
        <v>0</v>
      </c>
      <c r="AR199" s="281">
        <f t="shared" si="151"/>
        <v>0</v>
      </c>
      <c r="AS199" s="281">
        <f t="shared" si="148"/>
        <v>0</v>
      </c>
      <c r="AT199" s="281" t="s">
        <v>1164</v>
      </c>
      <c r="AU199" s="276" t="e">
        <f>AU195/AU198</f>
        <v>#DIV/0!</v>
      </c>
      <c r="AV199" s="281" t="s">
        <v>755</v>
      </c>
      <c r="AW199" s="525">
        <f>IF(X199=0,0,VLOOKUP(C199,BASE!$BX$4:$CE$36,8,FALSE))</f>
        <v>0</v>
      </c>
      <c r="AX199" s="942"/>
      <c r="AY199" s="898"/>
      <c r="AZ199" s="142"/>
      <c r="BA199" s="411"/>
      <c r="BB199" s="1005"/>
      <c r="BC199" s="1006"/>
      <c r="BD199" s="1006"/>
      <c r="BE199" s="1006"/>
      <c r="BF199" s="1006"/>
      <c r="BG199" s="1006"/>
      <c r="BH199" s="1006"/>
      <c r="BI199" s="1006"/>
      <c r="BJ199" s="1007"/>
      <c r="BK199" s="146"/>
      <c r="BL199" s="147"/>
      <c r="BM199" s="148"/>
      <c r="BN199" s="141"/>
      <c r="BO199" s="141"/>
      <c r="BP199" s="141"/>
      <c r="BQ199" s="141"/>
      <c r="BR199" s="141"/>
      <c r="BS199" s="141"/>
      <c r="BT199" s="141"/>
      <c r="BU199" s="141"/>
      <c r="BV199" s="141"/>
      <c r="BW199" s="141"/>
      <c r="BX199" s="141"/>
      <c r="BY199" s="141"/>
      <c r="BZ199" s="148"/>
      <c r="CA199" s="148"/>
      <c r="CB199" s="148"/>
    </row>
    <row r="200" spans="1:80" s="99" customFormat="1" ht="15" customHeight="1" thickBot="1">
      <c r="A200" s="421"/>
      <c r="B200" s="418" t="s">
        <v>579</v>
      </c>
      <c r="C200" s="835"/>
      <c r="D200" s="835"/>
      <c r="E200" s="835"/>
      <c r="F200" s="835"/>
      <c r="G200" s="835"/>
      <c r="H200" s="835"/>
      <c r="I200" s="421"/>
      <c r="J200" s="835"/>
      <c r="K200" s="835"/>
      <c r="L200" s="835"/>
      <c r="M200" s="835"/>
      <c r="N200" s="835"/>
      <c r="O200" s="404"/>
      <c r="P200" s="397" t="s">
        <v>579</v>
      </c>
      <c r="Q200" s="907" t="str">
        <f t="shared" si="152"/>
        <v>Estufa de Tiro Balanceado - Etiqueta A (Gas)</v>
      </c>
      <c r="R200" s="907"/>
      <c r="S200" s="275">
        <f t="shared" si="139"/>
        <v>0</v>
      </c>
      <c r="T200" s="281">
        <f t="shared" si="140"/>
        <v>0</v>
      </c>
      <c r="U200" s="288" t="str">
        <f t="shared" si="153"/>
        <v>Aire Acondicionado - Clase A - Tipo Split</v>
      </c>
      <c r="V200" s="281">
        <f t="shared" si="141"/>
        <v>0</v>
      </c>
      <c r="W200" s="281">
        <f t="shared" si="142"/>
        <v>0</v>
      </c>
      <c r="X200" s="281">
        <f t="shared" si="143"/>
        <v>0</v>
      </c>
      <c r="AB200" s="99">
        <f t="shared" si="149"/>
        <v>0</v>
      </c>
      <c r="AF200" s="898"/>
      <c r="AG200" s="99" t="str">
        <f>IF(DATOS!$G$53="Si",IF(C200=0,0,1),"-")</f>
        <v>-</v>
      </c>
      <c r="AH200" s="99" t="str">
        <f>IF(DATOS!$G$52="Si",IF(J200=0,0,1),"-")</f>
        <v>-</v>
      </c>
      <c r="AI200" s="1021"/>
      <c r="AJ200" s="275">
        <f t="shared" si="144"/>
        <v>0</v>
      </c>
      <c r="AK200" s="281">
        <f t="shared" si="145"/>
        <v>0</v>
      </c>
      <c r="AL200" s="281">
        <f>P186</f>
        <v>0</v>
      </c>
      <c r="AP200" s="99">
        <f t="shared" si="146"/>
        <v>0</v>
      </c>
      <c r="AQ200" s="99">
        <f t="shared" si="147"/>
        <v>0</v>
      </c>
      <c r="AR200" s="281">
        <f t="shared" si="151"/>
        <v>0</v>
      </c>
      <c r="AS200" s="281">
        <f t="shared" si="148"/>
        <v>0</v>
      </c>
      <c r="AW200" s="525">
        <f>IF(X200=0,0,VLOOKUP(C200,BASE!$BX$4:$CE$36,8,FALSE))</f>
        <v>0</v>
      </c>
      <c r="AX200" s="942"/>
      <c r="AY200" s="898"/>
      <c r="AZ200" s="142"/>
      <c r="BA200" s="411"/>
      <c r="BB200" s="1005"/>
      <c r="BC200" s="1006"/>
      <c r="BD200" s="1006"/>
      <c r="BE200" s="1006"/>
      <c r="BF200" s="1006"/>
      <c r="BG200" s="1006"/>
      <c r="BH200" s="1006"/>
      <c r="BI200" s="1006"/>
      <c r="BJ200" s="1007"/>
      <c r="BK200" s="146"/>
      <c r="BL200" s="147"/>
      <c r="BM200" s="148"/>
      <c r="BN200" s="141"/>
      <c r="BO200" s="141"/>
      <c r="BP200" s="141"/>
      <c r="BQ200" s="141"/>
      <c r="BR200" s="141"/>
      <c r="BS200" s="141"/>
      <c r="BT200" s="141"/>
      <c r="BU200" s="141"/>
      <c r="BV200" s="141"/>
      <c r="BW200" s="141"/>
      <c r="BX200" s="141"/>
      <c r="BY200" s="141"/>
      <c r="BZ200" s="148"/>
      <c r="CA200" s="148"/>
      <c r="CB200" s="148"/>
    </row>
    <row r="201" spans="1:80" s="99" customFormat="1" ht="15" customHeight="1" thickBot="1">
      <c r="A201" s="421"/>
      <c r="B201" s="418" t="s">
        <v>611</v>
      </c>
      <c r="C201" s="835"/>
      <c r="D201" s="835"/>
      <c r="E201" s="835"/>
      <c r="F201" s="835"/>
      <c r="G201" s="835"/>
      <c r="H201" s="835"/>
      <c r="I201" s="421"/>
      <c r="J201" s="835"/>
      <c r="K201" s="835"/>
      <c r="L201" s="835"/>
      <c r="M201" s="835"/>
      <c r="N201" s="835"/>
      <c r="O201" s="404"/>
      <c r="P201" s="397" t="s">
        <v>611</v>
      </c>
      <c r="Q201" s="907" t="str">
        <f t="shared" si="152"/>
        <v>Estufa de Tiro Balanceado - Etiqueta A (Gas)</v>
      </c>
      <c r="R201" s="907"/>
      <c r="S201" s="275">
        <f t="shared" si="139"/>
        <v>0</v>
      </c>
      <c r="T201" s="281">
        <f t="shared" si="140"/>
        <v>0</v>
      </c>
      <c r="U201" s="288" t="str">
        <f t="shared" si="153"/>
        <v>Aire Acondicionado - Clase A - Tipo Split</v>
      </c>
      <c r="V201" s="281">
        <f t="shared" si="141"/>
        <v>0</v>
      </c>
      <c r="W201" s="281">
        <f t="shared" si="142"/>
        <v>0</v>
      </c>
      <c r="X201" s="281">
        <f>IF((AL16+AL17)&gt;1,1,0)</f>
        <v>0</v>
      </c>
      <c r="Y201" s="906" t="s">
        <v>1659</v>
      </c>
      <c r="Z201" s="906"/>
      <c r="AA201" s="906"/>
      <c r="AB201" s="99">
        <f t="shared" si="149"/>
        <v>0</v>
      </c>
      <c r="AC201" s="906" t="s">
        <v>1659</v>
      </c>
      <c r="AD201" s="906"/>
      <c r="AE201" s="906"/>
      <c r="AF201" s="898"/>
      <c r="AG201" s="99" t="str">
        <f>IF(DATOS!$G$53="Si",IF(C201=0,0,1),"-")</f>
        <v>-</v>
      </c>
      <c r="AH201" s="99" t="str">
        <f>IF(DATOS!$G$52="Si",IF(J201=0,0,1),"-")</f>
        <v>-</v>
      </c>
      <c r="AI201" s="1021"/>
      <c r="AJ201" s="275">
        <f t="shared" si="144"/>
        <v>0</v>
      </c>
      <c r="AK201" s="281">
        <f t="shared" si="145"/>
        <v>0</v>
      </c>
      <c r="AL201" s="281">
        <f>IF(P187=1,1,IF(P188=1,1,0))</f>
        <v>0</v>
      </c>
      <c r="AM201" s="906" t="s">
        <v>1659</v>
      </c>
      <c r="AN201" s="906"/>
      <c r="AO201" s="906"/>
      <c r="AP201" s="99">
        <f t="shared" si="146"/>
        <v>0</v>
      </c>
      <c r="AQ201" s="99">
        <f t="shared" si="147"/>
        <v>0</v>
      </c>
      <c r="AR201" s="281">
        <f t="shared" si="151"/>
        <v>0</v>
      </c>
      <c r="AS201" s="281">
        <f t="shared" si="148"/>
        <v>0</v>
      </c>
      <c r="AT201" s="906" t="s">
        <v>1659</v>
      </c>
      <c r="AU201" s="906"/>
      <c r="AV201" s="906"/>
      <c r="AW201" s="525">
        <f>IF(X201=0,0,VLOOKUP(C201,BASE!$BX$4:$CE$36,8,FALSE))</f>
        <v>0</v>
      </c>
      <c r="AX201" s="942"/>
      <c r="AY201" s="898"/>
      <c r="AZ201" s="142"/>
      <c r="BA201" s="411"/>
      <c r="BB201" s="1005"/>
      <c r="BC201" s="1006"/>
      <c r="BD201" s="1006"/>
      <c r="BE201" s="1006"/>
      <c r="BF201" s="1006"/>
      <c r="BG201" s="1006"/>
      <c r="BH201" s="1006"/>
      <c r="BI201" s="1006"/>
      <c r="BJ201" s="1007"/>
      <c r="BK201" s="146"/>
      <c r="BL201" s="147"/>
      <c r="BM201" s="148"/>
      <c r="BN201" s="141"/>
      <c r="BO201" s="141"/>
      <c r="BP201" s="141"/>
      <c r="BQ201" s="141"/>
      <c r="BR201" s="141"/>
      <c r="BS201" s="141"/>
      <c r="BT201" s="141"/>
      <c r="BU201" s="141"/>
      <c r="BV201" s="141"/>
      <c r="BW201" s="141"/>
      <c r="BX201" s="141"/>
      <c r="BY201" s="141"/>
      <c r="BZ201" s="148"/>
      <c r="CA201" s="148"/>
      <c r="CB201" s="148"/>
    </row>
    <row r="202" spans="1:80" s="99" customFormat="1" ht="15" customHeight="1" thickBot="1">
      <c r="A202" s="421"/>
      <c r="B202" s="418" t="s">
        <v>583</v>
      </c>
      <c r="C202" s="835"/>
      <c r="D202" s="835"/>
      <c r="E202" s="835"/>
      <c r="F202" s="835"/>
      <c r="G202" s="835"/>
      <c r="H202" s="835"/>
      <c r="I202" s="421"/>
      <c r="J202" s="835"/>
      <c r="K202" s="835"/>
      <c r="L202" s="835"/>
      <c r="M202" s="835"/>
      <c r="N202" s="835"/>
      <c r="O202" s="404"/>
      <c r="P202" s="397" t="s">
        <v>583</v>
      </c>
      <c r="Q202" s="907" t="str">
        <f t="shared" si="152"/>
        <v>Estufa de Tiro Balanceado - Etiqueta A (Gas)</v>
      </c>
      <c r="R202" s="907"/>
      <c r="S202" s="275">
        <f t="shared" si="139"/>
        <v>0</v>
      </c>
      <c r="T202" s="281">
        <f t="shared" si="140"/>
        <v>0</v>
      </c>
      <c r="U202" s="288" t="str">
        <f t="shared" si="153"/>
        <v>Aire Acondicionado - Clase A - Tipo Split</v>
      </c>
      <c r="V202" s="281">
        <f t="shared" si="141"/>
        <v>0</v>
      </c>
      <c r="W202" s="281">
        <f t="shared" si="142"/>
        <v>0</v>
      </c>
      <c r="X202" s="281">
        <f>IF(AL19&gt;1,1,0)</f>
        <v>0</v>
      </c>
      <c r="Y202" s="281" t="s">
        <v>1167</v>
      </c>
      <c r="Z202" s="276" t="e">
        <f>SUM(T195:T205)/(COUNT(T195:T205)-COUNTIF(T195:T205,0))</f>
        <v>#DIV/0!</v>
      </c>
      <c r="AA202" s="281"/>
      <c r="AB202" s="99">
        <f t="shared" si="149"/>
        <v>0</v>
      </c>
      <c r="AC202" s="281" t="s">
        <v>1167</v>
      </c>
      <c r="AD202" s="276" t="e">
        <f>SUM(W195:W205)/(COUNT(W195:W205)-COUNTIF(W195:W205,0))</f>
        <v>#DIV/0!</v>
      </c>
      <c r="AE202" s="281"/>
      <c r="AF202" s="898"/>
      <c r="AG202" s="99" t="str">
        <f>IF(DATOS!$G$53="Si",IF(C202=0,0,1),"-")</f>
        <v>-</v>
      </c>
      <c r="AH202" s="99" t="str">
        <f>IF(DATOS!$G$52="Si",IF(J202=0,0,1),"-")</f>
        <v>-</v>
      </c>
      <c r="AI202" s="1021"/>
      <c r="AJ202" s="275">
        <f t="shared" si="144"/>
        <v>0</v>
      </c>
      <c r="AK202" s="281">
        <f t="shared" si="145"/>
        <v>0</v>
      </c>
      <c r="AL202" s="281">
        <f>IF(DATOS!C44&gt;0.1,1,0)</f>
        <v>0</v>
      </c>
      <c r="AM202" s="281" t="s">
        <v>1167</v>
      </c>
      <c r="AN202" s="276" t="e">
        <f>IF(DATOS!G53="No",Z202,SUM(AK195:AK205)/SUM(AL195:AL205))</f>
        <v>#DIV/0!</v>
      </c>
      <c r="AO202" s="281"/>
      <c r="AP202" s="99">
        <f t="shared" si="146"/>
        <v>0</v>
      </c>
      <c r="AQ202" s="99">
        <f t="shared" si="147"/>
        <v>0</v>
      </c>
      <c r="AR202" s="281">
        <f t="shared" si="151"/>
        <v>0</v>
      </c>
      <c r="AS202" s="281">
        <f t="shared" si="148"/>
        <v>0</v>
      </c>
      <c r="AT202" s="281" t="s">
        <v>1167</v>
      </c>
      <c r="AU202" s="281" t="e">
        <f>IF(DATOS!G52="No",AN202,SUM(AS195:AS205)/SUM(AL195:AL205))</f>
        <v>#DIV/0!</v>
      </c>
      <c r="AV202" s="281"/>
      <c r="AW202" s="525">
        <f>IF(X202=0,0,VLOOKUP(C202,BASE!$BX$4:$CE$36,8,FALSE))</f>
        <v>0</v>
      </c>
      <c r="AX202" s="942"/>
      <c r="AY202" s="898"/>
      <c r="AZ202" s="142"/>
      <c r="BA202" s="411"/>
      <c r="BB202" s="1005"/>
      <c r="BC202" s="1006"/>
      <c r="BD202" s="1006"/>
      <c r="BE202" s="1006"/>
      <c r="BF202" s="1006"/>
      <c r="BG202" s="1006"/>
      <c r="BH202" s="1006"/>
      <c r="BI202" s="1006"/>
      <c r="BJ202" s="1007"/>
      <c r="BK202" s="146"/>
      <c r="BL202" s="147"/>
      <c r="BM202" s="148"/>
      <c r="BN202" s="141"/>
      <c r="CA202" s="148"/>
      <c r="CB202" s="148"/>
    </row>
    <row r="203" spans="1:80" s="99" customFormat="1" ht="15" customHeight="1" thickBot="1">
      <c r="A203" s="421"/>
      <c r="B203" s="418" t="s">
        <v>566</v>
      </c>
      <c r="C203" s="835"/>
      <c r="D203" s="835"/>
      <c r="E203" s="835"/>
      <c r="F203" s="835"/>
      <c r="G203" s="835"/>
      <c r="H203" s="835"/>
      <c r="I203" s="421"/>
      <c r="J203" s="835"/>
      <c r="K203" s="835"/>
      <c r="L203" s="835"/>
      <c r="M203" s="835"/>
      <c r="N203" s="835"/>
      <c r="O203" s="404"/>
      <c r="P203" s="397" t="s">
        <v>566</v>
      </c>
      <c r="Q203" s="907" t="str">
        <f t="shared" si="152"/>
        <v>Estufa de Tiro Balanceado - Etiqueta A (Gas)</v>
      </c>
      <c r="R203" s="907"/>
      <c r="S203" s="275">
        <f t="shared" si="139"/>
        <v>0</v>
      </c>
      <c r="T203" s="281">
        <f t="shared" si="140"/>
        <v>0</v>
      </c>
      <c r="U203" s="288" t="str">
        <f t="shared" si="153"/>
        <v>Aire Acondicionado - Clase A - Tipo Split</v>
      </c>
      <c r="V203" s="281">
        <f t="shared" si="141"/>
        <v>0</v>
      </c>
      <c r="W203" s="281">
        <f t="shared" si="142"/>
        <v>0</v>
      </c>
      <c r="X203" s="281">
        <f>IF(AL20&gt;1,1,0)</f>
        <v>0</v>
      </c>
      <c r="Y203" s="281" t="s">
        <v>1165</v>
      </c>
      <c r="Z203" s="290" t="e">
        <f>(Z199*Z202)-((Z199*Z202)*0.25)</f>
        <v>#N/A</v>
      </c>
      <c r="AA203" s="281" t="s">
        <v>755</v>
      </c>
      <c r="AB203" s="99">
        <f t="shared" si="149"/>
        <v>0</v>
      </c>
      <c r="AC203" s="281" t="s">
        <v>1165</v>
      </c>
      <c r="AD203" s="290" t="e">
        <f>AD199*AD202</f>
        <v>#N/A</v>
      </c>
      <c r="AE203" s="281" t="s">
        <v>755</v>
      </c>
      <c r="AF203" s="898"/>
      <c r="AG203" s="99" t="str">
        <f>IF(DATOS!$G$53="Si",IF(C203=0,0,1),"-")</f>
        <v>-</v>
      </c>
      <c r="AH203" s="99" t="str">
        <f>IF(DATOS!$G$52="Si",IF(J203=0,0,1),"-")</f>
        <v>-</v>
      </c>
      <c r="AI203" s="1021"/>
      <c r="AJ203" s="275">
        <f t="shared" si="144"/>
        <v>0</v>
      </c>
      <c r="AK203" s="281">
        <f t="shared" si="145"/>
        <v>0</v>
      </c>
      <c r="AL203" s="281">
        <f>P189</f>
        <v>0</v>
      </c>
      <c r="AM203" s="281" t="s">
        <v>1165</v>
      </c>
      <c r="AN203" s="276" t="e">
        <f>IF(AN202&lt;BASE!BZ6,(AN199*AN202)-((AN199*AN202)*0.25),AN199*AN202)</f>
        <v>#DIV/0!</v>
      </c>
      <c r="AO203" s="281" t="s">
        <v>755</v>
      </c>
      <c r="AP203" s="99">
        <f t="shared" si="146"/>
        <v>0</v>
      </c>
      <c r="AQ203" s="99">
        <f t="shared" si="147"/>
        <v>0</v>
      </c>
      <c r="AR203" s="281">
        <f t="shared" si="151"/>
        <v>0</v>
      </c>
      <c r="AS203" s="281">
        <f t="shared" si="148"/>
        <v>0</v>
      </c>
      <c r="AT203" s="281" t="s">
        <v>1165</v>
      </c>
      <c r="AU203" s="290" t="e">
        <f>AU199*AU202</f>
        <v>#DIV/0!</v>
      </c>
      <c r="AV203" s="281" t="s">
        <v>755</v>
      </c>
      <c r="AW203" s="525">
        <f>IF(X203=0,0,VLOOKUP(C203,BASE!$BX$4:$CE$36,8,FALSE))</f>
        <v>0</v>
      </c>
      <c r="AX203" s="942"/>
      <c r="AY203" s="898"/>
      <c r="AZ203" s="142"/>
      <c r="BA203" s="411"/>
      <c r="BB203" s="1005"/>
      <c r="BC203" s="1006"/>
      <c r="BD203" s="1006"/>
      <c r="BE203" s="1006"/>
      <c r="BF203" s="1006"/>
      <c r="BG203" s="1006"/>
      <c r="BH203" s="1006"/>
      <c r="BI203" s="1006"/>
      <c r="BJ203" s="1007"/>
      <c r="BK203" s="146"/>
      <c r="BL203" s="147"/>
      <c r="BM203" s="148"/>
      <c r="BN203" s="141"/>
      <c r="BO203" s="141"/>
      <c r="BP203" s="141"/>
      <c r="BQ203" s="141"/>
      <c r="BR203" s="141"/>
      <c r="BS203" s="141"/>
      <c r="BT203" s="141"/>
      <c r="BU203" s="141"/>
      <c r="BV203" s="141"/>
      <c r="BW203" s="141"/>
      <c r="BX203" s="141"/>
      <c r="BY203" s="141"/>
      <c r="BZ203" s="148"/>
      <c r="CA203" s="148"/>
      <c r="CB203" s="148"/>
    </row>
    <row r="204" spans="1:80" s="99" customFormat="1" ht="15" customHeight="1" thickBot="1">
      <c r="A204" s="421"/>
      <c r="B204" s="418" t="s">
        <v>572</v>
      </c>
      <c r="C204" s="835"/>
      <c r="D204" s="835"/>
      <c r="E204" s="835"/>
      <c r="F204" s="835"/>
      <c r="G204" s="835"/>
      <c r="H204" s="835"/>
      <c r="I204" s="421"/>
      <c r="J204" s="835"/>
      <c r="K204" s="835"/>
      <c r="L204" s="835"/>
      <c r="M204" s="835"/>
      <c r="N204" s="835"/>
      <c r="O204" s="404"/>
      <c r="P204" s="397" t="s">
        <v>572</v>
      </c>
      <c r="Q204" s="907" t="str">
        <f t="shared" si="152"/>
        <v>Estufa de Tiro Balanceado - Etiqueta A (Gas)</v>
      </c>
      <c r="R204" s="907"/>
      <c r="S204" s="275">
        <f t="shared" si="139"/>
        <v>0</v>
      </c>
      <c r="T204" s="281">
        <f t="shared" si="140"/>
        <v>0</v>
      </c>
      <c r="U204" s="288" t="str">
        <f t="shared" si="153"/>
        <v>Aire Acondicionado - Clase A - Tipo Split</v>
      </c>
      <c r="V204" s="281">
        <f t="shared" si="141"/>
        <v>0</v>
      </c>
      <c r="W204" s="281">
        <f t="shared" si="142"/>
        <v>0</v>
      </c>
      <c r="X204" s="281">
        <f>IF(AL21&gt;1,1,0)</f>
        <v>0</v>
      </c>
      <c r="AB204" s="99">
        <f t="shared" si="149"/>
        <v>0</v>
      </c>
      <c r="AF204" s="898"/>
      <c r="AG204" s="99" t="str">
        <f>IF(DATOS!$G$53="Si",IF(C204=0,0,1),"-")</f>
        <v>-</v>
      </c>
      <c r="AH204" s="99" t="str">
        <f>IF(DATOS!$G$52="Si",IF(J204=0,0,1),"-")</f>
        <v>-</v>
      </c>
      <c r="AI204" s="1021"/>
      <c r="AJ204" s="275">
        <f t="shared" si="144"/>
        <v>0</v>
      </c>
      <c r="AK204" s="281">
        <f t="shared" si="145"/>
        <v>0</v>
      </c>
      <c r="AL204" s="281">
        <f>P190</f>
        <v>0</v>
      </c>
      <c r="AP204" s="99">
        <f t="shared" si="146"/>
        <v>0</v>
      </c>
      <c r="AQ204" s="99">
        <f t="shared" si="147"/>
        <v>0</v>
      </c>
      <c r="AR204" s="281">
        <f t="shared" si="151"/>
        <v>0</v>
      </c>
      <c r="AS204" s="281">
        <f t="shared" si="148"/>
        <v>0</v>
      </c>
      <c r="AW204" s="525">
        <f>IF(X204=0,0,VLOOKUP(C204,BASE!$BX$4:$CE$36,8,FALSE))</f>
        <v>0</v>
      </c>
      <c r="AX204" s="942"/>
      <c r="AY204" s="898"/>
      <c r="AZ204" s="142"/>
      <c r="BA204" s="411"/>
      <c r="BB204" s="1005"/>
      <c r="BC204" s="1006"/>
      <c r="BD204" s="1006"/>
      <c r="BE204" s="1006"/>
      <c r="BF204" s="1006"/>
      <c r="BG204" s="1006"/>
      <c r="BH204" s="1006"/>
      <c r="BI204" s="1006"/>
      <c r="BJ204" s="1007"/>
      <c r="BK204" s="146"/>
      <c r="BL204" s="147"/>
      <c r="BM204" s="148"/>
      <c r="BN204" s="141"/>
      <c r="BO204" s="141"/>
      <c r="BP204" s="141"/>
      <c r="BQ204" s="141"/>
      <c r="BR204" s="141"/>
      <c r="BS204" s="141"/>
      <c r="BT204" s="141"/>
      <c r="BU204" s="141"/>
      <c r="BV204" s="141"/>
      <c r="BW204" s="141"/>
      <c r="BX204" s="141"/>
      <c r="BY204" s="141"/>
      <c r="BZ204" s="148"/>
      <c r="CA204" s="148"/>
      <c r="CB204" s="148"/>
    </row>
    <row r="205" spans="1:80" s="99" customFormat="1" ht="15" customHeight="1" thickBot="1">
      <c r="A205" s="421"/>
      <c r="B205" s="418" t="s">
        <v>8</v>
      </c>
      <c r="C205" s="835"/>
      <c r="D205" s="835"/>
      <c r="E205" s="835"/>
      <c r="F205" s="835"/>
      <c r="G205" s="835"/>
      <c r="H205" s="835"/>
      <c r="I205" s="421"/>
      <c r="J205" s="835"/>
      <c r="K205" s="835"/>
      <c r="L205" s="835"/>
      <c r="M205" s="835"/>
      <c r="N205" s="835"/>
      <c r="O205" s="404"/>
      <c r="P205" s="397" t="s">
        <v>8</v>
      </c>
      <c r="Q205" s="907" t="str">
        <f t="shared" si="152"/>
        <v>Estufa de Tiro Balanceado - Etiqueta A (Gas)</v>
      </c>
      <c r="R205" s="907"/>
      <c r="S205" s="275">
        <f t="shared" si="139"/>
        <v>0</v>
      </c>
      <c r="T205" s="281">
        <f t="shared" si="140"/>
        <v>0</v>
      </c>
      <c r="U205" s="288" t="str">
        <f t="shared" si="153"/>
        <v>Aire Acondicionado - Clase A - Tipo Split</v>
      </c>
      <c r="V205" s="281">
        <f t="shared" si="141"/>
        <v>0</v>
      </c>
      <c r="W205" s="281">
        <f t="shared" si="142"/>
        <v>0</v>
      </c>
      <c r="X205" s="281">
        <f>IF(AL22&gt;1,1,0)</f>
        <v>0</v>
      </c>
      <c r="Y205" s="281" t="s">
        <v>1180</v>
      </c>
      <c r="Z205" s="290" t="e">
        <f>((Z199*Z202)*0.25)</f>
        <v>#N/A</v>
      </c>
      <c r="AA205" s="281" t="s">
        <v>759</v>
      </c>
      <c r="AB205" s="99">
        <f t="shared" si="149"/>
        <v>0</v>
      </c>
      <c r="AF205" s="898"/>
      <c r="AG205" s="99" t="str">
        <f>IF(DATOS!$G$53="Si",IF(C205=0,0,1),"-")</f>
        <v>-</v>
      </c>
      <c r="AH205" s="99" t="str">
        <f>IF(DATOS!$G$52="Si",IF(J205=0,0,1),"-")</f>
        <v>-</v>
      </c>
      <c r="AI205" s="1021"/>
      <c r="AJ205" s="275">
        <f t="shared" si="144"/>
        <v>0</v>
      </c>
      <c r="AK205" s="281">
        <f t="shared" si="145"/>
        <v>0</v>
      </c>
      <c r="AL205" s="281">
        <f>IF(DATOS!D48&gt;0.1,1,0)</f>
        <v>0</v>
      </c>
      <c r="AM205" s="281" t="s">
        <v>1180</v>
      </c>
      <c r="AN205" s="276" t="e">
        <f>IF(AN202&lt;BASE!BZ6,((AN199*AN202)*0.25),0)</f>
        <v>#DIV/0!</v>
      </c>
      <c r="AO205" s="281" t="s">
        <v>759</v>
      </c>
      <c r="AP205" s="99">
        <f t="shared" si="146"/>
        <v>0</v>
      </c>
      <c r="AQ205" s="99">
        <f t="shared" si="147"/>
        <v>0</v>
      </c>
      <c r="AR205" s="281">
        <f t="shared" si="151"/>
        <v>0</v>
      </c>
      <c r="AS205" s="281">
        <f t="shared" si="148"/>
        <v>0</v>
      </c>
      <c r="AW205" s="525">
        <f>IF(X205=0,0,VLOOKUP(C205,BASE!$BX$4:$CE$36,8,FALSE))</f>
        <v>0</v>
      </c>
      <c r="AX205" s="943"/>
      <c r="AY205" s="898"/>
      <c r="AZ205" s="142"/>
      <c r="BA205" s="411"/>
      <c r="BB205" s="1005"/>
      <c r="BC205" s="1006"/>
      <c r="BD205" s="1006"/>
      <c r="BE205" s="1006"/>
      <c r="BF205" s="1006"/>
      <c r="BG205" s="1006"/>
      <c r="BH205" s="1006"/>
      <c r="BI205" s="1006"/>
      <c r="BJ205" s="1007"/>
      <c r="BK205" s="146"/>
      <c r="BL205" s="147"/>
      <c r="BM205" s="148"/>
      <c r="BN205" s="141"/>
      <c r="BO205" s="141"/>
      <c r="BP205" s="141"/>
      <c r="BQ205" s="141"/>
      <c r="BR205" s="141"/>
      <c r="BS205" s="141"/>
      <c r="BT205" s="141"/>
      <c r="BU205" s="141"/>
      <c r="BV205" s="141"/>
      <c r="BW205" s="141"/>
      <c r="BX205" s="141"/>
      <c r="BY205" s="141"/>
      <c r="BZ205" s="148"/>
      <c r="CA205" s="148"/>
      <c r="CB205" s="148"/>
    </row>
    <row r="206" spans="1:80" ht="6" customHeight="1" thickBot="1">
      <c r="E206" s="332"/>
      <c r="F206" s="332"/>
      <c r="P206" s="338"/>
      <c r="Q206" s="348"/>
      <c r="R206" s="348"/>
      <c r="S206" s="348"/>
      <c r="T206" s="348"/>
      <c r="U206" s="348"/>
      <c r="V206" s="348"/>
      <c r="W206" s="141"/>
      <c r="AB206" s="99">
        <f t="shared" si="149"/>
        <v>0</v>
      </c>
      <c r="AI206" s="1021"/>
      <c r="AW206" s="99"/>
      <c r="AX206" s="860" t="s">
        <v>1450</v>
      </c>
      <c r="AY206" s="99"/>
      <c r="AZ206" s="142"/>
      <c r="BB206" s="1005"/>
      <c r="BC206" s="1006"/>
      <c r="BD206" s="1006"/>
      <c r="BE206" s="1006"/>
      <c r="BF206" s="1006"/>
      <c r="BG206" s="1006"/>
      <c r="BH206" s="1006"/>
      <c r="BI206" s="1006"/>
      <c r="BJ206" s="1007"/>
      <c r="BK206" s="146"/>
      <c r="BL206" s="147"/>
      <c r="BM206" s="148"/>
      <c r="BN206" s="141"/>
      <c r="BO206" s="128"/>
      <c r="BP206" s="128"/>
      <c r="BQ206" s="128"/>
      <c r="BR206" s="128"/>
      <c r="BS206" s="128"/>
      <c r="BT206" s="128"/>
      <c r="BU206" s="128"/>
      <c r="BV206" s="128"/>
      <c r="BW206" s="128"/>
      <c r="BX206" s="128"/>
      <c r="BY206" s="128"/>
    </row>
    <row r="207" spans="1:80" ht="15" customHeight="1" thickBot="1">
      <c r="B207" s="839" t="s">
        <v>2027</v>
      </c>
      <c r="C207" s="839"/>
      <c r="D207" s="839"/>
      <c r="E207" s="839"/>
      <c r="F207" s="839"/>
      <c r="G207" s="835" t="s">
        <v>7</v>
      </c>
      <c r="H207" s="835"/>
      <c r="I207" s="418" t="s">
        <v>1878</v>
      </c>
      <c r="J207" s="413"/>
      <c r="K207" s="839" t="s">
        <v>1879</v>
      </c>
      <c r="L207" s="839"/>
      <c r="M207" s="834"/>
      <c r="N207" s="834"/>
      <c r="P207" s="338"/>
      <c r="Q207" s="348"/>
      <c r="R207" s="348"/>
      <c r="S207" s="348"/>
      <c r="T207" s="348"/>
      <c r="U207" s="348"/>
      <c r="V207" s="348"/>
      <c r="W207" s="141"/>
      <c r="AG207" s="440">
        <f>IF(DATOS!G53="No",1,IF((SUM(AG195:AG205)/SUM(X195:X205))=1,1,0))</f>
        <v>1</v>
      </c>
      <c r="AH207" s="440">
        <f>IF(DATOS!G52="No",1,IF((SUM(AH195:AH205)/SUM(X195:X205))=1,1,0))</f>
        <v>1</v>
      </c>
      <c r="AI207" s="1022"/>
      <c r="AJ207" s="281" t="s">
        <v>1880</v>
      </c>
      <c r="AK207" s="160" t="s">
        <v>1881</v>
      </c>
      <c r="AL207" s="281">
        <f>+M207</f>
        <v>0</v>
      </c>
      <c r="AM207" s="160" t="s">
        <v>1878</v>
      </c>
      <c r="AN207" s="281">
        <f>IF(G207="Si",J207,0)</f>
        <v>0</v>
      </c>
      <c r="AO207" s="160" t="s">
        <v>1882</v>
      </c>
      <c r="AP207" s="281">
        <f>+AN207*AL207</f>
        <v>0</v>
      </c>
      <c r="AQ207" s="160" t="s">
        <v>1883</v>
      </c>
      <c r="AR207" s="351">
        <v>10</v>
      </c>
      <c r="AS207" s="160" t="s">
        <v>1884</v>
      </c>
      <c r="AT207" s="281">
        <f>AP207*AR207*AV153</f>
        <v>0</v>
      </c>
      <c r="AU207" s="160" t="s">
        <v>1885</v>
      </c>
      <c r="AV207" s="281">
        <f>AT207*0.001</f>
        <v>0</v>
      </c>
      <c r="AW207" s="387">
        <f>IF(L374="No",1,IF(L378="Si",0.95,1))</f>
        <v>1</v>
      </c>
      <c r="AX207" s="862"/>
      <c r="AY207" s="387">
        <f>IF(L374="No",1,IF(L377="Si",0.98,1))</f>
        <v>1</v>
      </c>
      <c r="AZ207" s="142"/>
      <c r="BB207" s="1005"/>
      <c r="BC207" s="1006"/>
      <c r="BD207" s="1006"/>
      <c r="BE207" s="1006"/>
      <c r="BF207" s="1006"/>
      <c r="BG207" s="1006"/>
      <c r="BH207" s="1006"/>
      <c r="BI207" s="1006"/>
      <c r="BJ207" s="1007"/>
      <c r="BK207" s="146"/>
      <c r="BL207" s="147"/>
      <c r="BM207" s="148"/>
      <c r="BN207" s="141"/>
      <c r="BO207" s="128"/>
      <c r="BP207" s="128"/>
      <c r="BQ207" s="128"/>
      <c r="BR207" s="128"/>
      <c r="BS207" s="128"/>
      <c r="BT207" s="128"/>
      <c r="BU207" s="128"/>
      <c r="BV207" s="128"/>
      <c r="BW207" s="128"/>
      <c r="BX207" s="128"/>
      <c r="BY207" s="128"/>
    </row>
    <row r="208" spans="1:80" ht="6" customHeight="1" thickBot="1">
      <c r="E208" s="332"/>
      <c r="F208" s="332"/>
      <c r="P208" s="338"/>
      <c r="Q208" s="348"/>
      <c r="R208" s="348"/>
      <c r="S208" s="348"/>
      <c r="T208" s="348"/>
      <c r="U208" s="348"/>
      <c r="V208" s="348"/>
      <c r="W208" s="141"/>
      <c r="AX208" s="127"/>
      <c r="AY208" s="99"/>
      <c r="AZ208" s="142"/>
      <c r="BB208" s="1008"/>
      <c r="BC208" s="1009"/>
      <c r="BD208" s="1009"/>
      <c r="BE208" s="1009"/>
      <c r="BF208" s="1009"/>
      <c r="BG208" s="1009"/>
      <c r="BH208" s="1009"/>
      <c r="BI208" s="1009"/>
      <c r="BJ208" s="1010"/>
      <c r="BK208" s="146"/>
      <c r="BL208" s="147"/>
      <c r="BM208" s="148"/>
      <c r="BN208" s="141"/>
      <c r="BO208" s="128"/>
      <c r="BP208" s="128"/>
      <c r="BQ208" s="128"/>
      <c r="BR208" s="128"/>
      <c r="BS208" s="128"/>
      <c r="BT208" s="128"/>
      <c r="BU208" s="128"/>
      <c r="BV208" s="128"/>
      <c r="BW208" s="128"/>
      <c r="BX208" s="128"/>
      <c r="BY208" s="128"/>
    </row>
    <row r="209" spans="1:80" ht="30" customHeight="1" thickBot="1">
      <c r="B209" s="840" t="s">
        <v>602</v>
      </c>
      <c r="C209" s="840"/>
      <c r="D209" s="840"/>
      <c r="E209" s="840"/>
      <c r="F209" s="840"/>
      <c r="G209" s="840"/>
      <c r="H209" s="840"/>
      <c r="I209" s="840"/>
      <c r="J209" s="840"/>
      <c r="K209" s="840"/>
      <c r="L209" s="840"/>
      <c r="M209" s="840"/>
      <c r="N209" s="840"/>
      <c r="P209" s="956" t="s">
        <v>602</v>
      </c>
      <c r="Q209" s="956"/>
      <c r="R209" s="956"/>
      <c r="S209" s="956"/>
      <c r="T209" s="956"/>
      <c r="U209" s="956"/>
      <c r="V209" s="956"/>
      <c r="W209" s="956"/>
      <c r="Y209" s="956" t="s">
        <v>602</v>
      </c>
      <c r="Z209" s="956"/>
      <c r="AA209" s="956"/>
      <c r="AB209" s="956"/>
      <c r="AC209" s="956"/>
      <c r="AD209" s="956"/>
      <c r="AE209" s="956"/>
      <c r="AF209" s="956"/>
      <c r="AG209" s="956"/>
      <c r="AH209" s="956"/>
      <c r="AI209" s="956"/>
      <c r="AJ209" s="956"/>
      <c r="AK209" s="956"/>
      <c r="AL209" s="956"/>
      <c r="AM209" s="956"/>
      <c r="AN209" s="956"/>
      <c r="AO209" s="956"/>
      <c r="AP209" s="956"/>
      <c r="AQ209" s="956"/>
      <c r="AR209" s="956"/>
      <c r="AS209" s="956"/>
      <c r="AT209" s="956"/>
      <c r="AU209" s="956"/>
      <c r="AV209" s="956"/>
      <c r="AW209" s="956"/>
      <c r="AX209" s="956"/>
      <c r="AY209" s="956"/>
      <c r="AZ209" s="142"/>
      <c r="BA209" s="184"/>
      <c r="BB209" s="146"/>
      <c r="BC209" s="146"/>
      <c r="BD209" s="146"/>
      <c r="BE209" s="146"/>
      <c r="BF209" s="146"/>
      <c r="BG209" s="146"/>
      <c r="BH209" s="146"/>
      <c r="BI209" s="146"/>
      <c r="BJ209" s="146"/>
      <c r="BK209" s="146"/>
      <c r="BL209" s="147"/>
      <c r="BM209" s="148"/>
      <c r="BN209" s="141"/>
      <c r="BO209" s="128"/>
      <c r="BP209" s="128"/>
      <c r="BQ209" s="128"/>
      <c r="BR209" s="128"/>
      <c r="BS209" s="128"/>
      <c r="BT209" s="128"/>
      <c r="BU209" s="128"/>
      <c r="BV209" s="128"/>
      <c r="BW209" s="128"/>
      <c r="BX209" s="128"/>
      <c r="BY209" s="128"/>
    </row>
    <row r="210" spans="1:80" ht="6" customHeight="1" thickBot="1">
      <c r="P210" s="331"/>
      <c r="Q210" s="128"/>
      <c r="R210" s="141"/>
      <c r="S210" s="141"/>
      <c r="T210" s="128"/>
      <c r="U210" s="128"/>
      <c r="V210" s="128"/>
      <c r="W210" s="141"/>
      <c r="AI210" s="99"/>
      <c r="AX210" s="127"/>
      <c r="AY210" s="99"/>
      <c r="AZ210" s="142"/>
      <c r="BA210" s="560"/>
      <c r="BB210" s="146"/>
      <c r="BC210" s="146"/>
      <c r="BD210" s="146"/>
      <c r="BE210" s="146"/>
      <c r="BF210" s="146"/>
      <c r="BG210" s="146"/>
      <c r="BH210" s="146"/>
      <c r="BI210" s="146"/>
      <c r="BJ210" s="146"/>
      <c r="BK210" s="146"/>
      <c r="BL210" s="147"/>
      <c r="BM210" s="148"/>
      <c r="BN210" s="148"/>
    </row>
    <row r="211" spans="1:80" ht="20" customHeight="1" thickBot="1">
      <c r="B211" s="812" t="s">
        <v>608</v>
      </c>
      <c r="C211" s="812"/>
      <c r="D211" s="812"/>
      <c r="E211" s="812"/>
      <c r="F211" s="812"/>
      <c r="G211" s="812"/>
      <c r="H211" s="812"/>
      <c r="I211" s="812"/>
      <c r="J211" s="812"/>
      <c r="K211" s="812"/>
      <c r="L211" s="812"/>
      <c r="M211" s="812"/>
      <c r="N211" s="812"/>
      <c r="P211" s="954" t="s">
        <v>608</v>
      </c>
      <c r="Q211" s="954"/>
      <c r="R211" s="954"/>
      <c r="S211" s="954"/>
      <c r="T211" s="954"/>
      <c r="U211" s="954"/>
      <c r="V211" s="954"/>
      <c r="W211" s="954"/>
      <c r="Y211" s="954" t="s">
        <v>608</v>
      </c>
      <c r="Z211" s="954"/>
      <c r="AA211" s="954"/>
      <c r="AB211" s="954"/>
      <c r="AC211" s="954"/>
      <c r="AD211" s="954"/>
      <c r="AE211" s="954"/>
      <c r="AF211" s="496"/>
      <c r="AG211" s="947" t="s">
        <v>1123</v>
      </c>
      <c r="AH211" s="99"/>
      <c r="AI211" s="526">
        <f>IF(DATOS!G52="No",0,SUM(AI213:AI223))</f>
        <v>0</v>
      </c>
      <c r="AJ211" s="954" t="s">
        <v>608</v>
      </c>
      <c r="AK211" s="954"/>
      <c r="AL211" s="954"/>
      <c r="AM211" s="954"/>
      <c r="AN211" s="954"/>
      <c r="AO211" s="954"/>
      <c r="AP211" s="954"/>
      <c r="AQ211" s="954"/>
      <c r="AR211" s="954"/>
      <c r="AS211" s="954"/>
      <c r="AT211" s="954"/>
      <c r="AU211" s="954"/>
      <c r="AV211" s="954"/>
      <c r="AW211" s="954"/>
      <c r="AX211" s="954"/>
      <c r="AY211" s="947" t="s">
        <v>1123</v>
      </c>
      <c r="AZ211" s="142"/>
      <c r="BA211" s="560"/>
      <c r="BC211" s="146"/>
      <c r="BD211" s="146"/>
      <c r="BE211" s="146"/>
      <c r="BF211" s="146"/>
      <c r="BG211" s="146"/>
      <c r="BH211" s="146"/>
      <c r="BI211" s="146"/>
      <c r="BJ211" s="146"/>
      <c r="BK211" s="146"/>
      <c r="BL211" s="147"/>
      <c r="BM211" s="148"/>
      <c r="BN211" s="148"/>
    </row>
    <row r="212" spans="1:80" ht="6" customHeight="1" thickBot="1">
      <c r="B212" s="837"/>
      <c r="C212" s="837"/>
      <c r="D212" s="837"/>
      <c r="E212" s="837"/>
      <c r="F212" s="837"/>
      <c r="G212" s="837"/>
      <c r="H212" s="837"/>
      <c r="I212" s="837"/>
      <c r="J212" s="837"/>
      <c r="K212" s="837"/>
      <c r="L212" s="837"/>
      <c r="M212" s="837"/>
      <c r="P212" s="331"/>
      <c r="Q212" s="128"/>
      <c r="R212" s="141"/>
      <c r="S212" s="141"/>
      <c r="T212" s="128"/>
      <c r="U212" s="128"/>
      <c r="V212" s="128"/>
      <c r="W212" s="141"/>
      <c r="AG212" s="947"/>
      <c r="AH212" s="99"/>
      <c r="AI212" s="99"/>
      <c r="AY212" s="947"/>
      <c r="AZ212" s="142"/>
      <c r="BA212" s="560"/>
      <c r="BC212" s="146"/>
      <c r="BD212" s="146"/>
      <c r="BE212" s="146"/>
      <c r="BF212" s="146"/>
      <c r="BG212" s="146"/>
      <c r="BH212" s="146"/>
      <c r="BI212" s="146"/>
      <c r="BJ212" s="146"/>
      <c r="BK212" s="146"/>
      <c r="BL212" s="147"/>
      <c r="BM212" s="148"/>
      <c r="BN212" s="148"/>
    </row>
    <row r="213" spans="1:80" s="99" customFormat="1" ht="30" customHeight="1" thickBot="1">
      <c r="A213" s="421"/>
      <c r="B213" s="414" t="s">
        <v>598</v>
      </c>
      <c r="C213" s="830" t="s">
        <v>603</v>
      </c>
      <c r="D213" s="831"/>
      <c r="E213" s="831"/>
      <c r="F213" s="832"/>
      <c r="G213" s="833" t="s">
        <v>227</v>
      </c>
      <c r="H213" s="833"/>
      <c r="I213" s="838" t="s">
        <v>604</v>
      </c>
      <c r="J213" s="838"/>
      <c r="K213" s="838" t="s">
        <v>813</v>
      </c>
      <c r="L213" s="838"/>
      <c r="M213" s="833" t="s">
        <v>612</v>
      </c>
      <c r="N213" s="833"/>
      <c r="O213" s="404"/>
      <c r="P213" s="389" t="s">
        <v>598</v>
      </c>
      <c r="Q213" s="955" t="s">
        <v>603</v>
      </c>
      <c r="R213" s="955"/>
      <c r="S213" s="275" t="s">
        <v>227</v>
      </c>
      <c r="T213" s="294" t="s">
        <v>604</v>
      </c>
      <c r="U213" s="275" t="s">
        <v>612</v>
      </c>
      <c r="V213" s="294" t="s">
        <v>813</v>
      </c>
      <c r="W213" s="141"/>
      <c r="Y213" s="160"/>
      <c r="Z213" s="293" t="s">
        <v>1124</v>
      </c>
      <c r="AA213" s="294" t="s">
        <v>1660</v>
      </c>
      <c r="AB213" s="293" t="s">
        <v>811</v>
      </c>
      <c r="AC213" s="293" t="s">
        <v>810</v>
      </c>
      <c r="AD213" s="293" t="s">
        <v>809</v>
      </c>
      <c r="AG213" s="947"/>
      <c r="AH213" s="99">
        <f>IF(J195=0,0,1)</f>
        <v>0</v>
      </c>
      <c r="AI213" s="99">
        <f>+IF(AH213=AL195,0,1)</f>
        <v>0</v>
      </c>
      <c r="AJ213" s="182">
        <f>'Modelo de Radiación Solar'!BX49/3</f>
        <v>1338.3333333333333</v>
      </c>
      <c r="AK213" s="281" t="s">
        <v>1055</v>
      </c>
      <c r="AL213" s="281" t="s">
        <v>1056</v>
      </c>
      <c r="AM213" s="281" t="s">
        <v>1058</v>
      </c>
      <c r="AN213" s="281" t="s">
        <v>1057</v>
      </c>
      <c r="AO213" s="281" t="s">
        <v>993</v>
      </c>
      <c r="AP213" s="281" t="s">
        <v>997</v>
      </c>
      <c r="AQ213" s="281" t="s">
        <v>898</v>
      </c>
      <c r="AR213" s="278" t="s">
        <v>1518</v>
      </c>
      <c r="AS213" s="293" t="s">
        <v>1125</v>
      </c>
      <c r="AT213" s="294" t="s">
        <v>815</v>
      </c>
      <c r="AU213" s="293" t="s">
        <v>816</v>
      </c>
      <c r="AV213" s="293" t="s">
        <v>817</v>
      </c>
      <c r="AW213" s="293" t="s">
        <v>810</v>
      </c>
      <c r="AX213" s="293" t="s">
        <v>809</v>
      </c>
      <c r="AY213" s="947"/>
      <c r="AZ213" s="142"/>
      <c r="BA213" s="560"/>
      <c r="BB213" s="146"/>
      <c r="BC213" s="146"/>
      <c r="BD213" s="146"/>
      <c r="BE213" s="146"/>
      <c r="BF213" s="146"/>
      <c r="BG213" s="146"/>
      <c r="BH213" s="146"/>
      <c r="BI213" s="146"/>
      <c r="BJ213" s="146"/>
      <c r="BK213" s="146"/>
      <c r="BL213" s="147"/>
      <c r="BM213" s="148"/>
      <c r="BO213" s="148"/>
      <c r="BP213" s="148"/>
      <c r="BQ213" s="148"/>
      <c r="BR213" s="148"/>
      <c r="BS213" s="148"/>
      <c r="BT213" s="148"/>
      <c r="BU213" s="148"/>
      <c r="BV213" s="148"/>
      <c r="BW213" s="148"/>
      <c r="BX213" s="148"/>
      <c r="BY213" s="148"/>
      <c r="BZ213" s="148"/>
      <c r="CA213" s="148"/>
      <c r="CB213" s="148"/>
    </row>
    <row r="214" spans="1:80" ht="15" customHeight="1" thickBot="1">
      <c r="B214" s="418" t="s">
        <v>574</v>
      </c>
      <c r="C214" s="818"/>
      <c r="D214" s="819"/>
      <c r="E214" s="819"/>
      <c r="F214" s="820"/>
      <c r="G214" s="834"/>
      <c r="H214" s="834"/>
      <c r="I214" s="836"/>
      <c r="J214" s="836"/>
      <c r="K214" s="835"/>
      <c r="L214" s="835"/>
      <c r="M214" s="835"/>
      <c r="N214" s="835"/>
      <c r="P214" s="397" t="s">
        <v>574</v>
      </c>
      <c r="Q214" s="952" t="str">
        <f>'BASE DE DATOS'!GQ16</f>
        <v>LED</v>
      </c>
      <c r="R214" s="952"/>
      <c r="S214" s="281">
        <f>IF(DATOS!$G$55="No",IF(X195=1,1,0),IF(DATOS!$I$88=1,IF(X195=1,1,0),IF(X195=0,0,G214)))</f>
        <v>0</v>
      </c>
      <c r="T214" s="536">
        <f>'BASE DE DATOS'!GQ17</f>
        <v>7</v>
      </c>
      <c r="U214" s="536" t="str">
        <f>'BASE DE DATOS'!GQ18</f>
        <v>Sin Control</v>
      </c>
      <c r="V214" s="223" t="str">
        <f>'BASE DE DATOS'!GQ19</f>
        <v>No</v>
      </c>
      <c r="W214" s="141"/>
      <c r="Y214" s="289" t="s">
        <v>574</v>
      </c>
      <c r="Z214" s="287">
        <v>8</v>
      </c>
      <c r="AA214" s="183">
        <f>IF(DATOS!C35=0,0,(T214*2)*Z214*365)</f>
        <v>0</v>
      </c>
      <c r="AB214" s="281">
        <f>((S214*T214)*Z214)*365</f>
        <v>0</v>
      </c>
      <c r="AC214" s="905">
        <f>SUM(AB214:AB224)</f>
        <v>0</v>
      </c>
      <c r="AD214" s="905">
        <f>AC214*0.001</f>
        <v>0</v>
      </c>
      <c r="AG214" s="947"/>
      <c r="AH214" s="99">
        <f t="shared" ref="AH214:AH223" si="154">IF(J196=0,0,1)</f>
        <v>0</v>
      </c>
      <c r="AI214" s="99">
        <f t="shared" ref="AI214:AI223" si="155">+IF(AH214=AL196,0,1)</f>
        <v>0</v>
      </c>
      <c r="AJ214" s="275" t="s">
        <v>574</v>
      </c>
      <c r="AK214" s="281">
        <v>200</v>
      </c>
      <c r="AL214" s="276">
        <f>DATOS!C35</f>
        <v>0</v>
      </c>
      <c r="AM214" s="287">
        <v>1.4</v>
      </c>
      <c r="AN214" s="281">
        <f t="shared" ref="AN214:AN224" si="156">IF(G214&gt;=1,AM214*AK214/100,0)</f>
        <v>0</v>
      </c>
      <c r="AO214" s="287">
        <v>1.25</v>
      </c>
      <c r="AP214" s="287">
        <v>0.2</v>
      </c>
      <c r="AQ214" s="281">
        <f>AP214*AO214*AN214*AL214</f>
        <v>0</v>
      </c>
      <c r="AR214" s="924">
        <f>SUM(AQ214:AQ224)</f>
        <v>0</v>
      </c>
      <c r="AS214" s="281">
        <f t="shared" ref="AS214:AS224" si="157">Z214*365</f>
        <v>2920</v>
      </c>
      <c r="AT214" s="276">
        <f>AS214-$AJ$213</f>
        <v>1581.6666666666667</v>
      </c>
      <c r="AU214" s="276">
        <f t="shared" ref="AU214:AU224" si="158">IF(K214="Si",((G214*I214)*AT214),((G214*I214)*AS214))</f>
        <v>0</v>
      </c>
      <c r="AV214" s="276">
        <f t="shared" ref="AV214:AV224" si="159">IF(M214="Fotocelda",AU214*0.75,IF(M214="Ocupación",AU214*0.9,IF(M214="Interruptor de Tiempo",AU214*0.9,AU214)))</f>
        <v>0</v>
      </c>
      <c r="AW214" s="905">
        <f>SUM(AV214:AV224)</f>
        <v>0</v>
      </c>
      <c r="AX214" s="905">
        <f>IF(DATOS!G55="No",AD214,AW214*0.001)</f>
        <v>0</v>
      </c>
      <c r="AY214" s="947"/>
      <c r="BA214" s="560">
        <f>IF(DATOS!$G$55="No",0,IF(DATOS!$I$88=1,0,IF(C214="LED",0,1)))</f>
        <v>0</v>
      </c>
      <c r="BB214" s="855" t="s">
        <v>1476</v>
      </c>
      <c r="BC214" s="855"/>
      <c r="BD214" s="855"/>
      <c r="BE214" s="855"/>
      <c r="BF214" s="855"/>
      <c r="BG214" s="855"/>
      <c r="BH214" s="855"/>
      <c r="BI214" s="855"/>
      <c r="BJ214" s="855"/>
      <c r="BK214" s="146"/>
      <c r="BL214" s="147"/>
      <c r="BN214" s="100"/>
    </row>
    <row r="215" spans="1:80" ht="15" customHeight="1" thickBot="1">
      <c r="B215" s="418" t="s">
        <v>575</v>
      </c>
      <c r="C215" s="818"/>
      <c r="D215" s="819"/>
      <c r="E215" s="819"/>
      <c r="F215" s="820"/>
      <c r="G215" s="834"/>
      <c r="H215" s="834"/>
      <c r="I215" s="836"/>
      <c r="J215" s="836"/>
      <c r="K215" s="835"/>
      <c r="L215" s="835"/>
      <c r="M215" s="835"/>
      <c r="N215" s="835"/>
      <c r="P215" s="397" t="s">
        <v>575</v>
      </c>
      <c r="Q215" s="907" t="str">
        <f>Q214</f>
        <v>LED</v>
      </c>
      <c r="R215" s="907"/>
      <c r="S215" s="559">
        <f>IF(DATOS!$G$55="No",IF(X196=1,1,0),IF(DATOS!$I$88=1,IF(X196=1,1,0),IF(X196=0,0,G215)))</f>
        <v>0</v>
      </c>
      <c r="T215" s="529">
        <f t="shared" ref="T215:U224" si="160">T214</f>
        <v>7</v>
      </c>
      <c r="U215" s="529" t="str">
        <f t="shared" si="160"/>
        <v>Sin Control</v>
      </c>
      <c r="V215" s="352" t="str">
        <f>V214</f>
        <v>No</v>
      </c>
      <c r="W215" s="141"/>
      <c r="Y215" s="289" t="s">
        <v>575</v>
      </c>
      <c r="Z215" s="287">
        <v>8</v>
      </c>
      <c r="AA215" s="183">
        <f>IF(DATOS!C36=0,0,(T215*2)*Z215*365)</f>
        <v>0</v>
      </c>
      <c r="AB215" s="281">
        <f t="shared" ref="AB215:AB224" si="161">((S215*T215)*Z215)*365</f>
        <v>0</v>
      </c>
      <c r="AC215" s="905"/>
      <c r="AD215" s="905"/>
      <c r="AG215" s="947"/>
      <c r="AH215" s="99">
        <f t="shared" si="154"/>
        <v>0</v>
      </c>
      <c r="AI215" s="99">
        <f t="shared" si="155"/>
        <v>0</v>
      </c>
      <c r="AJ215" s="275" t="s">
        <v>575</v>
      </c>
      <c r="AK215" s="281">
        <v>200</v>
      </c>
      <c r="AL215" s="518">
        <f>DATOS!C36</f>
        <v>0</v>
      </c>
      <c r="AM215" s="287">
        <v>1.4</v>
      </c>
      <c r="AN215" s="281">
        <f t="shared" si="156"/>
        <v>0</v>
      </c>
      <c r="AO215" s="287">
        <v>1.25</v>
      </c>
      <c r="AP215" s="287">
        <v>0.2</v>
      </c>
      <c r="AQ215" s="281">
        <f t="shared" ref="AQ215:AQ224" si="162">AP215*AO215*AN215*AL215</f>
        <v>0</v>
      </c>
      <c r="AR215" s="924"/>
      <c r="AS215" s="281">
        <f t="shared" si="157"/>
        <v>2920</v>
      </c>
      <c r="AT215" s="276">
        <f t="shared" ref="AT215:AT224" si="163">AS215-$AJ$213</f>
        <v>1581.6666666666667</v>
      </c>
      <c r="AU215" s="276">
        <f t="shared" si="158"/>
        <v>0</v>
      </c>
      <c r="AV215" s="276">
        <f t="shared" si="159"/>
        <v>0</v>
      </c>
      <c r="AW215" s="905"/>
      <c r="AX215" s="905"/>
      <c r="AY215" s="947"/>
      <c r="BA215" s="560">
        <f>IF(DATOS!C36=0,0,IF(DATOS!$G$55="No",0,IF(DATOS!$I$88=1,0,IF(C215="LED",0,1))))</f>
        <v>0</v>
      </c>
      <c r="BB215" s="855" t="s">
        <v>1476</v>
      </c>
      <c r="BC215" s="855"/>
      <c r="BD215" s="855"/>
      <c r="BE215" s="855"/>
      <c r="BF215" s="855"/>
      <c r="BG215" s="855"/>
      <c r="BH215" s="855"/>
      <c r="BI215" s="855"/>
      <c r="BJ215" s="855"/>
      <c r="BK215" s="146"/>
      <c r="BL215" s="147"/>
      <c r="BN215" s="100"/>
    </row>
    <row r="216" spans="1:80" ht="15" customHeight="1" thickBot="1">
      <c r="B216" s="418" t="s">
        <v>576</v>
      </c>
      <c r="C216" s="818"/>
      <c r="D216" s="819"/>
      <c r="E216" s="819"/>
      <c r="F216" s="820"/>
      <c r="G216" s="834"/>
      <c r="H216" s="834"/>
      <c r="I216" s="836"/>
      <c r="J216" s="836"/>
      <c r="K216" s="835"/>
      <c r="L216" s="835"/>
      <c r="M216" s="835"/>
      <c r="N216" s="835"/>
      <c r="P216" s="397" t="s">
        <v>576</v>
      </c>
      <c r="Q216" s="907" t="str">
        <f t="shared" ref="Q216:Q224" si="164">Q215</f>
        <v>LED</v>
      </c>
      <c r="R216" s="907"/>
      <c r="S216" s="559">
        <f>IF(DATOS!$G$55="No",IF(X197=1,1,0),IF(DATOS!$I$88=1,IF(X197=1,1,0),IF(X197=0,0,G216)))</f>
        <v>0</v>
      </c>
      <c r="T216" s="529">
        <f t="shared" si="160"/>
        <v>7</v>
      </c>
      <c r="U216" s="529" t="str">
        <f t="shared" si="160"/>
        <v>Sin Control</v>
      </c>
      <c r="V216" s="529" t="str">
        <f t="shared" ref="V216:V224" si="165">V215</f>
        <v>No</v>
      </c>
      <c r="W216" s="141"/>
      <c r="Y216" s="289" t="s">
        <v>576</v>
      </c>
      <c r="Z216" s="287">
        <v>8</v>
      </c>
      <c r="AA216" s="183">
        <f>IF(DATOS!C37=0,0,(T216*2)*Z216*365)</f>
        <v>0</v>
      </c>
      <c r="AB216" s="281">
        <f t="shared" si="161"/>
        <v>0</v>
      </c>
      <c r="AC216" s="905"/>
      <c r="AD216" s="905"/>
      <c r="AG216" s="947"/>
      <c r="AH216" s="99">
        <f t="shared" si="154"/>
        <v>0</v>
      </c>
      <c r="AI216" s="99">
        <f t="shared" si="155"/>
        <v>0</v>
      </c>
      <c r="AJ216" s="275" t="s">
        <v>576</v>
      </c>
      <c r="AK216" s="281">
        <v>200</v>
      </c>
      <c r="AL216" s="518">
        <f>DATOS!C37</f>
        <v>0</v>
      </c>
      <c r="AM216" s="287">
        <v>1.4</v>
      </c>
      <c r="AN216" s="281">
        <f t="shared" si="156"/>
        <v>0</v>
      </c>
      <c r="AO216" s="287">
        <v>1.25</v>
      </c>
      <c r="AP216" s="287">
        <v>0.2</v>
      </c>
      <c r="AQ216" s="281">
        <f t="shared" si="162"/>
        <v>0</v>
      </c>
      <c r="AR216" s="924"/>
      <c r="AS216" s="281">
        <f t="shared" si="157"/>
        <v>2920</v>
      </c>
      <c r="AT216" s="276">
        <f t="shared" si="163"/>
        <v>1581.6666666666667</v>
      </c>
      <c r="AU216" s="276">
        <f t="shared" si="158"/>
        <v>0</v>
      </c>
      <c r="AV216" s="276">
        <f t="shared" si="159"/>
        <v>0</v>
      </c>
      <c r="AW216" s="905"/>
      <c r="AX216" s="905"/>
      <c r="AY216" s="947"/>
      <c r="BA216" s="560">
        <f>IF(DATOS!C37=0,0,IF(DATOS!$G$55="No",0,IF(DATOS!$I$88=1,0,IF(C216="LED",0,1))))</f>
        <v>0</v>
      </c>
      <c r="BB216" s="855" t="s">
        <v>1476</v>
      </c>
      <c r="BC216" s="855"/>
      <c r="BD216" s="855"/>
      <c r="BE216" s="855"/>
      <c r="BF216" s="855"/>
      <c r="BG216" s="855"/>
      <c r="BH216" s="855"/>
      <c r="BI216" s="855"/>
      <c r="BJ216" s="855"/>
      <c r="BK216" s="146"/>
      <c r="BL216" s="147"/>
      <c r="BN216" s="100"/>
      <c r="BW216" s="100"/>
      <c r="BX216" s="100"/>
    </row>
    <row r="217" spans="1:80" ht="15" customHeight="1" thickBot="1">
      <c r="B217" s="418" t="s">
        <v>577</v>
      </c>
      <c r="C217" s="818"/>
      <c r="D217" s="819"/>
      <c r="E217" s="819"/>
      <c r="F217" s="820"/>
      <c r="G217" s="834"/>
      <c r="H217" s="834"/>
      <c r="I217" s="836"/>
      <c r="J217" s="836"/>
      <c r="K217" s="835"/>
      <c r="L217" s="835"/>
      <c r="M217" s="835"/>
      <c r="N217" s="835"/>
      <c r="P217" s="397" t="s">
        <v>577</v>
      </c>
      <c r="Q217" s="907" t="str">
        <f t="shared" si="164"/>
        <v>LED</v>
      </c>
      <c r="R217" s="907"/>
      <c r="S217" s="559">
        <f>IF(DATOS!$G$55="No",IF(X198=1,1,0),IF(DATOS!$I$88=1,IF(X198=1,1,0),IF(X198=0,0,G217)))</f>
        <v>0</v>
      </c>
      <c r="T217" s="529">
        <f t="shared" si="160"/>
        <v>7</v>
      </c>
      <c r="U217" s="529" t="str">
        <f t="shared" si="160"/>
        <v>Sin Control</v>
      </c>
      <c r="V217" s="529" t="str">
        <f t="shared" si="165"/>
        <v>No</v>
      </c>
      <c r="W217" s="141"/>
      <c r="Y217" s="289" t="s">
        <v>577</v>
      </c>
      <c r="Z217" s="287">
        <v>8</v>
      </c>
      <c r="AA217" s="183">
        <f>IF(DATOS!C38=0,0,(T217*2)*Z217*365)</f>
        <v>0</v>
      </c>
      <c r="AB217" s="281">
        <f t="shared" si="161"/>
        <v>0</v>
      </c>
      <c r="AC217" s="905"/>
      <c r="AD217" s="905"/>
      <c r="AG217" s="947"/>
      <c r="AH217" s="99">
        <f t="shared" si="154"/>
        <v>0</v>
      </c>
      <c r="AI217" s="99">
        <f t="shared" si="155"/>
        <v>0</v>
      </c>
      <c r="AJ217" s="275" t="s">
        <v>577</v>
      </c>
      <c r="AK217" s="281">
        <v>200</v>
      </c>
      <c r="AL217" s="518">
        <f>DATOS!C38</f>
        <v>0</v>
      </c>
      <c r="AM217" s="287">
        <v>1.4</v>
      </c>
      <c r="AN217" s="281">
        <f t="shared" si="156"/>
        <v>0</v>
      </c>
      <c r="AO217" s="287">
        <v>1.25</v>
      </c>
      <c r="AP217" s="287">
        <v>0.2</v>
      </c>
      <c r="AQ217" s="281">
        <f t="shared" si="162"/>
        <v>0</v>
      </c>
      <c r="AR217" s="924"/>
      <c r="AS217" s="281">
        <f t="shared" si="157"/>
        <v>2920</v>
      </c>
      <c r="AT217" s="276">
        <f t="shared" si="163"/>
        <v>1581.6666666666667</v>
      </c>
      <c r="AU217" s="276">
        <f t="shared" si="158"/>
        <v>0</v>
      </c>
      <c r="AV217" s="276">
        <f t="shared" si="159"/>
        <v>0</v>
      </c>
      <c r="AW217" s="905"/>
      <c r="AX217" s="905"/>
      <c r="AY217" s="947"/>
      <c r="BA217" s="560">
        <f>IF(DATOS!C38=0,0,IF(DATOS!$G$55="No",0,IF(DATOS!$I$88=1,0,IF(C217="LED",0,1))))</f>
        <v>0</v>
      </c>
      <c r="BB217" s="855" t="s">
        <v>1476</v>
      </c>
      <c r="BC217" s="855"/>
      <c r="BD217" s="855"/>
      <c r="BE217" s="855"/>
      <c r="BF217" s="855"/>
      <c r="BG217" s="855"/>
      <c r="BH217" s="855"/>
      <c r="BI217" s="855"/>
      <c r="BJ217" s="855"/>
      <c r="BK217" s="146"/>
      <c r="BL217" s="147"/>
      <c r="BN217" s="100"/>
      <c r="BW217" s="100"/>
      <c r="BX217" s="100"/>
    </row>
    <row r="218" spans="1:80" ht="15" customHeight="1" thickBot="1">
      <c r="B218" s="418" t="s">
        <v>578</v>
      </c>
      <c r="C218" s="818"/>
      <c r="D218" s="819"/>
      <c r="E218" s="819"/>
      <c r="F218" s="820"/>
      <c r="G218" s="834"/>
      <c r="H218" s="834"/>
      <c r="I218" s="836"/>
      <c r="J218" s="836"/>
      <c r="K218" s="835"/>
      <c r="L218" s="835"/>
      <c r="M218" s="835"/>
      <c r="N218" s="835"/>
      <c r="P218" s="397" t="s">
        <v>578</v>
      </c>
      <c r="Q218" s="907" t="str">
        <f t="shared" si="164"/>
        <v>LED</v>
      </c>
      <c r="R218" s="907"/>
      <c r="S218" s="559">
        <f>IF(DATOS!$G$55="No",IF(X199=1,1,0),IF(DATOS!$I$88=1,IF(X199=1,1,0),IF(X199=0,0,G218)))</f>
        <v>0</v>
      </c>
      <c r="T218" s="529">
        <f t="shared" si="160"/>
        <v>7</v>
      </c>
      <c r="U218" s="529" t="str">
        <f t="shared" si="160"/>
        <v>Sin Control</v>
      </c>
      <c r="V218" s="529" t="str">
        <f t="shared" si="165"/>
        <v>No</v>
      </c>
      <c r="W218" s="141"/>
      <c r="Y218" s="289" t="s">
        <v>578</v>
      </c>
      <c r="Z218" s="287">
        <v>8</v>
      </c>
      <c r="AA218" s="183">
        <f>IF(DATOS!C39=0,0,(T218*2)*Z218*365)</f>
        <v>0</v>
      </c>
      <c r="AB218" s="281">
        <f t="shared" si="161"/>
        <v>0</v>
      </c>
      <c r="AC218" s="905"/>
      <c r="AD218" s="905"/>
      <c r="AG218" s="947"/>
      <c r="AH218" s="99">
        <f t="shared" si="154"/>
        <v>0</v>
      </c>
      <c r="AI218" s="99">
        <f t="shared" si="155"/>
        <v>0</v>
      </c>
      <c r="AJ218" s="275" t="s">
        <v>578</v>
      </c>
      <c r="AK218" s="281">
        <v>200</v>
      </c>
      <c r="AL218" s="518">
        <f>DATOS!C39</f>
        <v>0</v>
      </c>
      <c r="AM218" s="287">
        <v>1.4</v>
      </c>
      <c r="AN218" s="281">
        <f t="shared" si="156"/>
        <v>0</v>
      </c>
      <c r="AO218" s="287">
        <v>1.25</v>
      </c>
      <c r="AP218" s="287">
        <v>0.2</v>
      </c>
      <c r="AQ218" s="281">
        <f t="shared" si="162"/>
        <v>0</v>
      </c>
      <c r="AR218" s="924"/>
      <c r="AS218" s="281">
        <f t="shared" si="157"/>
        <v>2920</v>
      </c>
      <c r="AT218" s="276">
        <f t="shared" si="163"/>
        <v>1581.6666666666667</v>
      </c>
      <c r="AU218" s="276">
        <f t="shared" si="158"/>
        <v>0</v>
      </c>
      <c r="AV218" s="276">
        <f t="shared" si="159"/>
        <v>0</v>
      </c>
      <c r="AW218" s="905"/>
      <c r="AX218" s="905"/>
      <c r="AY218" s="947"/>
      <c r="BA218" s="560">
        <f>IF(DATOS!C39=0,0,IF(DATOS!$G$55="No",0,IF(DATOS!$I$88=1,0,IF(C218="LED",0,1))))</f>
        <v>0</v>
      </c>
      <c r="BB218" s="855" t="s">
        <v>1476</v>
      </c>
      <c r="BC218" s="855"/>
      <c r="BD218" s="855"/>
      <c r="BE218" s="855"/>
      <c r="BF218" s="855"/>
      <c r="BG218" s="855"/>
      <c r="BH218" s="855"/>
      <c r="BI218" s="855"/>
      <c r="BJ218" s="855"/>
      <c r="BK218" s="146"/>
      <c r="BL218" s="147"/>
      <c r="BN218" s="100"/>
      <c r="BW218" s="100"/>
      <c r="BX218" s="100"/>
    </row>
    <row r="219" spans="1:80" ht="15" customHeight="1" thickBot="1">
      <c r="B219" s="418" t="s">
        <v>579</v>
      </c>
      <c r="C219" s="818"/>
      <c r="D219" s="819"/>
      <c r="E219" s="819"/>
      <c r="F219" s="820"/>
      <c r="G219" s="834"/>
      <c r="H219" s="834"/>
      <c r="I219" s="836"/>
      <c r="J219" s="836"/>
      <c r="K219" s="835"/>
      <c r="L219" s="835"/>
      <c r="M219" s="835"/>
      <c r="N219" s="835"/>
      <c r="P219" s="397" t="s">
        <v>579</v>
      </c>
      <c r="Q219" s="907" t="str">
        <f t="shared" si="164"/>
        <v>LED</v>
      </c>
      <c r="R219" s="907"/>
      <c r="S219" s="559">
        <f>IF(DATOS!$G$55="No",IF(X200=1,1,0),IF(DATOS!$I$88=1,IF(X200=1,1,0),IF(X200=0,0,G219)))</f>
        <v>0</v>
      </c>
      <c r="T219" s="529">
        <f t="shared" si="160"/>
        <v>7</v>
      </c>
      <c r="U219" s="529" t="str">
        <f t="shared" si="160"/>
        <v>Sin Control</v>
      </c>
      <c r="V219" s="529" t="str">
        <f t="shared" si="165"/>
        <v>No</v>
      </c>
      <c r="W219" s="141"/>
      <c r="Y219" s="289" t="s">
        <v>579</v>
      </c>
      <c r="Z219" s="287">
        <v>10</v>
      </c>
      <c r="AA219" s="183">
        <f>IF(DATOS!C40=0,0,(T219*2)*Z219*365)</f>
        <v>0</v>
      </c>
      <c r="AB219" s="281">
        <f t="shared" si="161"/>
        <v>0</v>
      </c>
      <c r="AC219" s="905"/>
      <c r="AD219" s="905"/>
      <c r="AG219" s="947"/>
      <c r="AH219" s="99">
        <f t="shared" si="154"/>
        <v>0</v>
      </c>
      <c r="AI219" s="99">
        <f t="shared" si="155"/>
        <v>0</v>
      </c>
      <c r="AJ219" s="275" t="s">
        <v>579</v>
      </c>
      <c r="AK219" s="281">
        <v>200</v>
      </c>
      <c r="AL219" s="518">
        <f>DATOS!C40</f>
        <v>0</v>
      </c>
      <c r="AM219" s="287">
        <v>1.4</v>
      </c>
      <c r="AN219" s="281">
        <f t="shared" si="156"/>
        <v>0</v>
      </c>
      <c r="AO219" s="287">
        <v>1.25</v>
      </c>
      <c r="AP219" s="287">
        <v>0.2</v>
      </c>
      <c r="AQ219" s="281">
        <f t="shared" si="162"/>
        <v>0</v>
      </c>
      <c r="AR219" s="924"/>
      <c r="AS219" s="281">
        <f t="shared" si="157"/>
        <v>3650</v>
      </c>
      <c r="AT219" s="276">
        <f t="shared" si="163"/>
        <v>2311.666666666667</v>
      </c>
      <c r="AU219" s="276">
        <f t="shared" si="158"/>
        <v>0</v>
      </c>
      <c r="AV219" s="276">
        <f t="shared" si="159"/>
        <v>0</v>
      </c>
      <c r="AW219" s="905"/>
      <c r="AX219" s="905"/>
      <c r="AY219" s="947"/>
      <c r="BA219" s="560">
        <f>IF(DATOS!$G$55="No",0,IF(DATOS!$I$88=1,0,IF(C219="LED",0,1)))</f>
        <v>0</v>
      </c>
      <c r="BB219" s="855" t="s">
        <v>1476</v>
      </c>
      <c r="BC219" s="855"/>
      <c r="BD219" s="855"/>
      <c r="BE219" s="855"/>
      <c r="BF219" s="855"/>
      <c r="BG219" s="855"/>
      <c r="BH219" s="855"/>
      <c r="BI219" s="855"/>
      <c r="BJ219" s="855"/>
      <c r="BK219" s="146"/>
      <c r="BL219" s="147"/>
      <c r="BN219" s="100"/>
      <c r="BW219" s="100"/>
      <c r="BX219" s="100"/>
    </row>
    <row r="220" spans="1:80" ht="15" customHeight="1" thickBot="1">
      <c r="B220" s="418" t="s">
        <v>611</v>
      </c>
      <c r="C220" s="818"/>
      <c r="D220" s="819"/>
      <c r="E220" s="819"/>
      <c r="F220" s="820"/>
      <c r="G220" s="834"/>
      <c r="H220" s="834"/>
      <c r="I220" s="836"/>
      <c r="J220" s="836"/>
      <c r="K220" s="835"/>
      <c r="L220" s="835"/>
      <c r="M220" s="835"/>
      <c r="N220" s="835"/>
      <c r="P220" s="397" t="s">
        <v>611</v>
      </c>
      <c r="Q220" s="907" t="str">
        <f t="shared" si="164"/>
        <v>LED</v>
      </c>
      <c r="R220" s="907"/>
      <c r="S220" s="559">
        <f>IF(DATOS!$G$55="No",IF(X201=1,1,0),IF(DATOS!$I$88=1,IF(X201=1,1,0),IF(X201=0,0,G220)))</f>
        <v>0</v>
      </c>
      <c r="T220" s="529">
        <f t="shared" si="160"/>
        <v>7</v>
      </c>
      <c r="U220" s="529" t="str">
        <f t="shared" si="160"/>
        <v>Sin Control</v>
      </c>
      <c r="V220" s="529" t="str">
        <f t="shared" si="165"/>
        <v>No</v>
      </c>
      <c r="W220" s="141"/>
      <c r="Y220" s="289" t="s">
        <v>611</v>
      </c>
      <c r="Z220" s="287">
        <v>6</v>
      </c>
      <c r="AA220" s="183">
        <f>IF((DATOS!C41+DATOS!C42+DATOS!C43)=0,0,(T220*2)*Z220*365)</f>
        <v>0</v>
      </c>
      <c r="AB220" s="281">
        <f t="shared" si="161"/>
        <v>0</v>
      </c>
      <c r="AC220" s="905"/>
      <c r="AD220" s="905"/>
      <c r="AG220" s="898">
        <f>AD214+AD229</f>
        <v>55.844999999999999</v>
      </c>
      <c r="AH220" s="99">
        <f t="shared" si="154"/>
        <v>0</v>
      </c>
      <c r="AI220" s="99">
        <f t="shared" si="155"/>
        <v>0</v>
      </c>
      <c r="AJ220" s="275" t="s">
        <v>611</v>
      </c>
      <c r="AK220" s="281">
        <v>200</v>
      </c>
      <c r="AL220" s="518">
        <f>DATOS!C41</f>
        <v>0</v>
      </c>
      <c r="AM220" s="287">
        <v>1.4</v>
      </c>
      <c r="AN220" s="281">
        <f t="shared" si="156"/>
        <v>0</v>
      </c>
      <c r="AO220" s="287">
        <v>1.25</v>
      </c>
      <c r="AP220" s="287">
        <v>0.2</v>
      </c>
      <c r="AQ220" s="281">
        <f t="shared" si="162"/>
        <v>0</v>
      </c>
      <c r="AR220" s="924"/>
      <c r="AS220" s="281">
        <f t="shared" si="157"/>
        <v>2190</v>
      </c>
      <c r="AT220" s="276">
        <f t="shared" si="163"/>
        <v>851.66666666666674</v>
      </c>
      <c r="AU220" s="276">
        <f t="shared" si="158"/>
        <v>0</v>
      </c>
      <c r="AV220" s="276">
        <f t="shared" si="159"/>
        <v>0</v>
      </c>
      <c r="AW220" s="905"/>
      <c r="AX220" s="905"/>
      <c r="AY220" s="898">
        <f>IF(DATOS!I88=1,DATOS!F95,(AX214+AX229)*AV228)</f>
        <v>55.844999999999999</v>
      </c>
      <c r="BA220" s="560">
        <f>IF(DATOS!$G$55="No",0,IF(DATOS!$I$88=1,0,IF(C220="LED",0,1)))</f>
        <v>0</v>
      </c>
      <c r="BB220" s="855" t="s">
        <v>1476</v>
      </c>
      <c r="BC220" s="855"/>
      <c r="BD220" s="855"/>
      <c r="BE220" s="855"/>
      <c r="BF220" s="855"/>
      <c r="BG220" s="855"/>
      <c r="BH220" s="855"/>
      <c r="BI220" s="855"/>
      <c r="BJ220" s="855"/>
      <c r="BN220" s="100"/>
      <c r="BW220" s="100"/>
      <c r="BX220" s="100"/>
    </row>
    <row r="221" spans="1:80" ht="15" customHeight="1" thickBot="1">
      <c r="B221" s="418" t="s">
        <v>583</v>
      </c>
      <c r="C221" s="818"/>
      <c r="D221" s="819"/>
      <c r="E221" s="819"/>
      <c r="F221" s="820"/>
      <c r="G221" s="834"/>
      <c r="H221" s="834"/>
      <c r="I221" s="836"/>
      <c r="J221" s="836"/>
      <c r="K221" s="835"/>
      <c r="L221" s="835"/>
      <c r="M221" s="835"/>
      <c r="N221" s="835"/>
      <c r="P221" s="397" t="s">
        <v>583</v>
      </c>
      <c r="Q221" s="907" t="str">
        <f t="shared" si="164"/>
        <v>LED</v>
      </c>
      <c r="R221" s="907"/>
      <c r="S221" s="559">
        <f>IF(DATOS!$G$55="No",IF(X202=1,1,0),IF(DATOS!$I$88=1,IF(X202=1,1,0),IF(X202=0,0,G221)))</f>
        <v>0</v>
      </c>
      <c r="T221" s="529">
        <f t="shared" si="160"/>
        <v>7</v>
      </c>
      <c r="U221" s="529" t="str">
        <f t="shared" si="160"/>
        <v>Sin Control</v>
      </c>
      <c r="V221" s="529" t="str">
        <f t="shared" si="165"/>
        <v>No</v>
      </c>
      <c r="W221" s="141"/>
      <c r="Y221" s="289" t="s">
        <v>583</v>
      </c>
      <c r="Z221" s="287">
        <v>10</v>
      </c>
      <c r="AA221" s="183">
        <f>IF(DATOS!C44=0,0,(T221*2)*Z221*365)</f>
        <v>0</v>
      </c>
      <c r="AB221" s="281">
        <f t="shared" si="161"/>
        <v>0</v>
      </c>
      <c r="AC221" s="905"/>
      <c r="AD221" s="905"/>
      <c r="AG221" s="898"/>
      <c r="AH221" s="99">
        <f t="shared" si="154"/>
        <v>0</v>
      </c>
      <c r="AI221" s="99">
        <f t="shared" si="155"/>
        <v>0</v>
      </c>
      <c r="AJ221" s="275" t="s">
        <v>583</v>
      </c>
      <c r="AK221" s="281">
        <v>200</v>
      </c>
      <c r="AL221" s="518">
        <f>DATOS!C42</f>
        <v>0</v>
      </c>
      <c r="AM221" s="287">
        <v>1.4</v>
      </c>
      <c r="AN221" s="281">
        <f t="shared" si="156"/>
        <v>0</v>
      </c>
      <c r="AO221" s="287">
        <v>1.25</v>
      </c>
      <c r="AP221" s="287">
        <v>0.2</v>
      </c>
      <c r="AQ221" s="281">
        <f t="shared" si="162"/>
        <v>0</v>
      </c>
      <c r="AR221" s="924"/>
      <c r="AS221" s="281">
        <f t="shared" si="157"/>
        <v>3650</v>
      </c>
      <c r="AT221" s="276">
        <f t="shared" si="163"/>
        <v>2311.666666666667</v>
      </c>
      <c r="AU221" s="276">
        <f t="shared" si="158"/>
        <v>0</v>
      </c>
      <c r="AV221" s="276">
        <f t="shared" si="159"/>
        <v>0</v>
      </c>
      <c r="AW221" s="905"/>
      <c r="AX221" s="905"/>
      <c r="AY221" s="898"/>
      <c r="BA221" s="560">
        <f>IF(DATOS!C44=0,0,IF(DATOS!$G$55="No",0,IF(DATOS!$I$88=1,0,IF(C221="LED",0,1))))</f>
        <v>0</v>
      </c>
      <c r="BB221" s="855" t="s">
        <v>1476</v>
      </c>
      <c r="BC221" s="855"/>
      <c r="BD221" s="855"/>
      <c r="BE221" s="855"/>
      <c r="BF221" s="855"/>
      <c r="BG221" s="855"/>
      <c r="BH221" s="855"/>
      <c r="BI221" s="855"/>
      <c r="BJ221" s="855"/>
      <c r="BN221" s="100"/>
      <c r="BW221" s="100"/>
      <c r="BX221" s="100"/>
    </row>
    <row r="222" spans="1:80" ht="15" customHeight="1" thickBot="1">
      <c r="B222" s="418" t="s">
        <v>566</v>
      </c>
      <c r="C222" s="818"/>
      <c r="D222" s="819"/>
      <c r="E222" s="819"/>
      <c r="F222" s="820"/>
      <c r="G222" s="834"/>
      <c r="H222" s="834"/>
      <c r="I222" s="836"/>
      <c r="J222" s="836"/>
      <c r="K222" s="835"/>
      <c r="L222" s="835"/>
      <c r="M222" s="835"/>
      <c r="N222" s="835"/>
      <c r="P222" s="397" t="s">
        <v>566</v>
      </c>
      <c r="Q222" s="907" t="str">
        <f t="shared" si="164"/>
        <v>LED</v>
      </c>
      <c r="R222" s="907"/>
      <c r="S222" s="559">
        <f>IF(DATOS!$G$55="No",IF(X203=1,1,0),IF(DATOS!$I$88=1,IF(X203=1,1,0),IF(X203=0,0,G222)))</f>
        <v>0</v>
      </c>
      <c r="T222" s="529">
        <f t="shared" si="160"/>
        <v>7</v>
      </c>
      <c r="U222" s="529" t="str">
        <f t="shared" si="160"/>
        <v>Sin Control</v>
      </c>
      <c r="V222" s="529" t="str">
        <f t="shared" si="165"/>
        <v>No</v>
      </c>
      <c r="W222" s="141"/>
      <c r="Y222" s="289" t="s">
        <v>566</v>
      </c>
      <c r="Z222" s="287">
        <v>4</v>
      </c>
      <c r="AA222" s="183">
        <f>IF(DATOS!C45=0,0,(T222*2)*Z222*365)</f>
        <v>0</v>
      </c>
      <c r="AB222" s="281">
        <f t="shared" si="161"/>
        <v>0</v>
      </c>
      <c r="AC222" s="905"/>
      <c r="AD222" s="905"/>
      <c r="AG222" s="898"/>
      <c r="AH222" s="99">
        <f t="shared" si="154"/>
        <v>0</v>
      </c>
      <c r="AI222" s="99">
        <f t="shared" si="155"/>
        <v>0</v>
      </c>
      <c r="AJ222" s="275" t="s">
        <v>566</v>
      </c>
      <c r="AK222" s="281">
        <v>200</v>
      </c>
      <c r="AL222" s="518">
        <f>DATOS!C43</f>
        <v>0</v>
      </c>
      <c r="AM222" s="287">
        <v>1.4</v>
      </c>
      <c r="AN222" s="281">
        <f t="shared" si="156"/>
        <v>0</v>
      </c>
      <c r="AO222" s="287">
        <v>1.25</v>
      </c>
      <c r="AP222" s="287">
        <v>0.2</v>
      </c>
      <c r="AQ222" s="281">
        <f t="shared" si="162"/>
        <v>0</v>
      </c>
      <c r="AR222" s="924"/>
      <c r="AS222" s="281">
        <f t="shared" si="157"/>
        <v>1460</v>
      </c>
      <c r="AT222" s="276">
        <f t="shared" si="163"/>
        <v>121.66666666666674</v>
      </c>
      <c r="AU222" s="276">
        <f t="shared" si="158"/>
        <v>0</v>
      </c>
      <c r="AV222" s="276">
        <f t="shared" si="159"/>
        <v>0</v>
      </c>
      <c r="AW222" s="905"/>
      <c r="AX222" s="905"/>
      <c r="AY222" s="898"/>
      <c r="BA222" s="560">
        <f>IF(DATOS!C45=0,0,IF(DATOS!$G$55="No",0,IF(DATOS!$I$88=1,0,IF(C222="LED",0,1))))</f>
        <v>0</v>
      </c>
      <c r="BB222" s="855" t="s">
        <v>1476</v>
      </c>
      <c r="BC222" s="855"/>
      <c r="BD222" s="855"/>
      <c r="BE222" s="855"/>
      <c r="BF222" s="855"/>
      <c r="BG222" s="855"/>
      <c r="BH222" s="855"/>
      <c r="BI222" s="855"/>
      <c r="BJ222" s="855"/>
      <c r="BN222" s="100"/>
      <c r="BW222" s="100"/>
      <c r="BX222" s="100"/>
    </row>
    <row r="223" spans="1:80" ht="15" customHeight="1" thickBot="1">
      <c r="B223" s="418" t="s">
        <v>572</v>
      </c>
      <c r="C223" s="818"/>
      <c r="D223" s="819"/>
      <c r="E223" s="819"/>
      <c r="F223" s="820"/>
      <c r="G223" s="834"/>
      <c r="H223" s="834"/>
      <c r="I223" s="836"/>
      <c r="J223" s="836"/>
      <c r="K223" s="835"/>
      <c r="L223" s="835"/>
      <c r="M223" s="835"/>
      <c r="N223" s="835"/>
      <c r="P223" s="397" t="s">
        <v>572</v>
      </c>
      <c r="Q223" s="907" t="str">
        <f t="shared" si="164"/>
        <v>LED</v>
      </c>
      <c r="R223" s="907"/>
      <c r="S223" s="559">
        <f>IF(DATOS!$G$55="No",IF(X204=1,1,0),IF(DATOS!$I$88=1,IF(X204=1,1,0),IF(X204=0,0,G223)))</f>
        <v>0</v>
      </c>
      <c r="T223" s="529">
        <f t="shared" si="160"/>
        <v>7</v>
      </c>
      <c r="U223" s="529" t="str">
        <f t="shared" si="160"/>
        <v>Sin Control</v>
      </c>
      <c r="V223" s="529" t="str">
        <f t="shared" si="165"/>
        <v>No</v>
      </c>
      <c r="W223" s="141"/>
      <c r="Y223" s="289" t="s">
        <v>572</v>
      </c>
      <c r="Z223" s="287">
        <v>10</v>
      </c>
      <c r="AA223" s="183">
        <f>IF(DATOS!C46=0,0,(T223*2)*Z223*365)</f>
        <v>0</v>
      </c>
      <c r="AB223" s="281">
        <f t="shared" si="161"/>
        <v>0</v>
      </c>
      <c r="AC223" s="905"/>
      <c r="AD223" s="905"/>
      <c r="AG223" s="898"/>
      <c r="AH223" s="99">
        <f t="shared" si="154"/>
        <v>0</v>
      </c>
      <c r="AI223" s="99">
        <f t="shared" si="155"/>
        <v>0</v>
      </c>
      <c r="AJ223" s="275" t="s">
        <v>572</v>
      </c>
      <c r="AK223" s="281">
        <v>200</v>
      </c>
      <c r="AL223" s="518">
        <f>DATOS!C44</f>
        <v>0</v>
      </c>
      <c r="AM223" s="287">
        <v>1.4</v>
      </c>
      <c r="AN223" s="281">
        <f t="shared" si="156"/>
        <v>0</v>
      </c>
      <c r="AO223" s="287">
        <v>1.25</v>
      </c>
      <c r="AP223" s="287">
        <v>0.2</v>
      </c>
      <c r="AQ223" s="281">
        <f t="shared" si="162"/>
        <v>0</v>
      </c>
      <c r="AR223" s="924"/>
      <c r="AS223" s="281">
        <f t="shared" si="157"/>
        <v>3650</v>
      </c>
      <c r="AT223" s="276">
        <f t="shared" si="163"/>
        <v>2311.666666666667</v>
      </c>
      <c r="AU223" s="276">
        <f t="shared" si="158"/>
        <v>0</v>
      </c>
      <c r="AV223" s="276">
        <f t="shared" si="159"/>
        <v>0</v>
      </c>
      <c r="AW223" s="905"/>
      <c r="AX223" s="905"/>
      <c r="AY223" s="898"/>
      <c r="BA223" s="560">
        <f>IF(DATOS!$G$55="No",0,IF(DATOS!$I$88=1,0,IF(C223="LED",0,1)))</f>
        <v>0</v>
      </c>
      <c r="BB223" s="855" t="s">
        <v>1476</v>
      </c>
      <c r="BC223" s="855"/>
      <c r="BD223" s="855"/>
      <c r="BE223" s="855"/>
      <c r="BF223" s="855"/>
      <c r="BG223" s="855"/>
      <c r="BH223" s="855"/>
      <c r="BI223" s="855"/>
      <c r="BJ223" s="855"/>
      <c r="BN223" s="100"/>
      <c r="BW223" s="100"/>
      <c r="BX223" s="100"/>
    </row>
    <row r="224" spans="1:80" ht="15" customHeight="1" thickBot="1">
      <c r="B224" s="418" t="s">
        <v>8</v>
      </c>
      <c r="C224" s="818"/>
      <c r="D224" s="819"/>
      <c r="E224" s="819"/>
      <c r="F224" s="820"/>
      <c r="G224" s="834"/>
      <c r="H224" s="834"/>
      <c r="I224" s="836"/>
      <c r="J224" s="836"/>
      <c r="K224" s="835"/>
      <c r="L224" s="835"/>
      <c r="M224" s="835"/>
      <c r="N224" s="835"/>
      <c r="P224" s="397" t="s">
        <v>8</v>
      </c>
      <c r="Q224" s="907" t="str">
        <f t="shared" si="164"/>
        <v>LED</v>
      </c>
      <c r="R224" s="907"/>
      <c r="S224" s="559">
        <f>IF(DATOS!$G$55="No",IF(X205=1,1,0),IF(DATOS!$I$88=1,IF(X205=1,1,0),IF(X205=0,0,G224)))</f>
        <v>0</v>
      </c>
      <c r="T224" s="529">
        <f t="shared" si="160"/>
        <v>7</v>
      </c>
      <c r="U224" s="529" t="str">
        <f t="shared" si="160"/>
        <v>Sin Control</v>
      </c>
      <c r="V224" s="529" t="str">
        <f t="shared" si="165"/>
        <v>No</v>
      </c>
      <c r="W224" s="141"/>
      <c r="Y224" s="289" t="s">
        <v>8</v>
      </c>
      <c r="Z224" s="287">
        <v>6</v>
      </c>
      <c r="AA224" s="183">
        <f>IF(DATOS!D48=0,0,(T224*2)*Z224*365)</f>
        <v>0</v>
      </c>
      <c r="AB224" s="281">
        <f t="shared" si="161"/>
        <v>0</v>
      </c>
      <c r="AC224" s="905"/>
      <c r="AD224" s="905"/>
      <c r="AG224" s="898"/>
      <c r="AH224" s="99"/>
      <c r="AJ224" s="275" t="s">
        <v>8</v>
      </c>
      <c r="AK224" s="281">
        <v>200</v>
      </c>
      <c r="AL224" s="276">
        <f>DATOS!D48</f>
        <v>0</v>
      </c>
      <c r="AM224" s="287">
        <v>1.4</v>
      </c>
      <c r="AN224" s="281">
        <f t="shared" si="156"/>
        <v>0</v>
      </c>
      <c r="AO224" s="287">
        <v>1.25</v>
      </c>
      <c r="AP224" s="287">
        <v>0.2</v>
      </c>
      <c r="AQ224" s="281">
        <f t="shared" si="162"/>
        <v>0</v>
      </c>
      <c r="AR224" s="924"/>
      <c r="AS224" s="281">
        <f t="shared" si="157"/>
        <v>2190</v>
      </c>
      <c r="AT224" s="276">
        <f t="shared" si="163"/>
        <v>851.66666666666674</v>
      </c>
      <c r="AU224" s="276">
        <f t="shared" si="158"/>
        <v>0</v>
      </c>
      <c r="AV224" s="276">
        <f t="shared" si="159"/>
        <v>0</v>
      </c>
      <c r="AW224" s="905"/>
      <c r="AX224" s="905"/>
      <c r="AY224" s="898"/>
      <c r="BA224" s="560">
        <f>IF(DATOS!D48=0,0,IF(DATOS!$G$55="No",0,IF(DATOS!$I$88=1,0,IF(C224="LED",0,1))))</f>
        <v>0</v>
      </c>
      <c r="BB224" s="855" t="s">
        <v>1476</v>
      </c>
      <c r="BC224" s="855"/>
      <c r="BD224" s="855"/>
      <c r="BE224" s="855"/>
      <c r="BF224" s="855"/>
      <c r="BG224" s="855"/>
      <c r="BH224" s="855"/>
      <c r="BI224" s="855"/>
      <c r="BJ224" s="855"/>
      <c r="BN224" s="100"/>
      <c r="BW224" s="100"/>
      <c r="BX224" s="100"/>
    </row>
    <row r="225" spans="1:80" ht="6" customHeight="1" thickBot="1">
      <c r="F225" s="464">
        <f>SUM(G214:G224)</f>
        <v>0</v>
      </c>
      <c r="N225" s="396"/>
      <c r="P225" s="331"/>
      <c r="Q225" s="128"/>
      <c r="R225" s="141"/>
      <c r="S225" s="141"/>
      <c r="T225" s="128"/>
      <c r="U225" s="128"/>
      <c r="V225" s="128"/>
      <c r="W225" s="141"/>
      <c r="AG225" s="898"/>
      <c r="AY225" s="898"/>
      <c r="BA225" s="560"/>
      <c r="BB225" s="343"/>
      <c r="BC225" s="184"/>
      <c r="BD225" s="184"/>
      <c r="BE225" s="184"/>
      <c r="BF225" s="184"/>
      <c r="BG225" s="184"/>
      <c r="BH225" s="184"/>
      <c r="BI225" s="184"/>
      <c r="BJ225" s="343"/>
      <c r="BW225" s="100"/>
      <c r="BX225" s="100"/>
    </row>
    <row r="226" spans="1:80" ht="20" customHeight="1" thickBot="1">
      <c r="B226" s="812" t="s">
        <v>609</v>
      </c>
      <c r="C226" s="812"/>
      <c r="D226" s="812"/>
      <c r="E226" s="812"/>
      <c r="F226" s="812"/>
      <c r="G226" s="812"/>
      <c r="H226" s="812"/>
      <c r="I226" s="812"/>
      <c r="J226" s="812"/>
      <c r="K226" s="812"/>
      <c r="L226" s="812"/>
      <c r="M226" s="812"/>
      <c r="N226" s="812"/>
      <c r="P226" s="954" t="s">
        <v>609</v>
      </c>
      <c r="Q226" s="954"/>
      <c r="R226" s="954"/>
      <c r="S226" s="954"/>
      <c r="T226" s="954"/>
      <c r="U226" s="954"/>
      <c r="V226" s="954"/>
      <c r="W226" s="954"/>
      <c r="Y226" s="954" t="s">
        <v>609</v>
      </c>
      <c r="Z226" s="954"/>
      <c r="AA226" s="954"/>
      <c r="AB226" s="954"/>
      <c r="AC226" s="954"/>
      <c r="AD226" s="954"/>
      <c r="AE226" s="954"/>
      <c r="AF226" s="496"/>
      <c r="AG226" s="898"/>
      <c r="AJ226" s="954" t="s">
        <v>609</v>
      </c>
      <c r="AK226" s="954"/>
      <c r="AL226" s="954"/>
      <c r="AM226" s="954"/>
      <c r="AN226" s="954"/>
      <c r="AO226" s="954"/>
      <c r="AP226" s="954"/>
      <c r="AQ226" s="954"/>
      <c r="AR226" s="954"/>
      <c r="AS226" s="954"/>
      <c r="AT226" s="954"/>
      <c r="AU226" s="954"/>
      <c r="AV226" s="954"/>
      <c r="AW226" s="954"/>
      <c r="AX226" s="954"/>
      <c r="AY226" s="898"/>
      <c r="BA226" s="560"/>
      <c r="BB226" s="343"/>
      <c r="BC226" s="184"/>
      <c r="BD226" s="184"/>
      <c r="BE226" s="184"/>
      <c r="BF226" s="184"/>
      <c r="BG226" s="184"/>
      <c r="BH226" s="184"/>
      <c r="BI226" s="184"/>
      <c r="BJ226" s="343"/>
      <c r="BW226" s="100"/>
      <c r="BX226" s="100"/>
    </row>
    <row r="227" spans="1:80" ht="6" customHeight="1" thickBot="1">
      <c r="P227" s="331"/>
      <c r="Q227" s="128"/>
      <c r="R227" s="141"/>
      <c r="S227" s="141"/>
      <c r="T227" s="128"/>
      <c r="U227" s="128"/>
      <c r="V227" s="128"/>
      <c r="W227" s="141"/>
      <c r="AG227" s="898"/>
      <c r="AY227" s="898"/>
      <c r="BA227" s="560"/>
      <c r="BB227" s="343"/>
      <c r="BC227" s="184"/>
      <c r="BD227" s="184"/>
      <c r="BE227" s="184"/>
      <c r="BF227" s="184"/>
      <c r="BG227" s="184"/>
      <c r="BH227" s="184"/>
      <c r="BI227" s="184"/>
      <c r="BJ227" s="343"/>
      <c r="BW227" s="100"/>
      <c r="BX227" s="100"/>
    </row>
    <row r="228" spans="1:80" s="99" customFormat="1" ht="30" customHeight="1" thickBot="1">
      <c r="A228" s="421"/>
      <c r="B228" s="414" t="s">
        <v>598</v>
      </c>
      <c r="C228" s="830" t="s">
        <v>603</v>
      </c>
      <c r="D228" s="831"/>
      <c r="E228" s="831"/>
      <c r="F228" s="832"/>
      <c r="G228" s="833" t="s">
        <v>227</v>
      </c>
      <c r="H228" s="833"/>
      <c r="I228" s="838" t="s">
        <v>604</v>
      </c>
      <c r="J228" s="838"/>
      <c r="K228" s="833" t="s">
        <v>612</v>
      </c>
      <c r="L228" s="833"/>
      <c r="M228" s="838" t="s">
        <v>1395</v>
      </c>
      <c r="N228" s="838"/>
      <c r="O228" s="404"/>
      <c r="P228" s="389" t="s">
        <v>598</v>
      </c>
      <c r="Q228" s="955" t="s">
        <v>603</v>
      </c>
      <c r="R228" s="955"/>
      <c r="S228" s="275" t="s">
        <v>227</v>
      </c>
      <c r="T228" s="294" t="s">
        <v>604</v>
      </c>
      <c r="U228" s="275" t="s">
        <v>612</v>
      </c>
      <c r="V228" s="141"/>
      <c r="W228" s="141"/>
      <c r="Y228" s="127"/>
      <c r="Z228" s="293" t="s">
        <v>1124</v>
      </c>
      <c r="AA228" s="100"/>
      <c r="AB228" s="293" t="s">
        <v>811</v>
      </c>
      <c r="AC228" s="293" t="s">
        <v>810</v>
      </c>
      <c r="AD228" s="293" t="s">
        <v>809</v>
      </c>
      <c r="AG228" s="898"/>
      <c r="AH228" s="100"/>
      <c r="AI228" s="100"/>
      <c r="AJ228" s="281"/>
      <c r="AM228" s="293" t="s">
        <v>1124</v>
      </c>
      <c r="AN228" s="293" t="s">
        <v>811</v>
      </c>
      <c r="AO228" s="293" t="s">
        <v>817</v>
      </c>
      <c r="AP228" s="281" t="s">
        <v>755</v>
      </c>
      <c r="AQ228" s="293" t="s">
        <v>1661</v>
      </c>
      <c r="AS228" s="293" t="s">
        <v>1400</v>
      </c>
      <c r="AV228" s="860">
        <f>IF(L374="No",1,IF(L376="Si",0.98,1))</f>
        <v>1</v>
      </c>
      <c r="AX228" s="293" t="s">
        <v>809</v>
      </c>
      <c r="AY228" s="898"/>
      <c r="AZ228" s="142"/>
      <c r="BA228" s="560"/>
      <c r="BB228" s="184"/>
      <c r="BC228" s="184"/>
      <c r="BD228" s="184"/>
      <c r="BE228" s="184"/>
      <c r="BF228" s="184"/>
      <c r="BG228" s="184"/>
      <c r="BH228" s="184"/>
      <c r="BI228" s="184"/>
      <c r="BJ228" s="184"/>
      <c r="BK228" s="146"/>
      <c r="BL228" s="147"/>
      <c r="BM228" s="148"/>
      <c r="BN228" s="148"/>
      <c r="BO228" s="148"/>
      <c r="BP228" s="148"/>
      <c r="BQ228" s="148"/>
      <c r="BR228" s="148"/>
      <c r="BS228" s="148"/>
      <c r="BT228" s="148"/>
      <c r="BU228" s="148"/>
      <c r="BV228" s="148"/>
      <c r="BW228" s="148"/>
      <c r="BX228" s="148"/>
      <c r="BY228" s="148"/>
      <c r="BZ228" s="148"/>
      <c r="CA228" s="148"/>
      <c r="CB228" s="148"/>
    </row>
    <row r="229" spans="1:80" ht="15" customHeight="1" thickBot="1">
      <c r="B229" s="418" t="s">
        <v>584</v>
      </c>
      <c r="C229" s="818"/>
      <c r="D229" s="819"/>
      <c r="E229" s="819"/>
      <c r="F229" s="820"/>
      <c r="G229" s="834"/>
      <c r="H229" s="834"/>
      <c r="I229" s="836"/>
      <c r="J229" s="836"/>
      <c r="K229" s="835"/>
      <c r="L229" s="835"/>
      <c r="M229" s="877"/>
      <c r="N229" s="877"/>
      <c r="P229" s="397" t="s">
        <v>584</v>
      </c>
      <c r="Q229" s="952" t="str">
        <f>'BASE DE DATOS'!GU16</f>
        <v>LED</v>
      </c>
      <c r="R229" s="952"/>
      <c r="S229" s="275">
        <f>IF(DATOS!$G$56="No",1,IF(DATOS!$I$88=1,1,IF(DATOS!G34=0,0,$G229)))</f>
        <v>1</v>
      </c>
      <c r="T229" s="536">
        <f>'BASE DE DATOS'!GU17</f>
        <v>12</v>
      </c>
      <c r="U229" s="536" t="str">
        <f>'BASE DE DATOS'!GU18</f>
        <v>Fotocelda</v>
      </c>
      <c r="V229" s="348"/>
      <c r="W229" s="181"/>
      <c r="Y229" s="289" t="s">
        <v>584</v>
      </c>
      <c r="Z229" s="287">
        <v>5</v>
      </c>
      <c r="AB229" s="281">
        <f>(((S229*T229)*Z229)*365)*0.75</f>
        <v>16425</v>
      </c>
      <c r="AC229" s="905">
        <f>SUM(AB229:AB232)</f>
        <v>55845</v>
      </c>
      <c r="AD229" s="905">
        <f>AC229*0.001</f>
        <v>55.844999999999999</v>
      </c>
      <c r="AG229" s="898"/>
      <c r="AJ229" s="289" t="s">
        <v>584</v>
      </c>
      <c r="AM229" s="281">
        <f>Z229*365</f>
        <v>1825</v>
      </c>
      <c r="AN229" s="281">
        <f>IF(DATOS!$G$56="No",AB229,(G229*I229)*AM229)</f>
        <v>16425</v>
      </c>
      <c r="AO229" s="281">
        <f>IF(K229="Fotocelda",AN229*0.75,IF(K229="Ocupación",AN229*0.9,IF(K229="Interruptor de Tiempo",AN229*0.9,AN229)))</f>
        <v>16425</v>
      </c>
      <c r="AP229" s="281">
        <f>AO229*0.001</f>
        <v>16.425000000000001</v>
      </c>
      <c r="AQ229" s="276">
        <f>IF(AN229&gt;=1,'Materiales Personalizados'!AQ154,0)</f>
        <v>0</v>
      </c>
      <c r="AS229" s="276">
        <f>IF(AP229-AQ229&gt;=0,AP229-AQ229,0)</f>
        <v>16.425000000000001</v>
      </c>
      <c r="AV229" s="861"/>
      <c r="AX229" s="905">
        <f>IF(DATOS!G56="No",AD229,SUM(AS229:AS232))</f>
        <v>55.844999999999999</v>
      </c>
      <c r="AY229" s="898"/>
      <c r="BA229" s="560">
        <f>IF(DATOS!G56="No",0,IF(DATOS!$I$88=1,0,IF(DATOS!G34=0,0,IF(C229="LED",0,IF(C229="Luz Solar",0,1)))))</f>
        <v>0</v>
      </c>
      <c r="BB229" s="855" t="s">
        <v>1476</v>
      </c>
      <c r="BC229" s="855"/>
      <c r="BD229" s="855"/>
      <c r="BE229" s="855"/>
      <c r="BF229" s="855"/>
      <c r="BG229" s="855"/>
      <c r="BH229" s="855"/>
      <c r="BI229" s="855"/>
      <c r="BJ229" s="855"/>
    </row>
    <row r="230" spans="1:80" ht="15" customHeight="1" thickBot="1">
      <c r="B230" s="418" t="s">
        <v>610</v>
      </c>
      <c r="C230" s="818"/>
      <c r="D230" s="819"/>
      <c r="E230" s="819"/>
      <c r="F230" s="820"/>
      <c r="G230" s="834"/>
      <c r="H230" s="834"/>
      <c r="I230" s="836"/>
      <c r="J230" s="836"/>
      <c r="K230" s="835"/>
      <c r="L230" s="835"/>
      <c r="M230" s="877"/>
      <c r="N230" s="877"/>
      <c r="P230" s="397" t="s">
        <v>610</v>
      </c>
      <c r="Q230" s="907" t="str">
        <f>Q229</f>
        <v>LED</v>
      </c>
      <c r="R230" s="907"/>
      <c r="S230" s="275">
        <f>IF(DATOS!$I$88=1,1,IF(DATOS!$G$56="No",1,$G230))</f>
        <v>1</v>
      </c>
      <c r="T230" s="288">
        <f>T229</f>
        <v>12</v>
      </c>
      <c r="U230" s="288" t="str">
        <f>U229</f>
        <v>Fotocelda</v>
      </c>
      <c r="V230" s="348"/>
      <c r="W230" s="181"/>
      <c r="Y230" s="289" t="s">
        <v>610</v>
      </c>
      <c r="Z230" s="287">
        <v>12</v>
      </c>
      <c r="AB230" s="281">
        <f>(((S230*T230)*Z230)*365)*0.75</f>
        <v>39420</v>
      </c>
      <c r="AC230" s="905"/>
      <c r="AD230" s="905"/>
      <c r="AG230" s="898"/>
      <c r="AJ230" s="289" t="s">
        <v>610</v>
      </c>
      <c r="AM230" s="281">
        <f>Z230*365</f>
        <v>4380</v>
      </c>
      <c r="AN230" s="281">
        <f>IF(DATOS!$G$56="No",AB230,(G230*I230)*AM230)</f>
        <v>39420</v>
      </c>
      <c r="AO230" s="281">
        <f>IF(K230="Fotocelda",AN230*0.75,IF(K230="Ocupación",AN230*0.9,IF(K230="Interruptor de Tiempo",AN230*0.9,AN230)))</f>
        <v>39420</v>
      </c>
      <c r="AP230" s="281">
        <f t="shared" ref="AP230:AP232" si="166">AO230*0.001</f>
        <v>39.42</v>
      </c>
      <c r="AQ230" s="276">
        <f>IF(AN230&gt;=1,'Materiales Personalizados'!AX154,0)</f>
        <v>0</v>
      </c>
      <c r="AS230" s="276">
        <f t="shared" ref="AS230:AS232" si="167">IF(AP230-AQ230&gt;=0,AP230-AQ230,0)</f>
        <v>39.42</v>
      </c>
      <c r="AV230" s="861"/>
      <c r="AX230" s="905"/>
      <c r="AY230" s="898"/>
      <c r="BA230" s="560">
        <f>IF(DATOS!G56="No",0,IF(DATOS!$I$88=1,0,IF(C230="LED",0,IF(C230="Luz Solar",0,1))))</f>
        <v>0</v>
      </c>
      <c r="BB230" s="855" t="s">
        <v>1476</v>
      </c>
      <c r="BC230" s="855"/>
      <c r="BD230" s="855"/>
      <c r="BE230" s="855"/>
      <c r="BF230" s="855"/>
      <c r="BG230" s="855"/>
      <c r="BH230" s="855"/>
      <c r="BI230" s="855"/>
      <c r="BJ230" s="855"/>
      <c r="BN230" s="100"/>
      <c r="BO230" s="100"/>
      <c r="BP230" s="100"/>
      <c r="BQ230" s="100"/>
      <c r="BR230" s="100"/>
      <c r="BS230" s="100"/>
    </row>
    <row r="231" spans="1:80" ht="15" customHeight="1" thickBot="1">
      <c r="B231" s="418" t="s">
        <v>8</v>
      </c>
      <c r="C231" s="818"/>
      <c r="D231" s="819"/>
      <c r="E231" s="819"/>
      <c r="F231" s="820"/>
      <c r="G231" s="834"/>
      <c r="H231" s="834"/>
      <c r="I231" s="836"/>
      <c r="J231" s="836"/>
      <c r="K231" s="835"/>
      <c r="L231" s="835"/>
      <c r="M231" s="877"/>
      <c r="N231" s="877"/>
      <c r="P231" s="397" t="s">
        <v>8</v>
      </c>
      <c r="Q231" s="907" t="str">
        <f t="shared" ref="Q231:Q232" si="168">Q230</f>
        <v>LED</v>
      </c>
      <c r="R231" s="907"/>
      <c r="S231" s="275">
        <v>0</v>
      </c>
      <c r="T231" s="528">
        <f t="shared" ref="T231:T232" si="169">T230</f>
        <v>12</v>
      </c>
      <c r="U231" s="528" t="str">
        <f t="shared" ref="U231:U232" si="170">U230</f>
        <v>Fotocelda</v>
      </c>
      <c r="V231" s="348"/>
      <c r="W231" s="181"/>
      <c r="Y231" s="289" t="s">
        <v>8</v>
      </c>
      <c r="Z231" s="287">
        <v>5</v>
      </c>
      <c r="AB231" s="281">
        <f>(((S231*T231)*Z231)*365)*0.75</f>
        <v>0</v>
      </c>
      <c r="AC231" s="905"/>
      <c r="AD231" s="905"/>
      <c r="AG231" s="898"/>
      <c r="AJ231" s="289" t="s">
        <v>8</v>
      </c>
      <c r="AM231" s="281">
        <f>Z231*365</f>
        <v>1825</v>
      </c>
      <c r="AN231" s="281">
        <f>IF(DATOS!$G$56="No",AB231,(G231*I231)*AM231)</f>
        <v>0</v>
      </c>
      <c r="AO231" s="281">
        <f>IF(K231="Fotocelda",AN231*0.75,IF(K231="Ocupación",AN231*0.9,IF(K231="Interruptor de Tiempo",AN231*0.9,AN231)))</f>
        <v>0</v>
      </c>
      <c r="AP231" s="281">
        <f t="shared" si="166"/>
        <v>0</v>
      </c>
      <c r="AQ231" s="276">
        <f>IF(AN231&gt;=1,'Materiales Personalizados'!AQ174,0)</f>
        <v>0</v>
      </c>
      <c r="AS231" s="276">
        <f t="shared" si="167"/>
        <v>0</v>
      </c>
      <c r="AV231" s="861"/>
      <c r="AX231" s="905"/>
      <c r="AY231" s="898"/>
      <c r="BA231" s="560">
        <f>IF(G231=0,0,IF(DATOS!$I$88=1,0,IF(C231="LED",0,IF(C231="Luz Solar",0,1))))</f>
        <v>0</v>
      </c>
      <c r="BB231" s="855" t="s">
        <v>1476</v>
      </c>
      <c r="BC231" s="855"/>
      <c r="BD231" s="855"/>
      <c r="BE231" s="855"/>
      <c r="BF231" s="855"/>
      <c r="BG231" s="855"/>
      <c r="BH231" s="855"/>
      <c r="BI231" s="855"/>
      <c r="BJ231" s="855"/>
      <c r="BN231" s="100"/>
      <c r="BO231" s="100"/>
      <c r="BP231" s="100"/>
      <c r="BQ231" s="100"/>
      <c r="BR231" s="100"/>
      <c r="BS231" s="100"/>
    </row>
    <row r="232" spans="1:80" ht="15" customHeight="1" thickBot="1">
      <c r="B232" s="418" t="s">
        <v>8</v>
      </c>
      <c r="C232" s="818"/>
      <c r="D232" s="819"/>
      <c r="E232" s="819"/>
      <c r="F232" s="820"/>
      <c r="G232" s="834"/>
      <c r="H232" s="834"/>
      <c r="I232" s="836"/>
      <c r="J232" s="836"/>
      <c r="K232" s="835"/>
      <c r="L232" s="835"/>
      <c r="M232" s="877"/>
      <c r="N232" s="877"/>
      <c r="P232" s="397" t="s">
        <v>8</v>
      </c>
      <c r="Q232" s="907" t="str">
        <f t="shared" si="168"/>
        <v>LED</v>
      </c>
      <c r="R232" s="907"/>
      <c r="S232" s="275">
        <v>0</v>
      </c>
      <c r="T232" s="528">
        <f t="shared" si="169"/>
        <v>12</v>
      </c>
      <c r="U232" s="528" t="str">
        <f t="shared" si="170"/>
        <v>Fotocelda</v>
      </c>
      <c r="V232" s="348"/>
      <c r="W232" s="181"/>
      <c r="Y232" s="289" t="s">
        <v>8</v>
      </c>
      <c r="Z232" s="287">
        <v>5</v>
      </c>
      <c r="AB232" s="281">
        <f>(((S232*T232)*Z232)*365)*0.75</f>
        <v>0</v>
      </c>
      <c r="AC232" s="905"/>
      <c r="AD232" s="905"/>
      <c r="AG232" s="898"/>
      <c r="AJ232" s="289" t="s">
        <v>8</v>
      </c>
      <c r="AM232" s="281">
        <f>Z232*365</f>
        <v>1825</v>
      </c>
      <c r="AN232" s="281">
        <f>IF(DATOS!$G$56="No",AB232,(G232*I232)*AM232)</f>
        <v>0</v>
      </c>
      <c r="AO232" s="281">
        <f>IF(K232="Fotocelda",AN232*0.75,IF(K232="Ocupación",AN232*0.9,IF(K232="Interruptor de Tiempo",AN232*0.9,AN232)))</f>
        <v>0</v>
      </c>
      <c r="AP232" s="281">
        <f t="shared" si="166"/>
        <v>0</v>
      </c>
      <c r="AQ232" s="276">
        <f>IF(AN232&gt;=1,'Materiales Personalizados'!AX174,0)</f>
        <v>0</v>
      </c>
      <c r="AS232" s="276">
        <f t="shared" si="167"/>
        <v>0</v>
      </c>
      <c r="AV232" s="862"/>
      <c r="AX232" s="905"/>
      <c r="AY232" s="898"/>
      <c r="BA232" s="560">
        <f>IF(G232=0,0,IF(C232="LED",0,IF(C232="Luz Solar",0,1)))</f>
        <v>0</v>
      </c>
      <c r="BB232" s="855" t="s">
        <v>1476</v>
      </c>
      <c r="BC232" s="855"/>
      <c r="BD232" s="855"/>
      <c r="BE232" s="855"/>
      <c r="BF232" s="855"/>
      <c r="BG232" s="855"/>
      <c r="BH232" s="855"/>
      <c r="BI232" s="855"/>
      <c r="BJ232" s="855"/>
      <c r="BN232" s="100"/>
      <c r="BO232" s="100"/>
      <c r="BP232" s="100"/>
      <c r="BQ232" s="100"/>
      <c r="BR232" s="100"/>
      <c r="BS232" s="100"/>
    </row>
    <row r="233" spans="1:80" ht="6" customHeight="1" thickBot="1">
      <c r="E233" s="332"/>
      <c r="F233" s="332"/>
      <c r="P233" s="338"/>
      <c r="Q233" s="348"/>
      <c r="R233" s="348"/>
      <c r="S233" s="348"/>
      <c r="T233" s="348"/>
      <c r="U233" s="348"/>
      <c r="V233" s="348"/>
      <c r="W233" s="181"/>
      <c r="BA233" s="560"/>
      <c r="BN233" s="100"/>
      <c r="BO233" s="100"/>
      <c r="BP233" s="100"/>
      <c r="BQ233" s="100"/>
      <c r="BR233" s="100"/>
      <c r="BS233" s="100"/>
    </row>
    <row r="234" spans="1:80" ht="30" customHeight="1" thickBot="1">
      <c r="B234" s="840" t="s">
        <v>617</v>
      </c>
      <c r="C234" s="840"/>
      <c r="D234" s="840"/>
      <c r="E234" s="840"/>
      <c r="F234" s="840"/>
      <c r="G234" s="840"/>
      <c r="H234" s="840"/>
      <c r="I234" s="840"/>
      <c r="J234" s="840"/>
      <c r="K234" s="840"/>
      <c r="L234" s="840"/>
      <c r="M234" s="840"/>
      <c r="N234" s="840"/>
      <c r="P234" s="956" t="s">
        <v>617</v>
      </c>
      <c r="Q234" s="956"/>
      <c r="R234" s="956"/>
      <c r="S234" s="956"/>
      <c r="T234" s="956"/>
      <c r="U234" s="956"/>
      <c r="V234" s="956"/>
      <c r="W234" s="956"/>
      <c r="Y234" s="956" t="s">
        <v>617</v>
      </c>
      <c r="Z234" s="956"/>
      <c r="AA234" s="956"/>
      <c r="AB234" s="956"/>
      <c r="AC234" s="956"/>
      <c r="AD234" s="956"/>
      <c r="AE234" s="956"/>
      <c r="AF234" s="956"/>
      <c r="AG234" s="956"/>
      <c r="AH234" s="956"/>
      <c r="AI234" s="956"/>
      <c r="AJ234" s="956"/>
      <c r="AK234" s="956"/>
      <c r="AL234" s="956"/>
      <c r="AM234" s="956"/>
      <c r="AN234" s="956"/>
      <c r="AO234" s="956"/>
      <c r="AP234" s="956"/>
      <c r="AQ234" s="956"/>
      <c r="AR234" s="956"/>
      <c r="AS234" s="956"/>
      <c r="AT234" s="956"/>
      <c r="AU234" s="956"/>
      <c r="AV234" s="956"/>
      <c r="AW234" s="956"/>
      <c r="AX234" s="956"/>
      <c r="AY234" s="956"/>
      <c r="BA234" s="560">
        <f>SUM(BA214:BA232)</f>
        <v>0</v>
      </c>
      <c r="BN234" s="100"/>
      <c r="BO234" s="100"/>
      <c r="BP234" s="100"/>
      <c r="BQ234" s="100"/>
      <c r="BR234" s="100"/>
      <c r="BS234" s="100"/>
    </row>
    <row r="235" spans="1:80" ht="6" customHeight="1" thickBot="1">
      <c r="P235" s="331"/>
      <c r="Q235" s="128"/>
      <c r="R235" s="141"/>
      <c r="S235" s="141"/>
      <c r="T235" s="128"/>
      <c r="U235" s="128"/>
      <c r="V235" s="128"/>
      <c r="W235" s="141"/>
    </row>
    <row r="236" spans="1:80" ht="15" customHeight="1" thickBot="1">
      <c r="B236" s="833"/>
      <c r="C236" s="833"/>
      <c r="D236" s="833"/>
      <c r="E236" s="833" t="s">
        <v>621</v>
      </c>
      <c r="F236" s="833"/>
      <c r="G236" s="833"/>
      <c r="H236" s="833" t="s">
        <v>623</v>
      </c>
      <c r="I236" s="833"/>
      <c r="J236" s="833" t="s">
        <v>604</v>
      </c>
      <c r="K236" s="833"/>
      <c r="L236" s="833"/>
      <c r="M236" s="833"/>
      <c r="N236" s="833"/>
      <c r="P236" s="955"/>
      <c r="Q236" s="955"/>
      <c r="R236" s="275" t="s">
        <v>717</v>
      </c>
      <c r="S236" s="275" t="s">
        <v>623</v>
      </c>
      <c r="T236" s="959" t="s">
        <v>812</v>
      </c>
      <c r="U236" s="959"/>
      <c r="V236" s="851" t="s">
        <v>1081</v>
      </c>
      <c r="W236" s="851"/>
      <c r="Y236" s="955"/>
      <c r="Z236" s="955"/>
      <c r="AA236" s="293" t="s">
        <v>1124</v>
      </c>
      <c r="AB236" s="293" t="s">
        <v>811</v>
      </c>
      <c r="AC236" s="293" t="s">
        <v>810</v>
      </c>
      <c r="AD236" s="281" t="s">
        <v>1182</v>
      </c>
      <c r="AE236" s="282" t="s">
        <v>1305</v>
      </c>
      <c r="AF236" s="488"/>
      <c r="AG236" s="278" t="s">
        <v>809</v>
      </c>
      <c r="AJ236" s="955"/>
      <c r="AK236" s="955"/>
      <c r="AL236" s="293" t="s">
        <v>1124</v>
      </c>
      <c r="AM236" s="293" t="s">
        <v>811</v>
      </c>
      <c r="AN236" s="293" t="s">
        <v>810</v>
      </c>
      <c r="AO236" s="281" t="s">
        <v>1182</v>
      </c>
      <c r="AQ236" s="381" t="s">
        <v>1941</v>
      </c>
      <c r="AX236" s="282" t="s">
        <v>1305</v>
      </c>
      <c r="AY236" s="278" t="s">
        <v>809</v>
      </c>
    </row>
    <row r="237" spans="1:80" ht="15" customHeight="1" thickBot="1">
      <c r="B237" s="833" t="s">
        <v>618</v>
      </c>
      <c r="C237" s="830" t="s">
        <v>1126</v>
      </c>
      <c r="D237" s="832"/>
      <c r="E237" s="835"/>
      <c r="F237" s="835"/>
      <c r="G237" s="835"/>
      <c r="H237" s="835"/>
      <c r="I237" s="835"/>
      <c r="J237" s="834"/>
      <c r="K237" s="834"/>
      <c r="L237" s="834"/>
      <c r="M237" s="834"/>
      <c r="N237" s="834"/>
      <c r="P237" s="958" t="s">
        <v>618</v>
      </c>
      <c r="Q237" s="160" t="s">
        <v>1126</v>
      </c>
      <c r="R237" s="288" t="s">
        <v>1889</v>
      </c>
      <c r="S237" s="288" t="s">
        <v>777</v>
      </c>
      <c r="T237" s="952">
        <f>IF(S237="Eléctrico",'BASE DE DATOS'!GS23,'BASE DE DATOS'!GQ23)</f>
        <v>1500</v>
      </c>
      <c r="U237" s="952"/>
      <c r="V237" s="957">
        <f>'BASE DE DATOS'!GT23</f>
        <v>0.86</v>
      </c>
      <c r="W237" s="957"/>
      <c r="Y237" s="960" t="s">
        <v>618</v>
      </c>
      <c r="Z237" s="160" t="s">
        <v>1126</v>
      </c>
      <c r="AA237" s="905">
        <f>AGUA!AG14/365</f>
        <v>-0.54794520547945202</v>
      </c>
      <c r="AB237" s="281">
        <f>IF(DATOS!I88=1,($AA$237*T237)*365,IF(J237&gt;1,($AA$237*T237)*365,0))</f>
        <v>0</v>
      </c>
      <c r="AC237" s="851">
        <f>SUM(AB237:AB243)</f>
        <v>2295850</v>
      </c>
      <c r="AD237" s="527">
        <f>IF(DATOS!I88=1,(V237*$AA$237)*365,IF(J237&gt;1,(V237*$AA$237)*365,0))</f>
        <v>0</v>
      </c>
      <c r="AE237" s="906">
        <f>AD237+AD241+AD238</f>
        <v>0</v>
      </c>
      <c r="AF237" s="488"/>
      <c r="AG237" s="898">
        <f>AC237*0.001</f>
        <v>2295.85</v>
      </c>
      <c r="AJ237" s="960" t="s">
        <v>618</v>
      </c>
      <c r="AK237" s="160" t="s">
        <v>1126</v>
      </c>
      <c r="AL237" s="905">
        <f>AGUA!AR14/365</f>
        <v>0</v>
      </c>
      <c r="AM237" s="276">
        <f>IF(DATOS!I88=1,ENERGÍA!AB237,(J237*$AL$237)*365)</f>
        <v>0</v>
      </c>
      <c r="AN237" s="905">
        <f>IF(DATOS!I88=1,SUM(AM237:AM243)+DATOS!F96,SUM(AM237:AM243))</f>
        <v>653350</v>
      </c>
      <c r="AO237" s="276">
        <f>IF(DATOS!I88=1,DATOS!G96,IF(J237&gt;1,IF(H237=H238,((AL237-AL250)*V237)*365,0),0))</f>
        <v>0</v>
      </c>
      <c r="AQ237" s="860">
        <f>(AO237+AO238+AO241+AO242+AO243)*10.55</f>
        <v>0</v>
      </c>
      <c r="AX237" s="977">
        <f>AO237+AO241+AO238</f>
        <v>0</v>
      </c>
      <c r="AY237" s="898">
        <f>(AN237+AQ237)*0.001</f>
        <v>653.35</v>
      </c>
    </row>
    <row r="238" spans="1:80" ht="15" customHeight="1" thickBot="1">
      <c r="B238" s="833"/>
      <c r="C238" s="830" t="s">
        <v>1127</v>
      </c>
      <c r="D238" s="832"/>
      <c r="E238" s="835"/>
      <c r="F238" s="835"/>
      <c r="G238" s="835"/>
      <c r="H238" s="833" t="s">
        <v>624</v>
      </c>
      <c r="I238" s="833"/>
      <c r="J238" s="834"/>
      <c r="K238" s="834"/>
      <c r="L238" s="834"/>
      <c r="M238" s="834"/>
      <c r="N238" s="834"/>
      <c r="P238" s="958"/>
      <c r="Q238" s="160" t="s">
        <v>1127</v>
      </c>
      <c r="R238" s="288" t="s">
        <v>638</v>
      </c>
      <c r="S238" s="288" t="s">
        <v>624</v>
      </c>
      <c r="T238" s="1039">
        <f>'BASE DE DATOS'!GQ24</f>
        <v>3.5</v>
      </c>
      <c r="U238" s="1039"/>
      <c r="V238" s="957">
        <f>'BASE DE DATOS'!GT24</f>
        <v>2.58</v>
      </c>
      <c r="W238" s="957"/>
      <c r="Y238" s="960"/>
      <c r="Z238" s="160" t="s">
        <v>1127</v>
      </c>
      <c r="AA238" s="905"/>
      <c r="AB238" s="281">
        <f>IF(J238&gt;1,($AA$237*T238)*365,0)</f>
        <v>0</v>
      </c>
      <c r="AC238" s="851"/>
      <c r="AD238" s="281">
        <f>IF(J238&gt;1,(V238*$AA$237)*365,0)</f>
        <v>0</v>
      </c>
      <c r="AE238" s="906"/>
      <c r="AF238" s="488"/>
      <c r="AG238" s="898"/>
      <c r="AJ238" s="960"/>
      <c r="AK238" s="160" t="s">
        <v>1127</v>
      </c>
      <c r="AL238" s="905"/>
      <c r="AM238" s="276">
        <f>(J238*$AL$237)*365</f>
        <v>0</v>
      </c>
      <c r="AN238" s="905"/>
      <c r="AO238" s="276">
        <f>IF(J238&gt;1,((AL237-AL250)*V238)*365,0)</f>
        <v>0</v>
      </c>
      <c r="AQ238" s="861"/>
      <c r="AX238" s="977"/>
      <c r="AY238" s="898"/>
    </row>
    <row r="239" spans="1:80" ht="15" customHeight="1" thickBot="1">
      <c r="E239" s="332"/>
      <c r="F239" s="332"/>
      <c r="L239" s="332"/>
      <c r="M239" s="332"/>
      <c r="R239" s="100"/>
      <c r="S239" s="100"/>
      <c r="W239" s="100"/>
      <c r="Y239" s="100"/>
      <c r="AC239" s="851"/>
      <c r="AD239" s="99"/>
      <c r="AE239" s="906"/>
      <c r="AF239" s="488"/>
      <c r="AG239" s="898"/>
      <c r="AN239" s="905"/>
      <c r="AQ239" s="861"/>
      <c r="AX239" s="977"/>
      <c r="AY239" s="898"/>
    </row>
    <row r="240" spans="1:80" ht="15" customHeight="1" thickBot="1">
      <c r="B240" s="833"/>
      <c r="C240" s="833"/>
      <c r="D240" s="833"/>
      <c r="E240" s="833" t="s">
        <v>621</v>
      </c>
      <c r="F240" s="833"/>
      <c r="G240" s="833"/>
      <c r="H240" s="833" t="s">
        <v>623</v>
      </c>
      <c r="I240" s="833"/>
      <c r="J240" s="833" t="s">
        <v>604</v>
      </c>
      <c r="K240" s="833"/>
      <c r="L240" s="833"/>
      <c r="M240" s="833"/>
      <c r="N240" s="833"/>
      <c r="R240" s="100"/>
      <c r="S240" s="100"/>
      <c r="W240" s="100"/>
      <c r="Y240" s="100"/>
      <c r="AC240" s="851"/>
      <c r="AD240" s="99"/>
      <c r="AE240" s="906"/>
      <c r="AF240" s="488"/>
      <c r="AG240" s="898"/>
      <c r="AN240" s="905"/>
      <c r="AQ240" s="861"/>
      <c r="AX240" s="977"/>
      <c r="AY240" s="898"/>
    </row>
    <row r="241" spans="2:67" ht="15" customHeight="1" thickBot="1">
      <c r="B241" s="833" t="s">
        <v>572</v>
      </c>
      <c r="C241" s="833"/>
      <c r="D241" s="833"/>
      <c r="E241" s="835"/>
      <c r="F241" s="835"/>
      <c r="G241" s="835"/>
      <c r="H241" s="835"/>
      <c r="I241" s="835"/>
      <c r="J241" s="834"/>
      <c r="K241" s="834"/>
      <c r="L241" s="834"/>
      <c r="M241" s="834"/>
      <c r="N241" s="834"/>
      <c r="P241" s="960" t="s">
        <v>572</v>
      </c>
      <c r="Q241" s="960"/>
      <c r="R241" s="288" t="s">
        <v>622</v>
      </c>
      <c r="S241" s="536" t="str">
        <f>'BASE DE DATOS'!GP25</f>
        <v>Eléctrico</v>
      </c>
      <c r="T241" s="957">
        <f>'BASE DE DATOS'!GS25</f>
        <v>1500</v>
      </c>
      <c r="U241" s="957"/>
      <c r="V241" s="953">
        <v>0.86</v>
      </c>
      <c r="W241" s="953"/>
      <c r="Y241" s="960" t="s">
        <v>572</v>
      </c>
      <c r="Z241" s="960"/>
      <c r="AA241" s="287">
        <v>3</v>
      </c>
      <c r="AB241" s="281">
        <f>(T241*AA241)*365</f>
        <v>1642500</v>
      </c>
      <c r="AC241" s="851"/>
      <c r="AD241" s="281">
        <v>0</v>
      </c>
      <c r="AE241" s="906"/>
      <c r="AF241" s="488"/>
      <c r="AG241" s="898"/>
      <c r="AJ241" s="960" t="s">
        <v>572</v>
      </c>
      <c r="AK241" s="960"/>
      <c r="AL241" s="276">
        <f>IF(DATOS!G58="No",0,AA241)</f>
        <v>3</v>
      </c>
      <c r="AM241" s="276">
        <f>IF(DATOS!G58="No",AB241,(J241*AL241)*365)</f>
        <v>0</v>
      </c>
      <c r="AN241" s="905"/>
      <c r="AO241" s="276">
        <f>IF(J241&gt;1,IF(H241=H238,(AL241*V241)*365,0),0)</f>
        <v>0</v>
      </c>
      <c r="AQ241" s="861"/>
      <c r="AX241" s="977"/>
      <c r="AY241" s="898"/>
    </row>
    <row r="242" spans="2:67" ht="15" customHeight="1" thickBot="1">
      <c r="B242" s="833" t="s">
        <v>620</v>
      </c>
      <c r="C242" s="833"/>
      <c r="D242" s="833"/>
      <c r="E242" s="835"/>
      <c r="F242" s="835"/>
      <c r="G242" s="835"/>
      <c r="H242" s="835"/>
      <c r="I242" s="835"/>
      <c r="J242" s="834"/>
      <c r="K242" s="834"/>
      <c r="L242" s="834"/>
      <c r="M242" s="834"/>
      <c r="N242" s="834"/>
      <c r="P242" s="960" t="s">
        <v>620</v>
      </c>
      <c r="Q242" s="960"/>
      <c r="R242" s="185"/>
      <c r="S242" s="288" t="s">
        <v>625</v>
      </c>
      <c r="T242" s="1039">
        <f>'BASE DE DATOS'!GS26</f>
        <v>175</v>
      </c>
      <c r="U242" s="1039"/>
      <c r="V242" s="953" t="s">
        <v>1080</v>
      </c>
      <c r="W242" s="953"/>
      <c r="Y242" s="960" t="s">
        <v>620</v>
      </c>
      <c r="Z242" s="960"/>
      <c r="AA242" s="287">
        <v>2</v>
      </c>
      <c r="AB242" s="281">
        <f>(T242*AA242)*365</f>
        <v>127750</v>
      </c>
      <c r="AC242" s="851"/>
      <c r="AD242" s="281">
        <v>0</v>
      </c>
      <c r="AE242" s="906"/>
      <c r="AF242" s="488"/>
      <c r="AG242" s="898"/>
      <c r="AJ242" s="960" t="s">
        <v>620</v>
      </c>
      <c r="AK242" s="960"/>
      <c r="AL242" s="276">
        <f>IF(DATOS!G59="No",0,AA242)</f>
        <v>0</v>
      </c>
      <c r="AM242" s="276">
        <f>IF(DATOS!G59="No",AB242,(J242*AL242)*365)</f>
        <v>127750</v>
      </c>
      <c r="AN242" s="905"/>
      <c r="AO242" s="276">
        <v>0</v>
      </c>
      <c r="AQ242" s="861"/>
      <c r="AX242" s="977"/>
      <c r="AY242" s="898"/>
    </row>
    <row r="243" spans="2:67" ht="15" customHeight="1" thickBot="1">
      <c r="B243" s="833" t="s">
        <v>619</v>
      </c>
      <c r="C243" s="833"/>
      <c r="D243" s="833"/>
      <c r="E243" s="835"/>
      <c r="F243" s="835"/>
      <c r="G243" s="835"/>
      <c r="J243" s="834"/>
      <c r="K243" s="834"/>
      <c r="L243" s="834"/>
      <c r="M243" s="834"/>
      <c r="N243" s="834"/>
      <c r="P243" s="960" t="s">
        <v>619</v>
      </c>
      <c r="Q243" s="960"/>
      <c r="R243" s="185"/>
      <c r="S243" s="185"/>
      <c r="T243" s="1039">
        <f>'BASE DE DATOS'!GS27</f>
        <v>60</v>
      </c>
      <c r="U243" s="1039"/>
      <c r="V243" s="953" t="s">
        <v>1080</v>
      </c>
      <c r="W243" s="953"/>
      <c r="Y243" s="960" t="s">
        <v>619</v>
      </c>
      <c r="Z243" s="960"/>
      <c r="AA243" s="287">
        <v>24</v>
      </c>
      <c r="AB243" s="281">
        <f>(T243*AA243)*365</f>
        <v>525600</v>
      </c>
      <c r="AC243" s="851"/>
      <c r="AD243" s="281">
        <v>0</v>
      </c>
      <c r="AE243" s="906"/>
      <c r="AF243" s="488"/>
      <c r="AG243" s="898"/>
      <c r="AJ243" s="960" t="s">
        <v>619</v>
      </c>
      <c r="AK243" s="960"/>
      <c r="AL243" s="276">
        <f>IF(DATOS!G60="No",0,AA243)</f>
        <v>0</v>
      </c>
      <c r="AM243" s="276">
        <f>IF(DATOS!G60="No",AB243,(J243*AL243)*365)</f>
        <v>525600</v>
      </c>
      <c r="AN243" s="905"/>
      <c r="AO243" s="276">
        <v>0</v>
      </c>
      <c r="AQ243" s="862"/>
      <c r="AX243" s="977"/>
      <c r="AY243" s="898"/>
    </row>
    <row r="244" spans="2:67" ht="6" customHeight="1" thickBot="1">
      <c r="E244" s="332"/>
      <c r="F244" s="332"/>
      <c r="P244" s="338"/>
      <c r="Q244" s="348"/>
      <c r="R244" s="348"/>
      <c r="S244" s="348"/>
      <c r="T244" s="348"/>
      <c r="U244" s="348"/>
      <c r="V244" s="348"/>
      <c r="W244" s="181"/>
    </row>
    <row r="245" spans="2:67" ht="30" customHeight="1" thickBot="1">
      <c r="B245" s="840" t="s">
        <v>1920</v>
      </c>
      <c r="C245" s="840"/>
      <c r="D245" s="840"/>
      <c r="E245" s="840"/>
      <c r="F245" s="840"/>
      <c r="G245" s="840"/>
      <c r="H245" s="840"/>
      <c r="I245" s="840"/>
      <c r="J245" s="840"/>
      <c r="K245" s="840"/>
      <c r="L245" s="840"/>
      <c r="M245" s="840"/>
      <c r="N245" s="840"/>
      <c r="P245" s="956" t="s">
        <v>627</v>
      </c>
      <c r="Q245" s="956"/>
      <c r="R245" s="956"/>
      <c r="S245" s="956"/>
      <c r="T245" s="956"/>
      <c r="U245" s="956"/>
      <c r="V245" s="956"/>
      <c r="W245" s="956"/>
      <c r="Y245" s="956" t="s">
        <v>627</v>
      </c>
      <c r="Z245" s="956"/>
      <c r="AA245" s="956"/>
      <c r="AB245" s="956"/>
      <c r="AC245" s="956"/>
      <c r="AD245" s="956"/>
      <c r="AE245" s="956"/>
      <c r="AF245" s="956"/>
      <c r="AG245" s="956"/>
      <c r="AH245" s="956"/>
      <c r="AI245" s="956"/>
      <c r="AJ245" s="956"/>
      <c r="AK245" s="956"/>
      <c r="AL245" s="956"/>
      <c r="AM245" s="956"/>
      <c r="AN245" s="956"/>
      <c r="AO245" s="956"/>
      <c r="AP245" s="956"/>
      <c r="AQ245" s="956"/>
      <c r="AR245" s="956"/>
      <c r="AS245" s="956"/>
      <c r="AT245" s="956"/>
      <c r="AU245" s="956"/>
      <c r="AV245" s="956"/>
      <c r="AW245" s="956"/>
      <c r="AX245" s="956"/>
      <c r="AY245" s="956"/>
    </row>
    <row r="246" spans="2:67" ht="6" customHeight="1" thickBot="1">
      <c r="P246" s="331"/>
      <c r="Q246" s="128"/>
      <c r="R246" s="141"/>
      <c r="S246" s="141"/>
      <c r="T246" s="128"/>
      <c r="U246" s="128"/>
      <c r="V246" s="128"/>
      <c r="W246" s="141"/>
    </row>
    <row r="247" spans="2:67" ht="20" customHeight="1" thickBot="1">
      <c r="B247" s="812" t="s">
        <v>2056</v>
      </c>
      <c r="C247" s="812"/>
      <c r="D247" s="812"/>
      <c r="E247" s="812"/>
      <c r="F247" s="812"/>
      <c r="G247" s="812"/>
      <c r="H247" s="812"/>
      <c r="I247" s="812"/>
      <c r="J247" s="812"/>
      <c r="K247" s="812"/>
      <c r="L247" s="812"/>
      <c r="M247" s="812"/>
      <c r="N247" s="812"/>
      <c r="P247" s="954" t="s">
        <v>628</v>
      </c>
      <c r="Q247" s="954"/>
      <c r="R247" s="954"/>
      <c r="S247" s="954"/>
      <c r="T247" s="954"/>
      <c r="U247" s="954"/>
      <c r="V247" s="954"/>
      <c r="W247" s="954"/>
      <c r="Y247" s="955" t="s">
        <v>628</v>
      </c>
      <c r="Z247" s="955"/>
      <c r="AA247" s="955"/>
      <c r="AB247" s="955"/>
      <c r="AC247" s="955"/>
      <c r="AD247" s="955"/>
      <c r="AE247" s="955"/>
      <c r="AF247" s="955"/>
      <c r="AG247" s="955"/>
      <c r="AH247" s="955"/>
      <c r="AI247" s="955"/>
      <c r="AJ247" s="955"/>
      <c r="AK247" s="955"/>
      <c r="AL247" s="955"/>
      <c r="AM247" s="955"/>
      <c r="AN247" s="955"/>
      <c r="AO247" s="955"/>
      <c r="AP247" s="955"/>
      <c r="AQ247" s="955"/>
      <c r="AR247" s="955"/>
      <c r="AS247" s="955"/>
      <c r="AT247" s="955"/>
      <c r="AU247" s="955"/>
      <c r="AV247" s="955"/>
      <c r="AW247" s="955"/>
      <c r="AX247" s="955"/>
      <c r="AY247" s="955"/>
    </row>
    <row r="248" spans="2:67" ht="6" customHeight="1" thickBot="1">
      <c r="P248" s="338"/>
      <c r="Q248" s="348"/>
      <c r="R248" s="181"/>
      <c r="S248" s="181"/>
      <c r="T248" s="348"/>
      <c r="U248" s="348"/>
      <c r="V248" s="348"/>
      <c r="W248" s="181"/>
    </row>
    <row r="249" spans="2:67" ht="15" customHeight="1" thickBot="1">
      <c r="B249" s="418" t="s">
        <v>647</v>
      </c>
      <c r="C249" s="835" t="s">
        <v>7</v>
      </c>
      <c r="D249" s="835"/>
      <c r="F249" s="332"/>
      <c r="H249" s="839" t="s">
        <v>652</v>
      </c>
      <c r="I249" s="839"/>
      <c r="J249" s="839"/>
      <c r="K249" s="839"/>
      <c r="L249" s="835"/>
      <c r="M249" s="835"/>
      <c r="N249" s="835"/>
      <c r="P249" s="397" t="s">
        <v>647</v>
      </c>
      <c r="Q249" s="536" t="str">
        <f>'BASE DE DATOS'!GQ30</f>
        <v>Si</v>
      </c>
      <c r="R249" s="141"/>
      <c r="S249" s="960" t="s">
        <v>652</v>
      </c>
      <c r="T249" s="960"/>
      <c r="U249" s="960"/>
      <c r="V249" s="1040" t="str">
        <f>'BASE DE DATOS'!GQ31</f>
        <v>Agua Caliente</v>
      </c>
      <c r="W249" s="1040"/>
      <c r="AG249" s="278" t="s">
        <v>809</v>
      </c>
      <c r="AJ249" s="281"/>
      <c r="AK249" s="281" t="s">
        <v>755</v>
      </c>
      <c r="AL249" s="281" t="s">
        <v>1100</v>
      </c>
      <c r="AN249" s="155" t="s">
        <v>1845</v>
      </c>
      <c r="AO249" s="281" t="e">
        <f>VLOOKUP($F$5,inclinaciones,2,TRUE)</f>
        <v>#N/A</v>
      </c>
      <c r="AP249" s="281" t="e">
        <f>VLOOKUP($F$5,inclinaciones,3,TRUE)</f>
        <v>#N/A</v>
      </c>
      <c r="AU249" s="155" t="s">
        <v>1933</v>
      </c>
      <c r="AY249" s="278" t="s">
        <v>809</v>
      </c>
      <c r="BA249" s="184"/>
      <c r="BB249" s="1033" t="s">
        <v>1662</v>
      </c>
      <c r="BC249" s="1033"/>
      <c r="BD249" s="1033"/>
      <c r="BE249" s="1033"/>
      <c r="BF249" s="1033"/>
      <c r="BG249" s="1033"/>
      <c r="BH249" s="1033"/>
      <c r="BI249" s="1033"/>
      <c r="BJ249" s="1033"/>
    </row>
    <row r="250" spans="2:67" ht="15" customHeight="1" thickBot="1">
      <c r="B250" s="418" t="s">
        <v>648</v>
      </c>
      <c r="C250" s="835"/>
      <c r="D250" s="835"/>
      <c r="F250" s="332"/>
      <c r="H250" s="839" t="s">
        <v>646</v>
      </c>
      <c r="I250" s="839"/>
      <c r="J250" s="839"/>
      <c r="K250" s="839"/>
      <c r="L250" s="836"/>
      <c r="M250" s="836"/>
      <c r="N250" s="836"/>
      <c r="P250" s="397" t="s">
        <v>648</v>
      </c>
      <c r="Q250" s="313" t="s">
        <v>649</v>
      </c>
      <c r="R250" s="141"/>
      <c r="S250" s="960" t="s">
        <v>646</v>
      </c>
      <c r="T250" s="960"/>
      <c r="U250" s="960"/>
      <c r="V250" s="1040">
        <f>'BASE DE DATOS'!GU30</f>
        <v>200</v>
      </c>
      <c r="W250" s="1040"/>
      <c r="AG250" s="898">
        <f>IF(C249="No",0,'Materiales Personalizados'!AX100)</f>
        <v>0</v>
      </c>
      <c r="AJ250" s="281" t="s">
        <v>618</v>
      </c>
      <c r="AK250" s="276" t="e">
        <f>'Materiales Personalizados'!AX119</f>
        <v>#DIV/0!</v>
      </c>
      <c r="AL250" s="276">
        <f>IF(C249="No",0,AK250/365)</f>
        <v>0</v>
      </c>
      <c r="AN250" s="155" t="s">
        <v>1846</v>
      </c>
      <c r="AO250" s="281" t="e">
        <f>VLOOKUP($F$5,inclinaciones,5,TRUE)</f>
        <v>#N/A</v>
      </c>
      <c r="AP250" s="281" t="e">
        <f>VLOOKUP($F$5,inclinaciones,4,TRUE)</f>
        <v>#N/A</v>
      </c>
      <c r="AR250" s="281" t="e">
        <f>VLOOKUP($F$5,inclinaciones,7,TRUE)</f>
        <v>#N/A</v>
      </c>
      <c r="AS250" s="281" t="e">
        <f>VLOOKUP($F$5,inclinaciones,6,TRUE)</f>
        <v>#N/A</v>
      </c>
      <c r="AU250" s="281" t="e">
        <f>VLOOKUP(C252,af,2,FALSE)</f>
        <v>#N/A</v>
      </c>
      <c r="AW250" s="860" t="e">
        <f>(AK250+AK251)*AK252</f>
        <v>#DIV/0!</v>
      </c>
      <c r="AY250" s="898">
        <f>IF(C249="No",0,AW250*AU250)</f>
        <v>0</v>
      </c>
      <c r="BA250" s="524">
        <f>IF(C249="NO",1,IF(L250&lt;200,1,0))</f>
        <v>1</v>
      </c>
      <c r="BB250" s="1033"/>
      <c r="BC250" s="1033"/>
      <c r="BD250" s="1033"/>
      <c r="BE250" s="1033"/>
      <c r="BF250" s="1033"/>
      <c r="BG250" s="1033"/>
      <c r="BH250" s="1033"/>
      <c r="BI250" s="1033"/>
      <c r="BJ250" s="1033"/>
    </row>
    <row r="251" spans="2:67" ht="15" customHeight="1" thickBot="1">
      <c r="B251" s="418" t="s">
        <v>1960</v>
      </c>
      <c r="C251" s="835"/>
      <c r="D251" s="835"/>
      <c r="H251" s="839" t="s">
        <v>718</v>
      </c>
      <c r="I251" s="839"/>
      <c r="J251" s="839"/>
      <c r="K251" s="839"/>
      <c r="L251" s="836"/>
      <c r="M251" s="836"/>
      <c r="N251" s="836"/>
      <c r="P251" s="247"/>
      <c r="Q251" s="141"/>
      <c r="R251" s="141"/>
      <c r="S251" s="960" t="s">
        <v>718</v>
      </c>
      <c r="T251" s="960"/>
      <c r="U251" s="960"/>
      <c r="V251" s="1044">
        <f>VLOOKUP(Q4,CLIMA,26,FALSE)</f>
        <v>0</v>
      </c>
      <c r="W251" s="1044"/>
      <c r="AG251" s="898"/>
      <c r="AJ251" s="281" t="s">
        <v>650</v>
      </c>
      <c r="AK251" s="276" t="e">
        <f>'Materiales Personalizados'!AZ136</f>
        <v>#DIV/0!</v>
      </c>
      <c r="AN251" s="155" t="s">
        <v>1849</v>
      </c>
      <c r="AO251" s="281" t="e">
        <f>VLOOKUP($F$5,inclinaciones,9,TRUE)</f>
        <v>#N/A</v>
      </c>
      <c r="AP251" s="281" t="e">
        <f>VLOOKUP($F$5,inclinaciones,8,TRUE)</f>
        <v>#N/A</v>
      </c>
      <c r="AR251" s="281" t="e">
        <f>VLOOKUP($F$5,inclinaciones,11,TRUE)</f>
        <v>#N/A</v>
      </c>
      <c r="AS251" s="281" t="e">
        <f>VLOOKUP($F$5,inclinaciones,10,TRUE)</f>
        <v>#N/A</v>
      </c>
      <c r="AW251" s="861"/>
      <c r="AY251" s="898"/>
      <c r="BA251" s="184"/>
      <c r="BB251" s="855" t="s">
        <v>1461</v>
      </c>
      <c r="BC251" s="855"/>
      <c r="BD251" s="855"/>
      <c r="BE251" s="855"/>
      <c r="BF251" s="855"/>
      <c r="BG251" s="855"/>
      <c r="BH251" s="855"/>
      <c r="BI251" s="855"/>
      <c r="BJ251" s="855"/>
      <c r="BO251" s="102" t="s">
        <v>1961</v>
      </c>
    </row>
    <row r="252" spans="2:67" ht="15" customHeight="1" thickBot="1">
      <c r="B252" s="418" t="s">
        <v>1918</v>
      </c>
      <c r="C252" s="835"/>
      <c r="D252" s="835"/>
      <c r="F252" s="332"/>
      <c r="H252" s="839" t="s">
        <v>860</v>
      </c>
      <c r="I252" s="839"/>
      <c r="J252" s="839"/>
      <c r="K252" s="839"/>
      <c r="L252" s="836"/>
      <c r="M252" s="836"/>
      <c r="N252" s="836"/>
      <c r="P252" s="247"/>
      <c r="Q252" s="141"/>
      <c r="R252" s="141"/>
      <c r="S252" s="960" t="s">
        <v>860</v>
      </c>
      <c r="T252" s="960"/>
      <c r="U252" s="960"/>
      <c r="V252" s="1034">
        <f>+L252</f>
        <v>0</v>
      </c>
      <c r="W252" s="1034"/>
      <c r="AG252" s="898"/>
      <c r="AJ252" s="281" t="s">
        <v>1848</v>
      </c>
      <c r="AK252" s="282" t="e">
        <f>IF(L251&gt;=AO249,IF(L251&lt;=AP249,1,IF(L251&lt;=AS250,0.95,IF(L251&lt;=AS251,0.9,IF(L251&lt;=AS252,0.85,0.8)))),0.85)</f>
        <v>#N/A</v>
      </c>
      <c r="AN252" s="155" t="s">
        <v>1847</v>
      </c>
      <c r="AO252" s="281" t="e">
        <f>VLOOKUP($F$5,inclinaciones,13,TRUE)</f>
        <v>#N/A</v>
      </c>
      <c r="AP252" s="281" t="e">
        <f>VLOOKUP($F$5,inclinaciones,12,TRUE)</f>
        <v>#N/A</v>
      </c>
      <c r="AR252" s="281" t="e">
        <f>VLOOKUP($F$5,inclinaciones,15,TRUE)</f>
        <v>#N/A</v>
      </c>
      <c r="AS252" s="281" t="e">
        <f>VLOOKUP($F$5,inclinaciones,14,TRUE)</f>
        <v>#N/A</v>
      </c>
      <c r="AW252" s="862"/>
      <c r="AY252" s="898"/>
      <c r="BA252" s="184"/>
      <c r="BO252" s="102" t="s">
        <v>1962</v>
      </c>
    </row>
    <row r="253" spans="2:67" ht="6" customHeight="1" thickBot="1">
      <c r="E253" s="332"/>
      <c r="P253" s="338"/>
      <c r="Q253" s="348"/>
      <c r="R253" s="348"/>
      <c r="S253" s="181"/>
      <c r="T253" s="348"/>
      <c r="U253" s="348"/>
      <c r="V253" s="348"/>
      <c r="W253" s="181"/>
      <c r="BO253" s="102" t="s">
        <v>1961</v>
      </c>
    </row>
    <row r="254" spans="2:67" ht="20" customHeight="1" thickBot="1">
      <c r="B254" s="812" t="s">
        <v>629</v>
      </c>
      <c r="C254" s="812"/>
      <c r="D254" s="812"/>
      <c r="E254" s="812"/>
      <c r="F254" s="812"/>
      <c r="G254" s="812"/>
      <c r="H254" s="812"/>
      <c r="I254" s="812"/>
      <c r="J254" s="812"/>
      <c r="K254" s="812"/>
      <c r="L254" s="812"/>
      <c r="M254" s="812"/>
      <c r="N254" s="812"/>
      <c r="P254" s="954" t="s">
        <v>629</v>
      </c>
      <c r="Q254" s="954"/>
      <c r="R254" s="954"/>
      <c r="S254" s="954"/>
      <c r="T254" s="954"/>
      <c r="U254" s="954"/>
      <c r="V254" s="954"/>
      <c r="W254" s="954"/>
      <c r="Y254" s="954" t="s">
        <v>629</v>
      </c>
      <c r="Z254" s="954"/>
      <c r="AA254" s="954"/>
      <c r="AB254" s="954"/>
      <c r="AC254" s="954"/>
      <c r="AD254" s="954"/>
      <c r="AE254" s="954"/>
      <c r="AF254" s="954"/>
      <c r="AG254" s="954"/>
      <c r="AH254" s="954"/>
      <c r="AI254" s="954"/>
      <c r="AJ254" s="954"/>
      <c r="AK254" s="954"/>
      <c r="AL254" s="954"/>
      <c r="AM254" s="954"/>
      <c r="AN254" s="954"/>
      <c r="AO254" s="954"/>
      <c r="AP254" s="954"/>
      <c r="AQ254" s="954"/>
      <c r="AR254" s="954"/>
      <c r="AS254" s="954"/>
      <c r="AT254" s="954"/>
      <c r="AU254" s="954"/>
      <c r="AV254" s="954"/>
      <c r="AW254" s="954"/>
      <c r="AX254" s="954"/>
      <c r="AY254" s="954"/>
      <c r="BO254" s="102" t="s">
        <v>1962</v>
      </c>
    </row>
    <row r="255" spans="2:67" ht="6" customHeight="1" thickBot="1">
      <c r="P255" s="331"/>
      <c r="Q255" s="128"/>
      <c r="R255" s="141"/>
      <c r="S255" s="141"/>
      <c r="T255" s="128"/>
      <c r="U255" s="128"/>
      <c r="V255" s="128"/>
      <c r="W255" s="141"/>
      <c r="BO255" s="102" t="s">
        <v>1961</v>
      </c>
    </row>
    <row r="256" spans="2:67" ht="15" customHeight="1" thickBot="1">
      <c r="B256" s="418" t="s">
        <v>653</v>
      </c>
      <c r="C256" s="835" t="s">
        <v>7</v>
      </c>
      <c r="D256" s="835"/>
      <c r="H256" s="839" t="s">
        <v>1386</v>
      </c>
      <c r="I256" s="839"/>
      <c r="J256" s="839"/>
      <c r="K256" s="839"/>
      <c r="L256" s="836"/>
      <c r="M256" s="836"/>
      <c r="N256" s="836"/>
      <c r="P256" s="397" t="s">
        <v>653</v>
      </c>
      <c r="Q256" s="352" t="s">
        <v>7</v>
      </c>
      <c r="R256" s="141"/>
      <c r="S256" s="960" t="s">
        <v>1386</v>
      </c>
      <c r="T256" s="960"/>
      <c r="U256" s="960"/>
      <c r="V256" s="960"/>
      <c r="W256" s="352">
        <v>0</v>
      </c>
      <c r="AG256" s="278" t="s">
        <v>809</v>
      </c>
      <c r="AJ256" s="281" t="s">
        <v>1848</v>
      </c>
      <c r="AK256" s="282" t="e">
        <f>IF(L258&gt;=AO249,IF(L258&lt;=AP249,1,IF(L258&lt;=AS250,0.95,IF(L258&lt;=AS251,0.9,IF(L258&lt;=AS252,0.85,0.8)))),0.85)</f>
        <v>#N/A</v>
      </c>
      <c r="AU256" s="155" t="s">
        <v>1933</v>
      </c>
      <c r="AY256" s="278" t="s">
        <v>809</v>
      </c>
      <c r="BO256" s="102" t="s">
        <v>1962</v>
      </c>
    </row>
    <row r="257" spans="1:80" ht="15" customHeight="1" thickBot="1">
      <c r="B257" s="418" t="s">
        <v>654</v>
      </c>
      <c r="C257" s="835"/>
      <c r="D257" s="835"/>
      <c r="H257" s="839" t="s">
        <v>1387</v>
      </c>
      <c r="I257" s="839"/>
      <c r="J257" s="839"/>
      <c r="K257" s="839"/>
      <c r="L257" s="836"/>
      <c r="M257" s="836"/>
      <c r="N257" s="836"/>
      <c r="P257" s="397" t="s">
        <v>654</v>
      </c>
      <c r="Q257" s="352" t="s">
        <v>7</v>
      </c>
      <c r="R257" s="128"/>
      <c r="S257" s="1037" t="s">
        <v>1387</v>
      </c>
      <c r="T257" s="1038"/>
      <c r="U257" s="1038"/>
      <c r="V257" s="1038"/>
      <c r="W257" s="353">
        <v>0</v>
      </c>
      <c r="Y257" s="100"/>
      <c r="AG257" s="898">
        <v>0</v>
      </c>
      <c r="AU257" s="281" t="e">
        <f>VLOOKUP(C258,af,2,FALSE)</f>
        <v>#N/A</v>
      </c>
      <c r="AW257" s="860" t="e">
        <f>'Materiales Personalizados'!AQ20*AK256</f>
        <v>#N/A</v>
      </c>
      <c r="AY257" s="857">
        <f>IF(C256="No",0,AW257*AU257)</f>
        <v>0</v>
      </c>
    </row>
    <row r="258" spans="1:80" ht="15" customHeight="1" thickBot="1">
      <c r="B258" s="418" t="s">
        <v>1918</v>
      </c>
      <c r="C258" s="835"/>
      <c r="D258" s="835"/>
      <c r="H258" s="839" t="s">
        <v>718</v>
      </c>
      <c r="I258" s="839"/>
      <c r="J258" s="839"/>
      <c r="K258" s="839"/>
      <c r="L258" s="836"/>
      <c r="M258" s="836"/>
      <c r="N258" s="836"/>
      <c r="P258" s="397" t="s">
        <v>1663</v>
      </c>
      <c r="Q258" s="352">
        <v>0</v>
      </c>
      <c r="R258" s="141"/>
      <c r="S258" s="100"/>
      <c r="W258" s="100"/>
      <c r="AG258" s="898"/>
      <c r="AW258" s="861"/>
      <c r="AY258" s="858"/>
      <c r="BC258" s="134" t="s">
        <v>17</v>
      </c>
    </row>
    <row r="259" spans="1:80" ht="15" customHeight="1" thickBot="1">
      <c r="B259" s="418" t="s">
        <v>1663</v>
      </c>
      <c r="C259" s="836"/>
      <c r="D259" s="836"/>
      <c r="F259" s="332"/>
      <c r="L259" s="332"/>
      <c r="M259" s="332"/>
      <c r="P259" s="397"/>
      <c r="Q259" s="352"/>
      <c r="R259" s="141"/>
      <c r="S259" s="100"/>
      <c r="W259" s="100"/>
      <c r="AG259" s="277"/>
      <c r="AW259" s="862"/>
      <c r="AY259" s="859"/>
    </row>
    <row r="260" spans="1:80" ht="6" customHeight="1" thickBot="1">
      <c r="B260" s="332" t="s">
        <v>17</v>
      </c>
      <c r="P260" s="331" t="s">
        <v>17</v>
      </c>
      <c r="Q260" s="128"/>
      <c r="R260" s="141"/>
      <c r="S260" s="141"/>
      <c r="T260" s="128"/>
      <c r="U260" s="128"/>
      <c r="V260" s="128"/>
      <c r="W260" s="141"/>
    </row>
    <row r="261" spans="1:80" ht="20" customHeight="1" thickBot="1">
      <c r="B261" s="812" t="s">
        <v>772</v>
      </c>
      <c r="C261" s="812"/>
      <c r="D261" s="812"/>
      <c r="E261" s="812"/>
      <c r="F261" s="812"/>
      <c r="G261" s="812"/>
      <c r="H261" s="812"/>
      <c r="I261" s="812"/>
      <c r="J261" s="812"/>
      <c r="K261" s="812"/>
      <c r="L261" s="812"/>
      <c r="M261" s="812"/>
      <c r="N261" s="812"/>
      <c r="P261" s="954" t="s">
        <v>772</v>
      </c>
      <c r="Q261" s="954"/>
      <c r="R261" s="954"/>
      <c r="S261" s="954"/>
      <c r="T261" s="954"/>
      <c r="U261" s="954"/>
      <c r="V261" s="954"/>
      <c r="W261" s="954"/>
      <c r="Y261" s="954" t="s">
        <v>772</v>
      </c>
      <c r="Z261" s="954"/>
      <c r="AA261" s="954"/>
      <c r="AB261" s="954"/>
      <c r="AC261" s="954"/>
      <c r="AD261" s="954"/>
      <c r="AE261" s="954"/>
      <c r="AF261" s="954"/>
      <c r="AG261" s="954"/>
      <c r="AH261" s="954"/>
      <c r="AI261" s="954"/>
      <c r="AJ261" s="954"/>
      <c r="AK261" s="954"/>
      <c r="AL261" s="954"/>
      <c r="AM261" s="954"/>
      <c r="AN261" s="954"/>
      <c r="AO261" s="954"/>
      <c r="AP261" s="954"/>
      <c r="AQ261" s="954"/>
      <c r="AR261" s="954"/>
      <c r="AS261" s="954"/>
      <c r="AT261" s="954"/>
      <c r="AU261" s="954"/>
      <c r="AV261" s="954"/>
      <c r="AW261" s="954"/>
      <c r="AX261" s="954"/>
      <c r="AY261" s="954"/>
    </row>
    <row r="262" spans="1:80" ht="6" customHeight="1" thickBot="1">
      <c r="P262" s="331"/>
      <c r="Q262" s="128"/>
      <c r="R262" s="141"/>
      <c r="S262" s="141"/>
      <c r="T262" s="128"/>
      <c r="U262" s="128"/>
      <c r="V262" s="128"/>
      <c r="W262" s="141"/>
    </row>
    <row r="263" spans="1:80" ht="15" customHeight="1" thickBot="1">
      <c r="B263" s="839" t="s">
        <v>1919</v>
      </c>
      <c r="C263" s="839"/>
      <c r="D263" s="839"/>
      <c r="E263" s="839"/>
      <c r="F263" s="839"/>
      <c r="G263" s="839"/>
      <c r="H263" s="839"/>
      <c r="I263" s="839"/>
      <c r="J263" s="839"/>
      <c r="K263" s="839"/>
      <c r="L263" s="835" t="s">
        <v>7</v>
      </c>
      <c r="M263" s="835"/>
      <c r="N263" s="835"/>
      <c r="P263" s="398" t="s">
        <v>656</v>
      </c>
      <c r="Q263" s="352" t="s">
        <v>7</v>
      </c>
      <c r="R263" s="141"/>
      <c r="S263" s="960" t="s">
        <v>1769</v>
      </c>
      <c r="T263" s="960"/>
      <c r="U263" s="960"/>
      <c r="V263" s="1044">
        <v>0</v>
      </c>
      <c r="W263" s="1044"/>
      <c r="AD263" s="947" t="s">
        <v>809</v>
      </c>
      <c r="AE263" s="947"/>
      <c r="AF263" s="498"/>
      <c r="AG263" s="277">
        <v>0</v>
      </c>
      <c r="AH263" s="99"/>
      <c r="AI263" s="99"/>
      <c r="AW263" s="947" t="s">
        <v>809</v>
      </c>
      <c r="AX263" s="947"/>
      <c r="AY263" s="277">
        <f>IF(L263="No",0,L265)</f>
        <v>0</v>
      </c>
    </row>
    <row r="264" spans="1:80" ht="6" customHeight="1" thickBot="1">
      <c r="E264" s="332"/>
      <c r="F264" s="332"/>
      <c r="L264" s="332"/>
      <c r="M264" s="332"/>
      <c r="P264" s="331"/>
      <c r="Q264" s="268"/>
      <c r="R264" s="141"/>
      <c r="S264" s="354"/>
      <c r="T264" s="354"/>
      <c r="U264" s="354"/>
      <c r="V264" s="268"/>
      <c r="W264" s="268"/>
      <c r="AD264" s="186"/>
      <c r="AE264" s="186"/>
      <c r="AF264" s="186"/>
      <c r="AG264" s="187"/>
      <c r="AH264" s="99"/>
      <c r="AI264" s="99"/>
      <c r="AW264" s="186"/>
      <c r="AX264" s="186"/>
      <c r="AY264" s="187"/>
    </row>
    <row r="265" spans="1:80" ht="15" customHeight="1" thickBot="1">
      <c r="B265" s="345" t="s">
        <v>656</v>
      </c>
      <c r="C265" s="835"/>
      <c r="D265" s="835"/>
      <c r="G265" s="839" t="s">
        <v>1769</v>
      </c>
      <c r="H265" s="839"/>
      <c r="I265" s="839"/>
      <c r="J265" s="839"/>
      <c r="K265" s="839"/>
      <c r="L265" s="836"/>
      <c r="M265" s="836"/>
      <c r="N265" s="836"/>
      <c r="P265" s="398"/>
      <c r="Q265" s="352"/>
      <c r="R265" s="141"/>
      <c r="S265" s="289"/>
      <c r="T265" s="289"/>
      <c r="U265" s="289"/>
      <c r="V265" s="352"/>
      <c r="W265" s="352"/>
      <c r="Y265" s="349"/>
      <c r="Z265" s="349"/>
      <c r="AA265" s="349"/>
      <c r="AH265" s="99"/>
      <c r="AI265" s="99"/>
      <c r="AW265" s="278"/>
      <c r="AX265" s="278"/>
      <c r="AY265" s="277"/>
    </row>
    <row r="266" spans="1:80" ht="6" customHeight="1" thickBot="1">
      <c r="D266" s="421"/>
      <c r="F266" s="355"/>
      <c r="G266" s="355"/>
      <c r="H266" s="355"/>
      <c r="I266" s="355"/>
      <c r="J266" s="355"/>
      <c r="K266" s="356"/>
      <c r="L266" s="356"/>
      <c r="M266" s="356"/>
      <c r="P266" s="331"/>
      <c r="Q266" s="268"/>
      <c r="R266" s="141"/>
      <c r="S266" s="354"/>
      <c r="T266" s="354"/>
      <c r="U266" s="354"/>
      <c r="V266" s="268"/>
      <c r="W266" s="268"/>
      <c r="AD266" s="186"/>
      <c r="AE266" s="186"/>
      <c r="AF266" s="186"/>
      <c r="AG266" s="187"/>
      <c r="AH266" s="99"/>
      <c r="AI266" s="99"/>
      <c r="AW266" s="186"/>
      <c r="AX266" s="186"/>
      <c r="AY266" s="187"/>
    </row>
    <row r="267" spans="1:80" s="99" customFormat="1" ht="30" customHeight="1" thickBot="1">
      <c r="A267" s="421"/>
      <c r="B267" s="840" t="s">
        <v>1303</v>
      </c>
      <c r="C267" s="840"/>
      <c r="D267" s="840"/>
      <c r="E267" s="840"/>
      <c r="F267" s="840"/>
      <c r="G267" s="840"/>
      <c r="H267" s="840"/>
      <c r="I267" s="840"/>
      <c r="J267" s="840"/>
      <c r="K267" s="840"/>
      <c r="L267" s="840"/>
      <c r="M267" s="840"/>
      <c r="N267" s="840"/>
      <c r="O267" s="404"/>
      <c r="P267" s="1041" t="s">
        <v>1303</v>
      </c>
      <c r="Q267" s="1042"/>
      <c r="R267" s="1042"/>
      <c r="S267" s="1042"/>
      <c r="T267" s="1042"/>
      <c r="U267" s="1042"/>
      <c r="V267" s="1042"/>
      <c r="W267" s="1042"/>
      <c r="X267" s="1042"/>
      <c r="Y267" s="1042"/>
      <c r="Z267" s="1042"/>
      <c r="AA267" s="1042"/>
      <c r="AB267" s="1042"/>
      <c r="AC267" s="1042"/>
      <c r="AD267" s="1042"/>
      <c r="AE267" s="1042"/>
      <c r="AF267" s="1042"/>
      <c r="AG267" s="1042"/>
      <c r="AH267" s="1042"/>
      <c r="AI267" s="1042"/>
      <c r="AJ267" s="1042"/>
      <c r="AK267" s="1042"/>
      <c r="AL267" s="1042"/>
      <c r="AM267" s="1042"/>
      <c r="AN267" s="1042"/>
      <c r="AO267" s="1042"/>
      <c r="AP267" s="1042"/>
      <c r="AQ267" s="1042"/>
      <c r="AR267" s="1042"/>
      <c r="AS267" s="1042"/>
      <c r="AT267" s="1042"/>
      <c r="AU267" s="1042"/>
      <c r="AV267" s="1042"/>
      <c r="AW267" s="1042"/>
      <c r="AX267" s="1042"/>
      <c r="AY267" s="1043"/>
      <c r="AZ267" s="142"/>
      <c r="BA267" s="411"/>
      <c r="BB267" s="146"/>
      <c r="BC267" s="146"/>
      <c r="BD267" s="146"/>
      <c r="BE267" s="146"/>
      <c r="BF267" s="146"/>
      <c r="BG267" s="146"/>
      <c r="BH267" s="146"/>
      <c r="BI267" s="146"/>
      <c r="BJ267" s="146"/>
      <c r="BK267" s="146"/>
      <c r="BL267" s="147"/>
      <c r="BM267" s="148"/>
      <c r="BN267" s="148"/>
      <c r="BO267" s="148"/>
      <c r="BP267" s="148"/>
      <c r="BQ267" s="148"/>
      <c r="BR267" s="148"/>
      <c r="BS267" s="148"/>
      <c r="BT267" s="148"/>
      <c r="BU267" s="148"/>
      <c r="BV267" s="148"/>
      <c r="BW267" s="148"/>
      <c r="BX267" s="148"/>
      <c r="BY267" s="148"/>
      <c r="BZ267" s="148"/>
      <c r="CA267" s="148"/>
      <c r="CB267" s="148"/>
    </row>
    <row r="268" spans="1:80" s="99" customFormat="1" ht="6" customHeight="1" thickBot="1">
      <c r="A268" s="421"/>
      <c r="B268" s="421"/>
      <c r="C268" s="505"/>
      <c r="D268" s="421"/>
      <c r="E268" s="421"/>
      <c r="F268" s="421"/>
      <c r="G268" s="421"/>
      <c r="H268" s="421"/>
      <c r="I268" s="421"/>
      <c r="J268" s="421"/>
      <c r="K268" s="421"/>
      <c r="L268" s="421"/>
      <c r="M268" s="421"/>
      <c r="N268" s="396"/>
      <c r="O268" s="404"/>
      <c r="P268" s="189"/>
      <c r="Q268" s="181"/>
      <c r="R268" s="181"/>
      <c r="S268" s="181"/>
      <c r="T268" s="181"/>
      <c r="U268" s="181"/>
      <c r="V268" s="181"/>
      <c r="W268" s="181"/>
      <c r="Y268" s="127"/>
      <c r="AZ268" s="142"/>
      <c r="BA268" s="411"/>
      <c r="BB268" s="146"/>
      <c r="BC268" s="146"/>
      <c r="BD268" s="146"/>
      <c r="BE268" s="146"/>
      <c r="BF268" s="146"/>
      <c r="BG268" s="146"/>
      <c r="BH268" s="146"/>
      <c r="BI268" s="146"/>
      <c r="BJ268" s="146"/>
      <c r="BK268" s="146"/>
      <c r="BL268" s="147"/>
      <c r="BM268" s="148"/>
      <c r="BN268" s="148"/>
      <c r="BO268" s="148"/>
      <c r="BP268" s="148"/>
      <c r="BQ268" s="148"/>
      <c r="BR268" s="148"/>
      <c r="BS268" s="148"/>
      <c r="BT268" s="148"/>
      <c r="BU268" s="148"/>
      <c r="BV268" s="148"/>
      <c r="BW268" s="148"/>
      <c r="BX268" s="148"/>
      <c r="BY268" s="148"/>
      <c r="BZ268" s="148"/>
      <c r="CA268" s="148"/>
      <c r="CB268" s="148"/>
    </row>
    <row r="269" spans="1:80" s="99" customFormat="1" ht="20" customHeight="1" thickBot="1">
      <c r="A269" s="421"/>
      <c r="B269" s="812" t="s">
        <v>1109</v>
      </c>
      <c r="C269" s="812"/>
      <c r="D269" s="812"/>
      <c r="E269" s="812"/>
      <c r="F269" s="812"/>
      <c r="G269" s="812"/>
      <c r="H269" s="812"/>
      <c r="I269" s="812"/>
      <c r="J269" s="812"/>
      <c r="K269" s="812"/>
      <c r="L269" s="812"/>
      <c r="M269" s="812"/>
      <c r="N269" s="812"/>
      <c r="O269" s="404"/>
      <c r="P269" s="189"/>
      <c r="Q269" s="181"/>
      <c r="R269" s="181"/>
      <c r="S269" s="181"/>
      <c r="T269" s="181"/>
      <c r="U269" s="181"/>
      <c r="V269" s="181"/>
      <c r="W269" s="181"/>
      <c r="Y269" s="127"/>
      <c r="AZ269" s="142"/>
      <c r="BA269" s="411"/>
      <c r="BB269" s="146"/>
      <c r="BC269" s="146"/>
      <c r="BD269" s="146"/>
      <c r="BE269" s="146"/>
      <c r="BF269" s="146"/>
      <c r="BG269" s="146"/>
      <c r="BH269" s="146"/>
      <c r="BI269" s="146"/>
      <c r="BJ269" s="146"/>
      <c r="BK269" s="146"/>
      <c r="BL269" s="147"/>
      <c r="BM269" s="148"/>
      <c r="BN269" s="148"/>
      <c r="BO269" s="148"/>
      <c r="BP269" s="148"/>
      <c r="BQ269" s="148"/>
      <c r="BR269" s="148"/>
      <c r="BS269" s="148"/>
      <c r="BT269" s="148"/>
      <c r="BU269" s="148"/>
      <c r="BV269" s="148"/>
      <c r="BW269" s="148"/>
      <c r="BX269" s="148"/>
      <c r="BY269" s="148"/>
      <c r="BZ269" s="148"/>
      <c r="CA269" s="148"/>
      <c r="CB269" s="148"/>
    </row>
    <row r="270" spans="1:80" s="99" customFormat="1" ht="6" customHeight="1" thickBot="1">
      <c r="A270" s="421"/>
      <c r="B270" s="421"/>
      <c r="C270" s="505"/>
      <c r="D270" s="421"/>
      <c r="E270" s="421"/>
      <c r="F270" s="421"/>
      <c r="G270" s="421"/>
      <c r="H270" s="421"/>
      <c r="I270" s="421"/>
      <c r="J270" s="421"/>
      <c r="K270" s="421"/>
      <c r="L270" s="421"/>
      <c r="M270" s="421"/>
      <c r="N270" s="396"/>
      <c r="O270" s="404"/>
      <c r="P270" s="189"/>
      <c r="S270" s="181"/>
      <c r="T270" s="181"/>
      <c r="U270" s="181"/>
      <c r="V270" s="181"/>
      <c r="W270" s="181"/>
      <c r="Y270" s="127"/>
      <c r="AZ270" s="142"/>
      <c r="BA270" s="411"/>
      <c r="BB270" s="146"/>
      <c r="BC270" s="146"/>
      <c r="BD270" s="146"/>
      <c r="BE270" s="146"/>
      <c r="BF270" s="146"/>
      <c r="BG270" s="146"/>
      <c r="BH270" s="146"/>
      <c r="BI270" s="146"/>
      <c r="BJ270" s="146"/>
      <c r="BK270" s="146"/>
      <c r="BL270" s="147"/>
      <c r="BM270" s="148"/>
      <c r="BN270" s="148"/>
      <c r="BO270" s="148"/>
      <c r="BP270" s="148"/>
      <c r="BQ270" s="148"/>
      <c r="BR270" s="148"/>
      <c r="BS270" s="148"/>
      <c r="BT270" s="148"/>
      <c r="BU270" s="148"/>
      <c r="BV270" s="148"/>
      <c r="BW270" s="148"/>
      <c r="BX270" s="148"/>
      <c r="BY270" s="148"/>
      <c r="BZ270" s="148"/>
      <c r="CA270" s="148"/>
      <c r="CB270" s="148"/>
    </row>
    <row r="271" spans="1:80" s="99" customFormat="1" ht="15" customHeight="1" thickBot="1">
      <c r="A271" s="421"/>
      <c r="B271" s="839" t="s">
        <v>1664</v>
      </c>
      <c r="C271" s="839"/>
      <c r="D271" s="839"/>
      <c r="E271" s="839"/>
      <c r="F271" s="839"/>
      <c r="G271" s="839"/>
      <c r="H271" s="839"/>
      <c r="I271" s="839"/>
      <c r="J271" s="839"/>
      <c r="K271" s="839"/>
      <c r="L271" s="835" t="s">
        <v>1923</v>
      </c>
      <c r="M271" s="835"/>
      <c r="N271" s="835"/>
      <c r="O271" s="404"/>
      <c r="P271" s="399"/>
      <c r="Q271" s="181"/>
      <c r="R271" s="181"/>
      <c r="S271" s="181"/>
      <c r="T271" s="181"/>
      <c r="U271" s="181"/>
      <c r="V271" s="181"/>
      <c r="W271" s="181"/>
      <c r="Y271" s="127"/>
      <c r="AZ271" s="142"/>
      <c r="BA271" s="411"/>
      <c r="BB271" s="146"/>
      <c r="BC271" s="146"/>
      <c r="BD271" s="146"/>
      <c r="BE271" s="146"/>
      <c r="BF271" s="146"/>
      <c r="BG271" s="146"/>
      <c r="BH271" s="146"/>
      <c r="BI271" s="146"/>
      <c r="BJ271" s="146"/>
      <c r="BK271" s="146"/>
      <c r="BL271" s="147"/>
      <c r="BM271" s="148"/>
      <c r="BN271" s="148"/>
      <c r="BO271" s="148"/>
      <c r="BP271" s="148"/>
      <c r="BQ271" s="148"/>
      <c r="BR271" s="148"/>
      <c r="BS271" s="148"/>
      <c r="BT271" s="148"/>
      <c r="BU271" s="148"/>
      <c r="BV271" s="148"/>
      <c r="BW271" s="148"/>
      <c r="BX271" s="148"/>
      <c r="BY271" s="148"/>
      <c r="BZ271" s="148"/>
      <c r="CA271" s="148"/>
      <c r="CB271" s="148"/>
    </row>
    <row r="272" spans="1:80" s="99" customFormat="1" ht="6" customHeight="1" thickBot="1">
      <c r="A272" s="421"/>
      <c r="B272" s="421"/>
      <c r="C272" s="505"/>
      <c r="D272" s="421"/>
      <c r="E272" s="421"/>
      <c r="F272" s="421"/>
      <c r="G272" s="421"/>
      <c r="H272" s="421"/>
      <c r="I272" s="421"/>
      <c r="J272" s="421"/>
      <c r="K272" s="421"/>
      <c r="L272" s="421"/>
      <c r="M272" s="421"/>
      <c r="N272" s="396"/>
      <c r="O272" s="404"/>
      <c r="P272" s="189"/>
      <c r="Q272" s="181"/>
      <c r="R272" s="181"/>
      <c r="S272" s="181"/>
      <c r="T272" s="181"/>
      <c r="U272" s="181"/>
      <c r="V272" s="181"/>
      <c r="W272" s="181"/>
      <c r="Y272" s="127"/>
      <c r="AZ272" s="142"/>
      <c r="BA272" s="411"/>
      <c r="BB272" s="146"/>
      <c r="BC272" s="146"/>
      <c r="BD272" s="146"/>
      <c r="BE272" s="146"/>
      <c r="BF272" s="146"/>
      <c r="BG272" s="146"/>
      <c r="BH272" s="146"/>
      <c r="BI272" s="146"/>
      <c r="BJ272" s="146"/>
      <c r="BK272" s="146"/>
      <c r="BL272" s="147"/>
      <c r="BM272" s="148"/>
      <c r="BN272" s="148"/>
      <c r="BO272" s="148"/>
      <c r="BP272" s="148"/>
      <c r="BQ272" s="148"/>
      <c r="BR272" s="148"/>
      <c r="BS272" s="148"/>
      <c r="BT272" s="148"/>
      <c r="BU272" s="148"/>
      <c r="BV272" s="148"/>
      <c r="BW272" s="148"/>
      <c r="BX272" s="148"/>
      <c r="BY272" s="148"/>
      <c r="BZ272" s="148"/>
      <c r="CA272" s="148"/>
      <c r="CB272" s="148"/>
    </row>
    <row r="273" spans="1:80" s="99" customFormat="1" ht="20" customHeight="1" thickBot="1">
      <c r="A273" s="421"/>
      <c r="B273" s="812" t="s">
        <v>1925</v>
      </c>
      <c r="C273" s="812"/>
      <c r="D273" s="812"/>
      <c r="E273" s="812"/>
      <c r="F273" s="812"/>
      <c r="G273" s="812"/>
      <c r="H273" s="812"/>
      <c r="I273" s="812"/>
      <c r="J273" s="812"/>
      <c r="K273" s="812"/>
      <c r="L273" s="812"/>
      <c r="M273" s="812"/>
      <c r="N273" s="812"/>
      <c r="O273" s="404"/>
      <c r="P273" s="845" t="s">
        <v>1146</v>
      </c>
      <c r="Q273" s="846"/>
      <c r="R273" s="846"/>
      <c r="S273" s="846"/>
      <c r="T273" s="846"/>
      <c r="U273" s="846"/>
      <c r="V273" s="846"/>
      <c r="W273" s="846"/>
      <c r="X273" s="846"/>
      <c r="Y273" s="846"/>
      <c r="Z273" s="846"/>
      <c r="AA273" s="846"/>
      <c r="AB273" s="846"/>
      <c r="AC273" s="846"/>
      <c r="AD273" s="846"/>
      <c r="AE273" s="846"/>
      <c r="AF273" s="846"/>
      <c r="AG273" s="846"/>
      <c r="AH273" s="846"/>
      <c r="AI273" s="846"/>
      <c r="AJ273" s="846"/>
      <c r="AK273" s="846"/>
      <c r="AL273" s="846"/>
      <c r="AM273" s="846"/>
      <c r="AN273" s="846"/>
      <c r="AO273" s="846"/>
      <c r="AP273" s="846"/>
      <c r="AQ273" s="846"/>
      <c r="AR273" s="846"/>
      <c r="AS273" s="846"/>
      <c r="AT273" s="846"/>
      <c r="AU273" s="846"/>
      <c r="AV273" s="846"/>
      <c r="AW273" s="846"/>
      <c r="AX273" s="846"/>
      <c r="AY273" s="847"/>
      <c r="AZ273" s="142"/>
      <c r="BA273" s="411"/>
      <c r="BB273" s="146"/>
      <c r="BC273" s="146"/>
      <c r="BD273" s="146"/>
      <c r="BE273" s="146"/>
      <c r="BF273" s="146"/>
      <c r="BG273" s="146"/>
      <c r="BH273" s="146"/>
      <c r="BI273" s="146"/>
      <c r="BJ273" s="146"/>
      <c r="BK273" s="146"/>
      <c r="BL273" s="147"/>
      <c r="BM273" s="148"/>
      <c r="BN273" s="148"/>
      <c r="BO273" s="148"/>
      <c r="BP273" s="148"/>
      <c r="BQ273" s="148"/>
      <c r="BR273" s="148"/>
      <c r="BS273" s="148"/>
      <c r="BT273" s="148"/>
      <c r="BU273" s="148"/>
      <c r="BV273" s="148"/>
      <c r="BW273" s="148"/>
      <c r="BX273" s="148"/>
      <c r="BY273" s="148"/>
      <c r="BZ273" s="148"/>
      <c r="CA273" s="148"/>
      <c r="CB273" s="148"/>
    </row>
    <row r="274" spans="1:80" s="99" customFormat="1" ht="6" customHeight="1" thickBot="1">
      <c r="A274" s="421"/>
      <c r="B274" s="421"/>
      <c r="C274" s="505"/>
      <c r="D274" s="421"/>
      <c r="E274" s="421"/>
      <c r="F274" s="421"/>
      <c r="G274" s="421"/>
      <c r="H274" s="421"/>
      <c r="I274" s="421"/>
      <c r="J274" s="421"/>
      <c r="K274" s="421"/>
      <c r="L274" s="421"/>
      <c r="M274" s="421"/>
      <c r="N274" s="396"/>
      <c r="O274" s="404"/>
      <c r="P274" s="190"/>
      <c r="Q274" s="188"/>
      <c r="R274" s="181"/>
      <c r="S274" s="181"/>
      <c r="T274" s="181"/>
      <c r="U274" s="181"/>
      <c r="V274" s="181"/>
      <c r="W274" s="181"/>
      <c r="Y274" s="127"/>
      <c r="AZ274" s="142"/>
      <c r="BA274" s="411"/>
      <c r="BB274" s="146"/>
      <c r="BC274" s="146"/>
      <c r="BD274" s="146"/>
      <c r="BE274" s="146"/>
      <c r="BF274" s="146"/>
      <c r="BG274" s="146"/>
      <c r="BH274" s="146"/>
      <c r="BI274" s="146"/>
      <c r="BJ274" s="146"/>
      <c r="BK274" s="146"/>
      <c r="BL274" s="147"/>
      <c r="BM274" s="148"/>
      <c r="BN274" s="148"/>
      <c r="BO274" s="148"/>
      <c r="BP274" s="148"/>
      <c r="BQ274" s="148"/>
      <c r="BR274" s="148"/>
      <c r="BS274" s="148"/>
      <c r="BT274" s="148"/>
      <c r="BU274" s="148"/>
      <c r="BV274" s="148"/>
      <c r="BW274" s="148"/>
      <c r="BX274" s="148"/>
      <c r="BY274" s="148"/>
      <c r="BZ274" s="148"/>
      <c r="CA274" s="148"/>
      <c r="CB274" s="148"/>
    </row>
    <row r="275" spans="1:80" s="99" customFormat="1" ht="15" customHeight="1" thickBot="1">
      <c r="A275" s="421"/>
      <c r="B275" s="782" t="s">
        <v>1810</v>
      </c>
      <c r="C275" s="782"/>
      <c r="D275" s="782"/>
      <c r="E275" s="782"/>
      <c r="F275" s="782"/>
      <c r="G275" s="782"/>
      <c r="H275" s="782"/>
      <c r="I275" s="782"/>
      <c r="J275" s="782"/>
      <c r="K275" s="782"/>
      <c r="L275" s="775" t="s">
        <v>7</v>
      </c>
      <c r="M275" s="775"/>
      <c r="N275" s="775"/>
      <c r="O275" s="404"/>
      <c r="P275" s="1035" t="s">
        <v>1666</v>
      </c>
      <c r="Q275" s="1036"/>
      <c r="R275" s="275" t="s">
        <v>1383</v>
      </c>
      <c r="S275" s="141"/>
      <c r="T275" s="275" t="s">
        <v>1383</v>
      </c>
      <c r="U275" s="141"/>
      <c r="V275" s="181"/>
      <c r="W275" s="181"/>
      <c r="Y275" s="127"/>
      <c r="AZ275" s="142"/>
      <c r="BA275" s="411"/>
      <c r="BB275" s="146"/>
      <c r="BC275" s="146"/>
      <c r="BD275" s="146"/>
      <c r="BE275" s="146"/>
      <c r="BF275" s="146"/>
      <c r="BG275" s="146"/>
      <c r="BH275" s="146"/>
      <c r="BI275" s="146"/>
      <c r="BJ275" s="146"/>
      <c r="BK275" s="146"/>
      <c r="BL275" s="147"/>
      <c r="BM275" s="148"/>
      <c r="BN275" s="148"/>
      <c r="BO275" s="148"/>
      <c r="BP275" s="148"/>
      <c r="BQ275" s="148"/>
      <c r="BR275" s="148"/>
      <c r="BS275" s="148"/>
      <c r="BT275" s="148"/>
      <c r="BU275" s="148"/>
      <c r="BV275" s="148"/>
      <c r="BW275" s="148"/>
      <c r="BX275" s="148"/>
      <c r="BY275" s="148"/>
      <c r="BZ275" s="148"/>
      <c r="CA275" s="148"/>
      <c r="CB275" s="148"/>
    </row>
    <row r="276" spans="1:80" s="99" customFormat="1" ht="6" customHeight="1" thickBot="1">
      <c r="A276" s="421"/>
      <c r="B276" s="421"/>
      <c r="C276" s="505"/>
      <c r="D276" s="421"/>
      <c r="E276" s="421"/>
      <c r="F276" s="421"/>
      <c r="G276" s="421"/>
      <c r="H276" s="421"/>
      <c r="I276" s="421"/>
      <c r="J276" s="421"/>
      <c r="K276" s="421"/>
      <c r="L276" s="421"/>
      <c r="M276" s="421"/>
      <c r="N276" s="396"/>
      <c r="O276" s="404"/>
      <c r="P276" s="400"/>
      <c r="Q276" s="191"/>
      <c r="R276" s="141"/>
      <c r="S276" s="141"/>
      <c r="T276" s="141"/>
      <c r="U276" s="141"/>
      <c r="V276" s="181"/>
      <c r="W276" s="181"/>
      <c r="Y276" s="127"/>
      <c r="AZ276" s="142"/>
      <c r="BA276" s="411"/>
      <c r="BB276" s="146"/>
      <c r="BC276" s="146"/>
      <c r="BD276" s="146"/>
      <c r="BE276" s="146"/>
      <c r="BF276" s="146"/>
      <c r="BG276" s="146"/>
      <c r="BH276" s="146"/>
      <c r="BI276" s="146"/>
      <c r="BJ276" s="146"/>
      <c r="BK276" s="146"/>
      <c r="BL276" s="147"/>
      <c r="BM276" s="148"/>
      <c r="BN276" s="148"/>
      <c r="BO276" s="148"/>
      <c r="BP276" s="148"/>
      <c r="BQ276" s="148"/>
      <c r="BR276" s="148"/>
      <c r="BS276" s="148"/>
      <c r="BT276" s="148"/>
      <c r="BU276" s="148"/>
      <c r="BV276" s="148"/>
      <c r="BW276" s="148"/>
      <c r="BX276" s="148"/>
      <c r="BY276" s="148"/>
      <c r="BZ276" s="148"/>
      <c r="CA276" s="148"/>
      <c r="CB276" s="148"/>
    </row>
    <row r="277" spans="1:80" s="99" customFormat="1" ht="15" customHeight="1" thickBot="1">
      <c r="A277" s="421"/>
      <c r="B277" s="782" t="s">
        <v>589</v>
      </c>
      <c r="C277" s="782"/>
      <c r="D277" s="782"/>
      <c r="E277" s="782"/>
      <c r="F277" s="782"/>
      <c r="G277" s="782"/>
      <c r="H277" s="782"/>
      <c r="I277" s="782"/>
      <c r="J277" s="782"/>
      <c r="K277" s="782"/>
      <c r="L277" s="799">
        <f>+C37</f>
        <v>0</v>
      </c>
      <c r="M277" s="799"/>
      <c r="N277" s="799"/>
      <c r="O277" s="404"/>
      <c r="P277" s="401">
        <f>L277</f>
        <v>0</v>
      </c>
      <c r="Q277" s="191"/>
      <c r="R277" s="141"/>
      <c r="S277" s="141"/>
      <c r="T277" s="141"/>
      <c r="U277" s="141"/>
      <c r="V277" s="181"/>
      <c r="W277" s="181"/>
      <c r="X277" s="312" t="s">
        <v>1627</v>
      </c>
      <c r="Y277" s="312" t="s">
        <v>1669</v>
      </c>
      <c r="Z277" s="23" t="s">
        <v>1926</v>
      </c>
      <c r="AA277" s="23" t="s">
        <v>1927</v>
      </c>
      <c r="AZ277" s="142"/>
      <c r="BA277" s="411"/>
      <c r="BB277" s="146"/>
      <c r="BC277" s="146"/>
      <c r="BD277" s="146"/>
      <c r="BE277" s="146"/>
      <c r="BF277" s="146"/>
      <c r="BG277" s="146"/>
      <c r="BH277" s="146"/>
      <c r="BI277" s="146"/>
      <c r="BJ277" s="146"/>
      <c r="BK277" s="146"/>
      <c r="BL277" s="147"/>
      <c r="BM277" s="148"/>
      <c r="BN277" s="148"/>
      <c r="BO277" s="148"/>
      <c r="BP277" s="148"/>
      <c r="BQ277" s="148"/>
      <c r="BR277" s="148"/>
      <c r="BS277" s="148"/>
      <c r="BT277" s="148"/>
      <c r="BU277" s="148"/>
      <c r="BV277" s="148"/>
      <c r="BW277" s="148"/>
      <c r="BX277" s="148"/>
      <c r="BY277" s="148"/>
      <c r="BZ277" s="148"/>
      <c r="CA277" s="148"/>
      <c r="CB277" s="148"/>
    </row>
    <row r="278" spans="1:80" s="99" customFormat="1" ht="6" customHeight="1" thickBot="1">
      <c r="A278" s="421"/>
      <c r="B278" s="421"/>
      <c r="C278" s="505"/>
      <c r="D278" s="421"/>
      <c r="E278" s="421"/>
      <c r="F278" s="421"/>
      <c r="G278" s="421"/>
      <c r="H278" s="421"/>
      <c r="I278" s="421"/>
      <c r="J278" s="421"/>
      <c r="K278" s="421"/>
      <c r="L278" s="421"/>
      <c r="M278" s="421"/>
      <c r="N278" s="396"/>
      <c r="O278" s="404"/>
      <c r="P278" s="400"/>
      <c r="Q278" s="191"/>
      <c r="R278" s="141"/>
      <c r="S278" s="141"/>
      <c r="T278" s="141"/>
      <c r="U278" s="141"/>
      <c r="V278" s="181"/>
      <c r="W278" s="181"/>
      <c r="Y278" s="127"/>
      <c r="AZ278" s="142"/>
      <c r="BA278" s="411"/>
      <c r="BB278" s="146"/>
      <c r="BC278" s="146"/>
      <c r="BD278" s="146"/>
      <c r="BE278" s="146"/>
      <c r="BF278" s="146"/>
      <c r="BG278" s="146"/>
      <c r="BH278" s="146"/>
      <c r="BI278" s="146"/>
      <c r="BJ278" s="146"/>
      <c r="BK278" s="146"/>
      <c r="BL278" s="147"/>
      <c r="BM278" s="148"/>
      <c r="BN278" s="148"/>
      <c r="BO278" s="148"/>
      <c r="BP278" s="148"/>
      <c r="BQ278" s="148"/>
      <c r="BR278" s="148"/>
      <c r="BS278" s="148"/>
      <c r="BT278" s="148"/>
      <c r="BU278" s="148"/>
      <c r="BV278" s="148"/>
      <c r="BW278" s="148"/>
      <c r="BX278" s="148"/>
      <c r="BY278" s="148"/>
      <c r="BZ278" s="148"/>
      <c r="CA278" s="148"/>
      <c r="CB278" s="148"/>
    </row>
    <row r="279" spans="1:80" s="99" customFormat="1" ht="15" customHeight="1" thickBot="1">
      <c r="A279" s="421"/>
      <c r="B279" s="833" t="s">
        <v>1667</v>
      </c>
      <c r="C279" s="833"/>
      <c r="D279" s="833"/>
      <c r="E279" s="834"/>
      <c r="F279" s="834"/>
      <c r="G279" s="414" t="s">
        <v>1625</v>
      </c>
      <c r="H279" s="834"/>
      <c r="I279" s="834"/>
      <c r="J279" s="833" t="s">
        <v>1668</v>
      </c>
      <c r="K279" s="833"/>
      <c r="L279" s="835"/>
      <c r="M279" s="835"/>
      <c r="N279" s="835"/>
      <c r="O279" s="404"/>
      <c r="P279" s="401">
        <f>IF(E279=0,0,E279/H279)</f>
        <v>0</v>
      </c>
      <c r="Q279" s="279">
        <f>IF($L$275="No",0,IF(E279=0,0,IF(P279&lt;1,1,P279)))</f>
        <v>0</v>
      </c>
      <c r="R279" s="275">
        <f>IF($L$275="No",0,IF(E279=0,0,HLOOKUP(Q279,FES,2,TRUE)))</f>
        <v>0</v>
      </c>
      <c r="S279" s="141" t="e">
        <f>HLOOKUP(L279,$X$277:$AA$279,3,FALSE)</f>
        <v>#N/A</v>
      </c>
      <c r="T279" s="275">
        <f>IF(P279=0,0,R279*S279)</f>
        <v>0</v>
      </c>
      <c r="U279" s="141"/>
      <c r="V279" s="181"/>
      <c r="W279" s="181"/>
      <c r="X279" s="99">
        <v>0.5</v>
      </c>
      <c r="Y279" s="127">
        <v>0.9</v>
      </c>
      <c r="Z279" s="99">
        <v>1</v>
      </c>
      <c r="AA279" s="99">
        <v>0.8</v>
      </c>
      <c r="AZ279" s="142"/>
      <c r="BA279" s="411"/>
      <c r="BB279" s="146"/>
      <c r="BC279" s="146"/>
      <c r="BD279" s="146"/>
      <c r="BE279" s="146"/>
      <c r="BF279" s="146"/>
      <c r="BG279" s="146"/>
      <c r="BH279" s="146"/>
      <c r="BI279" s="146"/>
      <c r="BJ279" s="146"/>
      <c r="BK279" s="146"/>
      <c r="BL279" s="147"/>
      <c r="BM279" s="148"/>
      <c r="BN279" s="148"/>
      <c r="BO279" s="148"/>
      <c r="BP279" s="148"/>
      <c r="BQ279" s="148"/>
      <c r="BR279" s="148"/>
      <c r="BS279" s="148"/>
      <c r="BT279" s="148"/>
      <c r="BU279" s="148"/>
      <c r="BV279" s="148"/>
      <c r="BW279" s="148"/>
      <c r="BX279" s="148"/>
      <c r="BY279" s="148"/>
      <c r="BZ279" s="148"/>
      <c r="CA279" s="148"/>
      <c r="CB279" s="148"/>
    </row>
    <row r="280" spans="1:80" s="99" customFormat="1" ht="6" customHeight="1" thickBot="1">
      <c r="A280" s="421"/>
      <c r="B280" s="421"/>
      <c r="C280" s="505"/>
      <c r="D280" s="421"/>
      <c r="E280" s="421"/>
      <c r="F280" s="421"/>
      <c r="G280" s="421"/>
      <c r="H280" s="421"/>
      <c r="I280" s="421"/>
      <c r="J280" s="421"/>
      <c r="K280" s="421"/>
      <c r="L280" s="421"/>
      <c r="M280" s="421"/>
      <c r="N280" s="396"/>
      <c r="O280" s="404"/>
      <c r="P280" s="400"/>
      <c r="Q280" s="191"/>
      <c r="R280" s="141"/>
      <c r="S280" s="141"/>
      <c r="T280" s="141"/>
      <c r="U280" s="141"/>
      <c r="V280" s="181"/>
      <c r="W280" s="181"/>
      <c r="Y280" s="127"/>
      <c r="AZ280" s="142"/>
      <c r="BA280" s="411"/>
      <c r="BB280" s="146"/>
      <c r="BC280" s="146"/>
      <c r="BD280" s="146"/>
      <c r="BE280" s="146"/>
      <c r="BF280" s="146"/>
      <c r="BG280" s="146"/>
      <c r="BH280" s="146"/>
      <c r="BI280" s="146"/>
      <c r="BJ280" s="146"/>
      <c r="BK280" s="146"/>
      <c r="BL280" s="147"/>
      <c r="BM280" s="148"/>
      <c r="BN280" s="148"/>
      <c r="BO280" s="148"/>
      <c r="BP280" s="148"/>
      <c r="BQ280" s="148"/>
      <c r="BR280" s="148"/>
      <c r="BS280" s="148"/>
      <c r="BT280" s="148"/>
      <c r="BU280" s="148"/>
      <c r="BV280" s="148"/>
      <c r="BW280" s="148"/>
      <c r="BX280" s="148"/>
      <c r="BY280" s="148"/>
      <c r="BZ280" s="148"/>
      <c r="CA280" s="148"/>
      <c r="CB280" s="148"/>
    </row>
    <row r="281" spans="1:80" s="99" customFormat="1" ht="15" customHeight="1" thickBot="1">
      <c r="A281" s="421"/>
      <c r="B281" s="782" t="s">
        <v>589</v>
      </c>
      <c r="C281" s="782"/>
      <c r="D281" s="782"/>
      <c r="E281" s="782"/>
      <c r="F281" s="782"/>
      <c r="G281" s="782"/>
      <c r="H281" s="782"/>
      <c r="I281" s="782"/>
      <c r="J281" s="782"/>
      <c r="K281" s="782"/>
      <c r="L281" s="799">
        <f>+C38</f>
        <v>0</v>
      </c>
      <c r="M281" s="799"/>
      <c r="N281" s="799"/>
      <c r="O281" s="404"/>
      <c r="P281" s="401">
        <f>L281</f>
        <v>0</v>
      </c>
      <c r="Q281" s="191"/>
      <c r="R281" s="141"/>
      <c r="S281" s="141"/>
      <c r="T281" s="141"/>
      <c r="U281" s="141"/>
      <c r="V281" s="268"/>
      <c r="W281" s="181"/>
      <c r="Y281" s="127"/>
      <c r="AZ281" s="142"/>
      <c r="BA281" s="411"/>
      <c r="BB281" s="146"/>
      <c r="BC281" s="146"/>
      <c r="BD281" s="146"/>
      <c r="BE281" s="146"/>
      <c r="BF281" s="146"/>
      <c r="BG281" s="146"/>
      <c r="BH281" s="146"/>
      <c r="BI281" s="146"/>
      <c r="BJ281" s="146"/>
      <c r="BK281" s="146"/>
      <c r="BL281" s="147"/>
      <c r="BM281" s="148"/>
      <c r="BN281" s="148"/>
      <c r="BO281" s="148"/>
      <c r="BP281" s="148"/>
      <c r="BQ281" s="148"/>
      <c r="BR281" s="148"/>
      <c r="BS281" s="148"/>
      <c r="BT281" s="148"/>
      <c r="BU281" s="148"/>
      <c r="BV281" s="148"/>
      <c r="BW281" s="148"/>
      <c r="BX281" s="148"/>
      <c r="BY281" s="148"/>
      <c r="BZ281" s="148"/>
      <c r="CA281" s="148"/>
      <c r="CB281" s="148"/>
    </row>
    <row r="282" spans="1:80" s="99" customFormat="1" ht="6" customHeight="1" thickBot="1">
      <c r="A282" s="421"/>
      <c r="B282" s="421"/>
      <c r="C282" s="505"/>
      <c r="D282" s="421"/>
      <c r="E282" s="421"/>
      <c r="F282" s="421"/>
      <c r="G282" s="421"/>
      <c r="H282" s="421"/>
      <c r="I282" s="421"/>
      <c r="J282" s="421"/>
      <c r="K282" s="421"/>
      <c r="L282" s="421"/>
      <c r="M282" s="421"/>
      <c r="N282" s="396"/>
      <c r="O282" s="404"/>
      <c r="P282" s="400"/>
      <c r="Q282" s="191"/>
      <c r="R282" s="141"/>
      <c r="S282" s="141"/>
      <c r="T282" s="141"/>
      <c r="U282" s="141"/>
      <c r="V282" s="181"/>
      <c r="W282" s="181"/>
      <c r="Y282" s="127"/>
      <c r="AZ282" s="142"/>
      <c r="BA282" s="411"/>
      <c r="BB282" s="146"/>
      <c r="BC282" s="146"/>
      <c r="BD282" s="146"/>
      <c r="BE282" s="146"/>
      <c r="BF282" s="146"/>
      <c r="BG282" s="146"/>
      <c r="BH282" s="146"/>
      <c r="BI282" s="146"/>
      <c r="BJ282" s="146"/>
      <c r="BK282" s="146"/>
      <c r="BL282" s="147"/>
      <c r="BM282" s="148"/>
      <c r="BN282" s="148"/>
      <c r="BO282" s="148"/>
      <c r="BP282" s="148"/>
      <c r="BQ282" s="148"/>
      <c r="BR282" s="148"/>
      <c r="BS282" s="148"/>
      <c r="BT282" s="148"/>
      <c r="BU282" s="148"/>
      <c r="BV282" s="148"/>
      <c r="BW282" s="148"/>
      <c r="BX282" s="148"/>
      <c r="BY282" s="148"/>
      <c r="BZ282" s="148"/>
      <c r="CA282" s="148"/>
      <c r="CB282" s="148"/>
    </row>
    <row r="283" spans="1:80" s="99" customFormat="1" ht="15" customHeight="1" thickBot="1">
      <c r="A283" s="421"/>
      <c r="B283" s="833" t="s">
        <v>1667</v>
      </c>
      <c r="C283" s="833"/>
      <c r="D283" s="833"/>
      <c r="E283" s="834"/>
      <c r="F283" s="834"/>
      <c r="G283" s="414" t="s">
        <v>1625</v>
      </c>
      <c r="H283" s="834"/>
      <c r="I283" s="834"/>
      <c r="J283" s="833" t="s">
        <v>1668</v>
      </c>
      <c r="K283" s="833"/>
      <c r="L283" s="835"/>
      <c r="M283" s="835"/>
      <c r="N283" s="835"/>
      <c r="O283" s="404"/>
      <c r="P283" s="401">
        <f>IF(E283=0,0,E283/H283)</f>
        <v>0</v>
      </c>
      <c r="Q283" s="279">
        <f>IF($L$275="No",0,IF(E283=0,0,IF(P283&lt;1,1,P283)))</f>
        <v>0</v>
      </c>
      <c r="R283" s="275">
        <f>IF($L$275="No",0,IF(E283=0,0,HLOOKUP(Q283,FES,2,TRUE)))</f>
        <v>0</v>
      </c>
      <c r="S283" s="141" t="e">
        <f>HLOOKUP(L283,$X$277:$AA$279,3,FALSE)</f>
        <v>#N/A</v>
      </c>
      <c r="T283" s="275">
        <f>IF(P283=0,0,R283*S283)</f>
        <v>0</v>
      </c>
      <c r="U283" s="141"/>
      <c r="V283" s="181"/>
      <c r="W283" s="181"/>
      <c r="Y283" s="127"/>
      <c r="AZ283" s="142"/>
      <c r="BA283" s="411"/>
      <c r="BB283" s="146"/>
      <c r="BC283" s="146"/>
      <c r="BD283" s="146"/>
      <c r="BE283" s="146"/>
      <c r="BF283" s="146"/>
      <c r="BG283" s="146"/>
      <c r="BH283" s="146"/>
      <c r="BI283" s="146"/>
      <c r="BJ283" s="146"/>
      <c r="BK283" s="146"/>
      <c r="BL283" s="147"/>
      <c r="BM283" s="148"/>
      <c r="BN283" s="148"/>
      <c r="BO283" s="148"/>
      <c r="BP283" s="148"/>
      <c r="BQ283" s="148"/>
      <c r="BR283" s="148"/>
      <c r="BS283" s="148"/>
      <c r="BT283" s="148"/>
      <c r="BU283" s="148"/>
      <c r="BV283" s="148"/>
      <c r="BW283" s="148"/>
      <c r="BX283" s="148"/>
      <c r="BY283" s="148"/>
      <c r="BZ283" s="148"/>
      <c r="CA283" s="148"/>
      <c r="CB283" s="148"/>
    </row>
    <row r="284" spans="1:80" s="99" customFormat="1" ht="6" customHeight="1" thickBot="1">
      <c r="A284" s="421"/>
      <c r="B284" s="421"/>
      <c r="C284" s="505"/>
      <c r="D284" s="421"/>
      <c r="E284" s="421"/>
      <c r="F284" s="421"/>
      <c r="G284" s="421"/>
      <c r="H284" s="421"/>
      <c r="I284" s="421"/>
      <c r="J284" s="421"/>
      <c r="K284" s="421"/>
      <c r="L284" s="421"/>
      <c r="M284" s="421"/>
      <c r="N284" s="396"/>
      <c r="O284" s="404"/>
      <c r="P284" s="400"/>
      <c r="Q284" s="191"/>
      <c r="R284" s="141"/>
      <c r="S284" s="141"/>
      <c r="T284" s="141"/>
      <c r="U284" s="141"/>
      <c r="V284" s="181"/>
      <c r="W284" s="181"/>
      <c r="Y284" s="127"/>
      <c r="AZ284" s="142"/>
      <c r="BA284" s="411"/>
      <c r="BB284" s="146"/>
      <c r="BC284" s="146"/>
      <c r="BD284" s="146"/>
      <c r="BE284" s="146"/>
      <c r="BF284" s="146"/>
      <c r="BG284" s="146"/>
      <c r="BH284" s="146"/>
      <c r="BI284" s="146"/>
      <c r="BJ284" s="146"/>
      <c r="BK284" s="146"/>
      <c r="BL284" s="147"/>
      <c r="BM284" s="148"/>
      <c r="BN284" s="148"/>
      <c r="BO284" s="148"/>
      <c r="BP284" s="148"/>
      <c r="BQ284" s="148"/>
      <c r="BR284" s="148"/>
      <c r="BS284" s="148"/>
      <c r="BT284" s="148"/>
      <c r="BU284" s="148"/>
      <c r="BV284" s="148"/>
      <c r="BW284" s="148"/>
      <c r="BX284" s="148"/>
      <c r="BY284" s="148"/>
      <c r="BZ284" s="148"/>
      <c r="CA284" s="148"/>
      <c r="CB284" s="148"/>
    </row>
    <row r="285" spans="1:80" s="99" customFormat="1" ht="15" customHeight="1" thickBot="1">
      <c r="A285" s="421"/>
      <c r="B285" s="782" t="s">
        <v>589</v>
      </c>
      <c r="C285" s="782"/>
      <c r="D285" s="782"/>
      <c r="E285" s="782"/>
      <c r="F285" s="782"/>
      <c r="G285" s="782"/>
      <c r="H285" s="782"/>
      <c r="I285" s="782"/>
      <c r="J285" s="782"/>
      <c r="K285" s="782"/>
      <c r="L285" s="799">
        <f>C39</f>
        <v>0</v>
      </c>
      <c r="M285" s="799"/>
      <c r="N285" s="799"/>
      <c r="O285" s="404"/>
      <c r="P285" s="401">
        <f>L285</f>
        <v>0</v>
      </c>
      <c r="Q285" s="191"/>
      <c r="R285" s="141"/>
      <c r="S285" s="141"/>
      <c r="T285" s="141"/>
      <c r="U285" s="141"/>
      <c r="V285" s="181"/>
      <c r="W285" s="181"/>
      <c r="Y285" s="127"/>
      <c r="AZ285" s="142"/>
      <c r="BA285" s="411"/>
      <c r="BB285" s="146"/>
      <c r="BC285" s="146"/>
      <c r="BD285" s="146"/>
      <c r="BE285" s="146"/>
      <c r="BF285" s="146"/>
      <c r="BG285" s="146"/>
      <c r="BH285" s="146"/>
      <c r="BI285" s="146"/>
      <c r="BJ285" s="146"/>
      <c r="BK285" s="146"/>
      <c r="BL285" s="147"/>
      <c r="BM285" s="148"/>
      <c r="BN285" s="148"/>
      <c r="BO285" s="148"/>
      <c r="BP285" s="148"/>
      <c r="BQ285" s="148"/>
      <c r="BR285" s="148"/>
      <c r="BS285" s="148"/>
      <c r="BT285" s="148"/>
      <c r="BU285" s="148"/>
      <c r="BV285" s="148"/>
      <c r="BW285" s="148"/>
      <c r="BX285" s="148"/>
      <c r="BY285" s="148"/>
      <c r="BZ285" s="148"/>
      <c r="CA285" s="148"/>
      <c r="CB285" s="148"/>
    </row>
    <row r="286" spans="1:80" s="99" customFormat="1" ht="6" customHeight="1" thickBot="1">
      <c r="A286" s="421"/>
      <c r="B286" s="421"/>
      <c r="C286" s="505"/>
      <c r="D286" s="421"/>
      <c r="E286" s="421"/>
      <c r="F286" s="421"/>
      <c r="G286" s="421"/>
      <c r="H286" s="421"/>
      <c r="I286" s="421"/>
      <c r="J286" s="421"/>
      <c r="K286" s="421"/>
      <c r="L286" s="421"/>
      <c r="M286" s="421"/>
      <c r="N286" s="396"/>
      <c r="O286" s="404"/>
      <c r="P286" s="400"/>
      <c r="Q286" s="191"/>
      <c r="R286" s="141"/>
      <c r="S286" s="141"/>
      <c r="T286" s="141"/>
      <c r="U286" s="141"/>
      <c r="V286" s="181"/>
      <c r="W286" s="181"/>
      <c r="Y286" s="127"/>
      <c r="AZ286" s="142"/>
      <c r="BA286" s="411"/>
      <c r="BB286" s="146"/>
      <c r="BC286" s="146"/>
      <c r="BD286" s="146"/>
      <c r="BE286" s="146"/>
      <c r="BF286" s="146"/>
      <c r="BG286" s="146"/>
      <c r="BH286" s="146"/>
      <c r="BI286" s="146"/>
      <c r="BJ286" s="146"/>
      <c r="BK286" s="146"/>
      <c r="BL286" s="147"/>
      <c r="BM286" s="148"/>
      <c r="BN286" s="148"/>
      <c r="BO286" s="148"/>
      <c r="BP286" s="148"/>
      <c r="BQ286" s="148"/>
      <c r="BR286" s="148"/>
      <c r="BS286" s="148"/>
      <c r="BT286" s="148"/>
      <c r="BU286" s="148"/>
      <c r="BV286" s="148"/>
      <c r="BW286" s="148"/>
      <c r="BX286" s="148"/>
      <c r="BY286" s="148"/>
      <c r="BZ286" s="148"/>
      <c r="CA286" s="148"/>
      <c r="CB286" s="148"/>
    </row>
    <row r="287" spans="1:80" s="99" customFormat="1" ht="15" customHeight="1" thickBot="1">
      <c r="A287" s="421"/>
      <c r="B287" s="833" t="s">
        <v>1667</v>
      </c>
      <c r="C287" s="833"/>
      <c r="D287" s="833"/>
      <c r="E287" s="834"/>
      <c r="F287" s="834"/>
      <c r="G287" s="414" t="s">
        <v>1625</v>
      </c>
      <c r="H287" s="834"/>
      <c r="I287" s="834"/>
      <c r="J287" s="833" t="s">
        <v>1668</v>
      </c>
      <c r="K287" s="833"/>
      <c r="L287" s="835"/>
      <c r="M287" s="835"/>
      <c r="N287" s="835"/>
      <c r="O287" s="404"/>
      <c r="P287" s="401">
        <f>IF(E287=0,0,E287/H287)</f>
        <v>0</v>
      </c>
      <c r="Q287" s="279">
        <f>IF($L$275="No",0,IF(E287=0,0,IF(P287&lt;1,1,P287)))</f>
        <v>0</v>
      </c>
      <c r="R287" s="275">
        <f>IF($L$275="No",0,IF(E287=0,0,HLOOKUP(Q287,FES,2,TRUE)))</f>
        <v>0</v>
      </c>
      <c r="S287" s="141" t="e">
        <f>HLOOKUP(L287,$X$277:$AA$279,3,FALSE)</f>
        <v>#N/A</v>
      </c>
      <c r="T287" s="275">
        <f>IF(P287=0,0,R287*S287)</f>
        <v>0</v>
      </c>
      <c r="U287" s="141"/>
      <c r="V287" s="181"/>
      <c r="W287" s="181"/>
      <c r="Y287" s="127"/>
      <c r="AZ287" s="142"/>
      <c r="BA287" s="411"/>
      <c r="BB287" s="146"/>
      <c r="BC287" s="146"/>
      <c r="BD287" s="146"/>
      <c r="BE287" s="146"/>
      <c r="BF287" s="146"/>
      <c r="BG287" s="146"/>
      <c r="BH287" s="146"/>
      <c r="BI287" s="146"/>
      <c r="BJ287" s="146"/>
      <c r="BK287" s="146"/>
      <c r="BL287" s="147"/>
      <c r="BM287" s="148"/>
      <c r="BN287" s="148"/>
      <c r="BO287" s="148"/>
      <c r="BP287" s="148"/>
      <c r="BQ287" s="148"/>
      <c r="BR287" s="148"/>
      <c r="BS287" s="148"/>
      <c r="BT287" s="148"/>
      <c r="BU287" s="148"/>
      <c r="BV287" s="148"/>
      <c r="BW287" s="148"/>
      <c r="BX287" s="148"/>
      <c r="BY287" s="148"/>
      <c r="BZ287" s="148"/>
      <c r="CA287" s="148"/>
      <c r="CB287" s="148"/>
    </row>
    <row r="288" spans="1:80" s="99" customFormat="1" ht="6" customHeight="1" thickBot="1">
      <c r="A288" s="421"/>
      <c r="B288" s="421"/>
      <c r="C288" s="505"/>
      <c r="D288" s="421"/>
      <c r="E288" s="421"/>
      <c r="F288" s="421"/>
      <c r="G288" s="421"/>
      <c r="H288" s="421"/>
      <c r="I288" s="421"/>
      <c r="J288" s="421"/>
      <c r="K288" s="421"/>
      <c r="L288" s="421"/>
      <c r="M288" s="421"/>
      <c r="N288" s="396"/>
      <c r="O288" s="404"/>
      <c r="P288" s="400"/>
      <c r="Q288" s="191"/>
      <c r="R288" s="141"/>
      <c r="S288" s="141"/>
      <c r="T288" s="141"/>
      <c r="U288" s="141"/>
      <c r="V288" s="181"/>
      <c r="W288" s="181"/>
      <c r="Y288" s="127"/>
      <c r="AZ288" s="142"/>
      <c r="BA288" s="411"/>
      <c r="BB288" s="146"/>
      <c r="BC288" s="146"/>
      <c r="BD288" s="146"/>
      <c r="BE288" s="146"/>
      <c r="BF288" s="146"/>
      <c r="BG288" s="146"/>
      <c r="BH288" s="146"/>
      <c r="BI288" s="146"/>
      <c r="BJ288" s="146"/>
      <c r="BK288" s="146"/>
      <c r="BL288" s="147"/>
      <c r="BM288" s="148"/>
      <c r="BN288" s="148"/>
      <c r="BO288" s="148"/>
      <c r="BP288" s="148"/>
      <c r="BQ288" s="148"/>
      <c r="BR288" s="148"/>
      <c r="BS288" s="148"/>
      <c r="BT288" s="148"/>
      <c r="BU288" s="148"/>
      <c r="BV288" s="148"/>
      <c r="BW288" s="148"/>
      <c r="BX288" s="148"/>
      <c r="BY288" s="148"/>
      <c r="BZ288" s="148"/>
      <c r="CA288" s="148"/>
      <c r="CB288" s="148"/>
    </row>
    <row r="289" spans="1:80" s="99" customFormat="1" ht="15" customHeight="1" thickBot="1">
      <c r="A289" s="421"/>
      <c r="B289" s="782" t="s">
        <v>589</v>
      </c>
      <c r="C289" s="782"/>
      <c r="D289" s="782"/>
      <c r="E289" s="782"/>
      <c r="F289" s="782"/>
      <c r="G289" s="782"/>
      <c r="H289" s="782"/>
      <c r="I289" s="782"/>
      <c r="J289" s="782"/>
      <c r="K289" s="782"/>
      <c r="L289" s="799">
        <f>C40</f>
        <v>0</v>
      </c>
      <c r="M289" s="799"/>
      <c r="N289" s="799"/>
      <c r="O289" s="404"/>
      <c r="P289" s="401">
        <f>L289</f>
        <v>0</v>
      </c>
      <c r="Q289" s="191"/>
      <c r="R289" s="141"/>
      <c r="S289" s="141"/>
      <c r="T289" s="141"/>
      <c r="U289" s="141"/>
      <c r="V289" s="181"/>
      <c r="W289" s="181"/>
      <c r="Y289" s="127"/>
      <c r="AZ289" s="142"/>
      <c r="BA289" s="411"/>
      <c r="BB289" s="146"/>
      <c r="BC289" s="146"/>
      <c r="BD289" s="146"/>
      <c r="BE289" s="146"/>
      <c r="BF289" s="146"/>
      <c r="BG289" s="146"/>
      <c r="BH289" s="146"/>
      <c r="BI289" s="146"/>
      <c r="BJ289" s="146"/>
      <c r="BK289" s="146"/>
      <c r="BL289" s="147"/>
      <c r="BM289" s="148"/>
      <c r="BN289" s="148"/>
      <c r="BO289" s="148"/>
      <c r="BP289" s="148"/>
      <c r="BQ289" s="148"/>
      <c r="BR289" s="148"/>
      <c r="BS289" s="148"/>
      <c r="BT289" s="148"/>
      <c r="BU289" s="148"/>
      <c r="BV289" s="148"/>
      <c r="BW289" s="148"/>
      <c r="BX289" s="148"/>
      <c r="BY289" s="148"/>
      <c r="BZ289" s="148"/>
      <c r="CA289" s="148"/>
      <c r="CB289" s="148"/>
    </row>
    <row r="290" spans="1:80" s="99" customFormat="1" ht="6" customHeight="1" thickBot="1">
      <c r="A290" s="421"/>
      <c r="B290" s="421"/>
      <c r="C290" s="505"/>
      <c r="D290" s="421"/>
      <c r="E290" s="421"/>
      <c r="F290" s="421"/>
      <c r="G290" s="421"/>
      <c r="H290" s="421"/>
      <c r="I290" s="421"/>
      <c r="J290" s="421"/>
      <c r="K290" s="421"/>
      <c r="L290" s="421"/>
      <c r="M290" s="421"/>
      <c r="N290" s="396"/>
      <c r="O290" s="404"/>
      <c r="P290" s="400"/>
      <c r="Q290" s="191"/>
      <c r="R290" s="141"/>
      <c r="S290" s="141"/>
      <c r="T290" s="141"/>
      <c r="U290" s="141"/>
      <c r="V290" s="181"/>
      <c r="W290" s="181"/>
      <c r="Y290" s="127"/>
      <c r="AZ290" s="142"/>
      <c r="BA290" s="411"/>
      <c r="BB290" s="146"/>
      <c r="BC290" s="146"/>
      <c r="BD290" s="146"/>
      <c r="BE290" s="146"/>
      <c r="BF290" s="146"/>
      <c r="BG290" s="146"/>
      <c r="BH290" s="146"/>
      <c r="BI290" s="146"/>
      <c r="BJ290" s="146"/>
      <c r="BK290" s="146"/>
      <c r="BL290" s="147"/>
      <c r="BM290" s="148"/>
      <c r="BN290" s="148"/>
      <c r="BO290" s="148"/>
      <c r="BP290" s="148"/>
      <c r="BQ290" s="148"/>
      <c r="BR290" s="148"/>
      <c r="BS290" s="148"/>
      <c r="BT290" s="148"/>
      <c r="BU290" s="148"/>
      <c r="BV290" s="148"/>
      <c r="BW290" s="148"/>
      <c r="BX290" s="148"/>
      <c r="BY290" s="148"/>
      <c r="BZ290" s="148"/>
      <c r="CA290" s="148"/>
      <c r="CB290" s="148"/>
    </row>
    <row r="291" spans="1:80" s="99" customFormat="1" ht="15" customHeight="1" thickBot="1">
      <c r="A291" s="421"/>
      <c r="B291" s="833" t="s">
        <v>1667</v>
      </c>
      <c r="C291" s="833"/>
      <c r="D291" s="833"/>
      <c r="E291" s="834"/>
      <c r="F291" s="834"/>
      <c r="G291" s="414" t="s">
        <v>1625</v>
      </c>
      <c r="H291" s="834"/>
      <c r="I291" s="834"/>
      <c r="J291" s="833" t="s">
        <v>1668</v>
      </c>
      <c r="K291" s="833"/>
      <c r="L291" s="835"/>
      <c r="M291" s="835"/>
      <c r="N291" s="835"/>
      <c r="O291" s="404"/>
      <c r="P291" s="401">
        <f>IF(E291=0,0,E291/H291)</f>
        <v>0</v>
      </c>
      <c r="Q291" s="279">
        <f>IF($L$275="No",0,IF(E291=0,0,IF(P291&lt;1,1,P291)))</f>
        <v>0</v>
      </c>
      <c r="R291" s="275">
        <f>IF($L$275="No",0,IF(E291=0,0,HLOOKUP(Q291,FES,2,TRUE)))</f>
        <v>0</v>
      </c>
      <c r="S291" s="141" t="e">
        <f>HLOOKUP(L291,$X$277:$AA$279,3,FALSE)</f>
        <v>#N/A</v>
      </c>
      <c r="T291" s="275">
        <f>IF(P291=0,0,R291*S291)</f>
        <v>0</v>
      </c>
      <c r="U291" s="141"/>
      <c r="V291" s="181"/>
      <c r="W291" s="181"/>
      <c r="Y291" s="127"/>
      <c r="AZ291" s="142"/>
      <c r="BA291" s="411"/>
      <c r="BB291" s="146"/>
      <c r="BC291" s="146"/>
      <c r="BD291" s="146"/>
      <c r="BE291" s="146"/>
      <c r="BF291" s="146"/>
      <c r="BG291" s="146"/>
      <c r="BH291" s="146"/>
      <c r="BI291" s="146"/>
      <c r="BJ291" s="146"/>
      <c r="BK291" s="146"/>
      <c r="BL291" s="147"/>
      <c r="BM291" s="148"/>
      <c r="BN291" s="148"/>
      <c r="BO291" s="148"/>
      <c r="BP291" s="148"/>
      <c r="BQ291" s="148"/>
      <c r="BR291" s="148"/>
      <c r="BS291" s="148"/>
      <c r="BT291" s="148"/>
      <c r="BU291" s="148"/>
      <c r="BV291" s="148"/>
      <c r="BW291" s="148"/>
      <c r="BX291" s="148"/>
      <c r="BY291" s="148"/>
      <c r="BZ291" s="148"/>
      <c r="CA291" s="148"/>
      <c r="CB291" s="148"/>
    </row>
    <row r="292" spans="1:80" s="99" customFormat="1" ht="6" customHeight="1" thickBot="1">
      <c r="A292" s="421"/>
      <c r="B292" s="421"/>
      <c r="C292" s="505"/>
      <c r="D292" s="421"/>
      <c r="E292" s="421"/>
      <c r="F292" s="421"/>
      <c r="G292" s="421"/>
      <c r="H292" s="421"/>
      <c r="I292" s="421"/>
      <c r="J292" s="421"/>
      <c r="K292" s="421"/>
      <c r="L292" s="421"/>
      <c r="M292" s="421"/>
      <c r="N292" s="396"/>
      <c r="O292" s="404"/>
      <c r="P292" s="190"/>
      <c r="Q292" s="188"/>
      <c r="R292" s="181"/>
      <c r="S292" s="181"/>
      <c r="T292" s="181"/>
      <c r="U292" s="181"/>
      <c r="V292" s="181"/>
      <c r="W292" s="181"/>
      <c r="Y292" s="127"/>
      <c r="AZ292" s="142"/>
      <c r="BA292" s="411"/>
      <c r="BB292" s="146"/>
      <c r="BC292" s="146"/>
      <c r="BD292" s="146"/>
      <c r="BE292" s="146"/>
      <c r="BF292" s="146"/>
      <c r="BG292" s="146"/>
      <c r="BH292" s="146"/>
      <c r="BI292" s="146"/>
      <c r="BJ292" s="146"/>
      <c r="BK292" s="146"/>
      <c r="BL292" s="147"/>
      <c r="BM292" s="148"/>
      <c r="BN292" s="148"/>
      <c r="BO292" s="148"/>
      <c r="BP292" s="148"/>
      <c r="BQ292" s="148"/>
      <c r="BR292" s="148"/>
      <c r="BS292" s="148"/>
      <c r="BT292" s="148"/>
      <c r="BU292" s="148"/>
      <c r="BV292" s="148"/>
      <c r="BW292" s="148"/>
      <c r="BX292" s="148"/>
      <c r="BY292" s="148"/>
      <c r="BZ292" s="148"/>
      <c r="CA292" s="148"/>
      <c r="CB292" s="148"/>
    </row>
    <row r="293" spans="1:80" s="99" customFormat="1" ht="20" customHeight="1" thickBot="1">
      <c r="A293" s="421"/>
      <c r="B293" s="812" t="s">
        <v>1455</v>
      </c>
      <c r="C293" s="812"/>
      <c r="D293" s="812"/>
      <c r="E293" s="812"/>
      <c r="F293" s="812"/>
      <c r="G293" s="812"/>
      <c r="H293" s="812"/>
      <c r="I293" s="812"/>
      <c r="J293" s="812"/>
      <c r="K293" s="812"/>
      <c r="L293" s="812"/>
      <c r="M293" s="812"/>
      <c r="N293" s="812"/>
      <c r="O293" s="404"/>
      <c r="P293" s="845" t="s">
        <v>1455</v>
      </c>
      <c r="Q293" s="846"/>
      <c r="R293" s="846"/>
      <c r="S293" s="846"/>
      <c r="T293" s="846"/>
      <c r="U293" s="846"/>
      <c r="V293" s="846"/>
      <c r="W293" s="846"/>
      <c r="X293" s="846"/>
      <c r="Y293" s="846"/>
      <c r="Z293" s="846"/>
      <c r="AA293" s="846"/>
      <c r="AB293" s="846"/>
      <c r="AC293" s="846"/>
      <c r="AD293" s="846"/>
      <c r="AE293" s="846"/>
      <c r="AF293" s="846"/>
      <c r="AG293" s="846"/>
      <c r="AH293" s="846"/>
      <c r="AI293" s="846"/>
      <c r="AJ293" s="846"/>
      <c r="AK293" s="846"/>
      <c r="AL293" s="846"/>
      <c r="AM293" s="846"/>
      <c r="AN293" s="846"/>
      <c r="AO293" s="846"/>
      <c r="AP293" s="846"/>
      <c r="AQ293" s="846"/>
      <c r="AR293" s="846"/>
      <c r="AS293" s="846"/>
      <c r="AT293" s="846"/>
      <c r="AU293" s="846"/>
      <c r="AV293" s="846"/>
      <c r="AW293" s="846"/>
      <c r="AX293" s="846"/>
      <c r="AY293" s="847"/>
      <c r="AZ293" s="142"/>
      <c r="BA293" s="411"/>
      <c r="BB293" s="146"/>
      <c r="BC293" s="146"/>
      <c r="BD293" s="146"/>
      <c r="BE293" s="146"/>
      <c r="BF293" s="146"/>
      <c r="BG293" s="146"/>
      <c r="BH293" s="146"/>
      <c r="BI293" s="146"/>
      <c r="BJ293" s="146"/>
      <c r="BK293" s="146"/>
      <c r="BL293" s="147"/>
      <c r="BM293" s="148"/>
      <c r="BN293" s="148"/>
      <c r="BO293" s="148"/>
      <c r="BP293" s="148"/>
      <c r="BQ293" s="148"/>
      <c r="BR293" s="148"/>
      <c r="BS293" s="148"/>
      <c r="BT293" s="148"/>
      <c r="BU293" s="148"/>
      <c r="BV293" s="148"/>
      <c r="BW293" s="148"/>
      <c r="BX293" s="148"/>
      <c r="BY293" s="148"/>
      <c r="BZ293" s="148"/>
      <c r="CA293" s="148"/>
      <c r="CB293" s="148"/>
    </row>
    <row r="294" spans="1:80" s="99" customFormat="1" ht="6" customHeight="1" thickBot="1">
      <c r="A294" s="421"/>
      <c r="B294" s="421"/>
      <c r="C294" s="505"/>
      <c r="D294" s="421"/>
      <c r="E294" s="421"/>
      <c r="F294" s="421"/>
      <c r="G294" s="421"/>
      <c r="H294" s="421"/>
      <c r="I294" s="421"/>
      <c r="J294" s="421"/>
      <c r="K294" s="421"/>
      <c r="L294" s="421"/>
      <c r="M294" s="421"/>
      <c r="N294" s="396"/>
      <c r="O294" s="404"/>
      <c r="P294" s="190"/>
      <c r="Q294" s="188"/>
      <c r="R294" s="181"/>
      <c r="S294" s="181"/>
      <c r="T294" s="181"/>
      <c r="U294" s="181"/>
      <c r="V294" s="181"/>
      <c r="W294" s="181"/>
      <c r="Y294" s="127"/>
      <c r="AZ294" s="142"/>
      <c r="BA294" s="411"/>
      <c r="BB294" s="146"/>
      <c r="BC294" s="146"/>
      <c r="BD294" s="146"/>
      <c r="BE294" s="146"/>
      <c r="BF294" s="146"/>
      <c r="BG294" s="146"/>
      <c r="BH294" s="146"/>
      <c r="BI294" s="146"/>
      <c r="BJ294" s="146"/>
      <c r="BK294" s="146"/>
      <c r="BL294" s="147"/>
      <c r="BM294" s="148"/>
      <c r="BN294" s="148"/>
      <c r="BO294" s="148"/>
      <c r="BP294" s="148"/>
      <c r="BQ294" s="148"/>
      <c r="BR294" s="148"/>
      <c r="BS294" s="148"/>
      <c r="BT294" s="148"/>
      <c r="BU294" s="148"/>
      <c r="BV294" s="148"/>
      <c r="BW294" s="148"/>
      <c r="BX294" s="148"/>
      <c r="BY294" s="148"/>
      <c r="BZ294" s="148"/>
      <c r="CA294" s="148"/>
      <c r="CB294" s="148"/>
    </row>
    <row r="295" spans="1:80" s="99" customFormat="1" ht="15" customHeight="1" thickBot="1">
      <c r="A295" s="421"/>
      <c r="B295" s="839" t="s">
        <v>1304</v>
      </c>
      <c r="C295" s="839"/>
      <c r="D295" s="839"/>
      <c r="E295" s="839"/>
      <c r="F295" s="839"/>
      <c r="G295" s="839"/>
      <c r="H295" s="839"/>
      <c r="I295" s="839"/>
      <c r="J295" s="839"/>
      <c r="K295" s="839"/>
      <c r="L295" s="835" t="s">
        <v>7</v>
      </c>
      <c r="M295" s="835"/>
      <c r="N295" s="835"/>
      <c r="O295" s="404"/>
      <c r="P295" s="189"/>
      <c r="Q295" s="181"/>
      <c r="R295" s="181"/>
      <c r="S295" s="181"/>
      <c r="T295" s="181"/>
      <c r="U295" s="181"/>
      <c r="V295" s="181"/>
      <c r="W295" s="181"/>
      <c r="Y295" s="127"/>
      <c r="AZ295" s="142"/>
      <c r="BA295" s="411"/>
      <c r="BB295" s="146"/>
      <c r="BC295" s="146"/>
      <c r="BD295" s="146"/>
      <c r="BE295" s="146"/>
      <c r="BF295" s="146"/>
      <c r="BG295" s="146"/>
      <c r="BH295" s="146"/>
      <c r="BI295" s="146"/>
      <c r="BJ295" s="146"/>
      <c r="BK295" s="146"/>
      <c r="BL295" s="147"/>
      <c r="BM295" s="148"/>
      <c r="BN295" s="148"/>
      <c r="BO295" s="148"/>
      <c r="BP295" s="148"/>
      <c r="BQ295" s="148"/>
      <c r="BR295" s="148"/>
      <c r="BS295" s="148"/>
      <c r="BT295" s="148"/>
      <c r="BU295" s="148"/>
      <c r="BV295" s="148"/>
      <c r="BW295" s="148"/>
      <c r="BX295" s="148"/>
      <c r="BY295" s="148"/>
      <c r="BZ295" s="148"/>
      <c r="CA295" s="148"/>
      <c r="CB295" s="148"/>
    </row>
    <row r="296" spans="1:80" s="141" customFormat="1" ht="6" customHeight="1" thickBot="1">
      <c r="A296" s="421"/>
      <c r="B296" s="421"/>
      <c r="C296" s="505"/>
      <c r="D296" s="421"/>
      <c r="E296" s="421"/>
      <c r="F296" s="421"/>
      <c r="G296" s="421"/>
      <c r="H296" s="421"/>
      <c r="I296" s="421"/>
      <c r="J296" s="421"/>
      <c r="K296" s="421"/>
      <c r="L296" s="421"/>
      <c r="M296" s="421"/>
      <c r="N296" s="396"/>
      <c r="O296" s="404"/>
      <c r="P296" s="247"/>
      <c r="Y296" s="354"/>
      <c r="AZ296" s="191"/>
      <c r="BA296" s="411"/>
      <c r="BB296" s="192"/>
      <c r="BC296" s="192"/>
      <c r="BD296" s="192"/>
      <c r="BE296" s="192"/>
      <c r="BF296" s="192"/>
      <c r="BG296" s="192"/>
      <c r="BH296" s="192"/>
      <c r="BI296" s="192"/>
      <c r="BJ296" s="192"/>
      <c r="BK296" s="192"/>
      <c r="BL296" s="147"/>
      <c r="BM296" s="148"/>
      <c r="BN296" s="148"/>
      <c r="BO296" s="148"/>
      <c r="BP296" s="148"/>
      <c r="BQ296" s="148"/>
      <c r="BR296" s="148"/>
      <c r="BS296" s="148"/>
      <c r="BT296" s="148"/>
      <c r="BU296" s="148"/>
      <c r="BV296" s="148"/>
      <c r="BW296" s="148"/>
      <c r="BX296" s="148"/>
      <c r="BY296" s="148"/>
      <c r="BZ296" s="148"/>
      <c r="CA296" s="148"/>
      <c r="CB296" s="148"/>
    </row>
    <row r="297" spans="1:80" s="141" customFormat="1" ht="15" customHeight="1" thickBot="1">
      <c r="A297" s="421"/>
      <c r="B297" s="812" t="s">
        <v>219</v>
      </c>
      <c r="C297" s="812"/>
      <c r="D297" s="812"/>
      <c r="E297" s="812"/>
      <c r="F297" s="812"/>
      <c r="G297" s="812"/>
      <c r="H297" s="812"/>
      <c r="I297" s="812"/>
      <c r="J297" s="812"/>
      <c r="K297" s="812"/>
      <c r="L297" s="812"/>
      <c r="M297" s="812"/>
      <c r="N297" s="812"/>
      <c r="O297" s="404"/>
      <c r="P297" s="845" t="s">
        <v>219</v>
      </c>
      <c r="Q297" s="846"/>
      <c r="R297" s="846"/>
      <c r="S297" s="846"/>
      <c r="T297" s="846"/>
      <c r="U297" s="846"/>
      <c r="V297" s="846"/>
      <c r="W297" s="846"/>
      <c r="X297" s="846"/>
      <c r="Y297" s="846"/>
      <c r="Z297" s="846"/>
      <c r="AA297" s="846"/>
      <c r="AB297" s="846"/>
      <c r="AC297" s="846"/>
      <c r="AD297" s="846"/>
      <c r="AE297" s="846"/>
      <c r="AF297" s="846"/>
      <c r="AG297" s="846"/>
      <c r="AH297" s="846"/>
      <c r="AI297" s="846"/>
      <c r="AJ297" s="846"/>
      <c r="AK297" s="846"/>
      <c r="AL297" s="846"/>
      <c r="AM297" s="846"/>
      <c r="AN297" s="846"/>
      <c r="AO297" s="846"/>
      <c r="AP297" s="846"/>
      <c r="AQ297" s="846"/>
      <c r="AR297" s="846"/>
      <c r="AS297" s="846"/>
      <c r="AT297" s="846"/>
      <c r="AU297" s="846"/>
      <c r="AV297" s="846"/>
      <c r="AW297" s="846"/>
      <c r="AX297" s="846"/>
      <c r="AY297" s="847"/>
      <c r="AZ297" s="191"/>
      <c r="BA297" s="411"/>
      <c r="BB297" s="192"/>
      <c r="BC297" s="192"/>
      <c r="BD297" s="192"/>
      <c r="BE297" s="192"/>
      <c r="BF297" s="192"/>
      <c r="BG297" s="192"/>
      <c r="BH297" s="192"/>
      <c r="BI297" s="192"/>
      <c r="BJ297" s="192"/>
      <c r="BK297" s="192"/>
      <c r="BL297" s="147"/>
      <c r="BM297" s="148"/>
      <c r="BN297" s="148"/>
      <c r="BO297" s="148"/>
      <c r="BP297" s="148"/>
      <c r="BQ297" s="148"/>
      <c r="BR297" s="148"/>
      <c r="BS297" s="148"/>
      <c r="BT297" s="148"/>
      <c r="BU297" s="148"/>
      <c r="BV297" s="148"/>
      <c r="BW297" s="148"/>
      <c r="BX297" s="148"/>
      <c r="BY297" s="148"/>
      <c r="BZ297" s="148"/>
      <c r="CA297" s="148"/>
      <c r="CB297" s="148"/>
    </row>
    <row r="298" spans="1:80" s="141" customFormat="1" ht="6" customHeight="1" thickBot="1">
      <c r="A298" s="421"/>
      <c r="B298" s="332"/>
      <c r="C298" s="332"/>
      <c r="D298" s="332"/>
      <c r="E298" s="332"/>
      <c r="F298" s="332"/>
      <c r="G298" s="332"/>
      <c r="H298" s="332"/>
      <c r="I298" s="332"/>
      <c r="J298" s="332"/>
      <c r="K298" s="332"/>
      <c r="L298" s="332"/>
      <c r="M298" s="332"/>
      <c r="N298" s="396"/>
      <c r="O298" s="404"/>
      <c r="P298" s="247"/>
      <c r="Y298" s="354"/>
      <c r="AZ298" s="191"/>
      <c r="BA298" s="411"/>
      <c r="BB298" s="192"/>
      <c r="BC298" s="192"/>
      <c r="BD298" s="192"/>
      <c r="BE298" s="192"/>
      <c r="BF298" s="192"/>
      <c r="BG298" s="192"/>
      <c r="BH298" s="192"/>
      <c r="BI298" s="192"/>
      <c r="BJ298" s="192"/>
      <c r="BK298" s="192"/>
      <c r="BL298" s="147"/>
      <c r="BM298" s="148"/>
      <c r="BN298" s="148"/>
      <c r="BO298" s="148"/>
      <c r="BP298" s="148"/>
      <c r="BQ298" s="148"/>
      <c r="BR298" s="148"/>
      <c r="BS298" s="148"/>
      <c r="BT298" s="148"/>
      <c r="BU298" s="148"/>
      <c r="BV298" s="148"/>
      <c r="BW298" s="148"/>
      <c r="BX298" s="148"/>
      <c r="BY298" s="148"/>
      <c r="BZ298" s="148"/>
      <c r="CA298" s="148"/>
      <c r="CB298" s="148"/>
    </row>
    <row r="299" spans="1:80" s="141" customFormat="1" ht="15" customHeight="1" thickBot="1">
      <c r="A299" s="421"/>
      <c r="B299" s="812">
        <f>B56</f>
        <v>0</v>
      </c>
      <c r="C299" s="812"/>
      <c r="D299" s="812"/>
      <c r="E299" s="812"/>
      <c r="F299" s="812"/>
      <c r="G299" s="812"/>
      <c r="H299" s="812"/>
      <c r="I299" s="812"/>
      <c r="J299" s="812"/>
      <c r="K299" s="812"/>
      <c r="L299" s="812"/>
      <c r="M299" s="812"/>
      <c r="N299" s="812"/>
      <c r="O299" s="404"/>
      <c r="P299" s="845">
        <f>B299</f>
        <v>0</v>
      </c>
      <c r="Q299" s="846"/>
      <c r="R299" s="846"/>
      <c r="S299" s="846"/>
      <c r="T299" s="846"/>
      <c r="U299" s="846"/>
      <c r="V299" s="846"/>
      <c r="W299" s="846"/>
      <c r="X299" s="846"/>
      <c r="Y299" s="846"/>
      <c r="Z299" s="846"/>
      <c r="AA299" s="846"/>
      <c r="AB299" s="846"/>
      <c r="AC299" s="846"/>
      <c r="AD299" s="846"/>
      <c r="AE299" s="846"/>
      <c r="AF299" s="846"/>
      <c r="AG299" s="846"/>
      <c r="AH299" s="846"/>
      <c r="AI299" s="846"/>
      <c r="AJ299" s="846"/>
      <c r="AK299" s="846"/>
      <c r="AL299" s="846"/>
      <c r="AM299" s="846"/>
      <c r="AN299" s="846"/>
      <c r="AO299" s="846"/>
      <c r="AP299" s="846"/>
      <c r="AQ299" s="846"/>
      <c r="AR299" s="846"/>
      <c r="AS299" s="846"/>
      <c r="AT299" s="846"/>
      <c r="AU299" s="846"/>
      <c r="AV299" s="846"/>
      <c r="AW299" s="846"/>
      <c r="AX299" s="846"/>
      <c r="AY299" s="847"/>
      <c r="AZ299" s="191"/>
      <c r="BA299" s="411"/>
      <c r="BB299" s="192"/>
      <c r="BC299" s="192"/>
      <c r="BD299" s="192"/>
      <c r="BE299" s="192"/>
      <c r="BF299" s="192"/>
      <c r="BG299" s="192"/>
      <c r="BH299" s="192"/>
      <c r="BI299" s="192"/>
      <c r="BJ299" s="192"/>
      <c r="BK299" s="192"/>
      <c r="BL299" s="147"/>
      <c r="BM299" s="148"/>
      <c r="BN299" s="148"/>
      <c r="BO299" s="148"/>
      <c r="BP299" s="148"/>
      <c r="BQ299" s="148"/>
      <c r="BR299" s="148"/>
      <c r="BS299" s="148"/>
      <c r="BT299" s="148"/>
      <c r="BU299" s="148"/>
      <c r="BV299" s="148"/>
      <c r="BW299" s="148"/>
      <c r="BX299" s="148"/>
      <c r="BY299" s="148"/>
      <c r="BZ299" s="148"/>
      <c r="CA299" s="148"/>
      <c r="CB299" s="148"/>
    </row>
    <row r="300" spans="1:80" s="141" customFormat="1" ht="6" customHeight="1" thickBot="1">
      <c r="A300" s="421"/>
      <c r="B300" s="332"/>
      <c r="C300" s="332"/>
      <c r="D300" s="332"/>
      <c r="E300" s="332"/>
      <c r="F300" s="332"/>
      <c r="G300" s="332"/>
      <c r="H300" s="332"/>
      <c r="I300" s="332"/>
      <c r="J300" s="332"/>
      <c r="K300" s="332"/>
      <c r="L300" s="421"/>
      <c r="M300" s="332"/>
      <c r="N300" s="396"/>
      <c r="O300" s="404"/>
      <c r="P300" s="247"/>
      <c r="Q300" s="127"/>
      <c r="R300" s="100"/>
      <c r="S300" s="100"/>
      <c r="T300" s="100"/>
      <c r="U300" s="100"/>
      <c r="V300" s="100"/>
      <c r="W300" s="100"/>
      <c r="X300" s="100"/>
      <c r="Y300" s="354"/>
      <c r="AZ300" s="191"/>
      <c r="BA300" s="411"/>
      <c r="BB300" s="192"/>
      <c r="BC300" s="192"/>
      <c r="BD300" s="192"/>
      <c r="BE300" s="192"/>
      <c r="BF300" s="192"/>
      <c r="BG300" s="192"/>
      <c r="BH300" s="192"/>
      <c r="BI300" s="192"/>
      <c r="BJ300" s="192"/>
      <c r="BK300" s="192"/>
      <c r="BL300" s="147"/>
      <c r="BM300" s="148"/>
      <c r="BN300" s="148"/>
      <c r="BO300" s="148"/>
      <c r="BP300" s="148"/>
      <c r="BQ300" s="148"/>
      <c r="BR300" s="148"/>
      <c r="BS300" s="148"/>
      <c r="BT300" s="148"/>
      <c r="BU300" s="148"/>
      <c r="BV300" s="148"/>
      <c r="BW300" s="148"/>
      <c r="BX300" s="148"/>
      <c r="BY300" s="148"/>
      <c r="BZ300" s="148"/>
      <c r="CA300" s="148"/>
      <c r="CB300" s="148"/>
    </row>
    <row r="301" spans="1:80" s="141" customFormat="1" ht="30" customHeight="1" thickBot="1">
      <c r="A301" s="421"/>
      <c r="B301" s="345"/>
      <c r="C301" s="830" t="s">
        <v>222</v>
      </c>
      <c r="D301" s="831"/>
      <c r="E301" s="831"/>
      <c r="F301" s="831"/>
      <c r="G301" s="832"/>
      <c r="H301" s="833" t="s">
        <v>1455</v>
      </c>
      <c r="I301" s="833"/>
      <c r="J301" s="414" t="s">
        <v>594</v>
      </c>
      <c r="K301" s="419" t="s">
        <v>644</v>
      </c>
      <c r="L301" s="419" t="s">
        <v>1670</v>
      </c>
      <c r="M301" s="833" t="s">
        <v>1184</v>
      </c>
      <c r="N301" s="833"/>
      <c r="O301" s="404"/>
      <c r="P301" s="388" t="s">
        <v>729</v>
      </c>
      <c r="Q301" s="285" t="s">
        <v>849</v>
      </c>
      <c r="R301" s="275" t="s">
        <v>1456</v>
      </c>
      <c r="S301" s="275" t="s">
        <v>1064</v>
      </c>
      <c r="T301" s="275" t="s">
        <v>1457</v>
      </c>
      <c r="U301" s="285" t="s">
        <v>850</v>
      </c>
      <c r="V301" s="285" t="s">
        <v>1357</v>
      </c>
      <c r="W301" s="286" t="s">
        <v>1359</v>
      </c>
      <c r="Y301" s="932">
        <f>P299</f>
        <v>0</v>
      </c>
      <c r="Z301" s="275" t="s">
        <v>1671</v>
      </c>
      <c r="AA301" s="76" t="e">
        <f>+'Modelo de Radiación Solar'!D160</f>
        <v>#N/A</v>
      </c>
      <c r="AB301" s="76" t="e">
        <f>+'Modelo de Radiación Solar'!E160</f>
        <v>#N/A</v>
      </c>
      <c r="AC301" s="76" t="e">
        <f>+'Modelo de Radiación Solar'!F160</f>
        <v>#N/A</v>
      </c>
      <c r="AD301" s="76" t="e">
        <f>+'Modelo de Radiación Solar'!G160</f>
        <v>#N/A</v>
      </c>
      <c r="AE301" s="76" t="e">
        <f>+'Modelo de Radiación Solar'!H160</f>
        <v>#N/A</v>
      </c>
      <c r="AF301" s="76"/>
      <c r="AG301" s="76" t="e">
        <f>+'Modelo de Radiación Solar'!I160</f>
        <v>#N/A</v>
      </c>
      <c r="AH301" s="76" t="e">
        <f>+'Modelo de Radiación Solar'!J160</f>
        <v>#N/A</v>
      </c>
      <c r="AI301" s="76" t="e">
        <f>+'Modelo de Radiación Solar'!K160</f>
        <v>#N/A</v>
      </c>
      <c r="AJ301" s="76" t="e">
        <f>+'Modelo de Radiación Solar'!L160</f>
        <v>#N/A</v>
      </c>
      <c r="AK301" s="76" t="e">
        <f>+'Modelo de Radiación Solar'!M160</f>
        <v>#N/A</v>
      </c>
      <c r="AL301" s="76" t="e">
        <f>+'Modelo de Radiación Solar'!N160</f>
        <v>#N/A</v>
      </c>
      <c r="AM301" s="76" t="e">
        <f>+'Modelo de Radiación Solar'!O160</f>
        <v>#N/A</v>
      </c>
      <c r="AZ301" s="191"/>
      <c r="BA301" s="411"/>
      <c r="BB301" s="192"/>
      <c r="BC301" s="192"/>
      <c r="BD301" s="192"/>
      <c r="BE301" s="192"/>
      <c r="BF301" s="192"/>
      <c r="BG301" s="192"/>
      <c r="BH301" s="192"/>
      <c r="BI301" s="192"/>
      <c r="BJ301" s="192"/>
      <c r="BK301" s="192"/>
      <c r="BL301" s="147"/>
      <c r="BM301" s="148"/>
      <c r="BN301" s="148"/>
      <c r="BO301" s="148"/>
      <c r="BP301" s="148"/>
      <c r="BQ301" s="148"/>
      <c r="BR301" s="148"/>
      <c r="BS301" s="148"/>
      <c r="BT301" s="148"/>
      <c r="BU301" s="148"/>
      <c r="BV301" s="148"/>
      <c r="BW301" s="148"/>
      <c r="BX301" s="148"/>
      <c r="BY301" s="148"/>
      <c r="BZ301" s="148"/>
      <c r="CA301" s="148"/>
      <c r="CB301" s="148"/>
    </row>
    <row r="302" spans="1:80" s="141" customFormat="1" ht="15" customHeight="1" thickBot="1">
      <c r="A302" s="421"/>
      <c r="B302" s="418" t="str">
        <f t="shared" ref="B302:B306" si="171">B60</f>
        <v>Pared 1:</v>
      </c>
      <c r="C302" s="824">
        <f>C60</f>
        <v>0</v>
      </c>
      <c r="D302" s="825"/>
      <c r="E302" s="825"/>
      <c r="F302" s="825"/>
      <c r="G302" s="826"/>
      <c r="H302" s="835" t="s">
        <v>7</v>
      </c>
      <c r="I302" s="835"/>
      <c r="J302" s="420">
        <f>L60</f>
        <v>0</v>
      </c>
      <c r="K302" s="316"/>
      <c r="L302" s="417"/>
      <c r="M302" s="835"/>
      <c r="N302" s="835"/>
      <c r="O302" s="404"/>
      <c r="P302" s="388" t="e">
        <f>VLOOKUP(K302,COLORESEXT,2,FALSE)</f>
        <v>#N/A</v>
      </c>
      <c r="Q302" s="167">
        <f>IF(H302="Si",VLOOKUP(C302,PAREDm,2,FALSE),0)</f>
        <v>0</v>
      </c>
      <c r="R302" s="275">
        <f>IF(L302=0,0,0.026/L302)</f>
        <v>0</v>
      </c>
      <c r="S302" s="313">
        <f>VLOOKUP(M302,VIDRIOSm,2,FALSE)</f>
        <v>0</v>
      </c>
      <c r="T302" s="313">
        <f>IF($L$295="No",0,Q302*R302*S302)</f>
        <v>0</v>
      </c>
      <c r="U302" s="222">
        <f>T302*J302</f>
        <v>0</v>
      </c>
      <c r="V302" s="222">
        <f>IF(H302="No",0,(U302*(P302/10))+U302)</f>
        <v>0</v>
      </c>
      <c r="W302" s="193">
        <f>V302</f>
        <v>0</v>
      </c>
      <c r="Y302" s="933"/>
      <c r="Z302" s="313">
        <f>IF($L$295="Si",IF(H302="Si",J302,0),0)</f>
        <v>0</v>
      </c>
      <c r="AA302" s="276" t="e">
        <f>$Z$302*AA301*0.025</f>
        <v>#N/A</v>
      </c>
      <c r="AB302" s="276" t="e">
        <f t="shared" ref="AB302:AM302" si="172">$Z$302*AB301*0.025</f>
        <v>#N/A</v>
      </c>
      <c r="AC302" s="276" t="e">
        <f t="shared" si="172"/>
        <v>#N/A</v>
      </c>
      <c r="AD302" s="276" t="e">
        <f t="shared" si="172"/>
        <v>#N/A</v>
      </c>
      <c r="AE302" s="276" t="e">
        <f t="shared" si="172"/>
        <v>#N/A</v>
      </c>
      <c r="AF302" s="497"/>
      <c r="AG302" s="276" t="e">
        <f t="shared" si="172"/>
        <v>#N/A</v>
      </c>
      <c r="AH302" s="276" t="e">
        <f t="shared" si="172"/>
        <v>#N/A</v>
      </c>
      <c r="AI302" s="276" t="e">
        <f t="shared" si="172"/>
        <v>#N/A</v>
      </c>
      <c r="AJ302" s="276" t="e">
        <f t="shared" si="172"/>
        <v>#N/A</v>
      </c>
      <c r="AK302" s="276" t="e">
        <f t="shared" si="172"/>
        <v>#N/A</v>
      </c>
      <c r="AL302" s="276" t="e">
        <f t="shared" si="172"/>
        <v>#N/A</v>
      </c>
      <c r="AM302" s="276" t="e">
        <f t="shared" si="172"/>
        <v>#N/A</v>
      </c>
      <c r="AZ302" s="191"/>
      <c r="BA302" s="411"/>
      <c r="BB302" s="192"/>
      <c r="BC302" s="192"/>
      <c r="BD302" s="192"/>
      <c r="BE302" s="192"/>
      <c r="BF302" s="192"/>
      <c r="BG302" s="192"/>
      <c r="BH302" s="192"/>
      <c r="BI302" s="192"/>
      <c r="BJ302" s="192"/>
      <c r="BK302" s="192"/>
      <c r="BL302" s="147"/>
      <c r="BM302" s="148"/>
      <c r="BN302" s="148"/>
      <c r="BO302" s="148"/>
      <c r="BP302" s="148"/>
      <c r="BQ302" s="148"/>
      <c r="BR302" s="148"/>
      <c r="BS302" s="148"/>
      <c r="BT302" s="148"/>
      <c r="BU302" s="148"/>
      <c r="BV302" s="148"/>
      <c r="BW302" s="148"/>
      <c r="BX302" s="148"/>
      <c r="BY302" s="148"/>
      <c r="BZ302" s="148"/>
      <c r="CA302" s="148"/>
      <c r="CB302" s="148"/>
    </row>
    <row r="303" spans="1:80" s="141" customFormat="1" ht="15" customHeight="1" thickBot="1">
      <c r="A303" s="421"/>
      <c r="B303" s="418" t="str">
        <f t="shared" si="171"/>
        <v>Pared 2:</v>
      </c>
      <c r="C303" s="827">
        <f>C61</f>
        <v>0</v>
      </c>
      <c r="D303" s="828"/>
      <c r="E303" s="828"/>
      <c r="F303" s="828"/>
      <c r="G303" s="829"/>
      <c r="H303" s="835" t="s">
        <v>7</v>
      </c>
      <c r="I303" s="835"/>
      <c r="J303" s="420">
        <f>L61</f>
        <v>0</v>
      </c>
      <c r="K303" s="316"/>
      <c r="L303" s="417"/>
      <c r="M303" s="835"/>
      <c r="N303" s="835"/>
      <c r="O303" s="404"/>
      <c r="P303" s="388" t="e">
        <f>VLOOKUP(K303,COLORESEXT,2,FALSE)</f>
        <v>#N/A</v>
      </c>
      <c r="Q303" s="167">
        <f>IF(H303="Si",VLOOKUP(C303,PAREDm,2,FALSE),0)</f>
        <v>0</v>
      </c>
      <c r="R303" s="275">
        <f>IF(L303=0,0,0.026/L303)</f>
        <v>0</v>
      </c>
      <c r="S303" s="313">
        <f>VLOOKUP(M303,VIDRIOSm,2,FALSE)</f>
        <v>0</v>
      </c>
      <c r="T303" s="313">
        <f>IF($L$295="No",0,Q303*R303*S303)</f>
        <v>0</v>
      </c>
      <c r="U303" s="222">
        <f>T303*J303</f>
        <v>0</v>
      </c>
      <c r="V303" s="222">
        <f>IF(H303="No",0,(U303*(P303/10))+U303)</f>
        <v>0</v>
      </c>
      <c r="W303" s="193">
        <f t="shared" ref="W303:W306" si="173">V303</f>
        <v>0</v>
      </c>
      <c r="Y303" s="933"/>
      <c r="Z303" s="313">
        <f>IF($L$295="Si",IF(H303="Si",J303,0),0)</f>
        <v>0</v>
      </c>
      <c r="AA303" s="276" t="e">
        <f>$Z$303*AA301*0.025</f>
        <v>#N/A</v>
      </c>
      <c r="AB303" s="276" t="e">
        <f t="shared" ref="AB303:AM303" si="174">$Z$303*AB301*0.025</f>
        <v>#N/A</v>
      </c>
      <c r="AC303" s="276" t="e">
        <f t="shared" si="174"/>
        <v>#N/A</v>
      </c>
      <c r="AD303" s="276" t="e">
        <f t="shared" si="174"/>
        <v>#N/A</v>
      </c>
      <c r="AE303" s="276" t="e">
        <f t="shared" si="174"/>
        <v>#N/A</v>
      </c>
      <c r="AF303" s="497"/>
      <c r="AG303" s="276" t="e">
        <f t="shared" si="174"/>
        <v>#N/A</v>
      </c>
      <c r="AH303" s="276" t="e">
        <f t="shared" si="174"/>
        <v>#N/A</v>
      </c>
      <c r="AI303" s="276" t="e">
        <f t="shared" si="174"/>
        <v>#N/A</v>
      </c>
      <c r="AJ303" s="276" t="e">
        <f t="shared" si="174"/>
        <v>#N/A</v>
      </c>
      <c r="AK303" s="276" t="e">
        <f t="shared" si="174"/>
        <v>#N/A</v>
      </c>
      <c r="AL303" s="276" t="e">
        <f t="shared" si="174"/>
        <v>#N/A</v>
      </c>
      <c r="AM303" s="276" t="e">
        <f t="shared" si="174"/>
        <v>#N/A</v>
      </c>
      <c r="AZ303" s="191"/>
      <c r="BA303" s="411"/>
      <c r="BB303" s="192"/>
      <c r="BC303" s="192"/>
      <c r="BD303" s="192"/>
      <c r="BE303" s="192"/>
      <c r="BF303" s="192"/>
      <c r="BG303" s="192"/>
      <c r="BH303" s="192"/>
      <c r="BI303" s="192"/>
      <c r="BJ303" s="192"/>
      <c r="BK303" s="192"/>
      <c r="BL303" s="147"/>
      <c r="BM303" s="148"/>
      <c r="BN303" s="148"/>
      <c r="BO303" s="148"/>
      <c r="BP303" s="148"/>
      <c r="BQ303" s="148"/>
      <c r="BR303" s="148"/>
      <c r="BS303" s="148"/>
      <c r="BT303" s="148"/>
      <c r="BU303" s="148"/>
      <c r="BV303" s="148"/>
      <c r="BW303" s="148"/>
      <c r="BX303" s="148"/>
      <c r="BY303" s="148"/>
      <c r="BZ303" s="148"/>
      <c r="CA303" s="148"/>
      <c r="CB303" s="148"/>
    </row>
    <row r="304" spans="1:80" s="141" customFormat="1" ht="15" customHeight="1" thickBot="1">
      <c r="A304" s="421"/>
      <c r="B304" s="418" t="str">
        <f t="shared" si="171"/>
        <v>Pared 3:</v>
      </c>
      <c r="C304" s="827">
        <f>C62</f>
        <v>0</v>
      </c>
      <c r="D304" s="828"/>
      <c r="E304" s="828"/>
      <c r="F304" s="828"/>
      <c r="G304" s="829"/>
      <c r="H304" s="835" t="s">
        <v>7</v>
      </c>
      <c r="I304" s="835"/>
      <c r="J304" s="420">
        <f>L62</f>
        <v>0</v>
      </c>
      <c r="K304" s="316"/>
      <c r="L304" s="417"/>
      <c r="M304" s="835"/>
      <c r="N304" s="835"/>
      <c r="O304" s="404"/>
      <c r="P304" s="388" t="e">
        <f>VLOOKUP(K304,COLORESEXT,2,FALSE)</f>
        <v>#N/A</v>
      </c>
      <c r="Q304" s="167">
        <f>IF(H304="Si",VLOOKUP(C304,PAREDm,2,FALSE),0)</f>
        <v>0</v>
      </c>
      <c r="R304" s="275">
        <f>IF(L304=0,0,0.026/L304)</f>
        <v>0</v>
      </c>
      <c r="S304" s="313">
        <f>VLOOKUP(M304,VIDRIOSm,2,FALSE)</f>
        <v>0</v>
      </c>
      <c r="T304" s="313">
        <f>IF($L$295="No",0,Q304*R304*S304)</f>
        <v>0</v>
      </c>
      <c r="U304" s="222">
        <f>T304*J304</f>
        <v>0</v>
      </c>
      <c r="V304" s="222">
        <f>IF(H304="No",0,(U304*(P304/10))+U304)</f>
        <v>0</v>
      </c>
      <c r="W304" s="193">
        <f t="shared" si="173"/>
        <v>0</v>
      </c>
      <c r="Y304" s="933"/>
      <c r="Z304" s="313">
        <f>IF($L$295="Si",IF(H304="Si",J304,0),0)</f>
        <v>0</v>
      </c>
      <c r="AA304" s="276" t="e">
        <f>$Z$304*AA301*0.025</f>
        <v>#N/A</v>
      </c>
      <c r="AB304" s="276" t="e">
        <f t="shared" ref="AB304:AM304" si="175">$Z$304*AB301*0.025</f>
        <v>#N/A</v>
      </c>
      <c r="AC304" s="276" t="e">
        <f t="shared" si="175"/>
        <v>#N/A</v>
      </c>
      <c r="AD304" s="276" t="e">
        <f t="shared" si="175"/>
        <v>#N/A</v>
      </c>
      <c r="AE304" s="276" t="e">
        <f t="shared" si="175"/>
        <v>#N/A</v>
      </c>
      <c r="AF304" s="497"/>
      <c r="AG304" s="276" t="e">
        <f t="shared" si="175"/>
        <v>#N/A</v>
      </c>
      <c r="AH304" s="276" t="e">
        <f t="shared" si="175"/>
        <v>#N/A</v>
      </c>
      <c r="AI304" s="276" t="e">
        <f t="shared" si="175"/>
        <v>#N/A</v>
      </c>
      <c r="AJ304" s="276" t="e">
        <f t="shared" si="175"/>
        <v>#N/A</v>
      </c>
      <c r="AK304" s="276" t="e">
        <f t="shared" si="175"/>
        <v>#N/A</v>
      </c>
      <c r="AL304" s="276" t="e">
        <f t="shared" si="175"/>
        <v>#N/A</v>
      </c>
      <c r="AM304" s="276" t="e">
        <f t="shared" si="175"/>
        <v>#N/A</v>
      </c>
      <c r="AZ304" s="191"/>
      <c r="BA304" s="411"/>
      <c r="BB304" s="192"/>
      <c r="BC304" s="192"/>
      <c r="BD304" s="192"/>
      <c r="BE304" s="192"/>
      <c r="BF304" s="192"/>
      <c r="BG304" s="192"/>
      <c r="BH304" s="192"/>
      <c r="BI304" s="192"/>
      <c r="BJ304" s="192"/>
      <c r="BK304" s="192"/>
      <c r="BL304" s="147"/>
      <c r="BM304" s="148"/>
      <c r="BN304" s="148"/>
      <c r="BO304" s="148"/>
      <c r="BP304" s="148"/>
      <c r="BQ304" s="148"/>
      <c r="BR304" s="148"/>
      <c r="BS304" s="148"/>
      <c r="BT304" s="148"/>
      <c r="BU304" s="148"/>
      <c r="BV304" s="148"/>
      <c r="BW304" s="148"/>
      <c r="BX304" s="148"/>
      <c r="BY304" s="148"/>
      <c r="BZ304" s="148"/>
      <c r="CA304" s="148"/>
      <c r="CB304" s="148"/>
    </row>
    <row r="305" spans="1:80" s="141" customFormat="1" ht="15" customHeight="1" thickBot="1">
      <c r="A305" s="421"/>
      <c r="B305" s="418" t="str">
        <f t="shared" si="171"/>
        <v>Material Personalizado:</v>
      </c>
      <c r="C305" s="827" t="str">
        <f>C63</f>
        <v>-</v>
      </c>
      <c r="D305" s="828"/>
      <c r="E305" s="828"/>
      <c r="F305" s="828"/>
      <c r="G305" s="829"/>
      <c r="H305" s="835" t="s">
        <v>7</v>
      </c>
      <c r="I305" s="835"/>
      <c r="J305" s="420">
        <f>L63</f>
        <v>0</v>
      </c>
      <c r="K305" s="316"/>
      <c r="L305" s="417"/>
      <c r="M305" s="835"/>
      <c r="N305" s="835"/>
      <c r="O305" s="404"/>
      <c r="P305" s="388" t="e">
        <f>VLOOKUP(K305,COLORESEXT,2,FALSE)</f>
        <v>#N/A</v>
      </c>
      <c r="Q305" s="167">
        <f>IF(H305="Si",'Materiales Personalizados'!$G$50,0)</f>
        <v>0</v>
      </c>
      <c r="R305" s="275">
        <f>IF(L305=0,0,0.026/L305)</f>
        <v>0</v>
      </c>
      <c r="S305" s="313">
        <f>VLOOKUP(M305,VIDRIOSm,2,FALSE)</f>
        <v>0</v>
      </c>
      <c r="T305" s="313">
        <f>IF($L$295="No",0,Q305*R305*S305)</f>
        <v>0</v>
      </c>
      <c r="U305" s="222">
        <f>T305*J305</f>
        <v>0</v>
      </c>
      <c r="V305" s="222">
        <f>IF(H305="No",0,(U305*(P305/10))+U305)</f>
        <v>0</v>
      </c>
      <c r="W305" s="193">
        <f t="shared" si="173"/>
        <v>0</v>
      </c>
      <c r="Y305" s="933"/>
      <c r="Z305" s="313">
        <f>IF($L$295="Si",IF(H305="Si",J305,0),0)</f>
        <v>0</v>
      </c>
      <c r="AA305" s="276" t="e">
        <f>$Z$305*AA301*0.025</f>
        <v>#N/A</v>
      </c>
      <c r="AB305" s="276" t="e">
        <f t="shared" ref="AB305:AM305" si="176">$Z$305*AB301*0.025</f>
        <v>#N/A</v>
      </c>
      <c r="AC305" s="276" t="e">
        <f t="shared" si="176"/>
        <v>#N/A</v>
      </c>
      <c r="AD305" s="276" t="e">
        <f t="shared" si="176"/>
        <v>#N/A</v>
      </c>
      <c r="AE305" s="276" t="e">
        <f t="shared" si="176"/>
        <v>#N/A</v>
      </c>
      <c r="AF305" s="497"/>
      <c r="AG305" s="276" t="e">
        <f t="shared" si="176"/>
        <v>#N/A</v>
      </c>
      <c r="AH305" s="276" t="e">
        <f t="shared" si="176"/>
        <v>#N/A</v>
      </c>
      <c r="AI305" s="276" t="e">
        <f t="shared" si="176"/>
        <v>#N/A</v>
      </c>
      <c r="AJ305" s="276" t="e">
        <f t="shared" si="176"/>
        <v>#N/A</v>
      </c>
      <c r="AK305" s="276" t="e">
        <f t="shared" si="176"/>
        <v>#N/A</v>
      </c>
      <c r="AL305" s="276" t="e">
        <f t="shared" si="176"/>
        <v>#N/A</v>
      </c>
      <c r="AM305" s="276" t="e">
        <f t="shared" si="176"/>
        <v>#N/A</v>
      </c>
      <c r="AZ305" s="191"/>
      <c r="BA305" s="411"/>
      <c r="BB305" s="192"/>
      <c r="BC305" s="192"/>
      <c r="BD305" s="192"/>
      <c r="BE305" s="192"/>
      <c r="BF305" s="192"/>
      <c r="BG305" s="192"/>
      <c r="BH305" s="192"/>
      <c r="BI305" s="192"/>
      <c r="BJ305" s="192"/>
      <c r="BK305" s="192"/>
      <c r="BL305" s="147"/>
      <c r="BM305" s="148"/>
      <c r="BN305" s="148"/>
      <c r="BO305" s="148"/>
      <c r="BP305" s="148"/>
      <c r="BQ305" s="148"/>
      <c r="BR305" s="148"/>
      <c r="BS305" s="148"/>
      <c r="BT305" s="148"/>
      <c r="BU305" s="148"/>
      <c r="BV305" s="148"/>
      <c r="BW305" s="148"/>
      <c r="BX305" s="148"/>
      <c r="BY305" s="148"/>
      <c r="BZ305" s="148"/>
      <c r="CA305" s="148"/>
      <c r="CB305" s="148"/>
    </row>
    <row r="306" spans="1:80" s="141" customFormat="1" ht="15" customHeight="1" thickBot="1">
      <c r="A306" s="421"/>
      <c r="B306" s="418" t="str">
        <f t="shared" si="171"/>
        <v>Material Personalizado:</v>
      </c>
      <c r="C306" s="821" t="str">
        <f>C64</f>
        <v>-</v>
      </c>
      <c r="D306" s="822"/>
      <c r="E306" s="822"/>
      <c r="F306" s="822"/>
      <c r="G306" s="823"/>
      <c r="H306" s="835" t="s">
        <v>7</v>
      </c>
      <c r="I306" s="835"/>
      <c r="J306" s="420">
        <f>L64</f>
        <v>0</v>
      </c>
      <c r="K306" s="316"/>
      <c r="L306" s="417"/>
      <c r="M306" s="835"/>
      <c r="N306" s="835"/>
      <c r="O306" s="404"/>
      <c r="P306" s="388" t="e">
        <f>VLOOKUP(K306,COLORESEXT,2,FALSE)</f>
        <v>#N/A</v>
      </c>
      <c r="Q306" s="167">
        <f>IF(H306="Si",'Materiales Personalizados'!$G$73,0)</f>
        <v>0</v>
      </c>
      <c r="R306" s="275">
        <f>IF(L306=0,0,0.026/L306)</f>
        <v>0</v>
      </c>
      <c r="S306" s="313">
        <f>VLOOKUP(M306,VIDRIOSm,2,FALSE)</f>
        <v>0</v>
      </c>
      <c r="T306" s="313">
        <f>IF($L$295="No",0,Q306*R306*S306)</f>
        <v>0</v>
      </c>
      <c r="U306" s="222">
        <f>T306*J306</f>
        <v>0</v>
      </c>
      <c r="V306" s="222">
        <f>IF(H306="No",0,(U306*(P306/10))+U306)</f>
        <v>0</v>
      </c>
      <c r="W306" s="193">
        <f t="shared" si="173"/>
        <v>0</v>
      </c>
      <c r="Y306" s="934"/>
      <c r="Z306" s="313">
        <f>IF($L$295="Si",IF(H306="Si",J306,0),0)</f>
        <v>0</v>
      </c>
      <c r="AA306" s="276" t="e">
        <f>$Z$306*AA301*0.025</f>
        <v>#N/A</v>
      </c>
      <c r="AB306" s="276" t="e">
        <f t="shared" ref="AB306:AM306" si="177">$Z$306*AB301*0.025</f>
        <v>#N/A</v>
      </c>
      <c r="AC306" s="276" t="e">
        <f t="shared" si="177"/>
        <v>#N/A</v>
      </c>
      <c r="AD306" s="276" t="e">
        <f t="shared" si="177"/>
        <v>#N/A</v>
      </c>
      <c r="AE306" s="276" t="e">
        <f t="shared" si="177"/>
        <v>#N/A</v>
      </c>
      <c r="AF306" s="497"/>
      <c r="AG306" s="276" t="e">
        <f t="shared" si="177"/>
        <v>#N/A</v>
      </c>
      <c r="AH306" s="276" t="e">
        <f t="shared" si="177"/>
        <v>#N/A</v>
      </c>
      <c r="AI306" s="276" t="e">
        <f t="shared" si="177"/>
        <v>#N/A</v>
      </c>
      <c r="AJ306" s="276" t="e">
        <f t="shared" si="177"/>
        <v>#N/A</v>
      </c>
      <c r="AK306" s="276" t="e">
        <f t="shared" si="177"/>
        <v>#N/A</v>
      </c>
      <c r="AL306" s="276" t="e">
        <f t="shared" si="177"/>
        <v>#N/A</v>
      </c>
      <c r="AM306" s="276" t="e">
        <f t="shared" si="177"/>
        <v>#N/A</v>
      </c>
      <c r="AZ306" s="191"/>
      <c r="BA306" s="411"/>
      <c r="BB306" s="192"/>
      <c r="BC306" s="192"/>
      <c r="BD306" s="192"/>
      <c r="BE306" s="192"/>
      <c r="BF306" s="192"/>
      <c r="BG306" s="192"/>
      <c r="BH306" s="192"/>
      <c r="BI306" s="192"/>
      <c r="BJ306" s="192"/>
      <c r="BK306" s="192"/>
      <c r="BL306" s="147"/>
      <c r="BM306" s="148"/>
      <c r="BN306" s="148"/>
      <c r="BO306" s="148"/>
      <c r="BP306" s="148"/>
      <c r="BQ306" s="148"/>
      <c r="BR306" s="148"/>
      <c r="BS306" s="148"/>
      <c r="BT306" s="148"/>
      <c r="BU306" s="148"/>
      <c r="BV306" s="148"/>
      <c r="BW306" s="148"/>
      <c r="BX306" s="148"/>
      <c r="BY306" s="148"/>
      <c r="BZ306" s="148"/>
      <c r="CA306" s="148"/>
      <c r="CB306" s="148"/>
    </row>
    <row r="307" spans="1:80" s="141" customFormat="1" ht="6" customHeight="1" thickBot="1">
      <c r="A307" s="421"/>
      <c r="B307" s="332"/>
      <c r="C307" s="332"/>
      <c r="D307" s="332"/>
      <c r="E307" s="421"/>
      <c r="F307" s="421"/>
      <c r="G307" s="332"/>
      <c r="H307" s="332"/>
      <c r="I307" s="332"/>
      <c r="J307" s="332"/>
      <c r="K307" s="332"/>
      <c r="L307" s="421"/>
      <c r="M307" s="421"/>
      <c r="N307" s="396"/>
      <c r="O307" s="404"/>
      <c r="P307" s="247"/>
      <c r="Y307" s="354"/>
      <c r="AZ307" s="191"/>
      <c r="BA307" s="411"/>
      <c r="BB307" s="192"/>
      <c r="BC307" s="192"/>
      <c r="BD307" s="192"/>
      <c r="BE307" s="192"/>
      <c r="BF307" s="192"/>
      <c r="BG307" s="192"/>
      <c r="BH307" s="192"/>
      <c r="BI307" s="192"/>
      <c r="BJ307" s="192"/>
      <c r="BK307" s="192"/>
      <c r="BL307" s="147"/>
      <c r="BM307" s="148"/>
      <c r="BN307" s="148"/>
      <c r="BO307" s="148"/>
      <c r="BP307" s="148"/>
      <c r="BQ307" s="148"/>
      <c r="BR307" s="148"/>
      <c r="BS307" s="148"/>
      <c r="BT307" s="148"/>
      <c r="BU307" s="148"/>
      <c r="BV307" s="148"/>
      <c r="BW307" s="148"/>
      <c r="BX307" s="148"/>
      <c r="BY307" s="148"/>
      <c r="BZ307" s="148"/>
      <c r="CA307" s="148"/>
      <c r="CB307" s="148"/>
    </row>
    <row r="308" spans="1:80" s="141" customFormat="1" ht="15" customHeight="1" thickBot="1">
      <c r="A308" s="421"/>
      <c r="B308" s="812">
        <f>B66</f>
        <v>0</v>
      </c>
      <c r="C308" s="812"/>
      <c r="D308" s="812"/>
      <c r="E308" s="812"/>
      <c r="F308" s="812"/>
      <c r="G308" s="812"/>
      <c r="H308" s="812"/>
      <c r="I308" s="812"/>
      <c r="J308" s="812"/>
      <c r="K308" s="812"/>
      <c r="L308" s="812"/>
      <c r="M308" s="812"/>
      <c r="N308" s="812"/>
      <c r="O308" s="404"/>
      <c r="P308" s="845">
        <f>B308</f>
        <v>0</v>
      </c>
      <c r="Q308" s="846"/>
      <c r="R308" s="846"/>
      <c r="S308" s="846"/>
      <c r="T308" s="846"/>
      <c r="U308" s="846"/>
      <c r="V308" s="846"/>
      <c r="W308" s="846"/>
      <c r="X308" s="846"/>
      <c r="Y308" s="846"/>
      <c r="Z308" s="846"/>
      <c r="AA308" s="846"/>
      <c r="AB308" s="846"/>
      <c r="AC308" s="846"/>
      <c r="AD308" s="846"/>
      <c r="AE308" s="846"/>
      <c r="AF308" s="846"/>
      <c r="AG308" s="846"/>
      <c r="AH308" s="846"/>
      <c r="AI308" s="846"/>
      <c r="AJ308" s="846"/>
      <c r="AK308" s="846"/>
      <c r="AL308" s="846"/>
      <c r="AM308" s="846"/>
      <c r="AN308" s="846"/>
      <c r="AO308" s="846"/>
      <c r="AP308" s="846"/>
      <c r="AQ308" s="846"/>
      <c r="AR308" s="846"/>
      <c r="AS308" s="846"/>
      <c r="AT308" s="846"/>
      <c r="AU308" s="846"/>
      <c r="AV308" s="846"/>
      <c r="AW308" s="846"/>
      <c r="AX308" s="846"/>
      <c r="AY308" s="847"/>
      <c r="AZ308" s="191"/>
      <c r="BA308" s="411"/>
      <c r="BB308" s="192"/>
      <c r="BC308" s="192"/>
      <c r="BD308" s="192"/>
      <c r="BE308" s="192"/>
      <c r="BF308" s="192"/>
      <c r="BG308" s="192"/>
      <c r="BH308" s="192"/>
      <c r="BI308" s="192"/>
      <c r="BJ308" s="192"/>
      <c r="BK308" s="192"/>
      <c r="BL308" s="147"/>
      <c r="BM308" s="148"/>
      <c r="BN308" s="148"/>
      <c r="BO308" s="148"/>
      <c r="BP308" s="148"/>
      <c r="BQ308" s="148"/>
      <c r="BR308" s="148"/>
      <c r="BS308" s="148"/>
      <c r="BT308" s="148"/>
      <c r="BU308" s="148"/>
      <c r="BV308" s="148"/>
      <c r="BW308" s="148"/>
      <c r="BX308" s="148"/>
      <c r="BY308" s="148"/>
      <c r="BZ308" s="148"/>
      <c r="CA308" s="148"/>
      <c r="CB308" s="148"/>
    </row>
    <row r="309" spans="1:80" s="141" customFormat="1" ht="6" customHeight="1" thickBot="1">
      <c r="A309" s="421"/>
      <c r="B309" s="332"/>
      <c r="C309" s="332"/>
      <c r="D309" s="332"/>
      <c r="E309" s="332"/>
      <c r="F309" s="332"/>
      <c r="G309" s="332"/>
      <c r="H309" s="332"/>
      <c r="I309" s="332"/>
      <c r="J309" s="332"/>
      <c r="K309" s="332"/>
      <c r="L309" s="421"/>
      <c r="M309" s="332"/>
      <c r="N309" s="396"/>
      <c r="O309" s="404"/>
      <c r="P309" s="247"/>
      <c r="Q309" s="127"/>
      <c r="R309" s="100"/>
      <c r="S309" s="100"/>
      <c r="T309" s="100"/>
      <c r="U309" s="100"/>
      <c r="V309" s="100"/>
      <c r="W309" s="100"/>
      <c r="X309" s="100"/>
      <c r="Y309" s="354"/>
      <c r="AZ309" s="191"/>
      <c r="BA309" s="411"/>
      <c r="BB309" s="192"/>
      <c r="BC309" s="192"/>
      <c r="BD309" s="192"/>
      <c r="BE309" s="192"/>
      <c r="BF309" s="192"/>
      <c r="BG309" s="192"/>
      <c r="BH309" s="192"/>
      <c r="BI309" s="192"/>
      <c r="BJ309" s="192"/>
      <c r="BK309" s="192"/>
      <c r="BL309" s="147"/>
      <c r="BM309" s="148"/>
      <c r="BN309" s="148"/>
      <c r="BO309" s="148"/>
      <c r="BP309" s="148"/>
      <c r="BQ309" s="148"/>
      <c r="BR309" s="148"/>
      <c r="BS309" s="148"/>
      <c r="BT309" s="148"/>
      <c r="BU309" s="148"/>
      <c r="BV309" s="148"/>
      <c r="BW309" s="148"/>
      <c r="BX309" s="148"/>
      <c r="BY309" s="148"/>
      <c r="BZ309" s="148"/>
      <c r="CA309" s="148"/>
      <c r="CB309" s="148"/>
    </row>
    <row r="310" spans="1:80" s="141" customFormat="1" ht="30" customHeight="1" thickBot="1">
      <c r="A310" s="421"/>
      <c r="B310" s="345"/>
      <c r="C310" s="830" t="s">
        <v>222</v>
      </c>
      <c r="D310" s="831"/>
      <c r="E310" s="831"/>
      <c r="F310" s="831"/>
      <c r="G310" s="832"/>
      <c r="H310" s="833" t="s">
        <v>1455</v>
      </c>
      <c r="I310" s="833"/>
      <c r="J310" s="414" t="s">
        <v>594</v>
      </c>
      <c r="K310" s="419" t="s">
        <v>644</v>
      </c>
      <c r="L310" s="419" t="s">
        <v>1670</v>
      </c>
      <c r="M310" s="833" t="s">
        <v>1184</v>
      </c>
      <c r="N310" s="833"/>
      <c r="O310" s="404"/>
      <c r="P310" s="388" t="s">
        <v>729</v>
      </c>
      <c r="Q310" s="285" t="s">
        <v>849</v>
      </c>
      <c r="R310" s="275" t="s">
        <v>1456</v>
      </c>
      <c r="S310" s="275" t="s">
        <v>1064</v>
      </c>
      <c r="T310" s="275" t="s">
        <v>1457</v>
      </c>
      <c r="U310" s="285" t="s">
        <v>850</v>
      </c>
      <c r="V310" s="285" t="s">
        <v>1357</v>
      </c>
      <c r="W310" s="286" t="s">
        <v>1359</v>
      </c>
      <c r="Y310" s="932">
        <f>P308</f>
        <v>0</v>
      </c>
      <c r="Z310" s="275" t="s">
        <v>1671</v>
      </c>
      <c r="AA310" s="76" t="e">
        <f>'Modelo de Radiación Solar'!S160</f>
        <v>#N/A</v>
      </c>
      <c r="AB310" s="76" t="e">
        <f>'Modelo de Radiación Solar'!T160</f>
        <v>#N/A</v>
      </c>
      <c r="AC310" s="76" t="e">
        <f>'Modelo de Radiación Solar'!U160</f>
        <v>#N/A</v>
      </c>
      <c r="AD310" s="76" t="e">
        <f>'Modelo de Radiación Solar'!V160</f>
        <v>#N/A</v>
      </c>
      <c r="AE310" s="76" t="e">
        <f>'Modelo de Radiación Solar'!W160</f>
        <v>#N/A</v>
      </c>
      <c r="AF310" s="76"/>
      <c r="AG310" s="76" t="e">
        <f>'Modelo de Radiación Solar'!X160</f>
        <v>#N/A</v>
      </c>
      <c r="AH310" s="76" t="e">
        <f>'Modelo de Radiación Solar'!Y160</f>
        <v>#N/A</v>
      </c>
      <c r="AI310" s="76" t="e">
        <f>'Modelo de Radiación Solar'!Z160</f>
        <v>#N/A</v>
      </c>
      <c r="AJ310" s="76" t="e">
        <f>'Modelo de Radiación Solar'!AA160</f>
        <v>#N/A</v>
      </c>
      <c r="AK310" s="76" t="e">
        <f>'Modelo de Radiación Solar'!AB160</f>
        <v>#N/A</v>
      </c>
      <c r="AL310" s="76" t="e">
        <f>'Modelo de Radiación Solar'!AC160</f>
        <v>#N/A</v>
      </c>
      <c r="AM310" s="76" t="e">
        <f>'Modelo de Radiación Solar'!AD160</f>
        <v>#N/A</v>
      </c>
      <c r="AZ310" s="191"/>
      <c r="BA310" s="411"/>
      <c r="BB310" s="192"/>
      <c r="BC310" s="192"/>
      <c r="BD310" s="192"/>
      <c r="BE310" s="192"/>
      <c r="BF310" s="192"/>
      <c r="BG310" s="192"/>
      <c r="BH310" s="192"/>
      <c r="BI310" s="192"/>
      <c r="BJ310" s="192"/>
      <c r="BK310" s="192"/>
      <c r="BL310" s="147"/>
      <c r="BM310" s="148"/>
      <c r="BN310" s="148"/>
      <c r="BO310" s="148"/>
      <c r="BP310" s="148"/>
      <c r="BQ310" s="148"/>
      <c r="BR310" s="148"/>
      <c r="BS310" s="148"/>
      <c r="BT310" s="148"/>
      <c r="BU310" s="148"/>
      <c r="BV310" s="148"/>
      <c r="BW310" s="148"/>
      <c r="BX310" s="148"/>
      <c r="BY310" s="148"/>
      <c r="BZ310" s="148"/>
      <c r="CA310" s="148"/>
      <c r="CB310" s="148"/>
    </row>
    <row r="311" spans="1:80" s="141" customFormat="1" ht="15" customHeight="1" thickBot="1">
      <c r="A311" s="421"/>
      <c r="B311" s="418" t="str">
        <f t="shared" ref="B311:B315" si="178">B70</f>
        <v>Pared 1:</v>
      </c>
      <c r="C311" s="824">
        <f>C70</f>
        <v>0</v>
      </c>
      <c r="D311" s="825"/>
      <c r="E311" s="825"/>
      <c r="F311" s="825"/>
      <c r="G311" s="826"/>
      <c r="H311" s="835" t="s">
        <v>7</v>
      </c>
      <c r="I311" s="835"/>
      <c r="J311" s="420">
        <v>0</v>
      </c>
      <c r="K311" s="316"/>
      <c r="L311" s="417"/>
      <c r="M311" s="835"/>
      <c r="N311" s="835"/>
      <c r="O311" s="404"/>
      <c r="P311" s="388" t="e">
        <f>VLOOKUP(K311,COLORESEXT,2,FALSE)</f>
        <v>#N/A</v>
      </c>
      <c r="Q311" s="167">
        <f>IF(H311="Si",VLOOKUP(C311,PAREDm,2,FALSE),0)</f>
        <v>0</v>
      </c>
      <c r="R311" s="275">
        <f>IF(L311=0,0,0.026/L311)</f>
        <v>0</v>
      </c>
      <c r="S311" s="313">
        <f>VLOOKUP(M311,VIDRIOSm,2,FALSE)</f>
        <v>0</v>
      </c>
      <c r="T311" s="313">
        <f>IF($L$295="No",0,Q311*R311*S311)</f>
        <v>0</v>
      </c>
      <c r="U311" s="222">
        <f>T311*J311</f>
        <v>0</v>
      </c>
      <c r="V311" s="222">
        <f>IF(H311="No",0,(U311*(P311/10))+U311)</f>
        <v>0</v>
      </c>
      <c r="W311" s="193">
        <f>V311</f>
        <v>0</v>
      </c>
      <c r="Y311" s="933"/>
      <c r="Z311" s="313">
        <f>IF($L$295="Si",IF(H311="Si",J311,0),0)</f>
        <v>0</v>
      </c>
      <c r="AA311" s="276" t="e">
        <f>$Z$311*AA310*0.025</f>
        <v>#N/A</v>
      </c>
      <c r="AB311" s="276" t="e">
        <f t="shared" ref="AB311:AM311" si="179">$Z$311*AB310*0.025</f>
        <v>#N/A</v>
      </c>
      <c r="AC311" s="276" t="e">
        <f t="shared" si="179"/>
        <v>#N/A</v>
      </c>
      <c r="AD311" s="276" t="e">
        <f t="shared" si="179"/>
        <v>#N/A</v>
      </c>
      <c r="AE311" s="276" t="e">
        <f t="shared" si="179"/>
        <v>#N/A</v>
      </c>
      <c r="AF311" s="497"/>
      <c r="AG311" s="276" t="e">
        <f t="shared" si="179"/>
        <v>#N/A</v>
      </c>
      <c r="AH311" s="276" t="e">
        <f t="shared" si="179"/>
        <v>#N/A</v>
      </c>
      <c r="AI311" s="276" t="e">
        <f t="shared" si="179"/>
        <v>#N/A</v>
      </c>
      <c r="AJ311" s="276" t="e">
        <f t="shared" si="179"/>
        <v>#N/A</v>
      </c>
      <c r="AK311" s="276" t="e">
        <f t="shared" si="179"/>
        <v>#N/A</v>
      </c>
      <c r="AL311" s="276" t="e">
        <f t="shared" si="179"/>
        <v>#N/A</v>
      </c>
      <c r="AM311" s="276" t="e">
        <f t="shared" si="179"/>
        <v>#N/A</v>
      </c>
      <c r="AZ311" s="191"/>
      <c r="BA311" s="411"/>
      <c r="BB311" s="192"/>
      <c r="BC311" s="192"/>
      <c r="BD311" s="192"/>
      <c r="BE311" s="192"/>
      <c r="BF311" s="192"/>
      <c r="BG311" s="192"/>
      <c r="BH311" s="192"/>
      <c r="BI311" s="192"/>
      <c r="BJ311" s="192"/>
      <c r="BK311" s="192"/>
      <c r="BL311" s="147"/>
      <c r="BM311" s="148"/>
      <c r="BN311" s="148"/>
      <c r="BO311" s="148"/>
      <c r="BP311" s="148"/>
      <c r="BQ311" s="148"/>
      <c r="BR311" s="148"/>
      <c r="BS311" s="148"/>
      <c r="BT311" s="148"/>
      <c r="BU311" s="148"/>
      <c r="BV311" s="148"/>
      <c r="BW311" s="148"/>
      <c r="BX311" s="148"/>
      <c r="BY311" s="148"/>
      <c r="BZ311" s="148"/>
      <c r="CA311" s="148"/>
      <c r="CB311" s="148"/>
    </row>
    <row r="312" spans="1:80" s="141" customFormat="1" ht="15" customHeight="1" thickBot="1">
      <c r="A312" s="421"/>
      <c r="B312" s="418" t="str">
        <f t="shared" si="178"/>
        <v>Pared 2:</v>
      </c>
      <c r="C312" s="827">
        <f>C71</f>
        <v>0</v>
      </c>
      <c r="D312" s="828"/>
      <c r="E312" s="828"/>
      <c r="F312" s="828"/>
      <c r="G312" s="829"/>
      <c r="H312" s="835" t="s">
        <v>7</v>
      </c>
      <c r="I312" s="835"/>
      <c r="J312" s="420">
        <f>L71</f>
        <v>0</v>
      </c>
      <c r="K312" s="316"/>
      <c r="L312" s="417"/>
      <c r="M312" s="835"/>
      <c r="N312" s="835"/>
      <c r="O312" s="404"/>
      <c r="P312" s="388" t="e">
        <f>VLOOKUP(K312,COLORESEXT,2,FALSE)</f>
        <v>#N/A</v>
      </c>
      <c r="Q312" s="167">
        <f>IF(H312="Si",VLOOKUP(C312,PAREDm,2,FALSE),0)</f>
        <v>0</v>
      </c>
      <c r="R312" s="275">
        <f>IF(L312=0,0,0.026/L312)</f>
        <v>0</v>
      </c>
      <c r="S312" s="313">
        <f>VLOOKUP(M312,VIDRIOSm,2,FALSE)</f>
        <v>0</v>
      </c>
      <c r="T312" s="313">
        <f>IF($L$295="No",0,Q312*R312*S312)</f>
        <v>0</v>
      </c>
      <c r="U312" s="222">
        <f>T312*J312</f>
        <v>0</v>
      </c>
      <c r="V312" s="222">
        <f>IF(H312="No",0,(U312*(P312/10))+U312)</f>
        <v>0</v>
      </c>
      <c r="W312" s="193">
        <f t="shared" ref="W312:W315" si="180">V312</f>
        <v>0</v>
      </c>
      <c r="Y312" s="933"/>
      <c r="Z312" s="313">
        <f>IF($L$295="Si",IF(H312="Si",J312,0),0)</f>
        <v>0</v>
      </c>
      <c r="AA312" s="276" t="e">
        <f>$Z$312*AA310*0.025</f>
        <v>#N/A</v>
      </c>
      <c r="AB312" s="276" t="e">
        <f t="shared" ref="AB312:AM312" si="181">$Z$312*AB310*0.025</f>
        <v>#N/A</v>
      </c>
      <c r="AC312" s="276" t="e">
        <f t="shared" si="181"/>
        <v>#N/A</v>
      </c>
      <c r="AD312" s="276" t="e">
        <f t="shared" si="181"/>
        <v>#N/A</v>
      </c>
      <c r="AE312" s="276" t="e">
        <f t="shared" si="181"/>
        <v>#N/A</v>
      </c>
      <c r="AF312" s="497"/>
      <c r="AG312" s="276" t="e">
        <f t="shared" si="181"/>
        <v>#N/A</v>
      </c>
      <c r="AH312" s="276" t="e">
        <f t="shared" si="181"/>
        <v>#N/A</v>
      </c>
      <c r="AI312" s="276" t="e">
        <f t="shared" si="181"/>
        <v>#N/A</v>
      </c>
      <c r="AJ312" s="276" t="e">
        <f t="shared" si="181"/>
        <v>#N/A</v>
      </c>
      <c r="AK312" s="276" t="e">
        <f t="shared" si="181"/>
        <v>#N/A</v>
      </c>
      <c r="AL312" s="276" t="e">
        <f t="shared" si="181"/>
        <v>#N/A</v>
      </c>
      <c r="AM312" s="276" t="e">
        <f t="shared" si="181"/>
        <v>#N/A</v>
      </c>
      <c r="AZ312" s="191"/>
      <c r="BA312" s="411"/>
      <c r="BB312" s="192"/>
      <c r="BC312" s="192"/>
      <c r="BD312" s="192"/>
      <c r="BE312" s="192"/>
      <c r="BF312" s="192"/>
      <c r="BG312" s="192"/>
      <c r="BH312" s="192"/>
      <c r="BI312" s="192"/>
      <c r="BJ312" s="192"/>
      <c r="BK312" s="192"/>
      <c r="BL312" s="147"/>
      <c r="BM312" s="148"/>
      <c r="BN312" s="148"/>
      <c r="BO312" s="148"/>
      <c r="BP312" s="148"/>
      <c r="BQ312" s="148"/>
      <c r="BR312" s="148"/>
      <c r="BS312" s="148"/>
      <c r="BT312" s="148"/>
      <c r="BU312" s="148"/>
      <c r="BV312" s="148"/>
      <c r="BW312" s="148"/>
      <c r="BX312" s="148"/>
      <c r="BY312" s="148"/>
      <c r="BZ312" s="148"/>
      <c r="CA312" s="148"/>
      <c r="CB312" s="148"/>
    </row>
    <row r="313" spans="1:80" s="141" customFormat="1" ht="15" customHeight="1" thickBot="1">
      <c r="A313" s="421"/>
      <c r="B313" s="418" t="str">
        <f t="shared" si="178"/>
        <v>Pared 3:</v>
      </c>
      <c r="C313" s="827">
        <f>C72</f>
        <v>0</v>
      </c>
      <c r="D313" s="828"/>
      <c r="E313" s="828"/>
      <c r="F313" s="828"/>
      <c r="G313" s="829"/>
      <c r="H313" s="835" t="s">
        <v>7</v>
      </c>
      <c r="I313" s="835"/>
      <c r="J313" s="420">
        <f>L72</f>
        <v>0</v>
      </c>
      <c r="K313" s="316"/>
      <c r="L313" s="417"/>
      <c r="M313" s="835"/>
      <c r="N313" s="835"/>
      <c r="O313" s="404"/>
      <c r="P313" s="388" t="e">
        <f>VLOOKUP(K313,COLORESEXT,2,FALSE)</f>
        <v>#N/A</v>
      </c>
      <c r="Q313" s="167">
        <f>IF(H313="Si",VLOOKUP(C313,PAREDm,2,FALSE),0)</f>
        <v>0</v>
      </c>
      <c r="R313" s="275">
        <f>IF(L313=0,0,0.026/L313)</f>
        <v>0</v>
      </c>
      <c r="S313" s="313">
        <f>VLOOKUP(M313,VIDRIOSm,2,FALSE)</f>
        <v>0</v>
      </c>
      <c r="T313" s="313">
        <f>IF($L$295="No",0,Q313*R313*S313)</f>
        <v>0</v>
      </c>
      <c r="U313" s="222">
        <f>T313*J313</f>
        <v>0</v>
      </c>
      <c r="V313" s="222">
        <f>IF(H313="No",0,(U313*(P313/10))+U313)</f>
        <v>0</v>
      </c>
      <c r="W313" s="193">
        <f t="shared" si="180"/>
        <v>0</v>
      </c>
      <c r="Y313" s="933"/>
      <c r="Z313" s="313">
        <f>IF($L$295="Si",IF(H313="Si",J313,0),0)</f>
        <v>0</v>
      </c>
      <c r="AA313" s="276" t="e">
        <f>$Z$313*AA310*0.025</f>
        <v>#N/A</v>
      </c>
      <c r="AB313" s="276" t="e">
        <f t="shared" ref="AB313:AM313" si="182">$Z$313*AB310*0.025</f>
        <v>#N/A</v>
      </c>
      <c r="AC313" s="276" t="e">
        <f t="shared" si="182"/>
        <v>#N/A</v>
      </c>
      <c r="AD313" s="276" t="e">
        <f t="shared" si="182"/>
        <v>#N/A</v>
      </c>
      <c r="AE313" s="276" t="e">
        <f t="shared" si="182"/>
        <v>#N/A</v>
      </c>
      <c r="AF313" s="497"/>
      <c r="AG313" s="276" t="e">
        <f t="shared" si="182"/>
        <v>#N/A</v>
      </c>
      <c r="AH313" s="276" t="e">
        <f t="shared" si="182"/>
        <v>#N/A</v>
      </c>
      <c r="AI313" s="276" t="e">
        <f t="shared" si="182"/>
        <v>#N/A</v>
      </c>
      <c r="AJ313" s="276" t="e">
        <f t="shared" si="182"/>
        <v>#N/A</v>
      </c>
      <c r="AK313" s="276" t="e">
        <f t="shared" si="182"/>
        <v>#N/A</v>
      </c>
      <c r="AL313" s="276" t="e">
        <f t="shared" si="182"/>
        <v>#N/A</v>
      </c>
      <c r="AM313" s="276" t="e">
        <f t="shared" si="182"/>
        <v>#N/A</v>
      </c>
      <c r="AZ313" s="191"/>
      <c r="BA313" s="411"/>
      <c r="BB313" s="192"/>
      <c r="BC313" s="192"/>
      <c r="BD313" s="192"/>
      <c r="BE313" s="192"/>
      <c r="BF313" s="192"/>
      <c r="BG313" s="192"/>
      <c r="BH313" s="192"/>
      <c r="BI313" s="192"/>
      <c r="BJ313" s="192"/>
      <c r="BK313" s="192"/>
      <c r="BL313" s="147"/>
      <c r="BM313" s="148"/>
      <c r="BN313" s="148"/>
      <c r="BO313" s="148"/>
      <c r="BP313" s="148"/>
      <c r="BQ313" s="148"/>
      <c r="BR313" s="148"/>
      <c r="BS313" s="148"/>
      <c r="BT313" s="148"/>
      <c r="BU313" s="148"/>
      <c r="BV313" s="148"/>
      <c r="BW313" s="148"/>
      <c r="BX313" s="148"/>
      <c r="BY313" s="148"/>
      <c r="BZ313" s="148"/>
      <c r="CA313" s="148"/>
      <c r="CB313" s="148"/>
    </row>
    <row r="314" spans="1:80" s="141" customFormat="1" ht="15" customHeight="1" thickBot="1">
      <c r="A314" s="421"/>
      <c r="B314" s="418" t="str">
        <f t="shared" si="178"/>
        <v>Material Personalizado:</v>
      </c>
      <c r="C314" s="827" t="str">
        <f>C73</f>
        <v>-</v>
      </c>
      <c r="D314" s="828"/>
      <c r="E314" s="828"/>
      <c r="F314" s="828"/>
      <c r="G314" s="829"/>
      <c r="H314" s="835" t="s">
        <v>7</v>
      </c>
      <c r="I314" s="835"/>
      <c r="J314" s="420">
        <f>L73</f>
        <v>0</v>
      </c>
      <c r="K314" s="316"/>
      <c r="L314" s="417"/>
      <c r="M314" s="835"/>
      <c r="N314" s="835"/>
      <c r="O314" s="404"/>
      <c r="P314" s="388" t="e">
        <f>VLOOKUP(K314,COLORESEXT,2,FALSE)</f>
        <v>#N/A</v>
      </c>
      <c r="Q314" s="167">
        <f>IF(H314="Si",'Materiales Personalizados'!$G$50,0)</f>
        <v>0</v>
      </c>
      <c r="R314" s="275">
        <f>IF(L314=0,0,0.026/L314)</f>
        <v>0</v>
      </c>
      <c r="S314" s="313">
        <f>VLOOKUP(M314,VIDRIOSm,2,FALSE)</f>
        <v>0</v>
      </c>
      <c r="T314" s="313">
        <f>IF($L$295="No",0,Q314*R314*S314)</f>
        <v>0</v>
      </c>
      <c r="U314" s="222">
        <f>T314*J314</f>
        <v>0</v>
      </c>
      <c r="V314" s="222">
        <f>IF(H314="No",0,(U314*(P314/10))+U314)</f>
        <v>0</v>
      </c>
      <c r="W314" s="193">
        <f t="shared" si="180"/>
        <v>0</v>
      </c>
      <c r="Y314" s="933"/>
      <c r="Z314" s="313">
        <f>IF($L$295="Si",IF(H314="Si",J314,0),0)</f>
        <v>0</v>
      </c>
      <c r="AA314" s="276" t="e">
        <f>$Z$314*AA310*0.025</f>
        <v>#N/A</v>
      </c>
      <c r="AB314" s="276" t="e">
        <f t="shared" ref="AB314:AM314" si="183">$Z$314*AB310*0.025</f>
        <v>#N/A</v>
      </c>
      <c r="AC314" s="276" t="e">
        <f t="shared" si="183"/>
        <v>#N/A</v>
      </c>
      <c r="AD314" s="276" t="e">
        <f t="shared" si="183"/>
        <v>#N/A</v>
      </c>
      <c r="AE314" s="276" t="e">
        <f t="shared" si="183"/>
        <v>#N/A</v>
      </c>
      <c r="AF314" s="497"/>
      <c r="AG314" s="276" t="e">
        <f t="shared" si="183"/>
        <v>#N/A</v>
      </c>
      <c r="AH314" s="276" t="e">
        <f t="shared" si="183"/>
        <v>#N/A</v>
      </c>
      <c r="AI314" s="276" t="e">
        <f t="shared" si="183"/>
        <v>#N/A</v>
      </c>
      <c r="AJ314" s="276" t="e">
        <f t="shared" si="183"/>
        <v>#N/A</v>
      </c>
      <c r="AK314" s="276" t="e">
        <f t="shared" si="183"/>
        <v>#N/A</v>
      </c>
      <c r="AL314" s="276" t="e">
        <f t="shared" si="183"/>
        <v>#N/A</v>
      </c>
      <c r="AM314" s="276" t="e">
        <f t="shared" si="183"/>
        <v>#N/A</v>
      </c>
      <c r="AZ314" s="191"/>
      <c r="BA314" s="411"/>
      <c r="BB314" s="192"/>
      <c r="BC314" s="192"/>
      <c r="BD314" s="192"/>
      <c r="BE314" s="192"/>
      <c r="BF314" s="192"/>
      <c r="BG314" s="192"/>
      <c r="BH314" s="192"/>
      <c r="BI314" s="192"/>
      <c r="BJ314" s="192"/>
      <c r="BK314" s="192"/>
      <c r="BL314" s="147"/>
      <c r="BM314" s="148"/>
      <c r="BN314" s="148"/>
      <c r="BO314" s="148"/>
      <c r="BP314" s="148"/>
      <c r="BQ314" s="148"/>
      <c r="BR314" s="148"/>
      <c r="BS314" s="148"/>
      <c r="BT314" s="148"/>
      <c r="BU314" s="148"/>
      <c r="BV314" s="148"/>
      <c r="BW314" s="148"/>
      <c r="BX314" s="148"/>
      <c r="BY314" s="148"/>
      <c r="BZ314" s="148"/>
      <c r="CA314" s="148"/>
      <c r="CB314" s="148"/>
    </row>
    <row r="315" spans="1:80" s="141" customFormat="1" ht="15" customHeight="1" thickBot="1">
      <c r="A315" s="421"/>
      <c r="B315" s="418" t="str">
        <f t="shared" si="178"/>
        <v>Material Personalizado:</v>
      </c>
      <c r="C315" s="821" t="str">
        <f>C74</f>
        <v>-</v>
      </c>
      <c r="D315" s="822"/>
      <c r="E315" s="822"/>
      <c r="F315" s="822"/>
      <c r="G315" s="823"/>
      <c r="H315" s="835" t="s">
        <v>7</v>
      </c>
      <c r="I315" s="835"/>
      <c r="J315" s="420">
        <f>L74</f>
        <v>0</v>
      </c>
      <c r="K315" s="316"/>
      <c r="L315" s="417"/>
      <c r="M315" s="835"/>
      <c r="N315" s="835"/>
      <c r="O315" s="404"/>
      <c r="P315" s="388" t="e">
        <f>VLOOKUP(K315,COLORESEXT,2,FALSE)</f>
        <v>#N/A</v>
      </c>
      <c r="Q315" s="167">
        <f>IF(H315="Si",'Materiales Personalizados'!$G$73,0)</f>
        <v>0</v>
      </c>
      <c r="R315" s="275">
        <f>IF(L315=0,0,0.026/L315)</f>
        <v>0</v>
      </c>
      <c r="S315" s="313">
        <f>VLOOKUP(M315,VIDRIOSm,2,FALSE)</f>
        <v>0</v>
      </c>
      <c r="T315" s="313">
        <f>IF($L$295="No",0,Q315*R315*S315)</f>
        <v>0</v>
      </c>
      <c r="U315" s="222">
        <f>T315*J315</f>
        <v>0</v>
      </c>
      <c r="V315" s="222">
        <f>IF(H315="No",0,(U315*(P315/10))+U315)</f>
        <v>0</v>
      </c>
      <c r="W315" s="193">
        <f t="shared" si="180"/>
        <v>0</v>
      </c>
      <c r="Y315" s="934"/>
      <c r="Z315" s="313">
        <f>IF($L$295="Si",IF(H315="Si",J315,0),0)</f>
        <v>0</v>
      </c>
      <c r="AA315" s="276" t="e">
        <f>$Z$315*AA310*0.025</f>
        <v>#N/A</v>
      </c>
      <c r="AB315" s="276" t="e">
        <f t="shared" ref="AB315:AM315" si="184">$Z$315*AB310*0.025</f>
        <v>#N/A</v>
      </c>
      <c r="AC315" s="276" t="e">
        <f t="shared" si="184"/>
        <v>#N/A</v>
      </c>
      <c r="AD315" s="276" t="e">
        <f t="shared" si="184"/>
        <v>#N/A</v>
      </c>
      <c r="AE315" s="276" t="e">
        <f t="shared" si="184"/>
        <v>#N/A</v>
      </c>
      <c r="AF315" s="497"/>
      <c r="AG315" s="276" t="e">
        <f t="shared" si="184"/>
        <v>#N/A</v>
      </c>
      <c r="AH315" s="276" t="e">
        <f t="shared" si="184"/>
        <v>#N/A</v>
      </c>
      <c r="AI315" s="276" t="e">
        <f t="shared" si="184"/>
        <v>#N/A</v>
      </c>
      <c r="AJ315" s="276" t="e">
        <f t="shared" si="184"/>
        <v>#N/A</v>
      </c>
      <c r="AK315" s="276" t="e">
        <f t="shared" si="184"/>
        <v>#N/A</v>
      </c>
      <c r="AL315" s="276" t="e">
        <f t="shared" si="184"/>
        <v>#N/A</v>
      </c>
      <c r="AM315" s="276" t="e">
        <f t="shared" si="184"/>
        <v>#N/A</v>
      </c>
      <c r="AZ315" s="191"/>
      <c r="BA315" s="411"/>
      <c r="BB315" s="192"/>
      <c r="BC315" s="192"/>
      <c r="BD315" s="192"/>
      <c r="BE315" s="192"/>
      <c r="BF315" s="192"/>
      <c r="BG315" s="192"/>
      <c r="BH315" s="192"/>
      <c r="BI315" s="192"/>
      <c r="BJ315" s="192"/>
      <c r="BK315" s="192"/>
      <c r="BL315" s="147"/>
      <c r="BM315" s="148"/>
      <c r="BN315" s="148"/>
      <c r="BO315" s="148"/>
      <c r="BP315" s="148"/>
      <c r="BQ315" s="148"/>
      <c r="BR315" s="148"/>
      <c r="BS315" s="148"/>
      <c r="BT315" s="148"/>
      <c r="BU315" s="148"/>
      <c r="BV315" s="148"/>
      <c r="BW315" s="148"/>
      <c r="BX315" s="148"/>
      <c r="BY315" s="148"/>
      <c r="BZ315" s="148"/>
      <c r="CA315" s="148"/>
      <c r="CB315" s="148"/>
    </row>
    <row r="316" spans="1:80" s="141" customFormat="1" ht="6" customHeight="1" thickBot="1">
      <c r="A316" s="421"/>
      <c r="B316" s="332"/>
      <c r="C316" s="332"/>
      <c r="D316" s="332"/>
      <c r="E316" s="421"/>
      <c r="F316" s="421"/>
      <c r="G316" s="332"/>
      <c r="H316" s="332"/>
      <c r="I316" s="332"/>
      <c r="J316" s="332"/>
      <c r="K316" s="332"/>
      <c r="L316" s="421"/>
      <c r="M316" s="332"/>
      <c r="N316" s="396"/>
      <c r="O316" s="404"/>
      <c r="P316" s="247"/>
      <c r="W316" s="354"/>
      <c r="X316" s="354"/>
      <c r="Y316" s="354"/>
      <c r="AZ316" s="191"/>
      <c r="BA316" s="411"/>
      <c r="BB316" s="192"/>
      <c r="BC316" s="192"/>
      <c r="BD316" s="192"/>
      <c r="BE316" s="192"/>
      <c r="BF316" s="192"/>
      <c r="BG316" s="192"/>
      <c r="BH316" s="192"/>
      <c r="BI316" s="192"/>
      <c r="BJ316" s="192"/>
      <c r="BK316" s="192"/>
      <c r="BL316" s="147"/>
      <c r="BM316" s="148"/>
      <c r="BN316" s="148"/>
      <c r="BO316" s="148"/>
      <c r="BP316" s="148"/>
      <c r="BQ316" s="148"/>
      <c r="BR316" s="148"/>
      <c r="BS316" s="148"/>
      <c r="BT316" s="148"/>
      <c r="BU316" s="148"/>
      <c r="BV316" s="148"/>
      <c r="BW316" s="148"/>
      <c r="BX316" s="148"/>
      <c r="BY316" s="148"/>
      <c r="BZ316" s="148"/>
      <c r="CA316" s="148"/>
      <c r="CB316" s="148"/>
    </row>
    <row r="317" spans="1:80" s="141" customFormat="1" ht="15" customHeight="1" thickBot="1">
      <c r="A317" s="421"/>
      <c r="B317" s="812">
        <f>B76</f>
        <v>0</v>
      </c>
      <c r="C317" s="812"/>
      <c r="D317" s="812"/>
      <c r="E317" s="812"/>
      <c r="F317" s="812"/>
      <c r="G317" s="812"/>
      <c r="H317" s="812"/>
      <c r="I317" s="812"/>
      <c r="J317" s="812"/>
      <c r="K317" s="812"/>
      <c r="L317" s="812"/>
      <c r="M317" s="812"/>
      <c r="N317" s="812"/>
      <c r="O317" s="404"/>
      <c r="P317" s="845">
        <f>B317</f>
        <v>0</v>
      </c>
      <c r="Q317" s="846"/>
      <c r="R317" s="846"/>
      <c r="S317" s="846"/>
      <c r="T317" s="846"/>
      <c r="U317" s="846"/>
      <c r="V317" s="846"/>
      <c r="W317" s="846"/>
      <c r="X317" s="846"/>
      <c r="Y317" s="846"/>
      <c r="Z317" s="846"/>
      <c r="AA317" s="846"/>
      <c r="AB317" s="846"/>
      <c r="AC317" s="846"/>
      <c r="AD317" s="846"/>
      <c r="AE317" s="846"/>
      <c r="AF317" s="846"/>
      <c r="AG317" s="846"/>
      <c r="AH317" s="846"/>
      <c r="AI317" s="846"/>
      <c r="AJ317" s="846"/>
      <c r="AK317" s="846"/>
      <c r="AL317" s="846"/>
      <c r="AM317" s="846"/>
      <c r="AN317" s="846"/>
      <c r="AO317" s="846"/>
      <c r="AP317" s="846"/>
      <c r="AQ317" s="846"/>
      <c r="AR317" s="846"/>
      <c r="AS317" s="846"/>
      <c r="AT317" s="846"/>
      <c r="AU317" s="846"/>
      <c r="AV317" s="846"/>
      <c r="AW317" s="846"/>
      <c r="AX317" s="846"/>
      <c r="AY317" s="847"/>
      <c r="AZ317" s="191"/>
      <c r="BA317" s="411"/>
      <c r="BB317" s="192"/>
      <c r="BC317" s="192"/>
      <c r="BD317" s="192"/>
      <c r="BE317" s="192"/>
      <c r="BF317" s="192"/>
      <c r="BG317" s="192"/>
      <c r="BH317" s="192"/>
      <c r="BI317" s="192"/>
      <c r="BJ317" s="192"/>
      <c r="BK317" s="192"/>
      <c r="BL317" s="147"/>
      <c r="BM317" s="148"/>
      <c r="BN317" s="148"/>
      <c r="BO317" s="148"/>
      <c r="BP317" s="148"/>
      <c r="BQ317" s="148"/>
      <c r="BR317" s="148"/>
      <c r="BS317" s="148"/>
      <c r="BT317" s="148"/>
      <c r="BU317" s="148"/>
      <c r="BV317" s="148"/>
      <c r="BW317" s="148"/>
      <c r="BX317" s="148"/>
      <c r="BY317" s="148"/>
      <c r="BZ317" s="148"/>
      <c r="CA317" s="148"/>
      <c r="CB317" s="148"/>
    </row>
    <row r="318" spans="1:80" s="141" customFormat="1" ht="6" customHeight="1" thickBot="1">
      <c r="A318" s="421"/>
      <c r="B318" s="332"/>
      <c r="C318" s="332"/>
      <c r="D318" s="332"/>
      <c r="E318" s="332"/>
      <c r="F318" s="332"/>
      <c r="G318" s="332"/>
      <c r="H318" s="332"/>
      <c r="I318" s="332"/>
      <c r="J318" s="332"/>
      <c r="K318" s="332"/>
      <c r="L318" s="421"/>
      <c r="M318" s="332"/>
      <c r="N318" s="396"/>
      <c r="O318" s="404"/>
      <c r="P318" s="247"/>
      <c r="Q318" s="127"/>
      <c r="R318" s="100"/>
      <c r="S318" s="100"/>
      <c r="T318" s="100"/>
      <c r="U318" s="100"/>
      <c r="V318" s="100"/>
      <c r="W318" s="100"/>
      <c r="X318" s="100"/>
      <c r="Y318" s="354"/>
      <c r="AZ318" s="191"/>
      <c r="BA318" s="411"/>
      <c r="BB318" s="192"/>
      <c r="BC318" s="192"/>
      <c r="BD318" s="192"/>
      <c r="BE318" s="192"/>
      <c r="BF318" s="192"/>
      <c r="BG318" s="192"/>
      <c r="BH318" s="192"/>
      <c r="BI318" s="192"/>
      <c r="BJ318" s="192"/>
      <c r="BK318" s="192"/>
      <c r="BL318" s="147"/>
      <c r="BM318" s="148"/>
      <c r="BN318" s="148"/>
      <c r="BO318" s="148"/>
      <c r="BP318" s="148"/>
      <c r="BQ318" s="148"/>
      <c r="BR318" s="148"/>
      <c r="BS318" s="148"/>
      <c r="BT318" s="148"/>
      <c r="BU318" s="148"/>
      <c r="BV318" s="148"/>
      <c r="BW318" s="148"/>
      <c r="BX318" s="148"/>
      <c r="BY318" s="148"/>
      <c r="BZ318" s="148"/>
      <c r="CA318" s="148"/>
      <c r="CB318" s="148"/>
    </row>
    <row r="319" spans="1:80" s="141" customFormat="1" ht="30" customHeight="1" thickBot="1">
      <c r="A319" s="421"/>
      <c r="B319" s="345"/>
      <c r="C319" s="830" t="s">
        <v>222</v>
      </c>
      <c r="D319" s="831"/>
      <c r="E319" s="831"/>
      <c r="F319" s="831"/>
      <c r="G319" s="832"/>
      <c r="H319" s="830" t="s">
        <v>1455</v>
      </c>
      <c r="I319" s="832"/>
      <c r="J319" s="414" t="s">
        <v>594</v>
      </c>
      <c r="K319" s="419" t="s">
        <v>644</v>
      </c>
      <c r="L319" s="419" t="s">
        <v>1670</v>
      </c>
      <c r="M319" s="833" t="s">
        <v>1184</v>
      </c>
      <c r="N319" s="833"/>
      <c r="O319" s="404"/>
      <c r="P319" s="388" t="s">
        <v>729</v>
      </c>
      <c r="Q319" s="285" t="s">
        <v>849</v>
      </c>
      <c r="R319" s="275" t="s">
        <v>1456</v>
      </c>
      <c r="S319" s="275" t="s">
        <v>1064</v>
      </c>
      <c r="T319" s="275" t="s">
        <v>1457</v>
      </c>
      <c r="U319" s="285" t="s">
        <v>850</v>
      </c>
      <c r="V319" s="285" t="s">
        <v>1357</v>
      </c>
      <c r="W319" s="286" t="s">
        <v>1359</v>
      </c>
      <c r="Y319" s="932">
        <f>P317</f>
        <v>0</v>
      </c>
      <c r="Z319" s="275" t="s">
        <v>1671</v>
      </c>
      <c r="AA319" s="76" t="e">
        <f>+'Modelo de Radiación Solar'!AH160</f>
        <v>#N/A</v>
      </c>
      <c r="AB319" s="76" t="e">
        <f>+'Modelo de Radiación Solar'!AI160</f>
        <v>#N/A</v>
      </c>
      <c r="AC319" s="76" t="e">
        <f>+'Modelo de Radiación Solar'!AJ160</f>
        <v>#N/A</v>
      </c>
      <c r="AD319" s="76" t="e">
        <f>+'Modelo de Radiación Solar'!AK160</f>
        <v>#N/A</v>
      </c>
      <c r="AE319" s="76" t="e">
        <f>+'Modelo de Radiación Solar'!AL160</f>
        <v>#N/A</v>
      </c>
      <c r="AF319" s="76"/>
      <c r="AG319" s="76" t="e">
        <f>+'Modelo de Radiación Solar'!AM160</f>
        <v>#N/A</v>
      </c>
      <c r="AH319" s="76" t="e">
        <f>+'Modelo de Radiación Solar'!AN160</f>
        <v>#N/A</v>
      </c>
      <c r="AI319" s="76" t="e">
        <f>+'Modelo de Radiación Solar'!AO160</f>
        <v>#N/A</v>
      </c>
      <c r="AJ319" s="76" t="e">
        <f>+'Modelo de Radiación Solar'!AP160</f>
        <v>#N/A</v>
      </c>
      <c r="AK319" s="76" t="e">
        <f>+'Modelo de Radiación Solar'!AQ160</f>
        <v>#N/A</v>
      </c>
      <c r="AL319" s="76" t="e">
        <f>+'Modelo de Radiación Solar'!AR160</f>
        <v>#N/A</v>
      </c>
      <c r="AM319" s="76" t="e">
        <f>+'Modelo de Radiación Solar'!AS160</f>
        <v>#N/A</v>
      </c>
      <c r="AZ319" s="191"/>
      <c r="BA319" s="411"/>
      <c r="BB319" s="192"/>
      <c r="BC319" s="192"/>
      <c r="BD319" s="192"/>
      <c r="BE319" s="192"/>
      <c r="BF319" s="192"/>
      <c r="BG319" s="192"/>
      <c r="BH319" s="192"/>
      <c r="BI319" s="192"/>
      <c r="BJ319" s="192"/>
      <c r="BK319" s="192"/>
      <c r="BL319" s="147"/>
      <c r="BM319" s="148"/>
      <c r="BN319" s="148"/>
      <c r="BO319" s="148"/>
      <c r="BP319" s="148"/>
      <c r="BQ319" s="148"/>
      <c r="BR319" s="148"/>
      <c r="BS319" s="148"/>
      <c r="BT319" s="148"/>
      <c r="BU319" s="148"/>
      <c r="BV319" s="148"/>
      <c r="BW319" s="148"/>
      <c r="BX319" s="148"/>
      <c r="BY319" s="148"/>
      <c r="BZ319" s="148"/>
      <c r="CA319" s="148"/>
      <c r="CB319" s="148"/>
    </row>
    <row r="320" spans="1:80" s="141" customFormat="1" ht="15" customHeight="1" thickBot="1">
      <c r="A320" s="421"/>
      <c r="B320" s="418" t="str">
        <f t="shared" ref="B320:B324" si="185">B80</f>
        <v>Pared 1:</v>
      </c>
      <c r="C320" s="824">
        <f>C80</f>
        <v>0</v>
      </c>
      <c r="D320" s="825"/>
      <c r="E320" s="825"/>
      <c r="F320" s="825"/>
      <c r="G320" s="826"/>
      <c r="H320" s="835" t="s">
        <v>7</v>
      </c>
      <c r="I320" s="835"/>
      <c r="J320" s="420">
        <f>L80</f>
        <v>0</v>
      </c>
      <c r="K320" s="316" t="s">
        <v>728</v>
      </c>
      <c r="L320" s="417">
        <v>0.04</v>
      </c>
      <c r="M320" s="835"/>
      <c r="N320" s="835"/>
      <c r="O320" s="404"/>
      <c r="P320" s="388">
        <f>VLOOKUP(K320,COLORESEXT,2,FALSE)</f>
        <v>0.6</v>
      </c>
      <c r="Q320" s="167">
        <f>IF(H320="Si",VLOOKUP(C320,PAREDm,2,FALSE),0)</f>
        <v>0</v>
      </c>
      <c r="R320" s="275">
        <f>IF(L320=0,0,0.026/L320)</f>
        <v>0.64999999999999991</v>
      </c>
      <c r="S320" s="313">
        <f>VLOOKUP(M320,VIDRIOSm,2,FALSE)</f>
        <v>0</v>
      </c>
      <c r="T320" s="313">
        <f>IF($L$295="No",0,Q320*R320*S320)</f>
        <v>0</v>
      </c>
      <c r="U320" s="222">
        <f>T320*J320</f>
        <v>0</v>
      </c>
      <c r="V320" s="222">
        <f>IF(H320="No",0,(U320*(P320/10))+U320)</f>
        <v>0</v>
      </c>
      <c r="W320" s="193">
        <f>V320</f>
        <v>0</v>
      </c>
      <c r="Y320" s="933"/>
      <c r="Z320" s="313">
        <f>IF($L$295="Si",IF(H320="Si",J320,0),0)</f>
        <v>0</v>
      </c>
      <c r="AA320" s="276" t="e">
        <f>$Z$320*AA319*0.025</f>
        <v>#N/A</v>
      </c>
      <c r="AB320" s="276" t="e">
        <f t="shared" ref="AB320:AM320" si="186">$Z$320*AB319*0.025</f>
        <v>#N/A</v>
      </c>
      <c r="AC320" s="276" t="e">
        <f t="shared" si="186"/>
        <v>#N/A</v>
      </c>
      <c r="AD320" s="276" t="e">
        <f t="shared" si="186"/>
        <v>#N/A</v>
      </c>
      <c r="AE320" s="276" t="e">
        <f t="shared" si="186"/>
        <v>#N/A</v>
      </c>
      <c r="AF320" s="497"/>
      <c r="AG320" s="276" t="e">
        <f t="shared" si="186"/>
        <v>#N/A</v>
      </c>
      <c r="AH320" s="276" t="e">
        <f t="shared" si="186"/>
        <v>#N/A</v>
      </c>
      <c r="AI320" s="276" t="e">
        <f t="shared" si="186"/>
        <v>#N/A</v>
      </c>
      <c r="AJ320" s="276" t="e">
        <f t="shared" si="186"/>
        <v>#N/A</v>
      </c>
      <c r="AK320" s="276" t="e">
        <f t="shared" si="186"/>
        <v>#N/A</v>
      </c>
      <c r="AL320" s="276" t="e">
        <f t="shared" si="186"/>
        <v>#N/A</v>
      </c>
      <c r="AM320" s="276" t="e">
        <f t="shared" si="186"/>
        <v>#N/A</v>
      </c>
      <c r="AZ320" s="191"/>
      <c r="BA320" s="411"/>
      <c r="BB320" s="192"/>
      <c r="BC320" s="192"/>
      <c r="BD320" s="192"/>
      <c r="BE320" s="192"/>
      <c r="BF320" s="192"/>
      <c r="BG320" s="192"/>
      <c r="BH320" s="192"/>
      <c r="BI320" s="192"/>
      <c r="BJ320" s="192"/>
      <c r="BK320" s="192"/>
      <c r="BL320" s="147"/>
      <c r="BM320" s="148"/>
      <c r="BN320" s="148"/>
      <c r="BO320" s="148"/>
      <c r="BP320" s="148"/>
      <c r="BQ320" s="148"/>
      <c r="BR320" s="148"/>
      <c r="BS320" s="148"/>
      <c r="BT320" s="148"/>
      <c r="BU320" s="148"/>
      <c r="BV320" s="148"/>
      <c r="BW320" s="148"/>
      <c r="BX320" s="148"/>
      <c r="BY320" s="148"/>
      <c r="BZ320" s="148"/>
      <c r="CA320" s="148"/>
      <c r="CB320" s="148"/>
    </row>
    <row r="321" spans="1:80" s="141" customFormat="1" ht="15" customHeight="1" thickBot="1">
      <c r="A321" s="421"/>
      <c r="B321" s="418" t="str">
        <f t="shared" si="185"/>
        <v>Pared 2:</v>
      </c>
      <c r="C321" s="827">
        <f>C81</f>
        <v>0</v>
      </c>
      <c r="D321" s="828"/>
      <c r="E321" s="828"/>
      <c r="F321" s="828"/>
      <c r="G321" s="829"/>
      <c r="H321" s="835" t="s">
        <v>7</v>
      </c>
      <c r="I321" s="835"/>
      <c r="J321" s="420">
        <f>L81</f>
        <v>0</v>
      </c>
      <c r="K321" s="316"/>
      <c r="L321" s="417"/>
      <c r="M321" s="835"/>
      <c r="N321" s="835"/>
      <c r="O321" s="404"/>
      <c r="P321" s="388" t="e">
        <f>VLOOKUP(K321,COLORESEXT,2,FALSE)</f>
        <v>#N/A</v>
      </c>
      <c r="Q321" s="167">
        <f>IF(H321="Si",VLOOKUP(C321,PAREDm,2,FALSE),0)</f>
        <v>0</v>
      </c>
      <c r="R321" s="275">
        <f>IF(L321=0,0,0.026/L321)</f>
        <v>0</v>
      </c>
      <c r="S321" s="313">
        <f>VLOOKUP(M321,VIDRIOSm,2,FALSE)</f>
        <v>0</v>
      </c>
      <c r="T321" s="313">
        <f>IF($L$295="No",0,Q321*R321*S321)</f>
        <v>0</v>
      </c>
      <c r="U321" s="222">
        <f>T321*J321</f>
        <v>0</v>
      </c>
      <c r="V321" s="222">
        <f>IF(H321="No",0,(U321*(P321/10))+U321)</f>
        <v>0</v>
      </c>
      <c r="W321" s="193">
        <f t="shared" ref="W321:W324" si="187">V321</f>
        <v>0</v>
      </c>
      <c r="Y321" s="933"/>
      <c r="Z321" s="313">
        <f>IF($L$295="Si",IF(H321="Si",J321,0),0)</f>
        <v>0</v>
      </c>
      <c r="AA321" s="276" t="e">
        <f>$Z$321*AA319*0.025</f>
        <v>#N/A</v>
      </c>
      <c r="AB321" s="276" t="e">
        <f t="shared" ref="AB321:AM321" si="188">$Z$321*AB319*0.025</f>
        <v>#N/A</v>
      </c>
      <c r="AC321" s="276" t="e">
        <f t="shared" si="188"/>
        <v>#N/A</v>
      </c>
      <c r="AD321" s="276" t="e">
        <f t="shared" si="188"/>
        <v>#N/A</v>
      </c>
      <c r="AE321" s="276" t="e">
        <f t="shared" si="188"/>
        <v>#N/A</v>
      </c>
      <c r="AF321" s="497"/>
      <c r="AG321" s="276" t="e">
        <f t="shared" si="188"/>
        <v>#N/A</v>
      </c>
      <c r="AH321" s="276" t="e">
        <f t="shared" si="188"/>
        <v>#N/A</v>
      </c>
      <c r="AI321" s="276" t="e">
        <f t="shared" si="188"/>
        <v>#N/A</v>
      </c>
      <c r="AJ321" s="276" t="e">
        <f t="shared" si="188"/>
        <v>#N/A</v>
      </c>
      <c r="AK321" s="276" t="e">
        <f t="shared" si="188"/>
        <v>#N/A</v>
      </c>
      <c r="AL321" s="276" t="e">
        <f t="shared" si="188"/>
        <v>#N/A</v>
      </c>
      <c r="AM321" s="276" t="e">
        <f t="shared" si="188"/>
        <v>#N/A</v>
      </c>
      <c r="AZ321" s="191"/>
      <c r="BA321" s="411"/>
      <c r="BB321" s="192"/>
      <c r="BC321" s="192"/>
      <c r="BD321" s="192"/>
      <c r="BE321" s="192"/>
      <c r="BF321" s="192"/>
      <c r="BG321" s="192"/>
      <c r="BH321" s="192"/>
      <c r="BI321" s="192"/>
      <c r="BJ321" s="192"/>
      <c r="BK321" s="192"/>
      <c r="BL321" s="147"/>
      <c r="BM321" s="148"/>
      <c r="BN321" s="148"/>
      <c r="BO321" s="148"/>
      <c r="BP321" s="148"/>
      <c r="BQ321" s="148"/>
      <c r="BR321" s="148"/>
      <c r="BS321" s="148"/>
      <c r="BT321" s="148"/>
      <c r="BU321" s="148"/>
      <c r="BV321" s="148"/>
      <c r="BW321" s="148"/>
      <c r="BX321" s="148"/>
      <c r="BY321" s="148"/>
      <c r="BZ321" s="148"/>
      <c r="CA321" s="148"/>
      <c r="CB321" s="148"/>
    </row>
    <row r="322" spans="1:80" s="141" customFormat="1" ht="15" customHeight="1" thickBot="1">
      <c r="A322" s="421"/>
      <c r="B322" s="418" t="str">
        <f t="shared" si="185"/>
        <v>Pared 3:</v>
      </c>
      <c r="C322" s="827">
        <f>C82</f>
        <v>0</v>
      </c>
      <c r="D322" s="828"/>
      <c r="E322" s="828"/>
      <c r="F322" s="828"/>
      <c r="G322" s="829"/>
      <c r="H322" s="835" t="s">
        <v>7</v>
      </c>
      <c r="I322" s="835"/>
      <c r="J322" s="420">
        <f>L82</f>
        <v>0</v>
      </c>
      <c r="K322" s="316"/>
      <c r="L322" s="417"/>
      <c r="M322" s="835"/>
      <c r="N322" s="835"/>
      <c r="O322" s="404"/>
      <c r="P322" s="388" t="e">
        <f>VLOOKUP(K322,COLORESEXT,2,FALSE)</f>
        <v>#N/A</v>
      </c>
      <c r="Q322" s="167">
        <f>IF(H322="Si",VLOOKUP(C322,PAREDm,2,FALSE),0)</f>
        <v>0</v>
      </c>
      <c r="R322" s="275">
        <f>IF(L322=0,0,0.026/L322)</f>
        <v>0</v>
      </c>
      <c r="S322" s="313">
        <f>VLOOKUP(M322,VIDRIOSm,2,FALSE)</f>
        <v>0</v>
      </c>
      <c r="T322" s="313">
        <f>IF($L$295="No",0,Q322*R322*S322)</f>
        <v>0</v>
      </c>
      <c r="U322" s="222">
        <f>T322*J322</f>
        <v>0</v>
      </c>
      <c r="V322" s="222">
        <f>IF(H322="No",0,(U322*(P322/10))+U322)</f>
        <v>0</v>
      </c>
      <c r="W322" s="193">
        <f t="shared" si="187"/>
        <v>0</v>
      </c>
      <c r="Y322" s="933"/>
      <c r="Z322" s="313">
        <f>IF($L$295="Si",IF(H322="Si",J322,0),0)</f>
        <v>0</v>
      </c>
      <c r="AA322" s="276" t="e">
        <f>$Z$322*AA319*0.025</f>
        <v>#N/A</v>
      </c>
      <c r="AB322" s="276" t="e">
        <f t="shared" ref="AB322:AM322" si="189">$Z$322*AB319*0.025</f>
        <v>#N/A</v>
      </c>
      <c r="AC322" s="276" t="e">
        <f t="shared" si="189"/>
        <v>#N/A</v>
      </c>
      <c r="AD322" s="276" t="e">
        <f t="shared" si="189"/>
        <v>#N/A</v>
      </c>
      <c r="AE322" s="276" t="e">
        <f t="shared" si="189"/>
        <v>#N/A</v>
      </c>
      <c r="AF322" s="497"/>
      <c r="AG322" s="276" t="e">
        <f t="shared" si="189"/>
        <v>#N/A</v>
      </c>
      <c r="AH322" s="276" t="e">
        <f t="shared" si="189"/>
        <v>#N/A</v>
      </c>
      <c r="AI322" s="276" t="e">
        <f t="shared" si="189"/>
        <v>#N/A</v>
      </c>
      <c r="AJ322" s="276" t="e">
        <f t="shared" si="189"/>
        <v>#N/A</v>
      </c>
      <c r="AK322" s="276" t="e">
        <f t="shared" si="189"/>
        <v>#N/A</v>
      </c>
      <c r="AL322" s="276" t="e">
        <f t="shared" si="189"/>
        <v>#N/A</v>
      </c>
      <c r="AM322" s="276" t="e">
        <f t="shared" si="189"/>
        <v>#N/A</v>
      </c>
      <c r="AZ322" s="191"/>
      <c r="BA322" s="411"/>
      <c r="BB322" s="192"/>
      <c r="BC322" s="192"/>
      <c r="BD322" s="192"/>
      <c r="BE322" s="192"/>
      <c r="BF322" s="192"/>
      <c r="BG322" s="192"/>
      <c r="BH322" s="192"/>
      <c r="BI322" s="192"/>
      <c r="BJ322" s="192"/>
      <c r="BK322" s="192"/>
      <c r="BL322" s="147"/>
      <c r="BM322" s="148"/>
      <c r="BN322" s="148"/>
      <c r="BO322" s="148"/>
      <c r="BP322" s="148"/>
      <c r="BQ322" s="148"/>
      <c r="BR322" s="148"/>
      <c r="BS322" s="148"/>
      <c r="BT322" s="148"/>
      <c r="BU322" s="148"/>
      <c r="BV322" s="148"/>
      <c r="BW322" s="148"/>
      <c r="BX322" s="148"/>
      <c r="BY322" s="148"/>
      <c r="BZ322" s="148"/>
      <c r="CA322" s="148"/>
      <c r="CB322" s="148"/>
    </row>
    <row r="323" spans="1:80" s="141" customFormat="1" ht="15" customHeight="1" thickBot="1">
      <c r="A323" s="421"/>
      <c r="B323" s="418" t="str">
        <f t="shared" si="185"/>
        <v>Material Personalizado:</v>
      </c>
      <c r="C323" s="827" t="str">
        <f>C83</f>
        <v>-</v>
      </c>
      <c r="D323" s="828"/>
      <c r="E323" s="828"/>
      <c r="F323" s="828"/>
      <c r="G323" s="829"/>
      <c r="H323" s="835" t="s">
        <v>7</v>
      </c>
      <c r="I323" s="835"/>
      <c r="J323" s="420">
        <f>L83</f>
        <v>0</v>
      </c>
      <c r="K323" s="316"/>
      <c r="L323" s="417"/>
      <c r="M323" s="835"/>
      <c r="N323" s="835"/>
      <c r="O323" s="404"/>
      <c r="P323" s="388" t="e">
        <f>VLOOKUP(K323,COLORESEXT,2,FALSE)</f>
        <v>#N/A</v>
      </c>
      <c r="Q323" s="167">
        <f>IF(H323="Si",'Materiales Personalizados'!$G$50,0)</f>
        <v>0</v>
      </c>
      <c r="R323" s="275">
        <f>IF(L323=0,0,0.026/L323)</f>
        <v>0</v>
      </c>
      <c r="S323" s="313">
        <f>VLOOKUP(M323,VIDRIOSm,2,FALSE)</f>
        <v>0</v>
      </c>
      <c r="T323" s="313">
        <f>IF($L$295="No",0,Q323*R323*S323)</f>
        <v>0</v>
      </c>
      <c r="U323" s="222">
        <f>T323*J323</f>
        <v>0</v>
      </c>
      <c r="V323" s="222">
        <f>IF(H323="No",0,(U323*(P323/10))+U323)</f>
        <v>0</v>
      </c>
      <c r="W323" s="193">
        <f t="shared" si="187"/>
        <v>0</v>
      </c>
      <c r="Y323" s="933"/>
      <c r="Z323" s="313">
        <f>IF($L$295="Si",IF(H323="Si",J323,0),0)</f>
        <v>0</v>
      </c>
      <c r="AA323" s="276" t="e">
        <f>$Z$323*AA319*0.025</f>
        <v>#N/A</v>
      </c>
      <c r="AB323" s="276" t="e">
        <f t="shared" ref="AB323:AM323" si="190">$Z$323*AB319*0.025</f>
        <v>#N/A</v>
      </c>
      <c r="AC323" s="276" t="e">
        <f t="shared" si="190"/>
        <v>#N/A</v>
      </c>
      <c r="AD323" s="276" t="e">
        <f t="shared" si="190"/>
        <v>#N/A</v>
      </c>
      <c r="AE323" s="276" t="e">
        <f t="shared" si="190"/>
        <v>#N/A</v>
      </c>
      <c r="AF323" s="497"/>
      <c r="AG323" s="276" t="e">
        <f t="shared" si="190"/>
        <v>#N/A</v>
      </c>
      <c r="AH323" s="276" t="e">
        <f t="shared" si="190"/>
        <v>#N/A</v>
      </c>
      <c r="AI323" s="276" t="e">
        <f t="shared" si="190"/>
        <v>#N/A</v>
      </c>
      <c r="AJ323" s="276" t="e">
        <f t="shared" si="190"/>
        <v>#N/A</v>
      </c>
      <c r="AK323" s="276" t="e">
        <f t="shared" si="190"/>
        <v>#N/A</v>
      </c>
      <c r="AL323" s="276" t="e">
        <f t="shared" si="190"/>
        <v>#N/A</v>
      </c>
      <c r="AM323" s="276" t="e">
        <f t="shared" si="190"/>
        <v>#N/A</v>
      </c>
      <c r="AZ323" s="191"/>
      <c r="BA323" s="411"/>
      <c r="BB323" s="192"/>
      <c r="BC323" s="192"/>
      <c r="BD323" s="192"/>
      <c r="BE323" s="192"/>
      <c r="BF323" s="192"/>
      <c r="BG323" s="192"/>
      <c r="BH323" s="192"/>
      <c r="BI323" s="192"/>
      <c r="BJ323" s="192"/>
      <c r="BK323" s="192"/>
      <c r="BL323" s="147"/>
      <c r="BM323" s="148"/>
      <c r="BN323" s="148"/>
      <c r="BO323" s="148"/>
      <c r="BP323" s="148"/>
      <c r="BQ323" s="148"/>
      <c r="BR323" s="148"/>
      <c r="BS323" s="148"/>
      <c r="BT323" s="148"/>
      <c r="BU323" s="148"/>
      <c r="BV323" s="148"/>
      <c r="BW323" s="148"/>
      <c r="BX323" s="148"/>
      <c r="BY323" s="148"/>
      <c r="BZ323" s="148"/>
      <c r="CA323" s="148"/>
      <c r="CB323" s="148"/>
    </row>
    <row r="324" spans="1:80" s="141" customFormat="1" ht="15" customHeight="1" thickBot="1">
      <c r="A324" s="421"/>
      <c r="B324" s="418" t="str">
        <f t="shared" si="185"/>
        <v>Material Personalizado:</v>
      </c>
      <c r="C324" s="821" t="str">
        <f>C84</f>
        <v>-</v>
      </c>
      <c r="D324" s="822"/>
      <c r="E324" s="822"/>
      <c r="F324" s="822"/>
      <c r="G324" s="823"/>
      <c r="H324" s="835" t="s">
        <v>7</v>
      </c>
      <c r="I324" s="835"/>
      <c r="J324" s="420">
        <f>L84</f>
        <v>0</v>
      </c>
      <c r="K324" s="316"/>
      <c r="L324" s="417"/>
      <c r="M324" s="835"/>
      <c r="N324" s="835"/>
      <c r="O324" s="404"/>
      <c r="P324" s="388" t="e">
        <f>VLOOKUP(K324,COLORESEXT,2,FALSE)</f>
        <v>#N/A</v>
      </c>
      <c r="Q324" s="167">
        <f>IF(H324="Si",'Materiales Personalizados'!$G$73,0)</f>
        <v>0</v>
      </c>
      <c r="R324" s="275">
        <f>IF(L324=0,0,0.026/L324)</f>
        <v>0</v>
      </c>
      <c r="S324" s="313">
        <f>VLOOKUP(M324,VIDRIOSm,2,FALSE)</f>
        <v>0</v>
      </c>
      <c r="T324" s="313">
        <f>IF($L$295="No",0,Q324*R324*S324)</f>
        <v>0</v>
      </c>
      <c r="U324" s="222">
        <f>T324*J324</f>
        <v>0</v>
      </c>
      <c r="V324" s="222">
        <f>IF(H324="No",0,(U324*(P324/10))+U324)</f>
        <v>0</v>
      </c>
      <c r="W324" s="193">
        <f t="shared" si="187"/>
        <v>0</v>
      </c>
      <c r="Y324" s="934"/>
      <c r="Z324" s="313">
        <f>IF($L$295="Si",IF(H324="Si",J324,0),0)</f>
        <v>0</v>
      </c>
      <c r="AA324" s="276" t="e">
        <f>$Z$324*AA319*0.025</f>
        <v>#N/A</v>
      </c>
      <c r="AB324" s="276" t="e">
        <f t="shared" ref="AB324:AM324" si="191">$Z$324*AB319*0.025</f>
        <v>#N/A</v>
      </c>
      <c r="AC324" s="276" t="e">
        <f t="shared" si="191"/>
        <v>#N/A</v>
      </c>
      <c r="AD324" s="276" t="e">
        <f t="shared" si="191"/>
        <v>#N/A</v>
      </c>
      <c r="AE324" s="276" t="e">
        <f t="shared" si="191"/>
        <v>#N/A</v>
      </c>
      <c r="AF324" s="497"/>
      <c r="AG324" s="276" t="e">
        <f t="shared" si="191"/>
        <v>#N/A</v>
      </c>
      <c r="AH324" s="276" t="e">
        <f t="shared" si="191"/>
        <v>#N/A</v>
      </c>
      <c r="AI324" s="276" t="e">
        <f t="shared" si="191"/>
        <v>#N/A</v>
      </c>
      <c r="AJ324" s="276" t="e">
        <f t="shared" si="191"/>
        <v>#N/A</v>
      </c>
      <c r="AK324" s="276" t="e">
        <f t="shared" si="191"/>
        <v>#N/A</v>
      </c>
      <c r="AL324" s="276" t="e">
        <f t="shared" si="191"/>
        <v>#N/A</v>
      </c>
      <c r="AM324" s="276" t="e">
        <f t="shared" si="191"/>
        <v>#N/A</v>
      </c>
      <c r="AZ324" s="191"/>
      <c r="BA324" s="411"/>
      <c r="BB324" s="192"/>
      <c r="BC324" s="192"/>
      <c r="BD324" s="192"/>
      <c r="BE324" s="192"/>
      <c r="BF324" s="192"/>
      <c r="BG324" s="192"/>
      <c r="BH324" s="192"/>
      <c r="BI324" s="192"/>
      <c r="BJ324" s="192"/>
      <c r="BK324" s="192"/>
      <c r="BL324" s="147"/>
      <c r="BM324" s="148"/>
      <c r="BN324" s="148"/>
      <c r="BO324" s="148"/>
      <c r="BP324" s="148"/>
      <c r="BQ324" s="148"/>
      <c r="BR324" s="148"/>
      <c r="BS324" s="148"/>
      <c r="BT324" s="148"/>
      <c r="BU324" s="148"/>
      <c r="BV324" s="148"/>
      <c r="BW324" s="148"/>
      <c r="BX324" s="148"/>
      <c r="BY324" s="148"/>
      <c r="BZ324" s="148"/>
      <c r="CA324" s="148"/>
      <c r="CB324" s="148"/>
    </row>
    <row r="325" spans="1:80" s="141" customFormat="1" ht="6" customHeight="1" thickBot="1">
      <c r="A325" s="421"/>
      <c r="B325" s="332"/>
      <c r="C325" s="332"/>
      <c r="D325" s="332"/>
      <c r="E325" s="421"/>
      <c r="F325" s="421"/>
      <c r="G325" s="332"/>
      <c r="H325" s="332"/>
      <c r="I325" s="332"/>
      <c r="J325" s="332"/>
      <c r="K325" s="332"/>
      <c r="L325" s="421"/>
      <c r="M325" s="332"/>
      <c r="N325" s="396"/>
      <c r="O325" s="404"/>
      <c r="P325" s="247"/>
      <c r="Y325" s="354"/>
      <c r="AZ325" s="191"/>
      <c r="BA325" s="411"/>
      <c r="BB325" s="192"/>
      <c r="BC325" s="192"/>
      <c r="BD325" s="192"/>
      <c r="BE325" s="192"/>
      <c r="BF325" s="192"/>
      <c r="BG325" s="192"/>
      <c r="BH325" s="192"/>
      <c r="BI325" s="192"/>
      <c r="BJ325" s="192"/>
      <c r="BK325" s="192"/>
      <c r="BL325" s="147"/>
      <c r="BM325" s="148"/>
      <c r="BN325" s="148"/>
      <c r="BO325" s="148"/>
      <c r="BP325" s="148"/>
      <c r="BQ325" s="148"/>
      <c r="BR325" s="148"/>
      <c r="BS325" s="148"/>
      <c r="BT325" s="148"/>
      <c r="BU325" s="148"/>
      <c r="BV325" s="148"/>
      <c r="BW325" s="148"/>
      <c r="BX325" s="148"/>
      <c r="BY325" s="148"/>
      <c r="BZ325" s="148"/>
      <c r="CA325" s="148"/>
      <c r="CB325" s="148"/>
    </row>
    <row r="326" spans="1:80" s="141" customFormat="1" ht="15" customHeight="1" thickBot="1">
      <c r="A326" s="421"/>
      <c r="B326" s="812">
        <f>B86</f>
        <v>0</v>
      </c>
      <c r="C326" s="812"/>
      <c r="D326" s="812"/>
      <c r="E326" s="812"/>
      <c r="F326" s="812"/>
      <c r="G326" s="812"/>
      <c r="H326" s="812"/>
      <c r="I326" s="812"/>
      <c r="J326" s="812"/>
      <c r="K326" s="812"/>
      <c r="L326" s="812"/>
      <c r="M326" s="812"/>
      <c r="N326" s="812"/>
      <c r="O326" s="404"/>
      <c r="P326" s="845">
        <f>B326</f>
        <v>0</v>
      </c>
      <c r="Q326" s="846"/>
      <c r="R326" s="846"/>
      <c r="S326" s="846"/>
      <c r="T326" s="846"/>
      <c r="U326" s="846"/>
      <c r="V326" s="846"/>
      <c r="W326" s="846"/>
      <c r="X326" s="846"/>
      <c r="Y326" s="846"/>
      <c r="Z326" s="846"/>
      <c r="AA326" s="846"/>
      <c r="AB326" s="846"/>
      <c r="AC326" s="846"/>
      <c r="AD326" s="846"/>
      <c r="AE326" s="846"/>
      <c r="AF326" s="846"/>
      <c r="AG326" s="846"/>
      <c r="AH326" s="846"/>
      <c r="AI326" s="846"/>
      <c r="AJ326" s="846"/>
      <c r="AK326" s="846"/>
      <c r="AL326" s="846"/>
      <c r="AM326" s="846"/>
      <c r="AN326" s="846"/>
      <c r="AO326" s="846"/>
      <c r="AP326" s="846"/>
      <c r="AQ326" s="846"/>
      <c r="AR326" s="846"/>
      <c r="AS326" s="846"/>
      <c r="AT326" s="846"/>
      <c r="AU326" s="846"/>
      <c r="AV326" s="846"/>
      <c r="AW326" s="846"/>
      <c r="AX326" s="846"/>
      <c r="AY326" s="847"/>
      <c r="AZ326" s="191"/>
      <c r="BA326" s="411"/>
      <c r="BB326" s="192"/>
      <c r="BC326" s="192"/>
      <c r="BD326" s="192"/>
      <c r="BE326" s="192"/>
      <c r="BF326" s="192"/>
      <c r="BG326" s="192"/>
      <c r="BH326" s="192"/>
      <c r="BI326" s="192"/>
      <c r="BJ326" s="192"/>
      <c r="BK326" s="192"/>
      <c r="BL326" s="147"/>
      <c r="BM326" s="148"/>
      <c r="BN326" s="148"/>
      <c r="BO326" s="148"/>
      <c r="BP326" s="148"/>
      <c r="BQ326" s="148"/>
      <c r="BR326" s="148"/>
      <c r="BS326" s="148"/>
      <c r="BT326" s="148"/>
      <c r="BU326" s="148"/>
      <c r="BV326" s="148"/>
      <c r="BW326" s="148"/>
      <c r="BX326" s="148"/>
      <c r="BY326" s="148"/>
      <c r="BZ326" s="148"/>
      <c r="CA326" s="148"/>
      <c r="CB326" s="148"/>
    </row>
    <row r="327" spans="1:80" s="141" customFormat="1" ht="6" customHeight="1" thickBot="1">
      <c r="A327" s="421"/>
      <c r="B327" s="332"/>
      <c r="C327" s="332"/>
      <c r="D327" s="332"/>
      <c r="E327" s="332"/>
      <c r="F327" s="332"/>
      <c r="G327" s="332"/>
      <c r="H327" s="332"/>
      <c r="I327" s="332"/>
      <c r="J327" s="332"/>
      <c r="K327" s="332"/>
      <c r="L327" s="421"/>
      <c r="M327" s="332"/>
      <c r="N327" s="396"/>
      <c r="O327" s="404"/>
      <c r="P327" s="247"/>
      <c r="Q327" s="127"/>
      <c r="R327" s="100"/>
      <c r="S327" s="100"/>
      <c r="T327" s="100"/>
      <c r="U327" s="100"/>
      <c r="V327" s="100"/>
      <c r="W327" s="100"/>
      <c r="X327" s="100"/>
      <c r="Y327" s="354"/>
      <c r="AZ327" s="191"/>
      <c r="BA327" s="411"/>
      <c r="BB327" s="192"/>
      <c r="BC327" s="192"/>
      <c r="BD327" s="192"/>
      <c r="BE327" s="192"/>
      <c r="BF327" s="192"/>
      <c r="BG327" s="192"/>
      <c r="BH327" s="192"/>
      <c r="BI327" s="192"/>
      <c r="BJ327" s="192"/>
      <c r="BK327" s="192"/>
      <c r="BL327" s="147"/>
      <c r="BM327" s="148"/>
      <c r="BN327" s="148"/>
      <c r="BO327" s="148"/>
      <c r="BP327" s="148"/>
      <c r="BQ327" s="148"/>
      <c r="BR327" s="148"/>
      <c r="BS327" s="148"/>
      <c r="BT327" s="148"/>
      <c r="BU327" s="148"/>
      <c r="BV327" s="148"/>
      <c r="BW327" s="148"/>
      <c r="BX327" s="148"/>
      <c r="BY327" s="148"/>
      <c r="BZ327" s="148"/>
      <c r="CA327" s="148"/>
      <c r="CB327" s="148"/>
    </row>
    <row r="328" spans="1:80" s="141" customFormat="1" ht="30" customHeight="1" thickBot="1">
      <c r="A328" s="421"/>
      <c r="B328" s="345"/>
      <c r="C328" s="830" t="s">
        <v>222</v>
      </c>
      <c r="D328" s="831"/>
      <c r="E328" s="831"/>
      <c r="F328" s="831"/>
      <c r="G328" s="832"/>
      <c r="H328" s="833" t="s">
        <v>1455</v>
      </c>
      <c r="I328" s="833"/>
      <c r="J328" s="414" t="s">
        <v>594</v>
      </c>
      <c r="K328" s="419" t="s">
        <v>644</v>
      </c>
      <c r="L328" s="419" t="s">
        <v>1670</v>
      </c>
      <c r="M328" s="833" t="s">
        <v>1184</v>
      </c>
      <c r="N328" s="833"/>
      <c r="O328" s="404"/>
      <c r="P328" s="388" t="s">
        <v>729</v>
      </c>
      <c r="Q328" s="285" t="s">
        <v>849</v>
      </c>
      <c r="R328" s="275" t="s">
        <v>1456</v>
      </c>
      <c r="S328" s="275" t="s">
        <v>1064</v>
      </c>
      <c r="T328" s="275" t="s">
        <v>1457</v>
      </c>
      <c r="U328" s="285" t="s">
        <v>850</v>
      </c>
      <c r="V328" s="285" t="s">
        <v>1357</v>
      </c>
      <c r="W328" s="286" t="s">
        <v>1359</v>
      </c>
      <c r="Y328" s="932">
        <f>P326</f>
        <v>0</v>
      </c>
      <c r="Z328" s="275" t="s">
        <v>1671</v>
      </c>
      <c r="AA328" s="76" t="e">
        <f>'Modelo de Radiación Solar'!AW160</f>
        <v>#N/A</v>
      </c>
      <c r="AB328" s="76" t="e">
        <f>'Modelo de Radiación Solar'!AX160</f>
        <v>#N/A</v>
      </c>
      <c r="AC328" s="76" t="e">
        <f>'Modelo de Radiación Solar'!AY160</f>
        <v>#N/A</v>
      </c>
      <c r="AD328" s="76" t="e">
        <f>'Modelo de Radiación Solar'!AZ160</f>
        <v>#N/A</v>
      </c>
      <c r="AE328" s="76" t="e">
        <f>'Modelo de Radiación Solar'!BA160</f>
        <v>#N/A</v>
      </c>
      <c r="AF328" s="76"/>
      <c r="AG328" s="76" t="e">
        <f>'Modelo de Radiación Solar'!BB160</f>
        <v>#N/A</v>
      </c>
      <c r="AH328" s="76" t="e">
        <f>'Modelo de Radiación Solar'!BC160</f>
        <v>#N/A</v>
      </c>
      <c r="AI328" s="76" t="e">
        <f>'Modelo de Radiación Solar'!BD160</f>
        <v>#N/A</v>
      </c>
      <c r="AJ328" s="76" t="e">
        <f>'Modelo de Radiación Solar'!BE160</f>
        <v>#N/A</v>
      </c>
      <c r="AK328" s="76" t="e">
        <f>'Modelo de Radiación Solar'!BF160</f>
        <v>#N/A</v>
      </c>
      <c r="AL328" s="76" t="e">
        <f>'Modelo de Radiación Solar'!BG160</f>
        <v>#N/A</v>
      </c>
      <c r="AM328" s="76" t="e">
        <f>'Modelo de Radiación Solar'!BH160</f>
        <v>#N/A</v>
      </c>
      <c r="AZ328" s="191"/>
      <c r="BA328" s="411"/>
      <c r="BB328" s="192"/>
      <c r="BC328" s="192"/>
      <c r="BD328" s="192"/>
      <c r="BE328" s="192"/>
      <c r="BF328" s="192"/>
      <c r="BG328" s="192"/>
      <c r="BH328" s="192"/>
      <c r="BI328" s="192"/>
      <c r="BJ328" s="192"/>
      <c r="BK328" s="192"/>
      <c r="BL328" s="147"/>
      <c r="BM328" s="148"/>
      <c r="BN328" s="148"/>
      <c r="BO328" s="148"/>
      <c r="BP328" s="148"/>
      <c r="BQ328" s="148"/>
      <c r="BR328" s="148"/>
      <c r="BS328" s="148"/>
      <c r="BT328" s="148"/>
      <c r="BU328" s="148"/>
      <c r="BV328" s="148"/>
      <c r="BW328" s="148"/>
      <c r="BX328" s="148"/>
      <c r="BY328" s="148"/>
      <c r="BZ328" s="148"/>
      <c r="CA328" s="148"/>
      <c r="CB328" s="148"/>
    </row>
    <row r="329" spans="1:80" s="141" customFormat="1" ht="15" customHeight="1" thickBot="1">
      <c r="A329" s="421"/>
      <c r="B329" s="418" t="str">
        <f t="shared" ref="B329:B333" si="192">B90</f>
        <v>Pared 1:</v>
      </c>
      <c r="C329" s="824">
        <f>C90</f>
        <v>0</v>
      </c>
      <c r="D329" s="825"/>
      <c r="E329" s="825"/>
      <c r="F329" s="825"/>
      <c r="G329" s="826"/>
      <c r="H329" s="835" t="s">
        <v>7</v>
      </c>
      <c r="I329" s="835"/>
      <c r="J329" s="420">
        <f>L90</f>
        <v>0</v>
      </c>
      <c r="K329" s="316"/>
      <c r="L329" s="417"/>
      <c r="M329" s="835"/>
      <c r="N329" s="835"/>
      <c r="O329" s="404"/>
      <c r="P329" s="388" t="e">
        <f>VLOOKUP(K329,COLORESEXT,2,FALSE)</f>
        <v>#N/A</v>
      </c>
      <c r="Q329" s="167">
        <f>IF(H329="Si",VLOOKUP(C329,PAREDm,2,FALSE),0)</f>
        <v>0</v>
      </c>
      <c r="R329" s="275">
        <f>IF(L329=0,0,0.026/L329)</f>
        <v>0</v>
      </c>
      <c r="S329" s="313">
        <f>VLOOKUP(M329,VIDRIOSm,2,FALSE)</f>
        <v>0</v>
      </c>
      <c r="T329" s="313">
        <f>IF($L$295="No",0,Q329*R329*S329)</f>
        <v>0</v>
      </c>
      <c r="U329" s="222">
        <f>T329*J329</f>
        <v>0</v>
      </c>
      <c r="V329" s="222">
        <f>IF(H329="No",0,(U329*(P329/10))+U329)</f>
        <v>0</v>
      </c>
      <c r="W329" s="193">
        <f>V329</f>
        <v>0</v>
      </c>
      <c r="Y329" s="933"/>
      <c r="Z329" s="313">
        <f>IF($L$295="Si",IF(H329="Si",J329,0),0)</f>
        <v>0</v>
      </c>
      <c r="AA329" s="276" t="e">
        <f>$Z$329*AA328*0.025</f>
        <v>#N/A</v>
      </c>
      <c r="AB329" s="276" t="e">
        <f t="shared" ref="AB329:AM329" si="193">$Z$329*AB328*0.025</f>
        <v>#N/A</v>
      </c>
      <c r="AC329" s="276" t="e">
        <f t="shared" si="193"/>
        <v>#N/A</v>
      </c>
      <c r="AD329" s="276" t="e">
        <f t="shared" si="193"/>
        <v>#N/A</v>
      </c>
      <c r="AE329" s="276" t="e">
        <f t="shared" si="193"/>
        <v>#N/A</v>
      </c>
      <c r="AF329" s="497"/>
      <c r="AG329" s="276" t="e">
        <f t="shared" si="193"/>
        <v>#N/A</v>
      </c>
      <c r="AH329" s="276" t="e">
        <f t="shared" si="193"/>
        <v>#N/A</v>
      </c>
      <c r="AI329" s="276" t="e">
        <f t="shared" si="193"/>
        <v>#N/A</v>
      </c>
      <c r="AJ329" s="276" t="e">
        <f t="shared" si="193"/>
        <v>#N/A</v>
      </c>
      <c r="AK329" s="276" t="e">
        <f t="shared" si="193"/>
        <v>#N/A</v>
      </c>
      <c r="AL329" s="276" t="e">
        <f t="shared" si="193"/>
        <v>#N/A</v>
      </c>
      <c r="AM329" s="276" t="e">
        <f t="shared" si="193"/>
        <v>#N/A</v>
      </c>
      <c r="AZ329" s="191"/>
      <c r="BA329" s="411"/>
      <c r="BB329" s="192"/>
      <c r="BC329" s="192"/>
      <c r="BD329" s="192"/>
      <c r="BE329" s="192"/>
      <c r="BF329" s="192"/>
      <c r="BG329" s="192"/>
      <c r="BH329" s="192"/>
      <c r="BI329" s="192"/>
      <c r="BJ329" s="192"/>
      <c r="BK329" s="192"/>
      <c r="BL329" s="147"/>
      <c r="BM329" s="148"/>
      <c r="BN329" s="148"/>
      <c r="BO329" s="148"/>
      <c r="BP329" s="148"/>
      <c r="BQ329" s="148"/>
      <c r="BR329" s="148"/>
      <c r="BS329" s="148"/>
      <c r="BT329" s="148"/>
      <c r="BU329" s="148"/>
      <c r="BV329" s="148"/>
      <c r="BW329" s="148"/>
      <c r="BX329" s="148"/>
      <c r="BY329" s="148"/>
      <c r="BZ329" s="148"/>
      <c r="CA329" s="148"/>
      <c r="CB329" s="148"/>
    </row>
    <row r="330" spans="1:80" s="141" customFormat="1" ht="15" customHeight="1" thickBot="1">
      <c r="A330" s="421"/>
      <c r="B330" s="418" t="str">
        <f t="shared" si="192"/>
        <v>Pared 2:</v>
      </c>
      <c r="C330" s="827">
        <f>C91</f>
        <v>0</v>
      </c>
      <c r="D330" s="828"/>
      <c r="E330" s="828"/>
      <c r="F330" s="828"/>
      <c r="G330" s="829"/>
      <c r="H330" s="835" t="s">
        <v>7</v>
      </c>
      <c r="I330" s="835"/>
      <c r="J330" s="420">
        <f>L91</f>
        <v>0</v>
      </c>
      <c r="K330" s="316"/>
      <c r="L330" s="417"/>
      <c r="M330" s="835"/>
      <c r="N330" s="835"/>
      <c r="O330" s="404"/>
      <c r="P330" s="388" t="e">
        <f>VLOOKUP(K330,COLORESEXT,2,FALSE)</f>
        <v>#N/A</v>
      </c>
      <c r="Q330" s="167">
        <f>IF(H330="Si",VLOOKUP(C330,PAREDm,2,FALSE),0)</f>
        <v>0</v>
      </c>
      <c r="R330" s="275">
        <f>IF(L330=0,0,0.026/L330)</f>
        <v>0</v>
      </c>
      <c r="S330" s="313">
        <f>VLOOKUP(M330,VIDRIOSm,2,FALSE)</f>
        <v>0</v>
      </c>
      <c r="T330" s="313">
        <f>IF($L$295="No",0,Q330*R330*S330)</f>
        <v>0</v>
      </c>
      <c r="U330" s="222">
        <f>T330*J330</f>
        <v>0</v>
      </c>
      <c r="V330" s="222">
        <f>IF(H330="No",0,(U330*(P330/10))+U330)</f>
        <v>0</v>
      </c>
      <c r="W330" s="193">
        <f t="shared" ref="W330:W333" si="194">V330</f>
        <v>0</v>
      </c>
      <c r="Y330" s="933"/>
      <c r="Z330" s="313">
        <f>IF($L$295="Si",IF(H330="Si",J330,0),0)</f>
        <v>0</v>
      </c>
      <c r="AA330" s="276" t="e">
        <f>$Z$330*AA328*0.025</f>
        <v>#N/A</v>
      </c>
      <c r="AB330" s="276" t="e">
        <f t="shared" ref="AB330:AM330" si="195">$Z$330*AB328*0.025</f>
        <v>#N/A</v>
      </c>
      <c r="AC330" s="276" t="e">
        <f t="shared" si="195"/>
        <v>#N/A</v>
      </c>
      <c r="AD330" s="276" t="e">
        <f t="shared" si="195"/>
        <v>#N/A</v>
      </c>
      <c r="AE330" s="276" t="e">
        <f t="shared" si="195"/>
        <v>#N/A</v>
      </c>
      <c r="AF330" s="497"/>
      <c r="AG330" s="276" t="e">
        <f t="shared" si="195"/>
        <v>#N/A</v>
      </c>
      <c r="AH330" s="276" t="e">
        <f t="shared" si="195"/>
        <v>#N/A</v>
      </c>
      <c r="AI330" s="276" t="e">
        <f t="shared" si="195"/>
        <v>#N/A</v>
      </c>
      <c r="AJ330" s="276" t="e">
        <f t="shared" si="195"/>
        <v>#N/A</v>
      </c>
      <c r="AK330" s="276" t="e">
        <f t="shared" si="195"/>
        <v>#N/A</v>
      </c>
      <c r="AL330" s="276" t="e">
        <f t="shared" si="195"/>
        <v>#N/A</v>
      </c>
      <c r="AM330" s="276" t="e">
        <f t="shared" si="195"/>
        <v>#N/A</v>
      </c>
      <c r="AZ330" s="191"/>
      <c r="BA330" s="411"/>
      <c r="BB330" s="192"/>
      <c r="BC330" s="192"/>
      <c r="BD330" s="192"/>
      <c r="BE330" s="192"/>
      <c r="BF330" s="192"/>
      <c r="BG330" s="192"/>
      <c r="BH330" s="192"/>
      <c r="BI330" s="192"/>
      <c r="BJ330" s="192"/>
      <c r="BK330" s="192"/>
      <c r="BL330" s="147"/>
      <c r="BM330" s="148"/>
      <c r="BN330" s="148"/>
      <c r="BO330" s="148"/>
      <c r="BP330" s="148"/>
      <c r="BQ330" s="148"/>
      <c r="BR330" s="148"/>
      <c r="BS330" s="148"/>
      <c r="BT330" s="148"/>
      <c r="BU330" s="148"/>
      <c r="BV330" s="148"/>
      <c r="BW330" s="148"/>
      <c r="BX330" s="148"/>
      <c r="BY330" s="148"/>
      <c r="BZ330" s="148"/>
      <c r="CA330" s="148"/>
      <c r="CB330" s="148"/>
    </row>
    <row r="331" spans="1:80" s="141" customFormat="1" ht="15" customHeight="1" thickBot="1">
      <c r="A331" s="421"/>
      <c r="B331" s="418" t="str">
        <f t="shared" si="192"/>
        <v>Pared 3:</v>
      </c>
      <c r="C331" s="827">
        <f>C92</f>
        <v>0</v>
      </c>
      <c r="D331" s="828"/>
      <c r="E331" s="828"/>
      <c r="F331" s="828"/>
      <c r="G331" s="829"/>
      <c r="H331" s="835" t="s">
        <v>7</v>
      </c>
      <c r="I331" s="835"/>
      <c r="J331" s="420">
        <f>L92</f>
        <v>0</v>
      </c>
      <c r="K331" s="316"/>
      <c r="L331" s="417"/>
      <c r="M331" s="835"/>
      <c r="N331" s="835"/>
      <c r="O331" s="404"/>
      <c r="P331" s="388" t="e">
        <f>VLOOKUP(K331,COLORESEXT,2,FALSE)</f>
        <v>#N/A</v>
      </c>
      <c r="Q331" s="167">
        <f>IF(H331="Si",VLOOKUP(C331,PAREDm,2,FALSE),0)</f>
        <v>0</v>
      </c>
      <c r="R331" s="275">
        <f>IF(L331=0,0,0.026/L331)</f>
        <v>0</v>
      </c>
      <c r="S331" s="313">
        <f>VLOOKUP(M331,VIDRIOSm,2,FALSE)</f>
        <v>0</v>
      </c>
      <c r="T331" s="313">
        <f>IF($L$295="No",0,Q331*R331*S331)</f>
        <v>0</v>
      </c>
      <c r="U331" s="222">
        <f>T331*J331</f>
        <v>0</v>
      </c>
      <c r="V331" s="222">
        <f>IF(H331="No",0,(U331*(P331/10))+U331)</f>
        <v>0</v>
      </c>
      <c r="W331" s="193">
        <f t="shared" si="194"/>
        <v>0</v>
      </c>
      <c r="Y331" s="933"/>
      <c r="Z331" s="313">
        <f>IF($L$295="Si",IF(H331="Si",J331,0),0)</f>
        <v>0</v>
      </c>
      <c r="AA331" s="276" t="e">
        <f>$Z$331*AA328*0.025</f>
        <v>#N/A</v>
      </c>
      <c r="AB331" s="276" t="e">
        <f t="shared" ref="AB331:AM331" si="196">$Z$331*AB328*0.025</f>
        <v>#N/A</v>
      </c>
      <c r="AC331" s="276" t="e">
        <f t="shared" si="196"/>
        <v>#N/A</v>
      </c>
      <c r="AD331" s="276" t="e">
        <f t="shared" si="196"/>
        <v>#N/A</v>
      </c>
      <c r="AE331" s="276" t="e">
        <f t="shared" si="196"/>
        <v>#N/A</v>
      </c>
      <c r="AF331" s="497"/>
      <c r="AG331" s="276" t="e">
        <f t="shared" si="196"/>
        <v>#N/A</v>
      </c>
      <c r="AH331" s="276" t="e">
        <f t="shared" si="196"/>
        <v>#N/A</v>
      </c>
      <c r="AI331" s="276" t="e">
        <f t="shared" si="196"/>
        <v>#N/A</v>
      </c>
      <c r="AJ331" s="276" t="e">
        <f t="shared" si="196"/>
        <v>#N/A</v>
      </c>
      <c r="AK331" s="276" t="e">
        <f t="shared" si="196"/>
        <v>#N/A</v>
      </c>
      <c r="AL331" s="276" t="e">
        <f t="shared" si="196"/>
        <v>#N/A</v>
      </c>
      <c r="AM331" s="276" t="e">
        <f t="shared" si="196"/>
        <v>#N/A</v>
      </c>
      <c r="AZ331" s="191"/>
      <c r="BA331" s="411"/>
      <c r="BB331" s="192"/>
      <c r="BC331" s="192"/>
      <c r="BD331" s="192"/>
      <c r="BE331" s="192"/>
      <c r="BF331" s="192"/>
      <c r="BG331" s="192"/>
      <c r="BH331" s="192"/>
      <c r="BI331" s="192"/>
      <c r="BJ331" s="192"/>
      <c r="BK331" s="192"/>
      <c r="BL331" s="147"/>
      <c r="BM331" s="148"/>
      <c r="BN331" s="148"/>
      <c r="BO331" s="148"/>
      <c r="BP331" s="148"/>
      <c r="BQ331" s="148"/>
      <c r="BR331" s="148"/>
      <c r="BS331" s="148"/>
      <c r="BT331" s="148"/>
      <c r="BU331" s="148"/>
      <c r="BV331" s="148"/>
      <c r="BW331" s="148"/>
      <c r="BX331" s="148"/>
      <c r="BY331" s="148"/>
      <c r="BZ331" s="148"/>
      <c r="CA331" s="148"/>
      <c r="CB331" s="148"/>
    </row>
    <row r="332" spans="1:80" s="141" customFormat="1" ht="15" customHeight="1" thickBot="1">
      <c r="A332" s="421"/>
      <c r="B332" s="418" t="str">
        <f t="shared" si="192"/>
        <v>Material Personalizado:</v>
      </c>
      <c r="C332" s="827" t="str">
        <f>C93</f>
        <v>-</v>
      </c>
      <c r="D332" s="828"/>
      <c r="E332" s="828"/>
      <c r="F332" s="828"/>
      <c r="G332" s="829"/>
      <c r="H332" s="835" t="s">
        <v>7</v>
      </c>
      <c r="I332" s="835"/>
      <c r="J332" s="420">
        <f>L93</f>
        <v>0</v>
      </c>
      <c r="K332" s="316"/>
      <c r="L332" s="417"/>
      <c r="M332" s="835"/>
      <c r="N332" s="835"/>
      <c r="O332" s="404"/>
      <c r="P332" s="388" t="e">
        <f>VLOOKUP(K332,COLORESEXT,2,FALSE)</f>
        <v>#N/A</v>
      </c>
      <c r="Q332" s="167">
        <f>IF(H332="Si",'Materiales Personalizados'!$G$50,0)</f>
        <v>0</v>
      </c>
      <c r="R332" s="275">
        <f>IF(L332=0,0,0.026/L332)</f>
        <v>0</v>
      </c>
      <c r="S332" s="313">
        <f>VLOOKUP(M332,VIDRIOSm,2,FALSE)</f>
        <v>0</v>
      </c>
      <c r="T332" s="313">
        <f>IF($L$295="No",0,Q332*R332*S332)</f>
        <v>0</v>
      </c>
      <c r="U332" s="222">
        <f>T332*J332</f>
        <v>0</v>
      </c>
      <c r="V332" s="222">
        <f>IF(H332="No",0,(U332*(P332/10))+U332)</f>
        <v>0</v>
      </c>
      <c r="W332" s="193">
        <f t="shared" si="194"/>
        <v>0</v>
      </c>
      <c r="Y332" s="933"/>
      <c r="Z332" s="313">
        <f>IF($L$295="Si",IF(H332="Si",J332,0),0)</f>
        <v>0</v>
      </c>
      <c r="AA332" s="276" t="e">
        <f>$Z$332*AA328*0.025</f>
        <v>#N/A</v>
      </c>
      <c r="AB332" s="276" t="e">
        <f t="shared" ref="AB332:AM332" si="197">$Z$332*AB328*0.025</f>
        <v>#N/A</v>
      </c>
      <c r="AC332" s="276" t="e">
        <f t="shared" si="197"/>
        <v>#N/A</v>
      </c>
      <c r="AD332" s="276" t="e">
        <f t="shared" si="197"/>
        <v>#N/A</v>
      </c>
      <c r="AE332" s="276" t="e">
        <f t="shared" si="197"/>
        <v>#N/A</v>
      </c>
      <c r="AF332" s="497"/>
      <c r="AG332" s="276" t="e">
        <f t="shared" si="197"/>
        <v>#N/A</v>
      </c>
      <c r="AH332" s="276" t="e">
        <f t="shared" si="197"/>
        <v>#N/A</v>
      </c>
      <c r="AI332" s="276" t="e">
        <f t="shared" si="197"/>
        <v>#N/A</v>
      </c>
      <c r="AJ332" s="276" t="e">
        <f t="shared" si="197"/>
        <v>#N/A</v>
      </c>
      <c r="AK332" s="276" t="e">
        <f t="shared" si="197"/>
        <v>#N/A</v>
      </c>
      <c r="AL332" s="276" t="e">
        <f t="shared" si="197"/>
        <v>#N/A</v>
      </c>
      <c r="AM332" s="276" t="e">
        <f t="shared" si="197"/>
        <v>#N/A</v>
      </c>
      <c r="AZ332" s="191"/>
      <c r="BA332" s="411"/>
      <c r="BB332" s="192"/>
      <c r="BC332" s="192"/>
      <c r="BD332" s="192"/>
      <c r="BE332" s="192"/>
      <c r="BF332" s="192"/>
      <c r="BG332" s="192"/>
      <c r="BH332" s="192"/>
      <c r="BI332" s="192"/>
      <c r="BJ332" s="192"/>
      <c r="BK332" s="192"/>
      <c r="BL332" s="147"/>
      <c r="BM332" s="148"/>
      <c r="BN332" s="148"/>
      <c r="BO332" s="148"/>
      <c r="BP332" s="148"/>
      <c r="BQ332" s="148"/>
      <c r="BR332" s="148"/>
      <c r="BS332" s="148"/>
      <c r="BT332" s="148"/>
      <c r="BU332" s="148"/>
      <c r="BV332" s="148"/>
      <c r="BW332" s="148"/>
      <c r="BX332" s="148"/>
      <c r="BY332" s="148"/>
      <c r="BZ332" s="148"/>
      <c r="CA332" s="148"/>
      <c r="CB332" s="148"/>
    </row>
    <row r="333" spans="1:80" s="141" customFormat="1" ht="15" customHeight="1" thickBot="1">
      <c r="A333" s="421"/>
      <c r="B333" s="418" t="str">
        <f t="shared" si="192"/>
        <v>Material Personalizado:</v>
      </c>
      <c r="C333" s="821" t="str">
        <f>C94</f>
        <v>-</v>
      </c>
      <c r="D333" s="822"/>
      <c r="E333" s="822"/>
      <c r="F333" s="822"/>
      <c r="G333" s="823"/>
      <c r="H333" s="835" t="s">
        <v>7</v>
      </c>
      <c r="I333" s="835"/>
      <c r="J333" s="420">
        <f>L94</f>
        <v>0</v>
      </c>
      <c r="K333" s="316"/>
      <c r="L333" s="417"/>
      <c r="M333" s="835"/>
      <c r="N333" s="835"/>
      <c r="O333" s="404"/>
      <c r="P333" s="388" t="e">
        <f>VLOOKUP(K333,COLORESEXT,2,FALSE)</f>
        <v>#N/A</v>
      </c>
      <c r="Q333" s="167">
        <f>IF(H333="Si",'Materiales Personalizados'!$G$73,0)</f>
        <v>0</v>
      </c>
      <c r="R333" s="275">
        <f>IF(L333=0,0,0.026/L333)</f>
        <v>0</v>
      </c>
      <c r="S333" s="313">
        <f>VLOOKUP(M333,VIDRIOSm,2,FALSE)</f>
        <v>0</v>
      </c>
      <c r="T333" s="313">
        <f>IF($L$295="No",0,Q333*R333*S333)</f>
        <v>0</v>
      </c>
      <c r="U333" s="222">
        <f>T333*J333</f>
        <v>0</v>
      </c>
      <c r="V333" s="222">
        <f>IF(H333="No",0,(U333*(P333/10))+U333)</f>
        <v>0</v>
      </c>
      <c r="W333" s="193">
        <f t="shared" si="194"/>
        <v>0</v>
      </c>
      <c r="Y333" s="934"/>
      <c r="Z333" s="313">
        <f>IF($L$295="Si",IF(H333="Si",J333,0),0)</f>
        <v>0</v>
      </c>
      <c r="AA333" s="276" t="e">
        <f>$Z$333*AA328*0.05</f>
        <v>#N/A</v>
      </c>
      <c r="AB333" s="276" t="e">
        <f t="shared" ref="AB333:AM333" si="198">$Z$333*AB328*0.05</f>
        <v>#N/A</v>
      </c>
      <c r="AC333" s="276" t="e">
        <f t="shared" si="198"/>
        <v>#N/A</v>
      </c>
      <c r="AD333" s="276" t="e">
        <f t="shared" si="198"/>
        <v>#N/A</v>
      </c>
      <c r="AE333" s="276" t="e">
        <f t="shared" si="198"/>
        <v>#N/A</v>
      </c>
      <c r="AF333" s="497"/>
      <c r="AG333" s="276" t="e">
        <f t="shared" si="198"/>
        <v>#N/A</v>
      </c>
      <c r="AH333" s="276" t="e">
        <f t="shared" si="198"/>
        <v>#N/A</v>
      </c>
      <c r="AI333" s="276" t="e">
        <f t="shared" si="198"/>
        <v>#N/A</v>
      </c>
      <c r="AJ333" s="276" t="e">
        <f t="shared" si="198"/>
        <v>#N/A</v>
      </c>
      <c r="AK333" s="276" t="e">
        <f t="shared" si="198"/>
        <v>#N/A</v>
      </c>
      <c r="AL333" s="276" t="e">
        <f t="shared" si="198"/>
        <v>#N/A</v>
      </c>
      <c r="AM333" s="276" t="e">
        <f t="shared" si="198"/>
        <v>#N/A</v>
      </c>
      <c r="AZ333" s="191"/>
      <c r="BA333" s="411"/>
      <c r="BB333" s="192"/>
      <c r="BC333" s="192"/>
      <c r="BD333" s="192"/>
      <c r="BE333" s="192"/>
      <c r="BF333" s="192"/>
      <c r="BG333" s="192"/>
      <c r="BH333" s="192"/>
      <c r="BI333" s="192"/>
      <c r="BJ333" s="192"/>
      <c r="BK333" s="192"/>
      <c r="BL333" s="147"/>
      <c r="BM333" s="148"/>
      <c r="BN333" s="148"/>
      <c r="BO333" s="148"/>
      <c r="BP333" s="148"/>
      <c r="BQ333" s="148"/>
      <c r="BR333" s="148"/>
      <c r="BS333" s="148"/>
      <c r="BT333" s="148"/>
      <c r="BU333" s="148"/>
      <c r="BV333" s="148"/>
      <c r="BW333" s="148"/>
      <c r="BX333" s="148"/>
      <c r="BY333" s="148"/>
      <c r="BZ333" s="148"/>
      <c r="CA333" s="148"/>
      <c r="CB333" s="148"/>
    </row>
    <row r="334" spans="1:80" s="99" customFormat="1" ht="6" customHeight="1" thickBot="1">
      <c r="A334" s="421"/>
      <c r="B334" s="421"/>
      <c r="C334" s="505"/>
      <c r="D334" s="421"/>
      <c r="E334" s="421"/>
      <c r="F334" s="421"/>
      <c r="G334" s="421"/>
      <c r="H334" s="421"/>
      <c r="I334" s="421"/>
      <c r="J334" s="421"/>
      <c r="K334" s="421"/>
      <c r="L334" s="421"/>
      <c r="M334" s="421"/>
      <c r="N334" s="396"/>
      <c r="O334" s="404"/>
      <c r="P334" s="189"/>
      <c r="Q334" s="181"/>
      <c r="R334" s="181"/>
      <c r="S334" s="181"/>
      <c r="T334" s="181"/>
      <c r="U334" s="181"/>
      <c r="V334" s="181"/>
      <c r="W334" s="181"/>
      <c r="Y334" s="127"/>
      <c r="AZ334" s="142"/>
      <c r="BA334" s="411"/>
      <c r="BB334" s="146"/>
      <c r="BC334" s="146"/>
      <c r="BD334" s="146"/>
      <c r="BE334" s="146"/>
      <c r="BF334" s="146"/>
      <c r="BG334" s="146"/>
      <c r="BH334" s="146"/>
      <c r="BI334" s="146"/>
      <c r="BJ334" s="146"/>
      <c r="BK334" s="146"/>
      <c r="BL334" s="147"/>
      <c r="BM334" s="148"/>
      <c r="BN334" s="148"/>
      <c r="BO334" s="148"/>
      <c r="BP334" s="148"/>
      <c r="BQ334" s="148"/>
      <c r="BR334" s="148"/>
      <c r="BS334" s="148"/>
      <c r="BT334" s="148"/>
      <c r="BU334" s="148"/>
      <c r="BV334" s="148"/>
      <c r="BW334" s="148"/>
      <c r="BX334" s="148"/>
      <c r="BY334" s="148"/>
      <c r="BZ334" s="148"/>
      <c r="CA334" s="148"/>
      <c r="CB334" s="148"/>
    </row>
    <row r="335" spans="1:80" s="99" customFormat="1" ht="20" customHeight="1" thickBot="1">
      <c r="A335" s="421"/>
      <c r="B335" s="812" t="s">
        <v>1628</v>
      </c>
      <c r="C335" s="812"/>
      <c r="D335" s="812"/>
      <c r="E335" s="812"/>
      <c r="F335" s="812"/>
      <c r="G335" s="812"/>
      <c r="H335" s="812"/>
      <c r="I335" s="812"/>
      <c r="J335" s="812"/>
      <c r="K335" s="812"/>
      <c r="L335" s="812"/>
      <c r="M335" s="812"/>
      <c r="N335" s="812"/>
      <c r="O335" s="404"/>
      <c r="P335" s="189"/>
      <c r="Q335" s="181"/>
      <c r="R335" s="181"/>
      <c r="S335" s="181"/>
      <c r="T335" s="181"/>
      <c r="U335" s="181"/>
      <c r="V335" s="181"/>
      <c r="W335" s="181"/>
      <c r="Y335" s="1037" t="s">
        <v>1672</v>
      </c>
      <c r="Z335" s="1045"/>
      <c r="AA335" s="276" t="e">
        <f>SUM(AA311:AA315)+SUM(AA320:AA324)+SUM(AA329:AA333)+SUM(AA302:AA306)</f>
        <v>#N/A</v>
      </c>
      <c r="AB335" s="276" t="e">
        <f t="shared" ref="AB335:AM335" si="199">SUM(AB311:AB315)+SUM(AB320:AB324)+SUM(AB329:AB333)+SUM(AB302:AB306)</f>
        <v>#N/A</v>
      </c>
      <c r="AC335" s="276" t="e">
        <f t="shared" si="199"/>
        <v>#N/A</v>
      </c>
      <c r="AD335" s="276" t="e">
        <f t="shared" si="199"/>
        <v>#N/A</v>
      </c>
      <c r="AE335" s="276" t="e">
        <f t="shared" si="199"/>
        <v>#N/A</v>
      </c>
      <c r="AF335" s="497"/>
      <c r="AG335" s="276" t="e">
        <f t="shared" si="199"/>
        <v>#N/A</v>
      </c>
      <c r="AH335" s="276" t="e">
        <f t="shared" si="199"/>
        <v>#N/A</v>
      </c>
      <c r="AI335" s="276" t="e">
        <f t="shared" si="199"/>
        <v>#N/A</v>
      </c>
      <c r="AJ335" s="276" t="e">
        <f t="shared" si="199"/>
        <v>#N/A</v>
      </c>
      <c r="AK335" s="276" t="e">
        <f t="shared" si="199"/>
        <v>#N/A</v>
      </c>
      <c r="AL335" s="276" t="e">
        <f t="shared" si="199"/>
        <v>#N/A</v>
      </c>
      <c r="AM335" s="276" t="e">
        <f t="shared" si="199"/>
        <v>#N/A</v>
      </c>
      <c r="AZ335" s="142"/>
      <c r="BA335" s="411"/>
      <c r="BB335" s="146"/>
      <c r="BC335" s="146"/>
      <c r="BD335" s="146"/>
      <c r="BE335" s="146"/>
      <c r="BF335" s="146"/>
      <c r="BG335" s="146"/>
      <c r="BH335" s="146"/>
      <c r="BI335" s="146"/>
      <c r="BJ335" s="146"/>
      <c r="BK335" s="146"/>
      <c r="BL335" s="147"/>
      <c r="BM335" s="148"/>
      <c r="BN335" s="148"/>
      <c r="BO335" s="148"/>
      <c r="BP335" s="148"/>
      <c r="BQ335" s="148"/>
      <c r="BR335" s="148"/>
      <c r="BS335" s="148"/>
      <c r="BT335" s="148"/>
      <c r="BU335" s="148"/>
      <c r="BV335" s="148"/>
      <c r="BW335" s="148"/>
      <c r="BX335" s="148"/>
      <c r="BY335" s="148"/>
      <c r="BZ335" s="148"/>
      <c r="CA335" s="148"/>
      <c r="CB335" s="148"/>
    </row>
    <row r="336" spans="1:80" s="99" customFormat="1" ht="6" customHeight="1" thickBot="1">
      <c r="A336" s="421"/>
      <c r="B336" s="421"/>
      <c r="C336" s="505"/>
      <c r="D336" s="421"/>
      <c r="E336" s="421"/>
      <c r="F336" s="421"/>
      <c r="G336" s="421"/>
      <c r="H336" s="421"/>
      <c r="I336" s="421"/>
      <c r="J336" s="421"/>
      <c r="K336" s="421"/>
      <c r="L336" s="421"/>
      <c r="M336" s="421"/>
      <c r="N336" s="396"/>
      <c r="O336" s="404"/>
      <c r="P336" s="189"/>
      <c r="Q336" s="181"/>
      <c r="R336" s="181"/>
      <c r="S336" s="181"/>
      <c r="T336" s="181"/>
      <c r="U336" s="181"/>
      <c r="V336" s="181"/>
      <c r="W336" s="181"/>
      <c r="AZ336" s="142"/>
      <c r="BA336" s="411"/>
      <c r="BB336" s="146"/>
      <c r="BC336" s="146"/>
      <c r="BD336" s="146"/>
      <c r="BE336" s="146"/>
      <c r="BF336" s="146"/>
      <c r="BG336" s="146"/>
      <c r="BH336" s="146"/>
      <c r="BI336" s="146"/>
      <c r="BJ336" s="146"/>
      <c r="BK336" s="146"/>
      <c r="BL336" s="147"/>
      <c r="BM336" s="148"/>
      <c r="BN336" s="148"/>
      <c r="BO336" s="148"/>
      <c r="BP336" s="148"/>
      <c r="BQ336" s="148"/>
      <c r="BR336" s="148"/>
      <c r="BS336" s="148"/>
      <c r="BT336" s="148"/>
      <c r="BU336" s="148"/>
      <c r="BV336" s="148"/>
      <c r="BW336" s="148"/>
      <c r="BX336" s="148"/>
      <c r="BY336" s="148"/>
      <c r="BZ336" s="148"/>
      <c r="CA336" s="148"/>
      <c r="CB336" s="148"/>
    </row>
    <row r="337" spans="1:80" s="99" customFormat="1" ht="15" customHeight="1" thickBot="1">
      <c r="A337" s="421"/>
      <c r="B337" s="839" t="s">
        <v>1896</v>
      </c>
      <c r="C337" s="839"/>
      <c r="D337" s="839"/>
      <c r="E337" s="839"/>
      <c r="F337" s="839"/>
      <c r="G337" s="839"/>
      <c r="H337" s="839"/>
      <c r="I337" s="839"/>
      <c r="J337" s="839"/>
      <c r="K337" s="839"/>
      <c r="L337" s="835" t="s">
        <v>7</v>
      </c>
      <c r="M337" s="835"/>
      <c r="N337" s="835"/>
      <c r="O337" s="404"/>
      <c r="P337" s="189"/>
      <c r="Q337" s="181"/>
      <c r="R337" s="181"/>
      <c r="S337" s="181"/>
      <c r="T337" s="181"/>
      <c r="U337" s="181"/>
      <c r="V337" s="181"/>
      <c r="W337" s="181"/>
      <c r="AZ337" s="142"/>
      <c r="BA337" s="411"/>
      <c r="BB337" s="146"/>
      <c r="BC337" s="146"/>
      <c r="BD337" s="146"/>
      <c r="BE337" s="146"/>
      <c r="BF337" s="146"/>
      <c r="BG337" s="146"/>
      <c r="BH337" s="146"/>
      <c r="BI337" s="146"/>
      <c r="BJ337" s="146"/>
      <c r="BK337" s="146"/>
      <c r="BL337" s="147"/>
      <c r="BM337" s="148"/>
      <c r="BN337" s="148"/>
      <c r="BO337" s="148"/>
      <c r="BP337" s="148"/>
      <c r="BQ337" s="148"/>
      <c r="BR337" s="148"/>
      <c r="BS337" s="148"/>
      <c r="BT337" s="148"/>
      <c r="BU337" s="148"/>
      <c r="BV337" s="148"/>
      <c r="BW337" s="148"/>
      <c r="BX337" s="148"/>
      <c r="BY337" s="148"/>
      <c r="BZ337" s="148"/>
      <c r="CA337" s="148"/>
      <c r="CB337" s="148"/>
    </row>
    <row r="338" spans="1:80" s="99" customFormat="1" ht="6" customHeight="1" thickBot="1">
      <c r="A338" s="421"/>
      <c r="B338" s="421"/>
      <c r="C338" s="505"/>
      <c r="D338" s="421"/>
      <c r="E338" s="421"/>
      <c r="F338" s="421"/>
      <c r="G338" s="421"/>
      <c r="H338" s="421"/>
      <c r="I338" s="421"/>
      <c r="J338" s="421"/>
      <c r="K338" s="421"/>
      <c r="L338" s="421"/>
      <c r="M338" s="421"/>
      <c r="N338" s="396"/>
      <c r="O338" s="404"/>
      <c r="P338" s="189"/>
      <c r="Q338" s="181"/>
      <c r="R338" s="181"/>
      <c r="S338" s="181"/>
      <c r="T338" s="181"/>
      <c r="U338" s="181"/>
      <c r="V338" s="181"/>
      <c r="W338" s="181"/>
      <c r="AZ338" s="142"/>
      <c r="BA338" s="411"/>
      <c r="BB338" s="146"/>
      <c r="BC338" s="146"/>
      <c r="BD338" s="146"/>
      <c r="BE338" s="146"/>
      <c r="BF338" s="146"/>
      <c r="BG338" s="146"/>
      <c r="BH338" s="146"/>
      <c r="BI338" s="146"/>
      <c r="BJ338" s="146"/>
      <c r="BK338" s="146"/>
      <c r="BL338" s="147"/>
      <c r="BM338" s="148"/>
      <c r="BN338" s="148"/>
      <c r="BO338" s="148"/>
      <c r="BP338" s="148"/>
      <c r="BQ338" s="148"/>
      <c r="BR338" s="148"/>
      <c r="BS338" s="148"/>
      <c r="BT338" s="148"/>
      <c r="BU338" s="148"/>
      <c r="BV338" s="148"/>
      <c r="BW338" s="148"/>
      <c r="BX338" s="148"/>
      <c r="BY338" s="148"/>
      <c r="BZ338" s="148"/>
      <c r="CA338" s="148"/>
      <c r="CB338" s="148"/>
    </row>
    <row r="339" spans="1:80" s="99" customFormat="1" ht="15" customHeight="1" thickBot="1">
      <c r="A339" s="421"/>
      <c r="B339" s="812">
        <f>B106</f>
        <v>0</v>
      </c>
      <c r="C339" s="812"/>
      <c r="D339" s="812"/>
      <c r="E339" s="812"/>
      <c r="F339" s="812"/>
      <c r="G339" s="812"/>
      <c r="H339" s="812"/>
      <c r="I339" s="812"/>
      <c r="J339" s="812"/>
      <c r="K339" s="812"/>
      <c r="L339" s="812"/>
      <c r="M339" s="812"/>
      <c r="N339" s="812"/>
      <c r="O339" s="404"/>
      <c r="P339" s="954">
        <f>P106</f>
        <v>0</v>
      </c>
      <c r="Q339" s="954"/>
      <c r="R339" s="954"/>
      <c r="S339" s="954"/>
      <c r="T339" s="954"/>
      <c r="U339" s="954"/>
      <c r="V339" s="954"/>
      <c r="W339" s="954"/>
      <c r="X339" s="954"/>
      <c r="Y339" s="954"/>
      <c r="Z339" s="954"/>
      <c r="AZ339" s="142"/>
      <c r="BA339" s="411"/>
      <c r="BB339" s="146"/>
      <c r="BC339" s="146"/>
      <c r="BD339" s="146"/>
      <c r="BE339" s="146"/>
      <c r="BF339" s="146"/>
      <c r="BG339" s="146"/>
      <c r="BH339" s="146"/>
      <c r="BI339" s="146"/>
      <c r="BJ339" s="146"/>
      <c r="BK339" s="146"/>
      <c r="BL339" s="147"/>
      <c r="BM339" s="148"/>
      <c r="BN339" s="148"/>
      <c r="BO339" s="148"/>
      <c r="BP339" s="148"/>
      <c r="BQ339" s="148"/>
      <c r="BR339" s="148"/>
      <c r="BS339" s="148"/>
      <c r="BT339" s="148"/>
      <c r="BU339" s="148"/>
      <c r="BV339" s="148"/>
      <c r="BW339" s="148"/>
      <c r="BX339" s="148"/>
      <c r="BY339" s="148"/>
      <c r="BZ339" s="148"/>
      <c r="CA339" s="148"/>
      <c r="CB339" s="148"/>
    </row>
    <row r="340" spans="1:80" s="99" customFormat="1" ht="6" customHeight="1" thickBot="1">
      <c r="A340" s="421"/>
      <c r="B340" s="421"/>
      <c r="C340" s="505"/>
      <c r="D340" s="421"/>
      <c r="E340" s="421"/>
      <c r="F340" s="421"/>
      <c r="G340" s="421"/>
      <c r="H340" s="421"/>
      <c r="I340" s="421"/>
      <c r="J340" s="421"/>
      <c r="K340" s="421"/>
      <c r="L340" s="421"/>
      <c r="M340" s="421"/>
      <c r="N340" s="396"/>
      <c r="O340" s="404"/>
      <c r="P340" s="189"/>
      <c r="Q340" s="181"/>
      <c r="R340" s="181"/>
      <c r="S340" s="181"/>
      <c r="T340" s="181"/>
      <c r="U340" s="181"/>
      <c r="V340" s="181"/>
      <c r="W340" s="181"/>
      <c r="AZ340" s="142"/>
      <c r="BA340" s="411"/>
      <c r="BB340" s="146"/>
      <c r="BC340" s="146"/>
      <c r="BD340" s="146"/>
      <c r="BE340" s="146"/>
      <c r="BF340" s="146"/>
      <c r="BG340" s="146"/>
      <c r="BH340" s="146"/>
      <c r="BI340" s="146"/>
      <c r="BJ340" s="146"/>
      <c r="BK340" s="146"/>
      <c r="BL340" s="147"/>
      <c r="BM340" s="148"/>
      <c r="BN340" s="148"/>
      <c r="BO340" s="148"/>
      <c r="BP340" s="148"/>
      <c r="BQ340" s="148"/>
      <c r="BR340" s="148"/>
      <c r="BS340" s="148"/>
      <c r="BT340" s="148"/>
      <c r="BU340" s="148"/>
      <c r="BV340" s="148"/>
      <c r="BW340" s="148"/>
      <c r="BX340" s="148"/>
      <c r="BY340" s="148"/>
      <c r="BZ340" s="148"/>
      <c r="CA340" s="148"/>
      <c r="CB340" s="148"/>
    </row>
    <row r="341" spans="1:80" s="99" customFormat="1" ht="15" customHeight="1" thickBot="1">
      <c r="A341" s="421"/>
      <c r="B341" s="839" t="s">
        <v>1629</v>
      </c>
      <c r="C341" s="839"/>
      <c r="D341" s="839"/>
      <c r="E341" s="839"/>
      <c r="F341" s="839"/>
      <c r="G341" s="839"/>
      <c r="H341" s="839"/>
      <c r="I341" s="839"/>
      <c r="J341" s="839"/>
      <c r="K341" s="839"/>
      <c r="L341" s="835" t="s">
        <v>7</v>
      </c>
      <c r="M341" s="835"/>
      <c r="N341" s="835"/>
      <c r="O341" s="404"/>
      <c r="P341" s="189"/>
      <c r="Q341" s="285" t="s">
        <v>849</v>
      </c>
      <c r="R341" s="275" t="s">
        <v>1456</v>
      </c>
      <c r="S341" s="275" t="s">
        <v>1064</v>
      </c>
      <c r="T341" s="275" t="s">
        <v>1457</v>
      </c>
      <c r="U341" s="285" t="s">
        <v>850</v>
      </c>
      <c r="V341" s="285" t="s">
        <v>1357</v>
      </c>
      <c r="W341" s="286" t="s">
        <v>1359</v>
      </c>
      <c r="AZ341" s="142"/>
      <c r="BA341" s="411"/>
      <c r="BB341" s="146"/>
      <c r="BC341" s="146"/>
      <c r="BD341" s="146"/>
      <c r="BE341" s="146"/>
      <c r="BF341" s="146"/>
      <c r="BG341" s="146"/>
      <c r="BH341" s="146"/>
      <c r="BI341" s="146"/>
      <c r="BJ341" s="146"/>
      <c r="BK341" s="146"/>
      <c r="BL341" s="147"/>
      <c r="BM341" s="148"/>
      <c r="BN341" s="148"/>
      <c r="BO341" s="148"/>
      <c r="BP341" s="148"/>
      <c r="BQ341" s="148"/>
      <c r="BR341" s="148"/>
      <c r="BS341" s="148"/>
      <c r="BT341" s="148"/>
      <c r="BU341" s="148"/>
      <c r="BV341" s="148"/>
      <c r="BW341" s="148"/>
      <c r="BX341" s="148"/>
      <c r="BY341" s="148"/>
      <c r="BZ341" s="148"/>
      <c r="CA341" s="148"/>
      <c r="CB341" s="148"/>
    </row>
    <row r="342" spans="1:80" s="99" customFormat="1" ht="6" customHeight="1" thickBot="1">
      <c r="A342" s="421"/>
      <c r="B342" s="421"/>
      <c r="C342" s="505"/>
      <c r="D342" s="421"/>
      <c r="E342" s="421"/>
      <c r="F342" s="421"/>
      <c r="G342" s="421"/>
      <c r="H342" s="421"/>
      <c r="I342" s="421"/>
      <c r="J342" s="421"/>
      <c r="K342" s="421"/>
      <c r="L342" s="421"/>
      <c r="M342" s="421"/>
      <c r="N342" s="396"/>
      <c r="O342" s="404"/>
      <c r="P342" s="189"/>
      <c r="Q342" s="181"/>
      <c r="R342" s="181"/>
      <c r="S342" s="181"/>
      <c r="T342" s="181"/>
      <c r="U342" s="181"/>
      <c r="V342" s="181"/>
      <c r="W342" s="181"/>
      <c r="AZ342" s="142"/>
      <c r="BA342" s="411"/>
      <c r="BB342" s="146"/>
      <c r="BC342" s="146"/>
      <c r="BD342" s="146"/>
      <c r="BE342" s="146"/>
      <c r="BF342" s="146"/>
      <c r="BG342" s="146"/>
      <c r="BH342" s="146"/>
      <c r="BI342" s="146"/>
      <c r="BJ342" s="146"/>
      <c r="BK342" s="146"/>
      <c r="BL342" s="147"/>
      <c r="BM342" s="148"/>
      <c r="BN342" s="148"/>
      <c r="BO342" s="148"/>
      <c r="BP342" s="148"/>
      <c r="BQ342" s="148"/>
      <c r="BR342" s="148"/>
      <c r="BS342" s="148"/>
      <c r="BT342" s="148"/>
      <c r="BU342" s="148"/>
      <c r="BV342" s="148"/>
      <c r="BW342" s="148"/>
      <c r="BX342" s="148"/>
      <c r="BY342" s="148"/>
      <c r="BZ342" s="148"/>
      <c r="CA342" s="148"/>
      <c r="CB342" s="148"/>
    </row>
    <row r="343" spans="1:80" s="99" customFormat="1" ht="15" customHeight="1" thickBot="1">
      <c r="A343" s="421"/>
      <c r="B343" s="833" t="s">
        <v>1185</v>
      </c>
      <c r="C343" s="833"/>
      <c r="D343" s="833"/>
      <c r="E343" s="833"/>
      <c r="F343" s="833" t="s">
        <v>1630</v>
      </c>
      <c r="G343" s="833"/>
      <c r="H343" s="833" t="s">
        <v>1186</v>
      </c>
      <c r="I343" s="833"/>
      <c r="J343" s="833" t="s">
        <v>1928</v>
      </c>
      <c r="K343" s="833"/>
      <c r="L343" s="833" t="s">
        <v>1184</v>
      </c>
      <c r="M343" s="833"/>
      <c r="N343" s="833"/>
      <c r="O343" s="404"/>
      <c r="P343" s="189"/>
      <c r="Q343" s="181"/>
      <c r="R343" s="181"/>
      <c r="S343" s="181"/>
      <c r="T343" s="181"/>
      <c r="U343" s="181"/>
      <c r="V343" s="181"/>
      <c r="W343" s="181"/>
      <c r="AZ343" s="142"/>
      <c r="BA343" s="411"/>
      <c r="BB343" s="146"/>
      <c r="BC343" s="146"/>
      <c r="BD343" s="146"/>
      <c r="BE343" s="146"/>
      <c r="BF343" s="146"/>
      <c r="BG343" s="146"/>
      <c r="BH343" s="146"/>
      <c r="BI343" s="146"/>
      <c r="BJ343" s="146"/>
      <c r="BK343" s="146"/>
      <c r="BL343" s="147"/>
      <c r="BM343" s="148"/>
      <c r="BN343" s="148"/>
      <c r="BO343" s="148"/>
      <c r="BP343" s="148"/>
      <c r="BQ343" s="148"/>
      <c r="BR343" s="148"/>
      <c r="BS343" s="148"/>
      <c r="BT343" s="148"/>
      <c r="BU343" s="148"/>
      <c r="BV343" s="148"/>
      <c r="BW343" s="148"/>
      <c r="BX343" s="148"/>
      <c r="BY343" s="148"/>
      <c r="BZ343" s="148"/>
      <c r="CA343" s="148"/>
      <c r="CB343" s="148"/>
    </row>
    <row r="344" spans="1:80" s="99" customFormat="1" ht="15" customHeight="1" thickBot="1">
      <c r="A344" s="421"/>
      <c r="B344" s="836"/>
      <c r="C344" s="836"/>
      <c r="D344" s="836"/>
      <c r="E344" s="836"/>
      <c r="F344" s="836"/>
      <c r="G344" s="836"/>
      <c r="H344" s="836"/>
      <c r="I344" s="836"/>
      <c r="J344" s="836"/>
      <c r="K344" s="836"/>
      <c r="L344" s="835"/>
      <c r="M344" s="835"/>
      <c r="N344" s="835"/>
      <c r="O344" s="404"/>
      <c r="P344" s="189"/>
      <c r="Q344" s="167">
        <f>IF(L341="Si",SUM(R60:R64),0)</f>
        <v>0</v>
      </c>
      <c r="R344" s="275">
        <f>IF(H344=0,0,0.026/H344)</f>
        <v>0</v>
      </c>
      <c r="S344" s="313">
        <f>VLOOKUP(L344,VIDRIOSm,2,FALSE)</f>
        <v>0</v>
      </c>
      <c r="T344" s="313">
        <f>IF($L$341="No",0,Q344*R344*S344)</f>
        <v>0</v>
      </c>
      <c r="U344" s="222">
        <f>T344*F344*H344</f>
        <v>0</v>
      </c>
      <c r="V344" s="222">
        <f>IF(L341="No",0,U344)</f>
        <v>0</v>
      </c>
      <c r="W344" s="193">
        <f>V344-(V344*(J344/25))</f>
        <v>0</v>
      </c>
      <c r="AZ344" s="142"/>
      <c r="BA344" s="411"/>
      <c r="BB344" s="146"/>
      <c r="BC344" s="146"/>
      <c r="BD344" s="146"/>
      <c r="BE344" s="146"/>
      <c r="BF344" s="146"/>
      <c r="BG344" s="146"/>
      <c r="BH344" s="146"/>
      <c r="BI344" s="146"/>
      <c r="BJ344" s="146"/>
      <c r="BK344" s="146"/>
      <c r="BL344" s="147"/>
      <c r="BM344" s="148"/>
      <c r="BN344" s="148"/>
      <c r="BO344" s="148"/>
      <c r="BP344" s="148"/>
      <c r="BQ344" s="148"/>
      <c r="BR344" s="148"/>
      <c r="BS344" s="148"/>
      <c r="BT344" s="148"/>
      <c r="BU344" s="148"/>
      <c r="BV344" s="148"/>
      <c r="BW344" s="148"/>
      <c r="BX344" s="148"/>
      <c r="BY344" s="148"/>
      <c r="BZ344" s="148"/>
      <c r="CA344" s="148"/>
      <c r="CB344" s="148"/>
    </row>
    <row r="345" spans="1:80" s="99" customFormat="1" ht="6" customHeight="1" thickBot="1">
      <c r="A345" s="421"/>
      <c r="B345" s="421"/>
      <c r="C345" s="505"/>
      <c r="D345" s="421"/>
      <c r="E345" s="421"/>
      <c r="F345" s="421"/>
      <c r="G345" s="421"/>
      <c r="H345" s="421"/>
      <c r="I345" s="421"/>
      <c r="J345" s="421"/>
      <c r="K345" s="421"/>
      <c r="L345" s="421"/>
      <c r="M345" s="421"/>
      <c r="N345" s="396"/>
      <c r="O345" s="404"/>
      <c r="P345" s="189"/>
      <c r="Q345" s="181"/>
      <c r="R345" s="181"/>
      <c r="S345" s="181"/>
      <c r="T345" s="181"/>
      <c r="U345" s="181"/>
      <c r="V345" s="181"/>
      <c r="W345" s="181"/>
      <c r="AZ345" s="142"/>
      <c r="BA345" s="411"/>
      <c r="BB345" s="146"/>
      <c r="BC345" s="146"/>
      <c r="BD345" s="146"/>
      <c r="BE345" s="146"/>
      <c r="BF345" s="146"/>
      <c r="BG345" s="146"/>
      <c r="BH345" s="146"/>
      <c r="BI345" s="146"/>
      <c r="BJ345" s="146"/>
      <c r="BK345" s="146"/>
      <c r="BL345" s="147"/>
      <c r="BM345" s="148"/>
      <c r="BN345" s="148"/>
      <c r="BO345" s="148"/>
      <c r="BP345" s="148"/>
      <c r="BQ345" s="148"/>
      <c r="BR345" s="148"/>
      <c r="BS345" s="148"/>
      <c r="BT345" s="148"/>
      <c r="BU345" s="148"/>
      <c r="BV345" s="148"/>
      <c r="BW345" s="148"/>
      <c r="BX345" s="148"/>
      <c r="BY345" s="148"/>
      <c r="BZ345" s="148"/>
      <c r="CA345" s="148"/>
      <c r="CB345" s="148"/>
    </row>
    <row r="346" spans="1:80" s="99" customFormat="1" ht="15" customHeight="1" thickBot="1">
      <c r="A346" s="421"/>
      <c r="B346" s="812">
        <f>B124</f>
        <v>0</v>
      </c>
      <c r="C346" s="812"/>
      <c r="D346" s="812"/>
      <c r="E346" s="812"/>
      <c r="F346" s="812"/>
      <c r="G346" s="812"/>
      <c r="H346" s="812"/>
      <c r="I346" s="812"/>
      <c r="J346" s="812"/>
      <c r="K346" s="812"/>
      <c r="L346" s="812"/>
      <c r="M346" s="812"/>
      <c r="N346" s="812"/>
      <c r="O346" s="404"/>
      <c r="P346" s="954">
        <f>P124</f>
        <v>0</v>
      </c>
      <c r="Q346" s="954"/>
      <c r="R346" s="954"/>
      <c r="S346" s="954"/>
      <c r="T346" s="954"/>
      <c r="U346" s="954"/>
      <c r="V346" s="954"/>
      <c r="W346" s="954"/>
      <c r="X346" s="954"/>
      <c r="Y346" s="954"/>
      <c r="Z346" s="954"/>
      <c r="AZ346" s="142"/>
      <c r="BA346" s="411"/>
      <c r="BB346" s="146"/>
      <c r="BC346" s="146"/>
      <c r="BD346" s="146"/>
      <c r="BE346" s="146"/>
      <c r="BF346" s="146"/>
      <c r="BG346" s="146"/>
      <c r="BH346" s="146"/>
      <c r="BI346" s="146"/>
      <c r="BJ346" s="146"/>
      <c r="BK346" s="146"/>
      <c r="BL346" s="147"/>
      <c r="BM346" s="148"/>
      <c r="BN346" s="148"/>
      <c r="BO346" s="148"/>
      <c r="BP346" s="148"/>
      <c r="BQ346" s="148"/>
      <c r="BR346" s="148"/>
      <c r="BS346" s="148"/>
      <c r="BT346" s="148"/>
      <c r="BU346" s="148"/>
      <c r="BV346" s="148"/>
      <c r="BW346" s="148"/>
      <c r="BX346" s="148"/>
      <c r="BY346" s="148"/>
      <c r="BZ346" s="148"/>
      <c r="CA346" s="148"/>
      <c r="CB346" s="148"/>
    </row>
    <row r="347" spans="1:80" s="99" customFormat="1" ht="6" customHeight="1" thickBot="1">
      <c r="A347" s="421"/>
      <c r="B347" s="421"/>
      <c r="C347" s="505"/>
      <c r="D347" s="421"/>
      <c r="E347" s="421"/>
      <c r="F347" s="421"/>
      <c r="G347" s="421"/>
      <c r="H347" s="421"/>
      <c r="I347" s="421"/>
      <c r="J347" s="421"/>
      <c r="K347" s="421"/>
      <c r="L347" s="421"/>
      <c r="M347" s="421"/>
      <c r="N347" s="396"/>
      <c r="O347" s="404"/>
      <c r="P347" s="189"/>
      <c r="Q347" s="181"/>
      <c r="R347" s="181"/>
      <c r="S347" s="181"/>
      <c r="T347" s="181"/>
      <c r="U347" s="181"/>
      <c r="V347" s="181"/>
      <c r="W347" s="181"/>
      <c r="AZ347" s="142"/>
      <c r="BA347" s="411"/>
      <c r="BB347" s="146"/>
      <c r="BC347" s="146"/>
      <c r="BD347" s="146"/>
      <c r="BE347" s="146"/>
      <c r="BF347" s="146"/>
      <c r="BG347" s="146"/>
      <c r="BH347" s="146"/>
      <c r="BI347" s="146"/>
      <c r="BJ347" s="146"/>
      <c r="BK347" s="146"/>
      <c r="BL347" s="147"/>
      <c r="BM347" s="148"/>
      <c r="BN347" s="148"/>
      <c r="BO347" s="148"/>
      <c r="BP347" s="148"/>
      <c r="BQ347" s="148"/>
      <c r="BR347" s="148"/>
      <c r="BS347" s="148"/>
      <c r="BT347" s="148"/>
      <c r="BU347" s="148"/>
      <c r="BV347" s="148"/>
      <c r="BW347" s="148"/>
      <c r="BX347" s="148"/>
      <c r="BY347" s="148"/>
      <c r="BZ347" s="148"/>
      <c r="CA347" s="148"/>
      <c r="CB347" s="148"/>
    </row>
    <row r="348" spans="1:80" s="99" customFormat="1" ht="15" customHeight="1" thickBot="1">
      <c r="A348" s="421"/>
      <c r="B348" s="839" t="s">
        <v>1629</v>
      </c>
      <c r="C348" s="839"/>
      <c r="D348" s="839"/>
      <c r="E348" s="839"/>
      <c r="F348" s="839"/>
      <c r="G348" s="839"/>
      <c r="H348" s="839"/>
      <c r="I348" s="839"/>
      <c r="J348" s="839"/>
      <c r="K348" s="839"/>
      <c r="L348" s="835" t="s">
        <v>7</v>
      </c>
      <c r="M348" s="835"/>
      <c r="N348" s="835"/>
      <c r="O348" s="404"/>
      <c r="P348" s="189"/>
      <c r="Q348" s="285" t="s">
        <v>849</v>
      </c>
      <c r="R348" s="275" t="s">
        <v>1456</v>
      </c>
      <c r="S348" s="275" t="s">
        <v>1064</v>
      </c>
      <c r="T348" s="275" t="s">
        <v>1457</v>
      </c>
      <c r="U348" s="285" t="s">
        <v>850</v>
      </c>
      <c r="V348" s="285" t="s">
        <v>1357</v>
      </c>
      <c r="W348" s="286" t="s">
        <v>1359</v>
      </c>
      <c r="AZ348" s="142"/>
      <c r="BA348" s="411"/>
      <c r="BB348" s="146"/>
      <c r="BC348" s="146"/>
      <c r="BD348" s="146"/>
      <c r="BE348" s="146"/>
      <c r="BF348" s="146"/>
      <c r="BG348" s="146"/>
      <c r="BH348" s="146"/>
      <c r="BI348" s="146"/>
      <c r="BJ348" s="146"/>
      <c r="BK348" s="146"/>
      <c r="BL348" s="147"/>
      <c r="BM348" s="148"/>
      <c r="BN348" s="148"/>
      <c r="BO348" s="148"/>
      <c r="BP348" s="148"/>
      <c r="BQ348" s="148"/>
      <c r="BR348" s="148"/>
      <c r="BS348" s="148"/>
      <c r="BT348" s="148"/>
      <c r="BU348" s="148"/>
      <c r="BV348" s="148"/>
      <c r="BW348" s="148"/>
      <c r="BX348" s="148"/>
      <c r="BY348" s="148"/>
      <c r="BZ348" s="148"/>
      <c r="CA348" s="148"/>
      <c r="CB348" s="148"/>
    </row>
    <row r="349" spans="1:80" s="99" customFormat="1" ht="6" customHeight="1" thickBot="1">
      <c r="A349" s="421"/>
      <c r="B349" s="421"/>
      <c r="C349" s="505"/>
      <c r="D349" s="421"/>
      <c r="E349" s="421"/>
      <c r="F349" s="421"/>
      <c r="G349" s="421"/>
      <c r="H349" s="421"/>
      <c r="I349" s="421"/>
      <c r="J349" s="421"/>
      <c r="K349" s="421"/>
      <c r="L349" s="421"/>
      <c r="M349" s="421"/>
      <c r="N349" s="396"/>
      <c r="O349" s="404"/>
      <c r="P349" s="189"/>
      <c r="Q349" s="181"/>
      <c r="R349" s="181"/>
      <c r="S349" s="181"/>
      <c r="T349" s="181"/>
      <c r="U349" s="181"/>
      <c r="V349" s="181"/>
      <c r="W349" s="181"/>
      <c r="AZ349" s="142"/>
      <c r="BA349" s="411"/>
      <c r="BB349" s="146"/>
      <c r="BC349" s="146"/>
      <c r="BD349" s="146"/>
      <c r="BE349" s="146"/>
      <c r="BF349" s="146"/>
      <c r="BG349" s="146"/>
      <c r="BH349" s="146"/>
      <c r="BI349" s="146"/>
      <c r="BJ349" s="146"/>
      <c r="BK349" s="146"/>
      <c r="BL349" s="147"/>
      <c r="BM349" s="148"/>
      <c r="BN349" s="148"/>
      <c r="BO349" s="148"/>
      <c r="BP349" s="148"/>
      <c r="BQ349" s="148"/>
      <c r="BR349" s="148"/>
      <c r="BS349" s="148"/>
      <c r="BT349" s="148"/>
      <c r="BU349" s="148"/>
      <c r="BV349" s="148"/>
      <c r="BW349" s="148"/>
      <c r="BX349" s="148"/>
      <c r="BY349" s="148"/>
      <c r="BZ349" s="148"/>
      <c r="CA349" s="148"/>
      <c r="CB349" s="148"/>
    </row>
    <row r="350" spans="1:80" s="99" customFormat="1" ht="15" customHeight="1" thickBot="1">
      <c r="A350" s="421"/>
      <c r="B350" s="833" t="s">
        <v>1185</v>
      </c>
      <c r="C350" s="833"/>
      <c r="D350" s="833"/>
      <c r="E350" s="833"/>
      <c r="F350" s="833" t="s">
        <v>1630</v>
      </c>
      <c r="G350" s="833"/>
      <c r="H350" s="833" t="s">
        <v>1186</v>
      </c>
      <c r="I350" s="833"/>
      <c r="J350" s="833" t="s">
        <v>1928</v>
      </c>
      <c r="K350" s="833"/>
      <c r="L350" s="833" t="s">
        <v>1184</v>
      </c>
      <c r="M350" s="833"/>
      <c r="N350" s="833"/>
      <c r="O350" s="404"/>
      <c r="P350" s="189"/>
      <c r="Q350" s="181"/>
      <c r="R350" s="181"/>
      <c r="S350" s="181"/>
      <c r="T350" s="181"/>
      <c r="U350" s="181"/>
      <c r="V350" s="181"/>
      <c r="W350" s="181"/>
      <c r="AZ350" s="142"/>
      <c r="BA350" s="411"/>
      <c r="BB350" s="146"/>
      <c r="BC350" s="146"/>
      <c r="BD350" s="146"/>
      <c r="BE350" s="146"/>
      <c r="BF350" s="146"/>
      <c r="BG350" s="146"/>
      <c r="BH350" s="146"/>
      <c r="BI350" s="146"/>
      <c r="BJ350" s="146"/>
      <c r="BK350" s="146"/>
      <c r="BL350" s="147"/>
      <c r="BM350" s="148"/>
      <c r="BN350" s="148"/>
      <c r="BO350" s="148"/>
      <c r="BP350" s="148"/>
      <c r="BQ350" s="148"/>
      <c r="BR350" s="148"/>
      <c r="BS350" s="148"/>
      <c r="BT350" s="148"/>
      <c r="BU350" s="148"/>
      <c r="BV350" s="148"/>
      <c r="BW350" s="148"/>
      <c r="BX350" s="148"/>
      <c r="BY350" s="148"/>
      <c r="BZ350" s="148"/>
      <c r="CA350" s="148"/>
      <c r="CB350" s="148"/>
    </row>
    <row r="351" spans="1:80" s="99" customFormat="1" ht="15" customHeight="1" thickBot="1">
      <c r="A351" s="421"/>
      <c r="B351" s="834"/>
      <c r="C351" s="834"/>
      <c r="D351" s="834"/>
      <c r="E351" s="834"/>
      <c r="F351" s="836"/>
      <c r="G351" s="836"/>
      <c r="H351" s="836"/>
      <c r="I351" s="836"/>
      <c r="J351" s="836"/>
      <c r="K351" s="836"/>
      <c r="L351" s="835"/>
      <c r="M351" s="835"/>
      <c r="N351" s="835"/>
      <c r="O351" s="404"/>
      <c r="P351" s="189"/>
      <c r="Q351" s="167">
        <f>IF(L348="Si",SUM(R70:R74),0)</f>
        <v>0</v>
      </c>
      <c r="R351" s="275">
        <f>IF(H351=0,0,0.026/H351)</f>
        <v>0</v>
      </c>
      <c r="S351" s="313">
        <f>VLOOKUP(L351,VIDRIOSm,2,FALSE)</f>
        <v>0</v>
      </c>
      <c r="T351" s="313">
        <f>IF($L$341="No",0,Q351*R351*S351)</f>
        <v>0</v>
      </c>
      <c r="U351" s="222">
        <f>T351*F351*H351</f>
        <v>0</v>
      </c>
      <c r="V351" s="222">
        <f>IF(L348="No",0,U351)</f>
        <v>0</v>
      </c>
      <c r="W351" s="193">
        <f>V351-(V351*(J351/25))</f>
        <v>0</v>
      </c>
      <c r="AZ351" s="142"/>
      <c r="BA351" s="411"/>
      <c r="BB351" s="146"/>
      <c r="BC351" s="146"/>
      <c r="BD351" s="146"/>
      <c r="BE351" s="146"/>
      <c r="BF351" s="146"/>
      <c r="BG351" s="146"/>
      <c r="BH351" s="146"/>
      <c r="BI351" s="146"/>
      <c r="BJ351" s="146"/>
      <c r="BK351" s="146"/>
      <c r="BL351" s="147"/>
      <c r="BM351" s="148"/>
      <c r="BN351" s="148"/>
      <c r="BO351" s="148"/>
      <c r="BP351" s="148"/>
      <c r="BQ351" s="148"/>
      <c r="BR351" s="148"/>
      <c r="BS351" s="148"/>
      <c r="BT351" s="148"/>
      <c r="BU351" s="148"/>
      <c r="BV351" s="148"/>
      <c r="BW351" s="148"/>
      <c r="BX351" s="148"/>
      <c r="BY351" s="148"/>
      <c r="BZ351" s="148"/>
      <c r="CA351" s="148"/>
      <c r="CB351" s="148"/>
    </row>
    <row r="352" spans="1:80" s="99" customFormat="1" ht="6" customHeight="1" thickBot="1">
      <c r="A352" s="421"/>
      <c r="B352" s="421"/>
      <c r="C352" s="505"/>
      <c r="D352" s="421"/>
      <c r="E352" s="421"/>
      <c r="F352" s="421"/>
      <c r="G352" s="421"/>
      <c r="H352" s="421"/>
      <c r="I352" s="421"/>
      <c r="J352" s="421"/>
      <c r="K352" s="421"/>
      <c r="L352" s="421"/>
      <c r="M352" s="421"/>
      <c r="N352" s="396"/>
      <c r="O352" s="404"/>
      <c r="P352" s="189"/>
      <c r="Q352" s="181"/>
      <c r="R352" s="181"/>
      <c r="S352" s="181"/>
      <c r="T352" s="181"/>
      <c r="U352" s="181"/>
      <c r="V352" s="181"/>
      <c r="W352" s="181"/>
      <c r="AZ352" s="142"/>
      <c r="BA352" s="411"/>
      <c r="BB352" s="146"/>
      <c r="BC352" s="146"/>
      <c r="BD352" s="146"/>
      <c r="BE352" s="146"/>
      <c r="BF352" s="146"/>
      <c r="BG352" s="146"/>
      <c r="BH352" s="146"/>
      <c r="BI352" s="146"/>
      <c r="BJ352" s="146"/>
      <c r="BK352" s="146"/>
      <c r="BL352" s="147"/>
      <c r="BM352" s="148"/>
      <c r="BN352" s="148"/>
      <c r="BO352" s="148"/>
      <c r="BP352" s="148"/>
      <c r="BQ352" s="148"/>
      <c r="BR352" s="148"/>
      <c r="BS352" s="148"/>
      <c r="BT352" s="148"/>
      <c r="BU352" s="148"/>
      <c r="BV352" s="148"/>
      <c r="BW352" s="148"/>
      <c r="BX352" s="148"/>
      <c r="BY352" s="148"/>
      <c r="BZ352" s="148"/>
      <c r="CA352" s="148"/>
      <c r="CB352" s="148"/>
    </row>
    <row r="353" spans="1:80" s="99" customFormat="1" ht="15" customHeight="1" thickBot="1">
      <c r="A353" s="421"/>
      <c r="B353" s="812">
        <f>B142</f>
        <v>0</v>
      </c>
      <c r="C353" s="812"/>
      <c r="D353" s="812"/>
      <c r="E353" s="812"/>
      <c r="F353" s="812"/>
      <c r="G353" s="812"/>
      <c r="H353" s="812"/>
      <c r="I353" s="812"/>
      <c r="J353" s="812"/>
      <c r="K353" s="812"/>
      <c r="L353" s="812"/>
      <c r="M353" s="812"/>
      <c r="N353" s="812"/>
      <c r="O353" s="404"/>
      <c r="P353" s="954">
        <f>P142</f>
        <v>0</v>
      </c>
      <c r="Q353" s="954"/>
      <c r="R353" s="954"/>
      <c r="S353" s="954"/>
      <c r="T353" s="954"/>
      <c r="U353" s="954"/>
      <c r="V353" s="954"/>
      <c r="W353" s="954"/>
      <c r="X353" s="954"/>
      <c r="Y353" s="954"/>
      <c r="Z353" s="954"/>
      <c r="AZ353" s="142"/>
      <c r="BA353" s="411"/>
      <c r="BB353" s="146"/>
      <c r="BC353" s="146"/>
      <c r="BD353" s="146"/>
      <c r="BE353" s="146"/>
      <c r="BF353" s="146"/>
      <c r="BG353" s="146"/>
      <c r="BH353" s="146"/>
      <c r="BI353" s="146"/>
      <c r="BJ353" s="146"/>
      <c r="BK353" s="146"/>
      <c r="BL353" s="147"/>
      <c r="BM353" s="148"/>
      <c r="BN353" s="148"/>
      <c r="BO353" s="148"/>
      <c r="BP353" s="148"/>
      <c r="BQ353" s="148"/>
      <c r="BR353" s="148"/>
      <c r="BS353" s="148"/>
      <c r="BT353" s="148"/>
      <c r="BU353" s="148"/>
      <c r="BV353" s="148"/>
      <c r="BW353" s="148"/>
      <c r="BX353" s="148"/>
      <c r="BY353" s="148"/>
      <c r="BZ353" s="148"/>
      <c r="CA353" s="148"/>
      <c r="CB353" s="148"/>
    </row>
    <row r="354" spans="1:80" s="99" customFormat="1" ht="6" customHeight="1" thickBot="1">
      <c r="A354" s="421"/>
      <c r="B354" s="421"/>
      <c r="C354" s="505"/>
      <c r="D354" s="421"/>
      <c r="E354" s="421"/>
      <c r="F354" s="421"/>
      <c r="G354" s="421"/>
      <c r="H354" s="421"/>
      <c r="I354" s="421"/>
      <c r="J354" s="421"/>
      <c r="K354" s="421"/>
      <c r="L354" s="421"/>
      <c r="M354" s="421"/>
      <c r="N354" s="396"/>
      <c r="O354" s="404"/>
      <c r="P354" s="189"/>
      <c r="Q354" s="181"/>
      <c r="R354" s="181"/>
      <c r="S354" s="181"/>
      <c r="T354" s="181"/>
      <c r="U354" s="181"/>
      <c r="V354" s="181"/>
      <c r="W354" s="181"/>
      <c r="AZ354" s="142"/>
      <c r="BA354" s="411"/>
      <c r="BB354" s="146"/>
      <c r="BC354" s="146"/>
      <c r="BD354" s="146"/>
      <c r="BE354" s="146"/>
      <c r="BF354" s="146"/>
      <c r="BG354" s="146"/>
      <c r="BH354" s="146"/>
      <c r="BI354" s="146"/>
      <c r="BJ354" s="146"/>
      <c r="BK354" s="146"/>
      <c r="BL354" s="147"/>
      <c r="BM354" s="148"/>
      <c r="BN354" s="148"/>
      <c r="BO354" s="148"/>
      <c r="BP354" s="148"/>
      <c r="BQ354" s="148"/>
      <c r="BR354" s="148"/>
      <c r="BS354" s="148"/>
      <c r="BT354" s="148"/>
      <c r="BU354" s="148"/>
      <c r="BV354" s="148"/>
      <c r="BW354" s="148"/>
      <c r="BX354" s="148"/>
      <c r="BY354" s="148"/>
      <c r="BZ354" s="148"/>
      <c r="CA354" s="148"/>
      <c r="CB354" s="148"/>
    </row>
    <row r="355" spans="1:80" s="99" customFormat="1" ht="15" customHeight="1" thickBot="1">
      <c r="A355" s="421"/>
      <c r="B355" s="839" t="s">
        <v>1629</v>
      </c>
      <c r="C355" s="839"/>
      <c r="D355" s="839"/>
      <c r="E355" s="839"/>
      <c r="F355" s="839"/>
      <c r="G355" s="839"/>
      <c r="H355" s="839"/>
      <c r="I355" s="839"/>
      <c r="J355" s="839"/>
      <c r="K355" s="839"/>
      <c r="L355" s="835" t="s">
        <v>7</v>
      </c>
      <c r="M355" s="835"/>
      <c r="N355" s="835"/>
      <c r="O355" s="404"/>
      <c r="P355" s="189"/>
      <c r="Q355" s="285" t="s">
        <v>849</v>
      </c>
      <c r="R355" s="275" t="s">
        <v>1456</v>
      </c>
      <c r="S355" s="275" t="s">
        <v>1064</v>
      </c>
      <c r="T355" s="275" t="s">
        <v>1457</v>
      </c>
      <c r="U355" s="285" t="s">
        <v>850</v>
      </c>
      <c r="V355" s="285" t="s">
        <v>1357</v>
      </c>
      <c r="W355" s="286" t="s">
        <v>1359</v>
      </c>
      <c r="AZ355" s="142"/>
      <c r="BA355" s="411"/>
      <c r="BB355" s="146"/>
      <c r="BC355" s="146"/>
      <c r="BD355" s="146"/>
      <c r="BE355" s="146"/>
      <c r="BF355" s="146"/>
      <c r="BG355" s="146"/>
      <c r="BH355" s="146"/>
      <c r="BI355" s="146"/>
      <c r="BJ355" s="146"/>
      <c r="BK355" s="146"/>
      <c r="BL355" s="147"/>
      <c r="BM355" s="148"/>
      <c r="BN355" s="148"/>
      <c r="BO355" s="148"/>
      <c r="BP355" s="148"/>
      <c r="BQ355" s="148"/>
      <c r="BR355" s="148"/>
      <c r="BS355" s="148"/>
      <c r="BT355" s="148"/>
      <c r="BU355" s="148"/>
      <c r="BV355" s="148"/>
      <c r="BW355" s="148"/>
      <c r="BX355" s="148"/>
      <c r="BY355" s="148"/>
      <c r="BZ355" s="148"/>
      <c r="CA355" s="148"/>
      <c r="CB355" s="148"/>
    </row>
    <row r="356" spans="1:80" s="99" customFormat="1" ht="6" customHeight="1" thickBot="1">
      <c r="A356" s="421"/>
      <c r="B356" s="421"/>
      <c r="C356" s="505"/>
      <c r="D356" s="421"/>
      <c r="E356" s="421"/>
      <c r="F356" s="421"/>
      <c r="G356" s="421"/>
      <c r="H356" s="421"/>
      <c r="I356" s="421"/>
      <c r="J356" s="421"/>
      <c r="K356" s="421"/>
      <c r="L356" s="421"/>
      <c r="M356" s="421"/>
      <c r="N356" s="396"/>
      <c r="O356" s="404"/>
      <c r="P356" s="189"/>
      <c r="Q356" s="181"/>
      <c r="R356" s="181"/>
      <c r="S356" s="181"/>
      <c r="T356" s="181"/>
      <c r="U356" s="181"/>
      <c r="V356" s="181"/>
      <c r="W356" s="181"/>
      <c r="AZ356" s="142"/>
      <c r="BA356" s="411"/>
      <c r="BB356" s="146"/>
      <c r="BC356" s="146"/>
      <c r="BD356" s="146"/>
      <c r="BE356" s="146"/>
      <c r="BF356" s="146"/>
      <c r="BG356" s="146"/>
      <c r="BH356" s="146"/>
      <c r="BI356" s="146"/>
      <c r="BJ356" s="146"/>
      <c r="BK356" s="146"/>
      <c r="BL356" s="147"/>
      <c r="BM356" s="148"/>
      <c r="BN356" s="148"/>
      <c r="BO356" s="148"/>
      <c r="BP356" s="148"/>
      <c r="BQ356" s="148"/>
      <c r="BR356" s="148"/>
      <c r="BS356" s="148"/>
      <c r="BT356" s="148"/>
      <c r="BU356" s="148"/>
      <c r="BV356" s="148"/>
      <c r="BW356" s="148"/>
      <c r="BX356" s="148"/>
      <c r="BY356" s="148"/>
      <c r="BZ356" s="148"/>
      <c r="CA356" s="148"/>
      <c r="CB356" s="148"/>
    </row>
    <row r="357" spans="1:80" s="99" customFormat="1" ht="15" customHeight="1" thickBot="1">
      <c r="A357" s="421"/>
      <c r="B357" s="833" t="s">
        <v>1185</v>
      </c>
      <c r="C357" s="833"/>
      <c r="D357" s="833"/>
      <c r="E357" s="833"/>
      <c r="F357" s="833" t="s">
        <v>1630</v>
      </c>
      <c r="G357" s="833"/>
      <c r="H357" s="833" t="s">
        <v>1186</v>
      </c>
      <c r="I357" s="833"/>
      <c r="J357" s="833" t="s">
        <v>1928</v>
      </c>
      <c r="K357" s="833"/>
      <c r="L357" s="833" t="s">
        <v>1184</v>
      </c>
      <c r="M357" s="833"/>
      <c r="N357" s="833"/>
      <c r="O357" s="404"/>
      <c r="P357" s="189"/>
      <c r="Q357" s="181"/>
      <c r="R357" s="181"/>
      <c r="S357" s="181"/>
      <c r="T357" s="181"/>
      <c r="U357" s="181"/>
      <c r="V357" s="181"/>
      <c r="W357" s="181"/>
      <c r="AZ357" s="142"/>
      <c r="BA357" s="411"/>
      <c r="BB357" s="146"/>
      <c r="BC357" s="146"/>
      <c r="BD357" s="146"/>
      <c r="BE357" s="146"/>
      <c r="BF357" s="146"/>
      <c r="BG357" s="146"/>
      <c r="BH357" s="146"/>
      <c r="BI357" s="146"/>
      <c r="BJ357" s="146"/>
      <c r="BK357" s="146"/>
      <c r="BL357" s="147"/>
      <c r="BM357" s="148"/>
      <c r="BN357" s="148"/>
      <c r="BO357" s="148"/>
      <c r="BP357" s="148"/>
      <c r="BQ357" s="148"/>
      <c r="BR357" s="148"/>
      <c r="BS357" s="148"/>
      <c r="BT357" s="148"/>
      <c r="BU357" s="148"/>
      <c r="BV357" s="148"/>
      <c r="BW357" s="148"/>
      <c r="BX357" s="148"/>
      <c r="BY357" s="148"/>
      <c r="BZ357" s="148"/>
      <c r="CA357" s="148"/>
      <c r="CB357" s="148"/>
    </row>
    <row r="358" spans="1:80" s="99" customFormat="1" ht="15" customHeight="1" thickBot="1">
      <c r="A358" s="421"/>
      <c r="B358" s="834"/>
      <c r="C358" s="834"/>
      <c r="D358" s="834"/>
      <c r="E358" s="834"/>
      <c r="F358" s="836"/>
      <c r="G358" s="836"/>
      <c r="H358" s="836"/>
      <c r="I358" s="836"/>
      <c r="J358" s="836"/>
      <c r="K358" s="836"/>
      <c r="L358" s="835"/>
      <c r="M358" s="835"/>
      <c r="N358" s="835"/>
      <c r="O358" s="404"/>
      <c r="P358" s="189"/>
      <c r="Q358" s="167">
        <f>IF(L355="Si",SUM(R80:R84),0)</f>
        <v>0</v>
      </c>
      <c r="R358" s="275">
        <f>IF(H358=0,0,0.026/H358)</f>
        <v>0</v>
      </c>
      <c r="S358" s="313">
        <f>VLOOKUP(L358,VIDRIOSm,2,FALSE)</f>
        <v>0</v>
      </c>
      <c r="T358" s="313">
        <f>IF($L$341="No",0,Q358*R358*S358)</f>
        <v>0</v>
      </c>
      <c r="U358" s="222">
        <f>T358*F358*H358</f>
        <v>0</v>
      </c>
      <c r="V358" s="222">
        <f>IF(L355="No",0,U358)</f>
        <v>0</v>
      </c>
      <c r="W358" s="193">
        <f>V358-(V358*(J358/25))</f>
        <v>0</v>
      </c>
      <c r="AZ358" s="142"/>
      <c r="BA358" s="411"/>
      <c r="BB358" s="146"/>
      <c r="BC358" s="146"/>
      <c r="BD358" s="146"/>
      <c r="BE358" s="146"/>
      <c r="BF358" s="146"/>
      <c r="BG358" s="146"/>
      <c r="BH358" s="146"/>
      <c r="BI358" s="146"/>
      <c r="BJ358" s="146"/>
      <c r="BK358" s="146"/>
      <c r="BL358" s="147"/>
      <c r="BM358" s="148"/>
      <c r="BN358" s="148"/>
      <c r="BO358" s="148"/>
      <c r="BP358" s="148"/>
      <c r="BQ358" s="148"/>
      <c r="BR358" s="148"/>
      <c r="BS358" s="148"/>
      <c r="BT358" s="148"/>
      <c r="BU358" s="148"/>
      <c r="BV358" s="148"/>
      <c r="BW358" s="148"/>
      <c r="BX358" s="148"/>
      <c r="BY358" s="148"/>
      <c r="BZ358" s="148"/>
      <c r="CA358" s="148"/>
      <c r="CB358" s="148"/>
    </row>
    <row r="359" spans="1:80" s="99" customFormat="1" ht="6" customHeight="1" thickBot="1">
      <c r="A359" s="421"/>
      <c r="B359" s="421"/>
      <c r="C359" s="505"/>
      <c r="D359" s="421"/>
      <c r="E359" s="421"/>
      <c r="F359" s="421"/>
      <c r="G359" s="421"/>
      <c r="H359" s="421"/>
      <c r="I359" s="421"/>
      <c r="J359" s="421"/>
      <c r="K359" s="421"/>
      <c r="L359" s="421"/>
      <c r="M359" s="421"/>
      <c r="N359" s="396"/>
      <c r="O359" s="404"/>
      <c r="P359" s="189"/>
      <c r="Q359" s="181"/>
      <c r="R359" s="181"/>
      <c r="S359" s="181"/>
      <c r="T359" s="181"/>
      <c r="U359" s="181"/>
      <c r="V359" s="181"/>
      <c r="W359" s="181"/>
      <c r="AZ359" s="142"/>
      <c r="BA359" s="411"/>
      <c r="BB359" s="146"/>
      <c r="BC359" s="146"/>
      <c r="BD359" s="146"/>
      <c r="BE359" s="146"/>
      <c r="BF359" s="146"/>
      <c r="BG359" s="146"/>
      <c r="BH359" s="146"/>
      <c r="BI359" s="146"/>
      <c r="BJ359" s="146"/>
      <c r="BK359" s="146"/>
      <c r="BL359" s="147"/>
      <c r="BM359" s="148"/>
      <c r="BN359" s="148"/>
      <c r="BO359" s="148"/>
      <c r="BP359" s="148"/>
      <c r="BQ359" s="148"/>
      <c r="BR359" s="148"/>
      <c r="BS359" s="148"/>
      <c r="BT359" s="148"/>
      <c r="BU359" s="148"/>
      <c r="BV359" s="148"/>
      <c r="BW359" s="148"/>
      <c r="BX359" s="148"/>
      <c r="BY359" s="148"/>
      <c r="BZ359" s="148"/>
      <c r="CA359" s="148"/>
      <c r="CB359" s="148"/>
    </row>
    <row r="360" spans="1:80" s="99" customFormat="1" ht="15" customHeight="1" thickBot="1">
      <c r="A360" s="421"/>
      <c r="B360" s="812">
        <f>C40</f>
        <v>0</v>
      </c>
      <c r="C360" s="812"/>
      <c r="D360" s="812"/>
      <c r="E360" s="812"/>
      <c r="F360" s="812"/>
      <c r="G360" s="812"/>
      <c r="H360" s="812"/>
      <c r="I360" s="812"/>
      <c r="J360" s="812"/>
      <c r="K360" s="812"/>
      <c r="L360" s="812"/>
      <c r="M360" s="812"/>
      <c r="N360" s="812"/>
      <c r="O360" s="404"/>
      <c r="P360" s="954">
        <f>Q40</f>
        <v>0</v>
      </c>
      <c r="Q360" s="954"/>
      <c r="R360" s="954"/>
      <c r="S360" s="954"/>
      <c r="T360" s="954"/>
      <c r="U360" s="954"/>
      <c r="V360" s="954"/>
      <c r="W360" s="954"/>
      <c r="X360" s="954"/>
      <c r="Y360" s="954"/>
      <c r="Z360" s="954"/>
      <c r="AZ360" s="142"/>
      <c r="BA360" s="411"/>
      <c r="BB360" s="146"/>
      <c r="BC360" s="146"/>
      <c r="BD360" s="146"/>
      <c r="BE360" s="146"/>
      <c r="BF360" s="146"/>
      <c r="BG360" s="146"/>
      <c r="BH360" s="146"/>
      <c r="BI360" s="146"/>
      <c r="BJ360" s="146"/>
      <c r="BK360" s="146"/>
      <c r="BL360" s="147"/>
      <c r="BM360" s="148"/>
      <c r="BN360" s="148"/>
      <c r="BO360" s="148"/>
      <c r="BP360" s="148"/>
      <c r="BQ360" s="148"/>
      <c r="BR360" s="148"/>
      <c r="BS360" s="148"/>
      <c r="BT360" s="148"/>
      <c r="BU360" s="148"/>
      <c r="BV360" s="148"/>
      <c r="BW360" s="148"/>
      <c r="BX360" s="148"/>
      <c r="BY360" s="148"/>
      <c r="BZ360" s="148"/>
      <c r="CA360" s="148"/>
      <c r="CB360" s="148"/>
    </row>
    <row r="361" spans="1:80" s="99" customFormat="1" ht="6" customHeight="1" thickBot="1">
      <c r="A361" s="421"/>
      <c r="B361" s="421"/>
      <c r="C361" s="505"/>
      <c r="D361" s="421"/>
      <c r="E361" s="421"/>
      <c r="F361" s="421"/>
      <c r="G361" s="421"/>
      <c r="H361" s="421"/>
      <c r="I361" s="421"/>
      <c r="J361" s="421"/>
      <c r="K361" s="421"/>
      <c r="L361" s="421"/>
      <c r="M361" s="421"/>
      <c r="N361" s="396"/>
      <c r="O361" s="404"/>
      <c r="P361" s="189"/>
      <c r="Q361" s="181"/>
      <c r="R361" s="181"/>
      <c r="S361" s="181"/>
      <c r="T361" s="181"/>
      <c r="U361" s="181"/>
      <c r="V361" s="181"/>
      <c r="W361" s="181"/>
      <c r="AZ361" s="142"/>
      <c r="BA361" s="411"/>
      <c r="BB361" s="146"/>
      <c r="BC361" s="146"/>
      <c r="BD361" s="146"/>
      <c r="BE361" s="146"/>
      <c r="BF361" s="146"/>
      <c r="BG361" s="146"/>
      <c r="BH361" s="146"/>
      <c r="BI361" s="146"/>
      <c r="BJ361" s="146"/>
      <c r="BK361" s="146"/>
      <c r="BL361" s="147"/>
      <c r="BM361" s="148"/>
      <c r="BN361" s="148"/>
      <c r="BO361" s="148"/>
      <c r="BP361" s="148"/>
      <c r="BQ361" s="148"/>
      <c r="BR361" s="148"/>
      <c r="BS361" s="148"/>
      <c r="BT361" s="148"/>
      <c r="BU361" s="148"/>
      <c r="BV361" s="148"/>
      <c r="BW361" s="148"/>
      <c r="BX361" s="148"/>
      <c r="BY361" s="148"/>
      <c r="BZ361" s="148"/>
      <c r="CA361" s="148"/>
      <c r="CB361" s="148"/>
    </row>
    <row r="362" spans="1:80" s="99" customFormat="1" ht="15" customHeight="1" thickBot="1">
      <c r="A362" s="421"/>
      <c r="B362" s="839" t="s">
        <v>1629</v>
      </c>
      <c r="C362" s="839"/>
      <c r="D362" s="839"/>
      <c r="E362" s="839"/>
      <c r="F362" s="839"/>
      <c r="G362" s="839"/>
      <c r="H362" s="839"/>
      <c r="I362" s="839"/>
      <c r="J362" s="839"/>
      <c r="K362" s="839"/>
      <c r="L362" s="835" t="s">
        <v>7</v>
      </c>
      <c r="M362" s="835"/>
      <c r="N362" s="835"/>
      <c r="O362" s="404"/>
      <c r="P362" s="189"/>
      <c r="Q362" s="285" t="s">
        <v>849</v>
      </c>
      <c r="R362" s="275" t="s">
        <v>1456</v>
      </c>
      <c r="S362" s="275" t="s">
        <v>1064</v>
      </c>
      <c r="T362" s="275" t="s">
        <v>1457</v>
      </c>
      <c r="U362" s="285" t="s">
        <v>850</v>
      </c>
      <c r="V362" s="285" t="s">
        <v>1357</v>
      </c>
      <c r="W362" s="286" t="s">
        <v>1359</v>
      </c>
      <c r="AZ362" s="142"/>
      <c r="BA362" s="411"/>
      <c r="BB362" s="146"/>
      <c r="BC362" s="146"/>
      <c r="BD362" s="146"/>
      <c r="BE362" s="146"/>
      <c r="BF362" s="146"/>
      <c r="BG362" s="146"/>
      <c r="BH362" s="146"/>
      <c r="BI362" s="146"/>
      <c r="BJ362" s="146"/>
      <c r="BK362" s="146"/>
      <c r="BL362" s="147"/>
      <c r="BM362" s="148"/>
      <c r="BN362" s="148"/>
      <c r="BO362" s="148"/>
      <c r="BP362" s="148"/>
      <c r="BQ362" s="148"/>
      <c r="BR362" s="148"/>
      <c r="BS362" s="148"/>
      <c r="BT362" s="148"/>
      <c r="BU362" s="148"/>
      <c r="BV362" s="148"/>
      <c r="BW362" s="148"/>
      <c r="BX362" s="148"/>
      <c r="BY362" s="148"/>
      <c r="BZ362" s="148"/>
      <c r="CA362" s="148"/>
      <c r="CB362" s="148"/>
    </row>
    <row r="363" spans="1:80" s="99" customFormat="1" ht="6" customHeight="1" thickBot="1">
      <c r="A363" s="421"/>
      <c r="B363" s="421"/>
      <c r="C363" s="505"/>
      <c r="D363" s="421"/>
      <c r="E363" s="421"/>
      <c r="F363" s="421"/>
      <c r="G363" s="421"/>
      <c r="H363" s="421"/>
      <c r="I363" s="421"/>
      <c r="J363" s="421"/>
      <c r="K363" s="421"/>
      <c r="L363" s="421"/>
      <c r="M363" s="421"/>
      <c r="N363" s="396"/>
      <c r="O363" s="404"/>
      <c r="P363" s="189"/>
      <c r="Q363" s="181"/>
      <c r="R363" s="181"/>
      <c r="S363" s="181"/>
      <c r="T363" s="181"/>
      <c r="U363" s="181"/>
      <c r="V363" s="181"/>
      <c r="W363" s="181"/>
      <c r="AZ363" s="142"/>
      <c r="BA363" s="411"/>
      <c r="BB363" s="146"/>
      <c r="BC363" s="146"/>
      <c r="BD363" s="146"/>
      <c r="BE363" s="146"/>
      <c r="BF363" s="146"/>
      <c r="BG363" s="146"/>
      <c r="BH363" s="146"/>
      <c r="BI363" s="146"/>
      <c r="BJ363" s="146"/>
      <c r="BK363" s="146"/>
      <c r="BL363" s="147"/>
      <c r="BM363" s="148"/>
      <c r="BN363" s="148"/>
      <c r="BO363" s="148"/>
      <c r="BP363" s="148"/>
      <c r="BQ363" s="148"/>
      <c r="BR363" s="148"/>
      <c r="BS363" s="148"/>
      <c r="BT363" s="148"/>
      <c r="BU363" s="148"/>
      <c r="BV363" s="148"/>
      <c r="BW363" s="148"/>
      <c r="BX363" s="148"/>
      <c r="BY363" s="148"/>
      <c r="BZ363" s="148"/>
      <c r="CA363" s="148"/>
      <c r="CB363" s="148"/>
    </row>
    <row r="364" spans="1:80" s="99" customFormat="1" ht="15" customHeight="1" thickBot="1">
      <c r="A364" s="421"/>
      <c r="B364" s="833" t="s">
        <v>1185</v>
      </c>
      <c r="C364" s="833"/>
      <c r="D364" s="833"/>
      <c r="E364" s="833"/>
      <c r="F364" s="833" t="s">
        <v>1630</v>
      </c>
      <c r="G364" s="833"/>
      <c r="H364" s="833" t="s">
        <v>1186</v>
      </c>
      <c r="I364" s="833"/>
      <c r="J364" s="833" t="s">
        <v>1928</v>
      </c>
      <c r="K364" s="833"/>
      <c r="L364" s="833" t="s">
        <v>1184</v>
      </c>
      <c r="M364" s="833"/>
      <c r="N364" s="833"/>
      <c r="O364" s="404"/>
      <c r="P364" s="189"/>
      <c r="Q364" s="181"/>
      <c r="R364" s="181"/>
      <c r="S364" s="181"/>
      <c r="T364" s="181"/>
      <c r="U364" s="181"/>
      <c r="V364" s="181"/>
      <c r="W364" s="181"/>
      <c r="AZ364" s="142"/>
      <c r="BA364" s="411"/>
      <c r="BB364" s="146"/>
      <c r="BC364" s="146"/>
      <c r="BD364" s="146"/>
      <c r="BE364" s="146"/>
      <c r="BF364" s="146"/>
      <c r="BG364" s="146"/>
      <c r="BH364" s="146"/>
      <c r="BI364" s="146"/>
      <c r="BJ364" s="146"/>
      <c r="BK364" s="146"/>
      <c r="BL364" s="147"/>
      <c r="BM364" s="148"/>
      <c r="BN364" s="148"/>
      <c r="BO364" s="148"/>
      <c r="BP364" s="148"/>
      <c r="BQ364" s="148"/>
      <c r="BR364" s="148"/>
      <c r="BS364" s="148"/>
      <c r="BT364" s="148"/>
      <c r="BU364" s="148"/>
      <c r="BV364" s="148"/>
      <c r="BW364" s="148"/>
      <c r="BX364" s="148"/>
      <c r="BY364" s="148"/>
      <c r="BZ364" s="148"/>
      <c r="CA364" s="148"/>
      <c r="CB364" s="148"/>
    </row>
    <row r="365" spans="1:80" s="99" customFormat="1" ht="15" customHeight="1" thickBot="1">
      <c r="A365" s="421"/>
      <c r="B365" s="834"/>
      <c r="C365" s="834"/>
      <c r="D365" s="834"/>
      <c r="E365" s="834"/>
      <c r="F365" s="836"/>
      <c r="G365" s="836"/>
      <c r="H365" s="836"/>
      <c r="I365" s="836"/>
      <c r="J365" s="836"/>
      <c r="K365" s="836"/>
      <c r="L365" s="835"/>
      <c r="M365" s="835"/>
      <c r="N365" s="835"/>
      <c r="O365" s="404"/>
      <c r="P365" s="189"/>
      <c r="Q365" s="167">
        <f>IF(L362="Si",SUM(R90:R94),0)</f>
        <v>0</v>
      </c>
      <c r="R365" s="275">
        <f>IF(H365=0,0,0.026/H365)</f>
        <v>0</v>
      </c>
      <c r="S365" s="313">
        <f>VLOOKUP(L365,VIDRIOSm,2,FALSE)</f>
        <v>0</v>
      </c>
      <c r="T365" s="313">
        <f>IF($L$341="No",0,Q365*R365*S365)</f>
        <v>0</v>
      </c>
      <c r="U365" s="222">
        <f>T365*F365*H365</f>
        <v>0</v>
      </c>
      <c r="V365" s="222">
        <f>IF(L362="No",0,U365)</f>
        <v>0</v>
      </c>
      <c r="W365" s="193">
        <f>V365-(V365*(J365/25))</f>
        <v>0</v>
      </c>
      <c r="AZ365" s="142"/>
      <c r="BA365" s="411"/>
      <c r="BB365" s="146"/>
      <c r="BC365" s="146"/>
      <c r="BD365" s="146"/>
      <c r="BE365" s="146"/>
      <c r="BF365" s="146"/>
      <c r="BG365" s="146"/>
      <c r="BH365" s="146"/>
      <c r="BI365" s="146"/>
      <c r="BJ365" s="146"/>
      <c r="BK365" s="146"/>
      <c r="BL365" s="147"/>
      <c r="BM365" s="148"/>
      <c r="BN365" s="148"/>
      <c r="BO365" s="148"/>
      <c r="BP365" s="148"/>
      <c r="BQ365" s="148"/>
      <c r="BR365" s="148"/>
      <c r="BS365" s="148"/>
      <c r="BT365" s="148"/>
      <c r="BU365" s="148"/>
      <c r="BV365" s="148"/>
      <c r="BW365" s="148"/>
      <c r="BX365" s="148"/>
      <c r="BY365" s="148"/>
      <c r="BZ365" s="148"/>
      <c r="CA365" s="148"/>
      <c r="CB365" s="148"/>
    </row>
    <row r="366" spans="1:80" s="99" customFormat="1" ht="6" customHeight="1" thickBot="1">
      <c r="A366" s="421"/>
      <c r="B366" s="421"/>
      <c r="C366" s="505"/>
      <c r="D366" s="421"/>
      <c r="E366" s="421"/>
      <c r="F366" s="421"/>
      <c r="G366" s="421"/>
      <c r="H366" s="421"/>
      <c r="I366" s="421"/>
      <c r="J366" s="421"/>
      <c r="K366" s="421"/>
      <c r="L366" s="421"/>
      <c r="M366" s="421"/>
      <c r="N366" s="396"/>
      <c r="O366" s="404"/>
      <c r="P366" s="189"/>
      <c r="Q366" s="181"/>
      <c r="R366" s="181"/>
      <c r="S366" s="181"/>
      <c r="T366" s="181"/>
      <c r="U366" s="181"/>
      <c r="V366" s="181"/>
      <c r="W366" s="181"/>
      <c r="Y366" s="127"/>
      <c r="AZ366" s="142"/>
      <c r="BA366" s="411"/>
      <c r="BB366" s="146"/>
      <c r="BC366" s="146"/>
      <c r="BD366" s="146"/>
      <c r="BE366" s="146"/>
      <c r="BF366" s="146"/>
      <c r="BG366" s="146"/>
      <c r="BH366" s="146"/>
      <c r="BI366" s="146"/>
      <c r="BJ366" s="146"/>
      <c r="BK366" s="146"/>
      <c r="BL366" s="147"/>
      <c r="BM366" s="148"/>
      <c r="BN366" s="148"/>
      <c r="BO366" s="148"/>
      <c r="BP366" s="148"/>
      <c r="BQ366" s="148"/>
      <c r="BR366" s="148"/>
      <c r="BS366" s="148"/>
      <c r="BT366" s="148"/>
      <c r="BU366" s="148"/>
      <c r="BV366" s="148"/>
      <c r="BW366" s="148"/>
      <c r="BX366" s="148"/>
      <c r="BY366" s="148"/>
      <c r="BZ366" s="148"/>
      <c r="CA366" s="148"/>
      <c r="CB366" s="148"/>
    </row>
    <row r="367" spans="1:80" s="99" customFormat="1" ht="20" customHeight="1" thickBot="1">
      <c r="A367" s="421"/>
      <c r="B367" s="812" t="s">
        <v>1559</v>
      </c>
      <c r="C367" s="812"/>
      <c r="D367" s="812"/>
      <c r="E367" s="812"/>
      <c r="F367" s="812"/>
      <c r="G367" s="812"/>
      <c r="H367" s="812"/>
      <c r="I367" s="812"/>
      <c r="J367" s="812"/>
      <c r="K367" s="812"/>
      <c r="L367" s="812"/>
      <c r="M367" s="812"/>
      <c r="N367" s="812"/>
      <c r="O367" s="404"/>
      <c r="P367" s="189"/>
      <c r="Q367" s="181"/>
      <c r="R367" s="181"/>
      <c r="S367" s="181"/>
      <c r="T367" s="181"/>
      <c r="U367" s="181"/>
      <c r="V367" s="181"/>
      <c r="W367" s="181"/>
      <c r="Y367" s="127"/>
      <c r="Z367" s="100"/>
      <c r="AA367" s="100"/>
      <c r="AB367" s="100"/>
      <c r="AC367" s="100"/>
      <c r="AD367" s="100"/>
      <c r="AE367" s="100"/>
      <c r="AF367" s="100"/>
      <c r="AG367" s="100"/>
      <c r="AH367" s="100"/>
      <c r="AI367" s="100"/>
      <c r="AJ367" s="100"/>
      <c r="AK367" s="100"/>
      <c r="AL367" s="100"/>
      <c r="AM367" s="100"/>
      <c r="AN367" s="100"/>
      <c r="AO367" s="100"/>
      <c r="AP367" s="100"/>
      <c r="AQ367" s="100"/>
      <c r="AR367" s="100"/>
      <c r="AS367" s="100"/>
      <c r="AT367" s="100"/>
      <c r="AU367" s="100"/>
      <c r="AV367" s="100"/>
      <c r="AW367" s="100"/>
      <c r="AX367" s="100"/>
      <c r="AY367" s="100"/>
      <c r="AZ367" s="129"/>
      <c r="BA367" s="411"/>
      <c r="BB367" s="146"/>
      <c r="BC367" s="146"/>
      <c r="BD367" s="146"/>
      <c r="BE367" s="146"/>
      <c r="BF367" s="146"/>
      <c r="BG367" s="146"/>
      <c r="BH367" s="146"/>
      <c r="BI367" s="146"/>
      <c r="BJ367" s="146"/>
      <c r="BK367" s="146"/>
      <c r="BL367" s="147"/>
      <c r="BM367" s="148"/>
      <c r="BN367" s="148"/>
      <c r="BO367" s="148"/>
      <c r="BP367" s="148"/>
      <c r="BQ367" s="148"/>
      <c r="BR367" s="148"/>
      <c r="BS367" s="148"/>
      <c r="BT367" s="148"/>
      <c r="BU367" s="148"/>
      <c r="BV367" s="148"/>
      <c r="BW367" s="148"/>
      <c r="BX367" s="148"/>
      <c r="BY367" s="148"/>
      <c r="BZ367" s="148"/>
      <c r="CA367" s="148"/>
      <c r="CB367" s="148"/>
    </row>
    <row r="368" spans="1:80" s="99" customFormat="1" ht="6" customHeight="1" thickBot="1">
      <c r="A368" s="421"/>
      <c r="B368" s="421"/>
      <c r="C368" s="505"/>
      <c r="D368" s="421"/>
      <c r="E368" s="421"/>
      <c r="F368" s="421"/>
      <c r="G368" s="421"/>
      <c r="H368" s="421"/>
      <c r="I368" s="421"/>
      <c r="J368" s="421"/>
      <c r="K368" s="421"/>
      <c r="L368" s="421"/>
      <c r="M368" s="421"/>
      <c r="N368" s="396"/>
      <c r="O368" s="404"/>
      <c r="P368" s="189"/>
      <c r="Q368" s="181"/>
      <c r="R368" s="181"/>
      <c r="S368" s="181"/>
      <c r="T368" s="181"/>
      <c r="U368" s="181"/>
      <c r="V368" s="181"/>
      <c r="W368" s="181"/>
      <c r="Y368" s="127"/>
      <c r="Z368" s="100"/>
      <c r="AA368" s="100"/>
      <c r="AB368" s="100"/>
      <c r="AC368" s="100"/>
      <c r="AD368" s="100"/>
      <c r="AE368" s="100"/>
      <c r="AF368" s="100"/>
      <c r="AG368" s="100"/>
      <c r="AH368" s="100"/>
      <c r="AI368" s="100"/>
      <c r="AJ368" s="100"/>
      <c r="AK368" s="100"/>
      <c r="AL368" s="100"/>
      <c r="AM368" s="100"/>
      <c r="AN368" s="100"/>
      <c r="AO368" s="100"/>
      <c r="AP368" s="100"/>
      <c r="AQ368" s="100"/>
      <c r="AR368" s="100"/>
      <c r="AS368" s="100"/>
      <c r="AT368" s="100"/>
      <c r="AU368" s="100"/>
      <c r="AV368" s="100"/>
      <c r="AW368" s="100"/>
      <c r="AX368" s="100"/>
      <c r="AY368" s="100"/>
      <c r="AZ368" s="129"/>
      <c r="BA368" s="411"/>
      <c r="BB368" s="146"/>
      <c r="BC368" s="146"/>
      <c r="BD368" s="146"/>
      <c r="BE368" s="146"/>
      <c r="BF368" s="146"/>
      <c r="BG368" s="146"/>
      <c r="BH368" s="146"/>
      <c r="BI368" s="146"/>
      <c r="BJ368" s="146"/>
      <c r="BK368" s="146"/>
      <c r="BL368" s="147"/>
      <c r="BM368" s="148"/>
      <c r="BN368" s="148"/>
      <c r="BO368" s="148"/>
      <c r="BP368" s="148"/>
      <c r="BQ368" s="148"/>
      <c r="BR368" s="148"/>
      <c r="BS368" s="148"/>
      <c r="BT368" s="148"/>
      <c r="BU368" s="148"/>
      <c r="BV368" s="148"/>
      <c r="BW368" s="148"/>
      <c r="BX368" s="148"/>
      <c r="BY368" s="148"/>
      <c r="BZ368" s="148"/>
      <c r="CA368" s="148"/>
      <c r="CB368" s="148"/>
    </row>
    <row r="369" spans="2:23" ht="15" customHeight="1" thickBot="1">
      <c r="B369" s="839" t="s">
        <v>1306</v>
      </c>
      <c r="C369" s="839"/>
      <c r="D369" s="839"/>
      <c r="E369" s="839"/>
      <c r="F369" s="839"/>
      <c r="G369" s="839"/>
      <c r="H369" s="839"/>
      <c r="I369" s="839"/>
      <c r="J369" s="839"/>
      <c r="K369" s="839"/>
      <c r="L369" s="835" t="s">
        <v>7</v>
      </c>
      <c r="M369" s="835"/>
      <c r="N369" s="835"/>
      <c r="P369" s="189"/>
      <c r="Q369" s="181"/>
      <c r="R369" s="181"/>
      <c r="S369" s="181"/>
      <c r="T369" s="181"/>
      <c r="U369" s="181"/>
      <c r="V369" s="181"/>
      <c r="W369" s="181"/>
    </row>
    <row r="370" spans="2:23" ht="15" customHeight="1" thickBot="1">
      <c r="B370" s="839" t="s">
        <v>1665</v>
      </c>
      <c r="C370" s="839"/>
      <c r="D370" s="839"/>
      <c r="E370" s="839"/>
      <c r="F370" s="839"/>
      <c r="G370" s="839"/>
      <c r="H370" s="839"/>
      <c r="I370" s="839"/>
      <c r="J370" s="839"/>
      <c r="K370" s="839"/>
      <c r="L370" s="836"/>
      <c r="M370" s="836"/>
      <c r="N370" s="836"/>
      <c r="P370" s="189"/>
      <c r="Q370" s="181"/>
      <c r="R370" s="181"/>
      <c r="S370" s="181"/>
      <c r="T370" s="181"/>
      <c r="U370" s="181"/>
      <c r="V370" s="181"/>
      <c r="W370" s="181"/>
    </row>
    <row r="371" spans="2:23" ht="6" customHeight="1" thickBot="1">
      <c r="E371" s="332"/>
      <c r="F371" s="332"/>
      <c r="L371" s="332"/>
      <c r="M371" s="332"/>
      <c r="P371" s="189"/>
      <c r="Q371" s="181"/>
      <c r="R371" s="181"/>
      <c r="S371" s="181"/>
      <c r="T371" s="181"/>
      <c r="U371" s="181"/>
      <c r="V371" s="181"/>
      <c r="W371" s="181"/>
    </row>
    <row r="372" spans="2:23" ht="30" customHeight="1" thickBot="1">
      <c r="B372" s="840" t="s">
        <v>1958</v>
      </c>
      <c r="C372" s="840"/>
      <c r="D372" s="840"/>
      <c r="E372" s="840"/>
      <c r="F372" s="840"/>
      <c r="G372" s="840"/>
      <c r="H372" s="840"/>
      <c r="I372" s="840"/>
      <c r="J372" s="840"/>
      <c r="K372" s="840"/>
      <c r="L372" s="840"/>
      <c r="M372" s="840"/>
      <c r="N372" s="840"/>
      <c r="P372" s="189"/>
      <c r="Q372" s="181"/>
      <c r="R372" s="181"/>
      <c r="S372" s="181"/>
      <c r="T372" s="181"/>
      <c r="U372" s="181"/>
      <c r="V372" s="181"/>
      <c r="W372" s="181"/>
    </row>
    <row r="373" spans="2:23" ht="6" customHeight="1" thickBot="1">
      <c r="B373" s="406"/>
      <c r="C373" s="406"/>
      <c r="D373" s="406"/>
      <c r="E373" s="407"/>
      <c r="F373" s="407"/>
      <c r="G373" s="406"/>
      <c r="H373" s="406"/>
      <c r="I373" s="406"/>
      <c r="J373" s="406"/>
      <c r="K373" s="406"/>
      <c r="L373" s="407"/>
      <c r="M373" s="407"/>
      <c r="P373" s="189"/>
      <c r="Q373" s="181"/>
      <c r="R373" s="181"/>
      <c r="S373" s="181"/>
      <c r="T373" s="181"/>
      <c r="U373" s="181"/>
      <c r="V373" s="181"/>
      <c r="W373" s="181"/>
    </row>
    <row r="374" spans="2:23" ht="15" customHeight="1" thickBot="1">
      <c r="B374" s="839" t="s">
        <v>1959</v>
      </c>
      <c r="C374" s="839"/>
      <c r="D374" s="839"/>
      <c r="E374" s="839"/>
      <c r="F374" s="839"/>
      <c r="G374" s="839"/>
      <c r="H374" s="839"/>
      <c r="I374" s="839"/>
      <c r="J374" s="839"/>
      <c r="K374" s="839"/>
      <c r="L374" s="835" t="s">
        <v>7</v>
      </c>
      <c r="M374" s="835"/>
      <c r="N374" s="835"/>
      <c r="P374" s="189"/>
      <c r="Q374" s="181"/>
      <c r="R374" s="181"/>
      <c r="S374" s="181"/>
      <c r="T374" s="181"/>
      <c r="U374" s="181"/>
      <c r="V374" s="181"/>
      <c r="W374" s="181"/>
    </row>
    <row r="375" spans="2:23" ht="6" customHeight="1" thickBot="1">
      <c r="B375" s="406"/>
      <c r="C375" s="406"/>
      <c r="D375" s="406"/>
      <c r="E375" s="407"/>
      <c r="F375" s="407"/>
      <c r="G375" s="406"/>
      <c r="H375" s="406"/>
      <c r="I375" s="406"/>
      <c r="J375" s="406"/>
      <c r="K375" s="406"/>
      <c r="L375" s="407"/>
      <c r="M375" s="407"/>
      <c r="P375" s="189"/>
      <c r="Q375" s="181"/>
      <c r="R375" s="181"/>
      <c r="S375" s="181"/>
      <c r="T375" s="181"/>
      <c r="U375" s="181"/>
      <c r="V375" s="181"/>
      <c r="W375" s="181"/>
    </row>
    <row r="376" spans="2:23" ht="15" customHeight="1" thickBot="1">
      <c r="B376" s="839" t="s">
        <v>1955</v>
      </c>
      <c r="C376" s="839"/>
      <c r="D376" s="839"/>
      <c r="E376" s="839"/>
      <c r="F376" s="839"/>
      <c r="G376" s="839"/>
      <c r="H376" s="839"/>
      <c r="I376" s="839"/>
      <c r="J376" s="839"/>
      <c r="K376" s="839"/>
      <c r="L376" s="835" t="s">
        <v>7</v>
      </c>
      <c r="M376" s="835"/>
      <c r="N376" s="835"/>
      <c r="P376" s="189"/>
      <c r="Q376" s="181"/>
      <c r="R376" s="181"/>
      <c r="S376" s="181"/>
      <c r="T376" s="181"/>
      <c r="U376" s="181"/>
      <c r="V376" s="181"/>
      <c r="W376" s="181"/>
    </row>
    <row r="377" spans="2:23" ht="15" customHeight="1" thickBot="1">
      <c r="B377" s="839" t="s">
        <v>1956</v>
      </c>
      <c r="C377" s="839"/>
      <c r="D377" s="839"/>
      <c r="E377" s="839"/>
      <c r="F377" s="839"/>
      <c r="G377" s="839"/>
      <c r="H377" s="839"/>
      <c r="I377" s="839"/>
      <c r="J377" s="839"/>
      <c r="K377" s="839"/>
      <c r="L377" s="835" t="s">
        <v>7</v>
      </c>
      <c r="M377" s="835"/>
      <c r="N377" s="835"/>
    </row>
    <row r="378" spans="2:23" ht="15" customHeight="1" thickBot="1">
      <c r="B378" s="839" t="s">
        <v>1957</v>
      </c>
      <c r="C378" s="839"/>
      <c r="D378" s="839"/>
      <c r="E378" s="839"/>
      <c r="F378" s="839"/>
      <c r="G378" s="839"/>
      <c r="H378" s="839"/>
      <c r="I378" s="839"/>
      <c r="J378" s="839"/>
      <c r="K378" s="839"/>
      <c r="L378" s="835" t="s">
        <v>7</v>
      </c>
      <c r="M378" s="835"/>
      <c r="N378" s="835"/>
    </row>
    <row r="379" spans="2:23" ht="15" customHeight="1" thickBot="1">
      <c r="L379" s="332"/>
      <c r="M379" s="332"/>
    </row>
    <row r="380" spans="2:23" ht="15" customHeight="1" thickBot="1">
      <c r="L380" s="332"/>
      <c r="M380" s="332"/>
    </row>
    <row r="381" spans="2:23" ht="15" customHeight="1" thickBot="1">
      <c r="G381" s="128"/>
      <c r="H381" s="128"/>
      <c r="I381" s="128"/>
      <c r="J381" s="128"/>
      <c r="L381" s="332"/>
      <c r="M381" s="332"/>
    </row>
    <row r="382" spans="2:23" ht="15" customHeight="1" thickBot="1">
      <c r="G382" s="128"/>
      <c r="H382" s="128"/>
      <c r="I382" s="128"/>
      <c r="J382" s="128"/>
      <c r="L382" s="332"/>
      <c r="M382" s="332"/>
    </row>
    <row r="394" spans="12:13" ht="15" customHeight="1" thickBot="1">
      <c r="L394" s="332"/>
      <c r="M394" s="332"/>
    </row>
    <row r="395" spans="12:13" ht="15" customHeight="1" thickBot="1">
      <c r="L395" s="332"/>
      <c r="M395" s="332"/>
    </row>
    <row r="396" spans="12:13" ht="15" customHeight="1" thickBot="1">
      <c r="L396" s="332"/>
      <c r="M396" s="332"/>
    </row>
    <row r="397" spans="12:13" ht="15" customHeight="1" thickBot="1">
      <c r="L397" s="332"/>
      <c r="M397" s="332"/>
    </row>
    <row r="398" spans="12:13" ht="15" customHeight="1" thickBot="1">
      <c r="L398" s="332"/>
      <c r="M398" s="332"/>
    </row>
    <row r="399" spans="12:13" ht="15" customHeight="1" thickBot="1">
      <c r="L399" s="332"/>
      <c r="M399" s="332"/>
    </row>
  </sheetData>
  <sheetProtection algorithmName="SHA-512" hashValue="Vml7l3+z0RTCfrQeui/Oh3d9APf0RJVJ741op9zWBqdY5UnoJ6gBwE00vKmg0hekkoNIc7nd9KVPDA9zp9Pphg==" saltValue="hjrAlQw5xKvKopwURQNuuA==" spinCount="100000" sheet="1" objects="1" scenarios="1" selectLockedCells="1"/>
  <mergeCells count="989">
    <mergeCell ref="BB172:BJ172"/>
    <mergeCell ref="BB173:BJ173"/>
    <mergeCell ref="BB155:BJ155"/>
    <mergeCell ref="BB164:BJ164"/>
    <mergeCell ref="BB165:BJ165"/>
    <mergeCell ref="BB166:BJ166"/>
    <mergeCell ref="BB167:BJ167"/>
    <mergeCell ref="BB168:BJ168"/>
    <mergeCell ref="BB169:BJ169"/>
    <mergeCell ref="BB170:BJ170"/>
    <mergeCell ref="BB171:BJ171"/>
    <mergeCell ref="BB146:BJ146"/>
    <mergeCell ref="BB147:BJ147"/>
    <mergeCell ref="BB148:BJ148"/>
    <mergeCell ref="BB149:BJ149"/>
    <mergeCell ref="BB150:BJ150"/>
    <mergeCell ref="BB151:BJ151"/>
    <mergeCell ref="BB152:BJ152"/>
    <mergeCell ref="BB153:BJ153"/>
    <mergeCell ref="BB154:BJ154"/>
    <mergeCell ref="BB129:BJ129"/>
    <mergeCell ref="BB130:BJ130"/>
    <mergeCell ref="BB131:BJ131"/>
    <mergeCell ref="BB132:BJ132"/>
    <mergeCell ref="BB133:BJ133"/>
    <mergeCell ref="BB134:BJ134"/>
    <mergeCell ref="BB135:BJ135"/>
    <mergeCell ref="BB136:BJ136"/>
    <mergeCell ref="BB137:BJ137"/>
    <mergeCell ref="BB112:BJ112"/>
    <mergeCell ref="BB113:BJ113"/>
    <mergeCell ref="BB114:BJ114"/>
    <mergeCell ref="BB115:BJ115"/>
    <mergeCell ref="BB116:BJ116"/>
    <mergeCell ref="BB117:BJ117"/>
    <mergeCell ref="BB118:BJ118"/>
    <mergeCell ref="BB119:BJ119"/>
    <mergeCell ref="BB128:BJ128"/>
    <mergeCell ref="P76:X76"/>
    <mergeCell ref="AE181:AE190"/>
    <mergeCell ref="Z82:AD82"/>
    <mergeCell ref="AX92:AX93"/>
    <mergeCell ref="AC194:AE194"/>
    <mergeCell ref="AM194:AO194"/>
    <mergeCell ref="AY94:AY95"/>
    <mergeCell ref="AY92:AY93"/>
    <mergeCell ref="AX94:AX95"/>
    <mergeCell ref="AI88:AU88"/>
    <mergeCell ref="AC126:AC127"/>
    <mergeCell ref="Z93:AG93"/>
    <mergeCell ref="W88:W89"/>
    <mergeCell ref="V78:V79"/>
    <mergeCell ref="AC181:AC190"/>
    <mergeCell ref="Q194:R194"/>
    <mergeCell ref="AX88:AY91"/>
    <mergeCell ref="AI86:AU86"/>
    <mergeCell ref="U78:U79"/>
    <mergeCell ref="P88:P89"/>
    <mergeCell ref="P78:P79"/>
    <mergeCell ref="Q78:Q79"/>
    <mergeCell ref="R78:R79"/>
    <mergeCell ref="S78:S79"/>
    <mergeCell ref="BB2:BE2"/>
    <mergeCell ref="BB4:BF5"/>
    <mergeCell ref="X78:X79"/>
    <mergeCell ref="AB13:AD13"/>
    <mergeCell ref="AB30:AD30"/>
    <mergeCell ref="AB9:AD11"/>
    <mergeCell ref="AI44:AL44"/>
    <mergeCell ref="BA26:BA28"/>
    <mergeCell ref="BA18:BA20"/>
    <mergeCell ref="Z44:AG44"/>
    <mergeCell ref="AM10:AO10"/>
    <mergeCell ref="AP10:AQ10"/>
    <mergeCell ref="AG30:AH30"/>
    <mergeCell ref="Z52:AG52"/>
    <mergeCell ref="AI63:AU63"/>
    <mergeCell ref="AD63:AE63"/>
    <mergeCell ref="AC70:AE70"/>
    <mergeCell ref="BB7:BJ7"/>
    <mergeCell ref="BB9:BJ9"/>
    <mergeCell ref="P2:X2"/>
    <mergeCell ref="BB46:BJ52"/>
    <mergeCell ref="AI78:AU78"/>
    <mergeCell ref="BB54:BJ94"/>
    <mergeCell ref="P66:X66"/>
    <mergeCell ref="W68:W69"/>
    <mergeCell ref="M332:N332"/>
    <mergeCell ref="M321:N321"/>
    <mergeCell ref="B317:N317"/>
    <mergeCell ref="H301:I301"/>
    <mergeCell ref="H302:I302"/>
    <mergeCell ref="H303:I303"/>
    <mergeCell ref="H304:I304"/>
    <mergeCell ref="H305:I305"/>
    <mergeCell ref="H314:I314"/>
    <mergeCell ref="H313:I313"/>
    <mergeCell ref="M331:N331"/>
    <mergeCell ref="H332:I332"/>
    <mergeCell ref="M310:N310"/>
    <mergeCell ref="M314:N314"/>
    <mergeCell ref="C310:G310"/>
    <mergeCell ref="C302:G302"/>
    <mergeCell ref="M315:N315"/>
    <mergeCell ref="M312:N312"/>
    <mergeCell ref="M313:N313"/>
    <mergeCell ref="H310:I310"/>
    <mergeCell ref="H311:I311"/>
    <mergeCell ref="H312:I312"/>
    <mergeCell ref="C301:G301"/>
    <mergeCell ref="H329:I329"/>
    <mergeCell ref="P353:Z353"/>
    <mergeCell ref="P360:Z360"/>
    <mergeCell ref="B362:K362"/>
    <mergeCell ref="B343:E343"/>
    <mergeCell ref="B344:E344"/>
    <mergeCell ref="M320:N320"/>
    <mergeCell ref="B337:K337"/>
    <mergeCell ref="M323:N323"/>
    <mergeCell ref="M324:N324"/>
    <mergeCell ref="B341:K341"/>
    <mergeCell ref="P339:Z339"/>
    <mergeCell ref="Y335:Z335"/>
    <mergeCell ref="F344:G344"/>
    <mergeCell ref="L344:N344"/>
    <mergeCell ref="L343:N343"/>
    <mergeCell ref="F357:G357"/>
    <mergeCell ref="L357:N357"/>
    <mergeCell ref="F358:G358"/>
    <mergeCell ref="L358:N358"/>
    <mergeCell ref="Y328:Y333"/>
    <mergeCell ref="H331:I331"/>
    <mergeCell ref="P346:Z346"/>
    <mergeCell ref="M333:N333"/>
    <mergeCell ref="H333:I333"/>
    <mergeCell ref="BB251:BJ251"/>
    <mergeCell ref="Y236:Z236"/>
    <mergeCell ref="AA237:AA238"/>
    <mergeCell ref="AG257:AG258"/>
    <mergeCell ref="P267:AY267"/>
    <mergeCell ref="B271:K271"/>
    <mergeCell ref="P241:Q241"/>
    <mergeCell ref="V241:W241"/>
    <mergeCell ref="P245:W245"/>
    <mergeCell ref="P247:W247"/>
    <mergeCell ref="V243:W243"/>
    <mergeCell ref="S249:U249"/>
    <mergeCell ref="S256:V256"/>
    <mergeCell ref="S252:U252"/>
    <mergeCell ref="T242:U242"/>
    <mergeCell ref="H258:K258"/>
    <mergeCell ref="L258:N258"/>
    <mergeCell ref="L256:N256"/>
    <mergeCell ref="L257:N257"/>
    <mergeCell ref="H257:K257"/>
    <mergeCell ref="AG250:AG252"/>
    <mergeCell ref="V263:W263"/>
    <mergeCell ref="V251:W251"/>
    <mergeCell ref="V250:W250"/>
    <mergeCell ref="H330:I330"/>
    <mergeCell ref="B326:N326"/>
    <mergeCell ref="H321:I321"/>
    <mergeCell ref="H322:I322"/>
    <mergeCell ref="H323:I323"/>
    <mergeCell ref="H324:I324"/>
    <mergeCell ref="M322:N322"/>
    <mergeCell ref="M330:N330"/>
    <mergeCell ref="C328:G328"/>
    <mergeCell ref="C322:G322"/>
    <mergeCell ref="C323:G323"/>
    <mergeCell ref="M328:N328"/>
    <mergeCell ref="M329:N329"/>
    <mergeCell ref="P326:AY326"/>
    <mergeCell ref="H328:I328"/>
    <mergeCell ref="M319:N319"/>
    <mergeCell ref="Y301:Y306"/>
    <mergeCell ref="Y310:Y315"/>
    <mergeCell ref="Y319:Y324"/>
    <mergeCell ref="P299:AY299"/>
    <mergeCell ref="P293:AY293"/>
    <mergeCell ref="P297:AY297"/>
    <mergeCell ref="P317:AY317"/>
    <mergeCell ref="P308:AY308"/>
    <mergeCell ref="B308:N308"/>
    <mergeCell ref="H306:I306"/>
    <mergeCell ref="H287:I287"/>
    <mergeCell ref="B289:K289"/>
    <mergeCell ref="B291:D291"/>
    <mergeCell ref="L287:N287"/>
    <mergeCell ref="L289:N289"/>
    <mergeCell ref="L291:N291"/>
    <mergeCell ref="B293:N293"/>
    <mergeCell ref="L295:N295"/>
    <mergeCell ref="M302:N302"/>
    <mergeCell ref="M303:N303"/>
    <mergeCell ref="M304:N304"/>
    <mergeCell ref="M305:N305"/>
    <mergeCell ref="M306:N306"/>
    <mergeCell ref="E291:F291"/>
    <mergeCell ref="J287:K287"/>
    <mergeCell ref="B297:N297"/>
    <mergeCell ref="B299:N299"/>
    <mergeCell ref="B295:K295"/>
    <mergeCell ref="M311:N311"/>
    <mergeCell ref="H291:I291"/>
    <mergeCell ref="T243:U243"/>
    <mergeCell ref="P242:Q242"/>
    <mergeCell ref="P243:Q243"/>
    <mergeCell ref="Y254:AY254"/>
    <mergeCell ref="Y247:AY247"/>
    <mergeCell ref="AJ243:AK243"/>
    <mergeCell ref="AY237:AY243"/>
    <mergeCell ref="AX237:AX243"/>
    <mergeCell ref="AG237:AG243"/>
    <mergeCell ref="Y243:Z243"/>
    <mergeCell ref="S250:U250"/>
    <mergeCell ref="V242:W242"/>
    <mergeCell ref="T238:U238"/>
    <mergeCell ref="V237:W237"/>
    <mergeCell ref="V238:W238"/>
    <mergeCell ref="T237:U237"/>
    <mergeCell ref="AW250:AW252"/>
    <mergeCell ref="AY250:AY252"/>
    <mergeCell ref="V249:W249"/>
    <mergeCell ref="B275:K275"/>
    <mergeCell ref="AD263:AE263"/>
    <mergeCell ref="AW263:AX263"/>
    <mergeCell ref="AW257:AW259"/>
    <mergeCell ref="V252:W252"/>
    <mergeCell ref="P254:W254"/>
    <mergeCell ref="S251:U251"/>
    <mergeCell ref="B283:D283"/>
    <mergeCell ref="E283:F283"/>
    <mergeCell ref="H283:I283"/>
    <mergeCell ref="L283:N283"/>
    <mergeCell ref="J291:K291"/>
    <mergeCell ref="Y261:AY261"/>
    <mergeCell ref="P261:W261"/>
    <mergeCell ref="B285:K285"/>
    <mergeCell ref="J283:K283"/>
    <mergeCell ref="H279:I279"/>
    <mergeCell ref="P273:AY273"/>
    <mergeCell ref="P275:Q275"/>
    <mergeCell ref="S263:U263"/>
    <mergeCell ref="S257:V257"/>
    <mergeCell ref="L252:N252"/>
    <mergeCell ref="L271:N271"/>
    <mergeCell ref="H251:K251"/>
    <mergeCell ref="L251:N251"/>
    <mergeCell ref="C251:D251"/>
    <mergeCell ref="BB249:BJ250"/>
    <mergeCell ref="AX214:AX224"/>
    <mergeCell ref="BB223:BJ223"/>
    <mergeCell ref="BB224:BJ224"/>
    <mergeCell ref="BB229:BJ229"/>
    <mergeCell ref="BB231:BJ231"/>
    <mergeCell ref="BB232:BJ232"/>
    <mergeCell ref="BB230:BJ230"/>
    <mergeCell ref="AJ226:AX226"/>
    <mergeCell ref="AN237:AN243"/>
    <mergeCell ref="AR214:AR224"/>
    <mergeCell ref="Y245:AY245"/>
    <mergeCell ref="BB216:BJ216"/>
    <mergeCell ref="Y242:Z242"/>
    <mergeCell ref="BB217:BJ217"/>
    <mergeCell ref="BB218:BJ218"/>
    <mergeCell ref="BB219:BJ219"/>
    <mergeCell ref="AG211:AG219"/>
    <mergeCell ref="AG220:AG232"/>
    <mergeCell ref="Y226:AE226"/>
    <mergeCell ref="AJ211:AX211"/>
    <mergeCell ref="AE237:AE243"/>
    <mergeCell ref="AC214:AC224"/>
    <mergeCell ref="BB192:BJ208"/>
    <mergeCell ref="AW194:AX194"/>
    <mergeCell ref="AI122:AU122"/>
    <mergeCell ref="AX98:AY101"/>
    <mergeCell ref="AY211:AY219"/>
    <mergeCell ref="AT194:AV194"/>
    <mergeCell ref="BB214:BJ214"/>
    <mergeCell ref="BB215:BJ215"/>
    <mergeCell ref="AI194:AI207"/>
    <mergeCell ref="BB96:BJ102"/>
    <mergeCell ref="AI96:AU96"/>
    <mergeCell ref="AW214:AW224"/>
    <mergeCell ref="BB220:BJ220"/>
    <mergeCell ref="BB221:BJ221"/>
    <mergeCell ref="BB222:BJ222"/>
    <mergeCell ref="BB190:BJ190"/>
    <mergeCell ref="AI145:AU147"/>
    <mergeCell ref="AM197:AO197"/>
    <mergeCell ref="AT197:AV197"/>
    <mergeCell ref="AY197:AY205"/>
    <mergeCell ref="AM201:AO201"/>
    <mergeCell ref="AT201:AV201"/>
    <mergeCell ref="BB110:BJ110"/>
    <mergeCell ref="BB111:BJ111"/>
    <mergeCell ref="AG86:AG91"/>
    <mergeCell ref="AB12:AE12"/>
    <mergeCell ref="AS17:AY17"/>
    <mergeCell ref="AS18:AS21"/>
    <mergeCell ref="AU23:AU25"/>
    <mergeCell ref="AB24:AD24"/>
    <mergeCell ref="AB17:AC17"/>
    <mergeCell ref="AW28:AY29"/>
    <mergeCell ref="AU18:AU21"/>
    <mergeCell ref="AG56:AG61"/>
    <mergeCell ref="AG48:AG49"/>
    <mergeCell ref="AP22:AQ22"/>
    <mergeCell ref="AP23:AQ23"/>
    <mergeCell ref="AJ58:AL58"/>
    <mergeCell ref="B31:D31"/>
    <mergeCell ref="L58:L59"/>
    <mergeCell ref="M58:M59"/>
    <mergeCell ref="Z68:AE69"/>
    <mergeCell ref="AC76:AD76"/>
    <mergeCell ref="Z72:AD72"/>
    <mergeCell ref="AC74:AD74"/>
    <mergeCell ref="AC73:AD73"/>
    <mergeCell ref="B68:B69"/>
    <mergeCell ref="B76:N76"/>
    <mergeCell ref="C61:I61"/>
    <mergeCell ref="B58:B59"/>
    <mergeCell ref="L48:L49"/>
    <mergeCell ref="M48:M49"/>
    <mergeCell ref="J58:K58"/>
    <mergeCell ref="B36:D36"/>
    <mergeCell ref="E38:G38"/>
    <mergeCell ref="E39:G39"/>
    <mergeCell ref="T68:T69"/>
    <mergeCell ref="N68:N69"/>
    <mergeCell ref="B56:N56"/>
    <mergeCell ref="N58:N59"/>
    <mergeCell ref="J68:K68"/>
    <mergeCell ref="Z63:AA63"/>
    <mergeCell ref="BA14:BA15"/>
    <mergeCell ref="BA16:BA17"/>
    <mergeCell ref="AE48:AE49"/>
    <mergeCell ref="Z51:AD51"/>
    <mergeCell ref="AB32:AD32"/>
    <mergeCell ref="AD48:AD49"/>
    <mergeCell ref="AC48:AC49"/>
    <mergeCell ref="AA48:AB49"/>
    <mergeCell ref="R88:R89"/>
    <mergeCell ref="V88:V89"/>
    <mergeCell ref="X88:X89"/>
    <mergeCell ref="BA21:BA25"/>
    <mergeCell ref="AB19:AD19"/>
    <mergeCell ref="AB27:AD27"/>
    <mergeCell ref="AW18:AY27"/>
    <mergeCell ref="AV18:AV27"/>
    <mergeCell ref="AV28:AV29"/>
    <mergeCell ref="T78:T79"/>
    <mergeCell ref="Z46:AD46"/>
    <mergeCell ref="AG68:AG69"/>
    <mergeCell ref="Z83:AG83"/>
    <mergeCell ref="AC78:AD78"/>
    <mergeCell ref="AC80:AD80"/>
    <mergeCell ref="AG74:AG80"/>
    <mergeCell ref="W58:W59"/>
    <mergeCell ref="AL237:AL238"/>
    <mergeCell ref="AJ236:AK236"/>
    <mergeCell ref="AC237:AC243"/>
    <mergeCell ref="AV228:AV232"/>
    <mergeCell ref="Q217:R217"/>
    <mergeCell ref="AD229:AD232"/>
    <mergeCell ref="AC229:AC232"/>
    <mergeCell ref="Y237:Y238"/>
    <mergeCell ref="Y234:AY234"/>
    <mergeCell ref="AY220:AY232"/>
    <mergeCell ref="AX229:AX232"/>
    <mergeCell ref="P209:W209"/>
    <mergeCell ref="AJ237:AJ238"/>
    <mergeCell ref="AJ241:AK241"/>
    <mergeCell ref="AJ242:AK242"/>
    <mergeCell ref="P236:Q236"/>
    <mergeCell ref="Q229:R229"/>
    <mergeCell ref="Y211:AE211"/>
    <mergeCell ref="Y241:Z241"/>
    <mergeCell ref="S88:S89"/>
    <mergeCell ref="T88:T89"/>
    <mergeCell ref="W78:W79"/>
    <mergeCell ref="Q88:Q89"/>
    <mergeCell ref="T241:U241"/>
    <mergeCell ref="K222:L222"/>
    <mergeCell ref="K232:L232"/>
    <mergeCell ref="I232:J232"/>
    <mergeCell ref="I219:J219"/>
    <mergeCell ref="M217:N217"/>
    <mergeCell ref="M219:N219"/>
    <mergeCell ref="K220:L220"/>
    <mergeCell ref="M220:N220"/>
    <mergeCell ref="M231:N231"/>
    <mergeCell ref="M232:N232"/>
    <mergeCell ref="J236:N236"/>
    <mergeCell ref="I229:J229"/>
    <mergeCell ref="Q220:R220"/>
    <mergeCell ref="Q221:R221"/>
    <mergeCell ref="Q232:R232"/>
    <mergeCell ref="Q231:R231"/>
    <mergeCell ref="Q230:R230"/>
    <mergeCell ref="P226:W226"/>
    <mergeCell ref="V236:W236"/>
    <mergeCell ref="P237:P238"/>
    <mergeCell ref="P234:W234"/>
    <mergeCell ref="Q228:R228"/>
    <mergeCell ref="T236:U236"/>
    <mergeCell ref="Q216:R216"/>
    <mergeCell ref="Q218:R218"/>
    <mergeCell ref="Q219:R219"/>
    <mergeCell ref="Q214:R214"/>
    <mergeCell ref="Q224:R224"/>
    <mergeCell ref="P96:X96"/>
    <mergeCell ref="AC96:AE96"/>
    <mergeCell ref="Z96:AB96"/>
    <mergeCell ref="Q195:R195"/>
    <mergeCell ref="Y201:AA201"/>
    <mergeCell ref="Q202:R202"/>
    <mergeCell ref="Q197:R197"/>
    <mergeCell ref="Q201:R201"/>
    <mergeCell ref="Q204:R204"/>
    <mergeCell ref="Q205:R205"/>
    <mergeCell ref="Q203:R203"/>
    <mergeCell ref="P211:W211"/>
    <mergeCell ref="Q222:R222"/>
    <mergeCell ref="Q223:R223"/>
    <mergeCell ref="Q213:R213"/>
    <mergeCell ref="Q196:R196"/>
    <mergeCell ref="AE108:AE109"/>
    <mergeCell ref="AB108:AB109"/>
    <mergeCell ref="Y209:AY209"/>
    <mergeCell ref="AD4:AD5"/>
    <mergeCell ref="P4:P5"/>
    <mergeCell ref="Q4:Q5"/>
    <mergeCell ref="S5:T5"/>
    <mergeCell ref="P7:AY7"/>
    <mergeCell ref="AY4:AY5"/>
    <mergeCell ref="U4:V5"/>
    <mergeCell ref="R9:S9"/>
    <mergeCell ref="W4:W5"/>
    <mergeCell ref="S4:T4"/>
    <mergeCell ref="AX4:AX5"/>
    <mergeCell ref="AE4:AE5"/>
    <mergeCell ref="AG4:AG5"/>
    <mergeCell ref="AV4:AV5"/>
    <mergeCell ref="Y4:AB5"/>
    <mergeCell ref="AW4:AW5"/>
    <mergeCell ref="AJ4:AU5"/>
    <mergeCell ref="AG9:AI9"/>
    <mergeCell ref="AM9:AQ9"/>
    <mergeCell ref="X4:X5"/>
    <mergeCell ref="V9:W9"/>
    <mergeCell ref="P9:Q9"/>
    <mergeCell ref="T9:U9"/>
    <mergeCell ref="AC4:AC5"/>
    <mergeCell ref="B88:B89"/>
    <mergeCell ref="V162:W162"/>
    <mergeCell ref="Y181:Y190"/>
    <mergeCell ref="AA181:AA190"/>
    <mergeCell ref="V181:V190"/>
    <mergeCell ref="Q199:R199"/>
    <mergeCell ref="Q198:R198"/>
    <mergeCell ref="Y162:Y163"/>
    <mergeCell ref="Y192:AY192"/>
    <mergeCell ref="Y194:AA194"/>
    <mergeCell ref="U162:U163"/>
    <mergeCell ref="AE162:AE163"/>
    <mergeCell ref="AB162:AB163"/>
    <mergeCell ref="AC162:AC163"/>
    <mergeCell ref="AD162:AD163"/>
    <mergeCell ref="Z162:Z163"/>
    <mergeCell ref="P178:AH178"/>
    <mergeCell ref="AX195:AX205"/>
    <mergeCell ref="AA162:AA163"/>
    <mergeCell ref="AF162:AF163"/>
    <mergeCell ref="S162:S163"/>
    <mergeCell ref="AG181:AG190"/>
    <mergeCell ref="AH181:AH190"/>
    <mergeCell ref="AB181:AB190"/>
    <mergeCell ref="C40:D40"/>
    <mergeCell ref="C42:N42"/>
    <mergeCell ref="E40:G40"/>
    <mergeCell ref="B44:N44"/>
    <mergeCell ref="B46:N46"/>
    <mergeCell ref="S48:S49"/>
    <mergeCell ref="J48:K48"/>
    <mergeCell ref="B66:N66"/>
    <mergeCell ref="N48:N49"/>
    <mergeCell ref="E9:M9"/>
    <mergeCell ref="E13:M13"/>
    <mergeCell ref="F5:H5"/>
    <mergeCell ref="L4:N5"/>
    <mergeCell ref="B7:N7"/>
    <mergeCell ref="B9:D9"/>
    <mergeCell ref="B10:D10"/>
    <mergeCell ref="B4:B5"/>
    <mergeCell ref="E11:M11"/>
    <mergeCell ref="F4:H4"/>
    <mergeCell ref="C4:D5"/>
    <mergeCell ref="E12:M12"/>
    <mergeCell ref="B11:D11"/>
    <mergeCell ref="B12:D12"/>
    <mergeCell ref="B13:D13"/>
    <mergeCell ref="I4:J5"/>
    <mergeCell ref="K4:K5"/>
    <mergeCell ref="E10:M10"/>
    <mergeCell ref="B78:B79"/>
    <mergeCell ref="L68:L69"/>
    <mergeCell ref="E21:M25"/>
    <mergeCell ref="E29:M30"/>
    <mergeCell ref="B54:N54"/>
    <mergeCell ref="M78:M79"/>
    <mergeCell ref="J78:K78"/>
    <mergeCell ref="C48:I49"/>
    <mergeCell ref="C50:I50"/>
    <mergeCell ref="C52:I52"/>
    <mergeCell ref="C51:I51"/>
    <mergeCell ref="C58:I59"/>
    <mergeCell ref="C73:I73"/>
    <mergeCell ref="C74:I74"/>
    <mergeCell ref="C78:I79"/>
    <mergeCell ref="M68:M69"/>
    <mergeCell ref="L40:N40"/>
    <mergeCell ref="H40:K40"/>
    <mergeCell ref="H39:K39"/>
    <mergeCell ref="N78:N79"/>
    <mergeCell ref="B29:D30"/>
    <mergeCell ref="C37:D37"/>
    <mergeCell ref="C38:D38"/>
    <mergeCell ref="C39:D39"/>
    <mergeCell ref="H37:K37"/>
    <mergeCell ref="E36:G36"/>
    <mergeCell ref="E37:G37"/>
    <mergeCell ref="E18:M20"/>
    <mergeCell ref="N18:N20"/>
    <mergeCell ref="U48:U49"/>
    <mergeCell ref="P44:X44"/>
    <mergeCell ref="P41:P42"/>
    <mergeCell ref="P48:P49"/>
    <mergeCell ref="R48:R49"/>
    <mergeCell ref="N21:N25"/>
    <mergeCell ref="V24:W24"/>
    <mergeCell ref="T24:U24"/>
    <mergeCell ref="R24:S24"/>
    <mergeCell ref="E31:M31"/>
    <mergeCell ref="K229:L229"/>
    <mergeCell ref="G222:H222"/>
    <mergeCell ref="G223:H223"/>
    <mergeCell ref="G228:H228"/>
    <mergeCell ref="G224:H224"/>
    <mergeCell ref="P56:X56"/>
    <mergeCell ref="Q41:Q42"/>
    <mergeCell ref="T48:T49"/>
    <mergeCell ref="W48:W49"/>
    <mergeCell ref="V48:V49"/>
    <mergeCell ref="L78:L79"/>
    <mergeCell ref="P192:W192"/>
    <mergeCell ref="Q162:Q163"/>
    <mergeCell ref="R181:R190"/>
    <mergeCell ref="M214:N214"/>
    <mergeCell ref="C98:L98"/>
    <mergeCell ref="N88:N89"/>
    <mergeCell ref="J88:K88"/>
    <mergeCell ref="B226:N226"/>
    <mergeCell ref="M228:N228"/>
    <mergeCell ref="I228:J228"/>
    <mergeCell ref="B104:N104"/>
    <mergeCell ref="B106:N106"/>
    <mergeCell ref="C102:L102"/>
    <mergeCell ref="G214:H214"/>
    <mergeCell ref="K207:L207"/>
    <mergeCell ref="C214:F214"/>
    <mergeCell ref="C213:F213"/>
    <mergeCell ref="AD214:AD224"/>
    <mergeCell ref="AC197:AE197"/>
    <mergeCell ref="AC201:AE201"/>
    <mergeCell ref="Q200:R200"/>
    <mergeCell ref="G218:H218"/>
    <mergeCell ref="I214:J214"/>
    <mergeCell ref="I215:J215"/>
    <mergeCell ref="I213:J213"/>
    <mergeCell ref="K213:L213"/>
    <mergeCell ref="G215:H215"/>
    <mergeCell ref="I218:J218"/>
    <mergeCell ref="K218:L218"/>
    <mergeCell ref="Y197:AA197"/>
    <mergeCell ref="Q215:R215"/>
    <mergeCell ref="G216:H216"/>
    <mergeCell ref="G217:H217"/>
    <mergeCell ref="K217:L217"/>
    <mergeCell ref="K214:L214"/>
    <mergeCell ref="G219:H219"/>
    <mergeCell ref="I216:J216"/>
    <mergeCell ref="AF197:AF205"/>
    <mergeCell ref="AX206:AX207"/>
    <mergeCell ref="E14:M15"/>
    <mergeCell ref="C60:I60"/>
    <mergeCell ref="B192:N192"/>
    <mergeCell ref="J194:N194"/>
    <mergeCell ref="Z25:AA25"/>
    <mergeCell ref="E26:M28"/>
    <mergeCell ref="H36:K36"/>
    <mergeCell ref="P46:X46"/>
    <mergeCell ref="P54:X54"/>
    <mergeCell ref="V144:W144"/>
    <mergeCell ref="S144:S145"/>
    <mergeCell ref="B14:D15"/>
    <mergeCell ref="B16:D17"/>
    <mergeCell ref="B18:D20"/>
    <mergeCell ref="B21:D25"/>
    <mergeCell ref="B26:D28"/>
    <mergeCell ref="N14:N15"/>
    <mergeCell ref="N16:N17"/>
    <mergeCell ref="Z48:Z49"/>
    <mergeCell ref="Q48:Q49"/>
    <mergeCell ref="C91:I91"/>
    <mergeCell ref="C92:I92"/>
    <mergeCell ref="B96:N96"/>
    <mergeCell ref="AD108:AD109"/>
    <mergeCell ref="C99:L99"/>
    <mergeCell ref="N144:N145"/>
    <mergeCell ref="B126:B127"/>
    <mergeCell ref="C187:N187"/>
    <mergeCell ref="C188:N188"/>
    <mergeCell ref="C158:E158"/>
    <mergeCell ref="B144:B145"/>
    <mergeCell ref="Y108:Y109"/>
    <mergeCell ref="Q108:Q109"/>
    <mergeCell ref="Z108:Z109"/>
    <mergeCell ref="V108:W108"/>
    <mergeCell ref="S108:S109"/>
    <mergeCell ref="C176:E176"/>
    <mergeCell ref="C180:N180"/>
    <mergeCell ref="N162:N163"/>
    <mergeCell ref="C181:N181"/>
    <mergeCell ref="C182:N182"/>
    <mergeCell ref="C183:N183"/>
    <mergeCell ref="C184:N184"/>
    <mergeCell ref="C185:N185"/>
    <mergeCell ref="G162:H162"/>
    <mergeCell ref="I162:J162"/>
    <mergeCell ref="X58:X59"/>
    <mergeCell ref="N108:N109"/>
    <mergeCell ref="P24:Q24"/>
    <mergeCell ref="N26:N28"/>
    <mergeCell ref="N29:N30"/>
    <mergeCell ref="V68:V69"/>
    <mergeCell ref="P68:P69"/>
    <mergeCell ref="Q68:Q69"/>
    <mergeCell ref="L37:N37"/>
    <mergeCell ref="B32:N32"/>
    <mergeCell ref="L36:N36"/>
    <mergeCell ref="B34:N34"/>
    <mergeCell ref="C100:L100"/>
    <mergeCell ref="L108:M108"/>
    <mergeCell ref="G108:H108"/>
    <mergeCell ref="M88:M89"/>
    <mergeCell ref="P106:AG106"/>
    <mergeCell ref="AC94:AE94"/>
    <mergeCell ref="U88:U89"/>
    <mergeCell ref="Z94:AB94"/>
    <mergeCell ref="P104:AG104"/>
    <mergeCell ref="P86:X86"/>
    <mergeCell ref="S68:S69"/>
    <mergeCell ref="Z98:AE98"/>
    <mergeCell ref="E16:M17"/>
    <mergeCell ref="B124:N124"/>
    <mergeCell ref="C108:C109"/>
    <mergeCell ref="C126:C127"/>
    <mergeCell ref="I126:J126"/>
    <mergeCell ref="N126:N127"/>
    <mergeCell ref="Z126:Z127"/>
    <mergeCell ref="Q126:Q127"/>
    <mergeCell ref="P124:AG124"/>
    <mergeCell ref="S126:S127"/>
    <mergeCell ref="U126:U127"/>
    <mergeCell ref="V126:W126"/>
    <mergeCell ref="D108:F108"/>
    <mergeCell ref="B108:B109"/>
    <mergeCell ref="AF108:AF109"/>
    <mergeCell ref="AA108:AA109"/>
    <mergeCell ref="AC108:AC109"/>
    <mergeCell ref="C81:I81"/>
    <mergeCell ref="C82:I82"/>
    <mergeCell ref="C83:I83"/>
    <mergeCell ref="C84:I84"/>
    <mergeCell ref="C88:I89"/>
    <mergeCell ref="U58:U59"/>
    <mergeCell ref="V58:V59"/>
    <mergeCell ref="C224:F224"/>
    <mergeCell ref="C217:F217"/>
    <mergeCell ref="C218:F218"/>
    <mergeCell ref="C93:I93"/>
    <mergeCell ref="C94:I94"/>
    <mergeCell ref="C101:L101"/>
    <mergeCell ref="C90:I90"/>
    <mergeCell ref="C144:C145"/>
    <mergeCell ref="C121:E121"/>
    <mergeCell ref="C122:E122"/>
    <mergeCell ref="C139:E139"/>
    <mergeCell ref="C140:E140"/>
    <mergeCell ref="D144:F144"/>
    <mergeCell ref="G126:H126"/>
    <mergeCell ref="K126:K127"/>
    <mergeCell ref="L144:M144"/>
    <mergeCell ref="D126:F126"/>
    <mergeCell ref="L126:M126"/>
    <mergeCell ref="B142:N142"/>
    <mergeCell ref="G144:H144"/>
    <mergeCell ref="I108:J108"/>
    <mergeCell ref="K108:K109"/>
    <mergeCell ref="B160:N160"/>
    <mergeCell ref="C157:E157"/>
    <mergeCell ref="B234:N234"/>
    <mergeCell ref="E236:G236"/>
    <mergeCell ref="K221:L221"/>
    <mergeCell ref="M224:N224"/>
    <mergeCell ref="M229:N229"/>
    <mergeCell ref="M230:N230"/>
    <mergeCell ref="K216:L216"/>
    <mergeCell ref="K219:L219"/>
    <mergeCell ref="G231:H231"/>
    <mergeCell ref="G232:H232"/>
    <mergeCell ref="I223:J223"/>
    <mergeCell ref="M222:N222"/>
    <mergeCell ref="M223:N223"/>
    <mergeCell ref="M216:N216"/>
    <mergeCell ref="M218:N218"/>
    <mergeCell ref="K224:L224"/>
    <mergeCell ref="I222:J222"/>
    <mergeCell ref="K230:L230"/>
    <mergeCell ref="K231:L231"/>
    <mergeCell ref="K223:L223"/>
    <mergeCell ref="I231:J231"/>
    <mergeCell ref="I224:J224"/>
    <mergeCell ref="K228:L228"/>
    <mergeCell ref="I230:J230"/>
    <mergeCell ref="C249:D249"/>
    <mergeCell ref="J238:N238"/>
    <mergeCell ref="H250:K250"/>
    <mergeCell ref="H252:K252"/>
    <mergeCell ref="C228:F228"/>
    <mergeCell ref="C229:F229"/>
    <mergeCell ref="C230:F230"/>
    <mergeCell ref="C231:F231"/>
    <mergeCell ref="C232:F232"/>
    <mergeCell ref="H236:I236"/>
    <mergeCell ref="B236:D236"/>
    <mergeCell ref="B242:D242"/>
    <mergeCell ref="E237:G237"/>
    <mergeCell ref="C238:D238"/>
    <mergeCell ref="H240:I240"/>
    <mergeCell ref="H237:I237"/>
    <mergeCell ref="B237:B238"/>
    <mergeCell ref="E242:G242"/>
    <mergeCell ref="G229:H229"/>
    <mergeCell ref="G230:H230"/>
    <mergeCell ref="E243:G243"/>
    <mergeCell ref="B245:N245"/>
    <mergeCell ref="J243:N243"/>
    <mergeCell ref="E238:G238"/>
    <mergeCell ref="J237:N237"/>
    <mergeCell ref="H242:I242"/>
    <mergeCell ref="B243:D243"/>
    <mergeCell ref="J242:N242"/>
    <mergeCell ref="J241:N241"/>
    <mergeCell ref="E240:G240"/>
    <mergeCell ref="E241:G241"/>
    <mergeCell ref="B240:D240"/>
    <mergeCell ref="H241:I241"/>
    <mergeCell ref="B241:D241"/>
    <mergeCell ref="H238:I238"/>
    <mergeCell ref="C237:D237"/>
    <mergeCell ref="J240:N240"/>
    <mergeCell ref="H249:K249"/>
    <mergeCell ref="B281:K281"/>
    <mergeCell ref="L249:N249"/>
    <mergeCell ref="B277:K277"/>
    <mergeCell ref="B279:D279"/>
    <mergeCell ref="J279:K279"/>
    <mergeCell ref="H256:K256"/>
    <mergeCell ref="L279:N279"/>
    <mergeCell ref="B267:N267"/>
    <mergeCell ref="L265:N265"/>
    <mergeCell ref="C252:D252"/>
    <mergeCell ref="C258:D258"/>
    <mergeCell ref="L263:N263"/>
    <mergeCell ref="B263:K263"/>
    <mergeCell ref="G265:K265"/>
    <mergeCell ref="C256:D256"/>
    <mergeCell ref="C257:D257"/>
    <mergeCell ref="C259:D259"/>
    <mergeCell ref="L277:N277"/>
    <mergeCell ref="L281:N281"/>
    <mergeCell ref="C265:D265"/>
    <mergeCell ref="L250:N250"/>
    <mergeCell ref="B273:N273"/>
    <mergeCell ref="L275:N275"/>
    <mergeCell ref="BB37:BJ40"/>
    <mergeCell ref="BB42:BJ42"/>
    <mergeCell ref="BB108:BJ109"/>
    <mergeCell ref="AY257:AY259"/>
    <mergeCell ref="AQ237:AQ243"/>
    <mergeCell ref="R68:R69"/>
    <mergeCell ref="H38:K38"/>
    <mergeCell ref="L38:N38"/>
    <mergeCell ref="L39:N39"/>
    <mergeCell ref="C62:I62"/>
    <mergeCell ref="C63:I63"/>
    <mergeCell ref="C64:I64"/>
    <mergeCell ref="C68:I69"/>
    <mergeCell ref="C70:I70"/>
    <mergeCell ref="C71:I71"/>
    <mergeCell ref="C72:I72"/>
    <mergeCell ref="C250:D250"/>
    <mergeCell ref="U108:U109"/>
    <mergeCell ref="Q58:Q59"/>
    <mergeCell ref="R58:R59"/>
    <mergeCell ref="S58:S59"/>
    <mergeCell ref="AB126:AB127"/>
    <mergeCell ref="P58:P59"/>
    <mergeCell ref="T58:T59"/>
    <mergeCell ref="L365:N365"/>
    <mergeCell ref="B355:K355"/>
    <mergeCell ref="L341:N341"/>
    <mergeCell ref="B339:N339"/>
    <mergeCell ref="B346:N346"/>
    <mergeCell ref="L337:N337"/>
    <mergeCell ref="B335:N335"/>
    <mergeCell ref="F343:G343"/>
    <mergeCell ref="B348:K348"/>
    <mergeCell ref="F350:G350"/>
    <mergeCell ref="L350:N350"/>
    <mergeCell ref="F351:G351"/>
    <mergeCell ref="L351:N351"/>
    <mergeCell ref="B350:E350"/>
    <mergeCell ref="B351:E351"/>
    <mergeCell ref="B357:E357"/>
    <mergeCell ref="B358:E358"/>
    <mergeCell ref="L376:N376"/>
    <mergeCell ref="L377:N377"/>
    <mergeCell ref="L378:N378"/>
    <mergeCell ref="B376:K376"/>
    <mergeCell ref="B377:K377"/>
    <mergeCell ref="B378:K378"/>
    <mergeCell ref="B364:E364"/>
    <mergeCell ref="L362:N362"/>
    <mergeCell ref="B360:N360"/>
    <mergeCell ref="B367:N367"/>
    <mergeCell ref="L369:N369"/>
    <mergeCell ref="L370:N370"/>
    <mergeCell ref="H364:I364"/>
    <mergeCell ref="J364:K364"/>
    <mergeCell ref="H365:I365"/>
    <mergeCell ref="J365:K365"/>
    <mergeCell ref="B370:K370"/>
    <mergeCell ref="B365:E365"/>
    <mergeCell ref="B369:K369"/>
    <mergeCell ref="F364:G364"/>
    <mergeCell ref="L364:N364"/>
    <mergeCell ref="B372:N372"/>
    <mergeCell ref="B374:K374"/>
    <mergeCell ref="F365:G365"/>
    <mergeCell ref="L374:N374"/>
    <mergeCell ref="H357:I357"/>
    <mergeCell ref="J357:K357"/>
    <mergeCell ref="H358:I358"/>
    <mergeCell ref="J358:K358"/>
    <mergeCell ref="E279:F279"/>
    <mergeCell ref="B269:N269"/>
    <mergeCell ref="J350:K350"/>
    <mergeCell ref="L285:N285"/>
    <mergeCell ref="H319:I319"/>
    <mergeCell ref="H320:I320"/>
    <mergeCell ref="C332:G332"/>
    <mergeCell ref="C333:G333"/>
    <mergeCell ref="L355:N355"/>
    <mergeCell ref="B353:N353"/>
    <mergeCell ref="L348:N348"/>
    <mergeCell ref="H343:I343"/>
    <mergeCell ref="H344:I344"/>
    <mergeCell ref="J343:K343"/>
    <mergeCell ref="J344:K344"/>
    <mergeCell ref="H350:I350"/>
    <mergeCell ref="H351:I351"/>
    <mergeCell ref="J351:K351"/>
    <mergeCell ref="C303:G303"/>
    <mergeCell ref="U68:U69"/>
    <mergeCell ref="X68:X69"/>
    <mergeCell ref="L88:L89"/>
    <mergeCell ref="I144:J144"/>
    <mergeCell ref="K144:K145"/>
    <mergeCell ref="P160:AG160"/>
    <mergeCell ref="AE126:AE127"/>
    <mergeCell ref="AE144:AE145"/>
    <mergeCell ref="Q144:Q145"/>
    <mergeCell ref="AF144:AF145"/>
    <mergeCell ref="P142:AG142"/>
    <mergeCell ref="AD144:AD145"/>
    <mergeCell ref="Z144:Z145"/>
    <mergeCell ref="AB144:AB145"/>
    <mergeCell ref="AC144:AC145"/>
    <mergeCell ref="AD126:AD127"/>
    <mergeCell ref="Y126:Y127"/>
    <mergeCell ref="AA126:AA127"/>
    <mergeCell ref="Y144:Y145"/>
    <mergeCell ref="AA144:AA145"/>
    <mergeCell ref="U144:U145"/>
    <mergeCell ref="B86:N86"/>
    <mergeCell ref="C80:I80"/>
    <mergeCell ref="AF126:AF127"/>
    <mergeCell ref="K162:K163"/>
    <mergeCell ref="B178:N178"/>
    <mergeCell ref="C162:C163"/>
    <mergeCell ref="L162:M162"/>
    <mergeCell ref="C175:E175"/>
    <mergeCell ref="D162:F162"/>
    <mergeCell ref="B162:B163"/>
    <mergeCell ref="C189:N189"/>
    <mergeCell ref="C186:N186"/>
    <mergeCell ref="C190:N190"/>
    <mergeCell ref="C194:H194"/>
    <mergeCell ref="C195:H195"/>
    <mergeCell ref="C196:H196"/>
    <mergeCell ref="C197:H197"/>
    <mergeCell ref="C198:H198"/>
    <mergeCell ref="J197:N197"/>
    <mergeCell ref="M213:N213"/>
    <mergeCell ref="G207:H207"/>
    <mergeCell ref="B207:F207"/>
    <mergeCell ref="J202:N202"/>
    <mergeCell ref="J203:N203"/>
    <mergeCell ref="J204:N204"/>
    <mergeCell ref="J199:N199"/>
    <mergeCell ref="J200:N200"/>
    <mergeCell ref="G213:H213"/>
    <mergeCell ref="J201:N201"/>
    <mergeCell ref="M207:N207"/>
    <mergeCell ref="J195:N195"/>
    <mergeCell ref="J196:N196"/>
    <mergeCell ref="B209:N209"/>
    <mergeCell ref="C221:F221"/>
    <mergeCell ref="K215:L215"/>
    <mergeCell ref="J198:N198"/>
    <mergeCell ref="J205:N205"/>
    <mergeCell ref="M215:N215"/>
    <mergeCell ref="C219:F219"/>
    <mergeCell ref="I221:J221"/>
    <mergeCell ref="M221:N221"/>
    <mergeCell ref="I220:J220"/>
    <mergeCell ref="G221:H221"/>
    <mergeCell ref="G220:H220"/>
    <mergeCell ref="C220:F220"/>
    <mergeCell ref="C215:F215"/>
    <mergeCell ref="C216:F216"/>
    <mergeCell ref="C199:H199"/>
    <mergeCell ref="C200:H200"/>
    <mergeCell ref="C201:H201"/>
    <mergeCell ref="C202:H202"/>
    <mergeCell ref="C203:H203"/>
    <mergeCell ref="C204:H204"/>
    <mergeCell ref="C205:H205"/>
    <mergeCell ref="B212:M212"/>
    <mergeCell ref="B211:N211"/>
    <mergeCell ref="I217:J217"/>
    <mergeCell ref="C222:F222"/>
    <mergeCell ref="C223:F223"/>
    <mergeCell ref="C324:G324"/>
    <mergeCell ref="C329:G329"/>
    <mergeCell ref="C330:G330"/>
    <mergeCell ref="C331:G331"/>
    <mergeCell ref="C305:G305"/>
    <mergeCell ref="C306:G306"/>
    <mergeCell ref="C311:G311"/>
    <mergeCell ref="C312:G312"/>
    <mergeCell ref="C313:G313"/>
    <mergeCell ref="C314:G314"/>
    <mergeCell ref="C315:G315"/>
    <mergeCell ref="C320:G320"/>
    <mergeCell ref="C321:G321"/>
    <mergeCell ref="C319:G319"/>
    <mergeCell ref="B287:D287"/>
    <mergeCell ref="E287:F287"/>
    <mergeCell ref="B247:N247"/>
    <mergeCell ref="B254:N254"/>
    <mergeCell ref="B261:N261"/>
    <mergeCell ref="C304:G304"/>
    <mergeCell ref="H315:I315"/>
    <mergeCell ref="M301:N301"/>
  </mergeCells>
  <phoneticPr fontId="3" type="noConversion"/>
  <conditionalFormatting sqref="C249:D249">
    <cfRule type="expression" dxfId="1386" priority="1650">
      <formula>$C$249="No"</formula>
    </cfRule>
  </conditionalFormatting>
  <conditionalFormatting sqref="J50:K52 J60:K61 J63:K64 K61:K64">
    <cfRule type="containsText" dxfId="1385" priority="1607" operator="containsText" text="No Cumple">
      <formula>NOT(ISERROR(SEARCH("No Cumple",J50)))</formula>
    </cfRule>
  </conditionalFormatting>
  <conditionalFormatting sqref="BB214:BJ224">
    <cfRule type="expression" dxfId="1384" priority="1580">
      <formula>BA214=1</formula>
    </cfRule>
  </conditionalFormatting>
  <conditionalFormatting sqref="BB229:BJ232">
    <cfRule type="expression" dxfId="1383" priority="1579">
      <formula>BA229=1</formula>
    </cfRule>
  </conditionalFormatting>
  <conditionalFormatting sqref="I214:N214 G214 C214">
    <cfRule type="expression" dxfId="1382" priority="1577">
      <formula>$P$181=0</formula>
    </cfRule>
  </conditionalFormatting>
  <conditionalFormatting sqref="I215:N215 G215 C215">
    <cfRule type="expression" dxfId="1381" priority="1576">
      <formula>$P$182=0</formula>
    </cfRule>
  </conditionalFormatting>
  <conditionalFormatting sqref="I216:N216 G216 C216">
    <cfRule type="expression" dxfId="1380" priority="1575">
      <formula>$P$183=0</formula>
    </cfRule>
  </conditionalFormatting>
  <conditionalFormatting sqref="I217:N217 G217 C217">
    <cfRule type="expression" dxfId="1379" priority="1574">
      <formula>$P$184=0</formula>
    </cfRule>
  </conditionalFormatting>
  <conditionalFormatting sqref="I218:N218 G218 C218">
    <cfRule type="expression" dxfId="1378" priority="1573">
      <formula>$P$185=0</formula>
    </cfRule>
  </conditionalFormatting>
  <conditionalFormatting sqref="I219:N219 G219 C219">
    <cfRule type="expression" dxfId="1377" priority="1572">
      <formula>$P$186=0</formula>
    </cfRule>
  </conditionalFormatting>
  <conditionalFormatting sqref="I220:N220 G220 C220">
    <cfRule type="expression" dxfId="1376" priority="1571">
      <formula>$P$187=0</formula>
    </cfRule>
  </conditionalFormatting>
  <conditionalFormatting sqref="I222:N222 G222 C222">
    <cfRule type="expression" dxfId="1375" priority="1569">
      <formula>$P$189=0</formula>
    </cfRule>
  </conditionalFormatting>
  <conditionalFormatting sqref="I223:N223 G223 C223">
    <cfRule type="expression" dxfId="1374" priority="1568">
      <formula>$P$190=0</formula>
    </cfRule>
  </conditionalFormatting>
  <conditionalFormatting sqref="BB46">
    <cfRule type="expression" dxfId="1373" priority="1562">
      <formula>$BA$48=1</formula>
    </cfRule>
  </conditionalFormatting>
  <conditionalFormatting sqref="BB54">
    <cfRule type="expression" dxfId="1372" priority="1561">
      <formula>$BA$56=1</formula>
    </cfRule>
  </conditionalFormatting>
  <conditionalFormatting sqref="BB31:BJ31">
    <cfRule type="expression" dxfId="1371" priority="1671">
      <formula>$X$31=-1</formula>
    </cfRule>
  </conditionalFormatting>
  <conditionalFormatting sqref="J62:K62">
    <cfRule type="containsText" dxfId="1370" priority="1560" operator="containsText" text="No Cumple">
      <formula>NOT(ISERROR(SEARCH("No Cumple",J62)))</formula>
    </cfRule>
  </conditionalFormatting>
  <conditionalFormatting sqref="J70:K71 J73:K74 K71:K74">
    <cfRule type="containsText" dxfId="1369" priority="1559" operator="containsText" text="No Cumple">
      <formula>NOT(ISERROR(SEARCH("No Cumple",J70)))</formula>
    </cfRule>
  </conditionalFormatting>
  <conditionalFormatting sqref="J72:K72">
    <cfRule type="containsText" dxfId="1368" priority="1558" operator="containsText" text="No Cumple">
      <formula>NOT(ISERROR(SEARCH("No Cumple",J72)))</formula>
    </cfRule>
  </conditionalFormatting>
  <conditionalFormatting sqref="J80:K81 J83:K84 K81:K84">
    <cfRule type="containsText" dxfId="1367" priority="1557" operator="containsText" text="No Cumple">
      <formula>NOT(ISERROR(SEARCH("No Cumple",J80)))</formula>
    </cfRule>
  </conditionalFormatting>
  <conditionalFormatting sqref="J82:K82">
    <cfRule type="containsText" dxfId="1366" priority="1556" operator="containsText" text="No Cumple">
      <formula>NOT(ISERROR(SEARCH("No Cumple",J82)))</formula>
    </cfRule>
  </conditionalFormatting>
  <conditionalFormatting sqref="J90:K91 J93:K94 K91:K94">
    <cfRule type="containsText" dxfId="1365" priority="1555" operator="containsText" text="No Cumple">
      <formula>NOT(ISERROR(SEARCH("No Cumple",J90)))</formula>
    </cfRule>
  </conditionalFormatting>
  <conditionalFormatting sqref="J92:K92">
    <cfRule type="containsText" dxfId="1364" priority="1554" operator="containsText" text="No Cumple">
      <formula>NOT(ISERROR(SEARCH("No Cumple",J92)))</formula>
    </cfRule>
  </conditionalFormatting>
  <conditionalFormatting sqref="B277:C277 L277">
    <cfRule type="expression" dxfId="1363" priority="1522">
      <formula>$H$36="No"</formula>
    </cfRule>
  </conditionalFormatting>
  <conditionalFormatting sqref="B370:N370">
    <cfRule type="expression" dxfId="1362" priority="1520">
      <formula>$L$369="No"</formula>
    </cfRule>
  </conditionalFormatting>
  <conditionalFormatting sqref="B285:C285">
    <cfRule type="expression" dxfId="1361" priority="1518">
      <formula>$H$36="No"</formula>
    </cfRule>
  </conditionalFormatting>
  <conditionalFormatting sqref="B281:C281">
    <cfRule type="expression" dxfId="1360" priority="1519">
      <formula>$H$36="No"</formula>
    </cfRule>
  </conditionalFormatting>
  <conditionalFormatting sqref="B289:C289">
    <cfRule type="expression" dxfId="1359" priority="1517">
      <formula>$H$36="No"</formula>
    </cfRule>
  </conditionalFormatting>
  <conditionalFormatting sqref="L281">
    <cfRule type="expression" dxfId="1358" priority="1516">
      <formula>$H$36="No"</formula>
    </cfRule>
  </conditionalFormatting>
  <conditionalFormatting sqref="L285">
    <cfRule type="expression" dxfId="1357" priority="1515">
      <formula>$H$36="No"</formula>
    </cfRule>
  </conditionalFormatting>
  <conditionalFormatting sqref="L289">
    <cfRule type="expression" dxfId="1356" priority="1514">
      <formula>$H$36="No"</formula>
    </cfRule>
  </conditionalFormatting>
  <conditionalFormatting sqref="B276:N291">
    <cfRule type="expression" dxfId="1355" priority="1513">
      <formula>$L$275="No"</formula>
    </cfRule>
  </conditionalFormatting>
  <conditionalFormatting sqref="B297:N333">
    <cfRule type="expression" dxfId="1354" priority="1739">
      <formula>$L$295="No"</formula>
    </cfRule>
  </conditionalFormatting>
  <conditionalFormatting sqref="B338:N365">
    <cfRule type="expression" dxfId="1353" priority="1512">
      <formula>$L$337="No"</formula>
    </cfRule>
  </conditionalFormatting>
  <conditionalFormatting sqref="B363:N365">
    <cfRule type="expression" dxfId="1352" priority="1511">
      <formula>$L$362="No"</formula>
    </cfRule>
  </conditionalFormatting>
  <conditionalFormatting sqref="B356:N358">
    <cfRule type="expression" dxfId="1351" priority="1510">
      <formula>$L$355="No"</formula>
    </cfRule>
  </conditionalFormatting>
  <conditionalFormatting sqref="B349:N351">
    <cfRule type="expression" dxfId="1350" priority="1509">
      <formula>$L$348="No"</formula>
    </cfRule>
  </conditionalFormatting>
  <conditionalFormatting sqref="B342:N344">
    <cfRule type="expression" dxfId="1349" priority="1508">
      <formula>$L$341="No"</formula>
    </cfRule>
  </conditionalFormatting>
  <conditionalFormatting sqref="J195:N205">
    <cfRule type="expression" dxfId="1348" priority="1505">
      <formula>X195=0</formula>
    </cfRule>
  </conditionalFormatting>
  <conditionalFormatting sqref="C181:C190">
    <cfRule type="expression" dxfId="1347" priority="1507">
      <formula>P181=0</formula>
    </cfRule>
  </conditionalFormatting>
  <conditionalFormatting sqref="B32:C32">
    <cfRule type="expression" dxfId="1346" priority="1493">
      <formula>$B$32="CUMPLE CON LAS ESTRATEGIAS BIOCLIMÁTICAS MÍNIMAS DEL SELLO"</formula>
    </cfRule>
  </conditionalFormatting>
  <conditionalFormatting sqref="BB251:BJ251">
    <cfRule type="expression" dxfId="1345" priority="1759">
      <formula>$L$250&lt;200</formula>
    </cfRule>
  </conditionalFormatting>
  <conditionalFormatting sqref="B264:N265">
    <cfRule type="expression" dxfId="1344" priority="1485">
      <formula>$L$263="No"</formula>
    </cfRule>
  </conditionalFormatting>
  <conditionalFormatting sqref="BB96:BJ102">
    <cfRule type="expression" dxfId="1343" priority="1464">
      <formula>$BA$96=0</formula>
    </cfRule>
  </conditionalFormatting>
  <conditionalFormatting sqref="J302:N302 B302:C302">
    <cfRule type="expression" dxfId="1342" priority="1463">
      <formula>$H$302="No"</formula>
    </cfRule>
  </conditionalFormatting>
  <conditionalFormatting sqref="J303:N303 B303:C303">
    <cfRule type="expression" dxfId="1341" priority="1462">
      <formula>$H$303="No"</formula>
    </cfRule>
  </conditionalFormatting>
  <conditionalFormatting sqref="J304:N304 B304:C304">
    <cfRule type="expression" dxfId="1340" priority="1461">
      <formula>$H$304="No"</formula>
    </cfRule>
  </conditionalFormatting>
  <conditionalFormatting sqref="J305:N305 B305:C305">
    <cfRule type="expression" dxfId="1339" priority="1460">
      <formula>$H$305="No"</formula>
    </cfRule>
  </conditionalFormatting>
  <conditionalFormatting sqref="J306:N306 B306:C306">
    <cfRule type="expression" dxfId="1338" priority="1459">
      <formula>$H$306="No"</formula>
    </cfRule>
  </conditionalFormatting>
  <conditionalFormatting sqref="J311:N311 B311:C311">
    <cfRule type="expression" dxfId="1337" priority="1458">
      <formula>$H$311="No"</formula>
    </cfRule>
  </conditionalFormatting>
  <conditionalFormatting sqref="J312:N312 B312:C312">
    <cfRule type="expression" dxfId="1336" priority="1457">
      <formula>$H$312="No"</formula>
    </cfRule>
  </conditionalFormatting>
  <conditionalFormatting sqref="J313:N313 B313:C313">
    <cfRule type="expression" dxfId="1335" priority="1456">
      <formula>$H$313="No"</formula>
    </cfRule>
  </conditionalFormatting>
  <conditionalFormatting sqref="J314:N314 B314:C314">
    <cfRule type="expression" dxfId="1334" priority="1455">
      <formula>$H$314="No"</formula>
    </cfRule>
  </conditionalFormatting>
  <conditionalFormatting sqref="J315:N315 B315:C315">
    <cfRule type="expression" dxfId="1333" priority="1454">
      <formula>$H$315="No"</formula>
    </cfRule>
  </conditionalFormatting>
  <conditionalFormatting sqref="J320:N320 B320:C320">
    <cfRule type="expression" dxfId="1332" priority="1453">
      <formula>$H$320="No"</formula>
    </cfRule>
  </conditionalFormatting>
  <conditionalFormatting sqref="J321:N321 B321:C321">
    <cfRule type="expression" dxfId="1331" priority="1452">
      <formula>$H$321="No"</formula>
    </cfRule>
  </conditionalFormatting>
  <conditionalFormatting sqref="J322:N322 B322:C322">
    <cfRule type="expression" dxfId="1330" priority="1451">
      <formula>$H$322="No"</formula>
    </cfRule>
  </conditionalFormatting>
  <conditionalFormatting sqref="J323:N323 B323:C323">
    <cfRule type="expression" dxfId="1329" priority="1450">
      <formula>$H$323="No"</formula>
    </cfRule>
  </conditionalFormatting>
  <conditionalFormatting sqref="J324:N324 B324:C324">
    <cfRule type="expression" dxfId="1328" priority="1449">
      <formula>$H$324="No"</formula>
    </cfRule>
  </conditionalFormatting>
  <conditionalFormatting sqref="J329:N329 B329:C329">
    <cfRule type="expression" dxfId="1327" priority="1448">
      <formula>$H$329="No"</formula>
    </cfRule>
  </conditionalFormatting>
  <conditionalFormatting sqref="J330:N330 B330:C330">
    <cfRule type="expression" dxfId="1326" priority="1447">
      <formula>$H$330="No"</formula>
    </cfRule>
  </conditionalFormatting>
  <conditionalFormatting sqref="J331:N331 B331:C331">
    <cfRule type="expression" dxfId="1325" priority="1446">
      <formula>$H$331="No"</formula>
    </cfRule>
  </conditionalFormatting>
  <conditionalFormatting sqref="J332:N332 B332:C332">
    <cfRule type="expression" dxfId="1324" priority="1445">
      <formula>$H$332="No"</formula>
    </cfRule>
  </conditionalFormatting>
  <conditionalFormatting sqref="J333:N333 B333:C333">
    <cfRule type="expression" dxfId="1323" priority="1444">
      <formula>$H$333="No"</formula>
    </cfRule>
  </conditionalFormatting>
  <conditionalFormatting sqref="B375:N378">
    <cfRule type="expression" dxfId="1322" priority="1441">
      <formula>$L$374="No"</formula>
    </cfRule>
  </conditionalFormatting>
  <conditionalFormatting sqref="M110:M119">
    <cfRule type="expression" dxfId="1321" priority="1436">
      <formula>L110="Sin Protección"</formula>
    </cfRule>
  </conditionalFormatting>
  <conditionalFormatting sqref="M128:M137">
    <cfRule type="expression" dxfId="1320" priority="1435">
      <formula>L128="Sin Protección"</formula>
    </cfRule>
  </conditionalFormatting>
  <conditionalFormatting sqref="M146:M155">
    <cfRule type="expression" dxfId="1319" priority="1434">
      <formula>L146="Sin Protección"</formula>
    </cfRule>
  </conditionalFormatting>
  <conditionalFormatting sqref="M164:M173">
    <cfRule type="expression" dxfId="1318" priority="1433">
      <formula>L164="Sin Protección"</formula>
    </cfRule>
  </conditionalFormatting>
  <conditionalFormatting sqref="BB37:BJ40">
    <cfRule type="expression" dxfId="1317" priority="1770">
      <formula>$AU$18=0</formula>
    </cfRule>
  </conditionalFormatting>
  <conditionalFormatting sqref="BB42:BJ42">
    <cfRule type="expression" dxfId="1316" priority="1781">
      <formula>$AU$22=0</formula>
    </cfRule>
  </conditionalFormatting>
  <conditionalFormatting sqref="M229:N232">
    <cfRule type="expression" dxfId="1315" priority="1432">
      <formula>K229="Fotocelda"</formula>
    </cfRule>
  </conditionalFormatting>
  <conditionalFormatting sqref="I207:N207">
    <cfRule type="expression" dxfId="1314" priority="1431">
      <formula>$G$207="No"</formula>
    </cfRule>
  </conditionalFormatting>
  <conditionalFormatting sqref="C195:C205">
    <cfRule type="expression" dxfId="1313" priority="1783">
      <formula>X195=0</formula>
    </cfRule>
  </conditionalFormatting>
  <conditionalFormatting sqref="B250:D252 E249:N252">
    <cfRule type="expression" dxfId="1312" priority="1785">
      <formula>$C$249="No"</formula>
    </cfRule>
  </conditionalFormatting>
  <conditionalFormatting sqref="BB249:BJ250">
    <cfRule type="expression" dxfId="1311" priority="1786">
      <formula>$C$249="No"</formula>
    </cfRule>
  </conditionalFormatting>
  <conditionalFormatting sqref="B257:N259 E256:N256">
    <cfRule type="expression" dxfId="1310" priority="1787">
      <formula>$C$256="No"</formula>
    </cfRule>
  </conditionalFormatting>
  <conditionalFormatting sqref="C215">
    <cfRule type="expression" dxfId="1309" priority="1300">
      <formula>$P$181=0</formula>
    </cfRule>
  </conditionalFormatting>
  <conditionalFormatting sqref="C219">
    <cfRule type="expression" dxfId="1308" priority="1299">
      <formula>$P$181=0</formula>
    </cfRule>
  </conditionalFormatting>
  <conditionalFormatting sqref="C220">
    <cfRule type="expression" dxfId="1307" priority="1298">
      <formula>$P$181=0</formula>
    </cfRule>
  </conditionalFormatting>
  <conditionalFormatting sqref="K220:L220">
    <cfRule type="expression" dxfId="1306" priority="1292">
      <formula>$P$182=0</formula>
    </cfRule>
  </conditionalFormatting>
  <conditionalFormatting sqref="K223:L223">
    <cfRule type="expression" dxfId="1305" priority="1291">
      <formula>$P$182=0</formula>
    </cfRule>
  </conditionalFormatting>
  <conditionalFormatting sqref="K224:L224">
    <cfRule type="expression" dxfId="1304" priority="1290">
      <formula>$P$182=0</formula>
    </cfRule>
  </conditionalFormatting>
  <conditionalFormatting sqref="M215:N215">
    <cfRule type="expression" dxfId="1303" priority="1289">
      <formula>$P$181=0</formula>
    </cfRule>
  </conditionalFormatting>
  <conditionalFormatting sqref="M219:N219">
    <cfRule type="expression" dxfId="1302" priority="1288">
      <formula>$P$181=0</formula>
    </cfRule>
  </conditionalFormatting>
  <conditionalFormatting sqref="M220:N220">
    <cfRule type="expression" dxfId="1301" priority="1287">
      <formula>$P$181=0</formula>
    </cfRule>
  </conditionalFormatting>
  <conditionalFormatting sqref="M221:N221">
    <cfRule type="expression" dxfId="1300" priority="1286">
      <formula>$P$181=0</formula>
    </cfRule>
  </conditionalFormatting>
  <conditionalFormatting sqref="M222:N222">
    <cfRule type="expression" dxfId="1299" priority="1285">
      <formula>$P$181=0</formula>
    </cfRule>
  </conditionalFormatting>
  <conditionalFormatting sqref="M223:N223">
    <cfRule type="expression" dxfId="1298" priority="1284">
      <formula>$P$181=0</formula>
    </cfRule>
  </conditionalFormatting>
  <conditionalFormatting sqref="M224:N224">
    <cfRule type="expression" dxfId="1297" priority="1283">
      <formula>$P$181=0</formula>
    </cfRule>
  </conditionalFormatting>
  <conditionalFormatting sqref="BB9:BJ9">
    <cfRule type="expression" dxfId="1296" priority="1280">
      <formula>$BB$7=1</formula>
    </cfRule>
  </conditionalFormatting>
  <conditionalFormatting sqref="M146:M147">
    <cfRule type="expression" dxfId="1295" priority="1276">
      <formula>L146="Sin Protección"</formula>
    </cfRule>
  </conditionalFormatting>
  <conditionalFormatting sqref="I215:N215 G215 C215">
    <cfRule type="expression" dxfId="1294" priority="1275">
      <formula>$P$181=0</formula>
    </cfRule>
  </conditionalFormatting>
  <conditionalFormatting sqref="I219:N219 G219 C219">
    <cfRule type="expression" dxfId="1293" priority="1274">
      <formula>$P$181=0</formula>
    </cfRule>
  </conditionalFormatting>
  <conditionalFormatting sqref="I220:N220 G220 C220">
    <cfRule type="expression" dxfId="1292" priority="1273">
      <formula>$P$182=0</formula>
    </cfRule>
  </conditionalFormatting>
  <conditionalFormatting sqref="C220">
    <cfRule type="expression" dxfId="1291" priority="1272">
      <formula>$P$181=0</formula>
    </cfRule>
  </conditionalFormatting>
  <conditionalFormatting sqref="M220:N220">
    <cfRule type="expression" dxfId="1290" priority="1271">
      <formula>$P$181=0</formula>
    </cfRule>
  </conditionalFormatting>
  <conditionalFormatting sqref="I220:N220 G220 C220">
    <cfRule type="expression" dxfId="1289" priority="1270">
      <formula>$P$181=0</formula>
    </cfRule>
  </conditionalFormatting>
  <conditionalFormatting sqref="I221:N221 G221 C221">
    <cfRule type="expression" dxfId="1288" priority="1269">
      <formula>$P$181=0</formula>
    </cfRule>
  </conditionalFormatting>
  <conditionalFormatting sqref="I222:N222 G222 C222">
    <cfRule type="expression" dxfId="1287" priority="1268">
      <formula>$P$182=0</formula>
    </cfRule>
  </conditionalFormatting>
  <conditionalFormatting sqref="C222">
    <cfRule type="expression" dxfId="1286" priority="1267">
      <formula>$P$181=0</formula>
    </cfRule>
  </conditionalFormatting>
  <conditionalFormatting sqref="M222:N222">
    <cfRule type="expression" dxfId="1285" priority="1266">
      <formula>$P$181=0</formula>
    </cfRule>
  </conditionalFormatting>
  <conditionalFormatting sqref="I222:N222 G222 C222">
    <cfRule type="expression" dxfId="1284" priority="1265">
      <formula>$P$181=0</formula>
    </cfRule>
  </conditionalFormatting>
  <conditionalFormatting sqref="I223:N223 G223 C223">
    <cfRule type="expression" dxfId="1283" priority="1264">
      <formula>$P$181=0</formula>
    </cfRule>
  </conditionalFormatting>
  <conditionalFormatting sqref="I224:N224 G224 C224">
    <cfRule type="expression" dxfId="1282" priority="1263">
      <formula>$P$182=0</formula>
    </cfRule>
  </conditionalFormatting>
  <conditionalFormatting sqref="C224">
    <cfRule type="expression" dxfId="1281" priority="1262">
      <formula>$P$181=0</formula>
    </cfRule>
  </conditionalFormatting>
  <conditionalFormatting sqref="M224:N224">
    <cfRule type="expression" dxfId="1280" priority="1261">
      <formula>$P$181=0</formula>
    </cfRule>
  </conditionalFormatting>
  <conditionalFormatting sqref="I224:N224 G224 C224">
    <cfRule type="expression" dxfId="1279" priority="1260">
      <formula>$P$181=0</formula>
    </cfRule>
  </conditionalFormatting>
  <conditionalFormatting sqref="K222:L222">
    <cfRule type="expression" dxfId="1278" priority="1258">
      <formula>$P$181=0</formula>
    </cfRule>
  </conditionalFormatting>
  <conditionalFormatting sqref="K219:L219">
    <cfRule type="expression" dxfId="1277" priority="1256">
      <formula>$P$181=0</formula>
    </cfRule>
  </conditionalFormatting>
  <conditionalFormatting sqref="BB110:BJ173">
    <cfRule type="expression" dxfId="369" priority="370">
      <formula>BA110=1</formula>
    </cfRule>
  </conditionalFormatting>
  <dataValidations count="31">
    <dataValidation type="list" allowBlank="1" showInputMessage="1" showErrorMessage="1" sqref="G146:G155 G164:G173 G128:G137 G110:G119" xr:uid="{00000000-0002-0000-0200-000000000000}">
      <formula1>CARPINTERIA</formula1>
    </dataValidation>
    <dataValidation type="list" allowBlank="1" showInputMessage="1" showErrorMessage="1" sqref="C258 C252 C37:C40 D41" xr:uid="{00000000-0002-0000-0200-000001000000}">
      <formula1>ORIENTACIONES</formula1>
    </dataValidation>
    <dataValidation type="list" allowBlank="1" showInputMessage="1" showErrorMessage="1" sqref="N50:N52 N60:N64 N70:N74 N80:N84 K302:K306 K320:K324 K329:K333 K311:K315 N90:N94" xr:uid="{00000000-0002-0000-0200-000002000000}">
      <formula1>COLORES</formula1>
    </dataValidation>
    <dataValidation type="list" allowBlank="1" showInputMessage="1" showErrorMessage="1" sqref="C70:C72 C60:C62 C80:C82 C90:C92" xr:uid="{00000000-0002-0000-0200-000003000000}">
      <formula1>PAREDd</formula1>
    </dataValidation>
    <dataValidation type="list" allowBlank="1" showInputMessage="1" showErrorMessage="1" sqref="D128:D135 L365 D146:D153 D164:D171 M302:M306 M320:M324 M329:M333 M311:M315 L344 L351 L358 D110:D117" xr:uid="{00000000-0002-0000-0200-000004000000}">
      <formula1>VIDRIOd</formula1>
    </dataValidation>
    <dataValidation type="list" allowBlank="1" showInputMessage="1" showErrorMessage="1" sqref="L164:L173 L128:L137 L146:L155 L110:L119" xr:uid="{00000000-0002-0000-0200-000005000000}">
      <formula1>PROTECCIONd</formula1>
    </dataValidation>
    <dataValidation type="list" allowBlank="1" showInputMessage="1" showErrorMessage="1" sqref="H242" xr:uid="{00000000-0002-0000-0200-000006000000}">
      <formula1>LAVAROPA</formula1>
    </dataValidation>
    <dataValidation type="list" allowBlank="1" showInputMessage="1" showErrorMessage="1" sqref="C249 C256:C257 H302:H306 L369 L362 L348 L355 L295 N164:N173 L275 L263 H320:H324 G207 H329:H333 L337 L341 H311:H315 L374 L376:L378 N110:N119 N128:N137 N146:N155 K214:K224" xr:uid="{00000000-0002-0000-0200-000007000000}">
      <formula1>SI_NO</formula1>
    </dataValidation>
    <dataValidation type="list" allowBlank="1" showInputMessage="1" showErrorMessage="1" sqref="C250" xr:uid="{00000000-0002-0000-0200-000008000000}">
      <formula1>SST</formula1>
    </dataValidation>
    <dataValidation type="list" allowBlank="1" showInputMessage="1" showErrorMessage="1" sqref="C195:C205" xr:uid="{00000000-0002-0000-0200-000009000000}">
      <formula1>CALEFACCION</formula1>
    </dataValidation>
    <dataValidation type="list" allowBlank="1" showInputMessage="1" showErrorMessage="1" sqref="E237:E238 E241:E243 Y265" xr:uid="{00000000-0002-0000-0200-00000A000000}">
      <formula1>ETIQUETA</formula1>
    </dataValidation>
    <dataValidation type="list" allowBlank="1" showInputMessage="1" showErrorMessage="1" sqref="J195:K205" xr:uid="{00000000-0002-0000-0200-00000B000000}">
      <formula1>REFIGERACION</formula1>
    </dataValidation>
    <dataValidation type="list" allowBlank="1" showInputMessage="1" showErrorMessage="1" sqref="C214:C224 C230" xr:uid="{00000000-0002-0000-0200-00000C000000}">
      <formula1>ILUMINACION</formula1>
    </dataValidation>
    <dataValidation type="list" allowBlank="1" showInputMessage="1" showErrorMessage="1" sqref="K229:K232 M214:M224" xr:uid="{00000000-0002-0000-0200-00000D000000}">
      <formula1>CONTROL</formula1>
    </dataValidation>
    <dataValidation type="list" allowBlank="1" showInputMessage="1" showErrorMessage="1" sqref="H241 H237" xr:uid="{00000000-0002-0000-0200-00000E000000}">
      <formula1>COMBUSTIBLE</formula1>
    </dataValidation>
    <dataValidation type="list" allowBlank="1" showInputMessage="1" showErrorMessage="1" sqref="L249" xr:uid="{00000000-0002-0000-0200-00000F000000}">
      <formula1>SSTDESTINO</formula1>
    </dataValidation>
    <dataValidation type="list" allowBlank="1" showInputMessage="1" showErrorMessage="1" sqref="K164:K173 K128:K137 K146:K155 K110:K119" xr:uid="{00000000-0002-0000-0200-000010000000}">
      <formula1>TIPOAPERTURAS</formula1>
    </dataValidation>
    <dataValidation type="list" allowBlank="1" showInputMessage="1" showErrorMessage="1" sqref="C42" xr:uid="{00000000-0002-0000-0200-000011000000}">
      <formula1>ENTORNO</formula1>
    </dataValidation>
    <dataValidation type="list" allowBlank="1" showInputMessage="1" showErrorMessage="1" sqref="Q192:R194 D191:E191 D193:E193" xr:uid="{00000000-0002-0000-0200-000012000000}">
      <formula1>$AN$3:$AN$6</formula1>
    </dataValidation>
    <dataValidation type="list" allowBlank="1" showInputMessage="1" showErrorMessage="1" sqref="C140 C122 C158 C176" xr:uid="{00000000-0002-0000-0200-000013000000}">
      <formula1>PUERTASd</formula1>
    </dataValidation>
    <dataValidation type="list" allowBlank="1" showInputMessage="1" showErrorMessage="1" sqref="C181:C190" xr:uid="{00000000-0002-0000-0200-000014000000}">
      <formula1>vent</formula1>
    </dataValidation>
    <dataValidation type="list" allowBlank="1" showInputMessage="1" showErrorMessage="1" sqref="C99:C101" xr:uid="{00000000-0002-0000-0200-000015000000}">
      <formula1>losass</formula1>
    </dataValidation>
    <dataValidation type="list" allowBlank="1" showInputMessage="1" showErrorMessage="1" sqref="N99:N102 M52 M90:M94" xr:uid="{00000000-0002-0000-0200-000016000000}">
      <formula1>adyacented</formula1>
    </dataValidation>
    <dataValidation type="list" allowBlank="1" showInputMessage="1" showErrorMessage="1" sqref="L287 L279 L283 L291" xr:uid="{00000000-0002-0000-0200-000017000000}">
      <formula1>PERGOLA</formula1>
    </dataValidation>
    <dataValidation type="list" allowBlank="1" showInputMessage="1" showErrorMessage="1" sqref="M50:M51 M60:M64 M70:M74 M80:M84" xr:uid="{00000000-0002-0000-0200-000018000000}">
      <formula1>AdyacenteT</formula1>
    </dataValidation>
    <dataValidation type="list" allowBlank="1" showInputMessage="1" showErrorMessage="1" sqref="L271:N271" xr:uid="{00000000-0002-0000-0200-000019000000}">
      <formula1>ab</formula1>
    </dataValidation>
    <dataValidation type="list" allowBlank="1" showInputMessage="1" showErrorMessage="1" sqref="C251:D251" xr:uid="{00000000-0002-0000-0200-00001A000000}">
      <formula1>Forzada</formula1>
    </dataValidation>
    <dataValidation type="list" allowBlank="1" showInputMessage="1" showErrorMessage="1" sqref="C50:C51" xr:uid="{00000000-0002-0000-0200-00001B000000}">
      <formula1>TECHOSd</formula1>
    </dataValidation>
    <dataValidation type="list" allowBlank="1" showInputMessage="1" showErrorMessage="1" sqref="C229 C231:C232" xr:uid="{00000000-0002-0000-0200-00001C000000}">
      <formula1>luz</formula1>
    </dataValidation>
    <dataValidation type="list" allowBlank="1" showInputMessage="1" showErrorMessage="1" sqref="D266 C265" xr:uid="{00000000-0002-0000-0200-00001D000000}">
      <formula1>RENOVABLES</formula1>
    </dataValidation>
    <dataValidation type="list" allowBlank="1" showInputMessage="1" showErrorMessage="1" sqref="I110:J119 I128:J137 I146:J155 I164:J173" xr:uid="{CB7964E9-856C-5C4D-A8E8-C9E728640833}">
      <formula1>etiq</formula1>
    </dataValidation>
  </dataValidations>
  <printOptions gridLines="1"/>
  <pageMargins left="0.23622047244094491" right="0.23622047244094491" top="0.74803149606299213" bottom="0.74803149606299213" header="0.31496062992125984" footer="0.31496062992125984"/>
  <pageSetup paperSize="9" scale="10" fitToWidth="0"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1566" id="{00000000-000E-0000-0200-00007F000000}">
            <xm:f>DATOS!$G$34=0</xm:f>
            <x14:dxf>
              <font>
                <color theme="0" tint="-0.24994659260841701"/>
              </font>
              <fill>
                <patternFill>
                  <bgColor theme="0" tint="-4.9989318521683403E-2"/>
                </patternFill>
              </fill>
              <border>
                <left/>
                <right/>
                <top/>
                <bottom/>
              </border>
            </x14:dxf>
          </x14:cfRule>
          <xm:sqref>G229:N229 B229:C229</xm:sqref>
        </x14:conditionalFormatting>
        <x14:conditionalFormatting xmlns:xm="http://schemas.microsoft.com/office/excel/2006/main">
          <x14:cfRule type="expression" priority="1570" id="{00000000-000E-0000-0200-00006B000000}">
            <xm:f>DATOS!$C$44=0</xm:f>
            <x14:dxf>
              <font>
                <color theme="0" tint="-0.24994659260841701"/>
              </font>
              <fill>
                <patternFill>
                  <bgColor theme="0" tint="-4.9989318521683403E-2"/>
                </patternFill>
              </fill>
            </x14:dxf>
          </x14:cfRule>
          <xm:sqref>I221:N221 G221 C221</xm:sqref>
        </x14:conditionalFormatting>
        <x14:conditionalFormatting xmlns:xm="http://schemas.microsoft.com/office/excel/2006/main">
          <x14:cfRule type="expression" priority="1567" id="{00000000-000E-0000-0200-000068000000}">
            <xm:f>DATOS!$D$48=0</xm:f>
            <x14:dxf>
              <font>
                <color theme="0" tint="-0.24994659260841701"/>
              </font>
              <fill>
                <patternFill>
                  <bgColor theme="0" tint="-4.9989318521683403E-2"/>
                </patternFill>
              </fill>
            </x14:dxf>
          </x14:cfRule>
          <xm:sqref>I224:N224 G224 C224</xm:sqref>
        </x14:conditionalFormatting>
        <x14:conditionalFormatting xmlns:xm="http://schemas.microsoft.com/office/excel/2006/main">
          <x14:cfRule type="iconSet" priority="1523" id="{65E71A05-7575-364A-965B-B8F7A02FA9DA}">
            <x14:iconSet iconSet="3Symbols" showValue="0" custom="1">
              <x14:cfvo type="percent">
                <xm:f>0</xm:f>
              </x14:cfvo>
              <x14:cfvo type="num">
                <xm:f>2</xm:f>
              </x14:cfvo>
              <x14:cfvo type="num">
                <xm:f>4</xm:f>
              </x14:cfvo>
              <x14:cfIcon iconSet="3Symbols2" iconId="0"/>
              <x14:cfIcon iconSet="3Symbols2" iconId="1"/>
              <x14:cfIcon iconSet="3Symbols2" iconId="2"/>
            </x14:iconSet>
          </x14:cfRule>
          <xm:sqref>N26:N31 N21 N9:N18</xm:sqref>
        </x14:conditionalFormatting>
        <x14:conditionalFormatting xmlns:xm="http://schemas.microsoft.com/office/excel/2006/main">
          <x14:cfRule type="expression" priority="1693" id="{F736B6A9-DA28-EC4C-B0C9-372BB80E08BA}">
            <xm:f>DATOS!$G$55="No"</xm:f>
            <x14:dxf>
              <font>
                <color theme="0" tint="-0.24994659260841701"/>
              </font>
              <fill>
                <patternFill>
                  <bgColor theme="0" tint="-4.9989318521683403E-2"/>
                </patternFill>
              </fill>
              <border>
                <left/>
                <right/>
                <top/>
                <bottom/>
              </border>
            </x14:dxf>
          </x14:cfRule>
          <xm:sqref>B211:N224</xm:sqref>
        </x14:conditionalFormatting>
        <x14:conditionalFormatting xmlns:xm="http://schemas.microsoft.com/office/excel/2006/main">
          <x14:cfRule type="expression" priority="1696" id="{3EE8860B-18D2-094D-BD75-75575167D31F}">
            <xm:f>DATOS!$G$53="No"</xm:f>
            <x14:dxf>
              <font>
                <color theme="0" tint="-0.24994659260841701"/>
              </font>
              <fill>
                <patternFill>
                  <bgColor theme="0" tint="-4.9989318521683403E-2"/>
                </patternFill>
              </fill>
              <border>
                <left/>
                <right/>
                <top/>
                <bottom/>
              </border>
            </x14:dxf>
          </x14:cfRule>
          <xm:sqref>C195:C205</xm:sqref>
        </x14:conditionalFormatting>
        <x14:conditionalFormatting xmlns:xm="http://schemas.microsoft.com/office/excel/2006/main">
          <x14:cfRule type="expression" priority="1697" id="{3344F9B1-5CD8-1040-923C-B99060145300}">
            <xm:f>DATOS!$G$52="No"</xm:f>
            <x14:dxf>
              <font>
                <color theme="0" tint="-0.24994659260841701"/>
              </font>
              <fill>
                <patternFill>
                  <bgColor theme="0" tint="-4.9989318521683403E-2"/>
                </patternFill>
              </fill>
              <border>
                <left/>
                <right/>
                <top/>
                <bottom/>
              </border>
            </x14:dxf>
          </x14:cfRule>
          <xm:sqref>J195:N205</xm:sqref>
        </x14:conditionalFormatting>
        <x14:conditionalFormatting xmlns:xm="http://schemas.microsoft.com/office/excel/2006/main">
          <x14:cfRule type="expression" priority="1698" id="{D74F5812-35F4-F542-8E9F-5318D0E29B7A}">
            <xm:f>DATOS!$G$58="No"</xm:f>
            <x14:dxf>
              <font>
                <color theme="0" tint="-0.24994659260841701"/>
              </font>
              <fill>
                <patternFill>
                  <bgColor theme="0" tint="-4.9989318521683403E-2"/>
                </patternFill>
              </fill>
              <border>
                <left/>
                <right/>
                <top/>
                <bottom/>
              </border>
            </x14:dxf>
          </x14:cfRule>
          <xm:sqref>B241:E241 H241:N241</xm:sqref>
        </x14:conditionalFormatting>
        <x14:conditionalFormatting xmlns:xm="http://schemas.microsoft.com/office/excel/2006/main">
          <x14:cfRule type="expression" priority="1699" id="{E8B9AE7E-5208-C94C-9235-3202041F8ABE}">
            <xm:f>DATOS!$G$59="No"</xm:f>
            <x14:dxf>
              <font>
                <color theme="0" tint="-0.24994659260841701"/>
              </font>
              <fill>
                <patternFill>
                  <bgColor theme="0" tint="-4.9989318521683403E-2"/>
                </patternFill>
              </fill>
              <border>
                <left/>
                <right/>
                <top/>
                <bottom/>
              </border>
            </x14:dxf>
          </x14:cfRule>
          <xm:sqref>B242:N242</xm:sqref>
        </x14:conditionalFormatting>
        <x14:conditionalFormatting xmlns:xm="http://schemas.microsoft.com/office/excel/2006/main">
          <x14:cfRule type="expression" priority="1700" id="{E38EA124-56A0-3B48-ADB4-BC55A226D8FA}">
            <xm:f>DATOS!$G$60="No"</xm:f>
            <x14:dxf>
              <font>
                <color theme="0" tint="-0.24994659260841701"/>
              </font>
              <fill>
                <patternFill>
                  <bgColor theme="0" tint="-4.9989318521683403E-2"/>
                </patternFill>
              </fill>
              <border>
                <left/>
                <right/>
                <top/>
                <bottom/>
              </border>
            </x14:dxf>
          </x14:cfRule>
          <xm:sqref>B243:N243</xm:sqref>
        </x14:conditionalFormatting>
        <x14:conditionalFormatting xmlns:xm="http://schemas.microsoft.com/office/excel/2006/main">
          <x14:cfRule type="expression" priority="1521" id="{C33FC7EF-357C-054A-AD93-CB138A87B5F3}">
            <xm:f>DATOS!$G$56="No"</xm:f>
            <x14:dxf>
              <font>
                <color theme="0" tint="-0.24994659260841701"/>
              </font>
              <fill>
                <patternFill>
                  <bgColor theme="0" tint="-4.9989318521683403E-2"/>
                </patternFill>
              </fill>
              <border>
                <left/>
                <right/>
                <top/>
                <bottom/>
              </border>
            </x14:dxf>
          </x14:cfRule>
          <xm:sqref>B226:N232</xm:sqref>
        </x14:conditionalFormatting>
        <x14:conditionalFormatting xmlns:xm="http://schemas.microsoft.com/office/excel/2006/main">
          <x14:cfRule type="expression" priority="1498" id="{274DC731-97FB-6F4C-A9F3-076E6EE76FBD}">
            <xm:f>DATOS!$G$55="No"</xm:f>
            <x14:dxf>
              <font>
                <color theme="0" tint="-0.24994659260841701"/>
              </font>
              <fill>
                <patternFill>
                  <bgColor theme="0" tint="-4.9989318521683403E-2"/>
                </patternFill>
              </fill>
              <border>
                <left/>
                <right/>
                <top/>
                <bottom/>
              </border>
            </x14:dxf>
          </x14:cfRule>
          <xm:sqref>M207</xm:sqref>
        </x14:conditionalFormatting>
        <x14:conditionalFormatting xmlns:xm="http://schemas.microsoft.com/office/excel/2006/main">
          <x14:cfRule type="expression" priority="1297" id="{B7759973-7CA3-D54D-8B17-B87EC3D35DC0}">
            <xm:f>DATOS!$C$44=0</xm:f>
            <x14:dxf>
              <font>
                <color theme="0" tint="-0.24994659260841701"/>
              </font>
              <fill>
                <patternFill>
                  <bgColor theme="0" tint="-4.9989318521683403E-2"/>
                </patternFill>
              </fill>
            </x14:dxf>
          </x14:cfRule>
          <xm:sqref>C222</xm:sqref>
        </x14:conditionalFormatting>
        <x14:conditionalFormatting xmlns:xm="http://schemas.microsoft.com/office/excel/2006/main">
          <x14:cfRule type="expression" priority="1296" id="{5EEA6BF3-0F26-C649-A775-28D7130FDD6F}">
            <xm:f>DATOS!$C$44=0</xm:f>
            <x14:dxf>
              <font>
                <color theme="0" tint="-0.24994659260841701"/>
              </font>
              <fill>
                <patternFill>
                  <bgColor theme="0" tint="-4.9989318521683403E-2"/>
                </patternFill>
              </fill>
            </x14:dxf>
          </x14:cfRule>
          <xm:sqref>C223</xm:sqref>
        </x14:conditionalFormatting>
        <x14:conditionalFormatting xmlns:xm="http://schemas.microsoft.com/office/excel/2006/main">
          <x14:cfRule type="expression" priority="1295" id="{EDB544C4-0A9B-7D49-873C-1BC74DF4689D}">
            <xm:f>DATOS!$C$44=0</xm:f>
            <x14:dxf>
              <font>
                <color theme="0" tint="-0.24994659260841701"/>
              </font>
              <fill>
                <patternFill>
                  <bgColor theme="0" tint="-4.9989318521683403E-2"/>
                </patternFill>
              </fill>
            </x14:dxf>
          </x14:cfRule>
          <xm:sqref>C224</xm:sqref>
        </x14:conditionalFormatting>
        <x14:conditionalFormatting xmlns:xm="http://schemas.microsoft.com/office/excel/2006/main">
          <x14:cfRule type="expression" priority="1293" id="{3B570AB0-F304-734A-BF40-B3E3E1CD6A95}">
            <xm:f>DATOS!$C$44=0</xm:f>
            <x14:dxf>
              <font>
                <color theme="0" tint="-0.24994659260841701"/>
              </font>
              <fill>
                <patternFill>
                  <bgColor theme="0" tint="-4.9989318521683403E-2"/>
                </patternFill>
              </fill>
            </x14:dxf>
          </x14:cfRule>
          <xm:sqref>C230</xm:sqref>
        </x14:conditionalFormatting>
        <x14:conditionalFormatting xmlns:xm="http://schemas.microsoft.com/office/excel/2006/main">
          <x14:cfRule type="expression" priority="1294" id="{796A314B-361F-DF43-BABF-102EF723A07F}">
            <xm:f>DATOS!$G$55="No"</xm:f>
            <x14:dxf>
              <font>
                <color theme="0" tint="-0.24994659260841701"/>
              </font>
              <fill>
                <patternFill>
                  <bgColor theme="0" tint="-4.9989318521683403E-2"/>
                </patternFill>
              </fill>
              <border>
                <left/>
                <right/>
                <top/>
                <bottom/>
              </border>
            </x14:dxf>
          </x14:cfRule>
          <xm:sqref>C230</xm:sqref>
        </x14:conditionalFormatting>
        <x14:conditionalFormatting xmlns:xm="http://schemas.microsoft.com/office/excel/2006/main">
          <x14:cfRule type="expression" priority="1282" id="{79CC16B2-9C50-7D45-A3BE-117A7EB52676}">
            <xm:f>DATOS!$G$58="No"</xm:f>
            <x14:dxf>
              <font>
                <color theme="0" tint="-0.24994659260841701"/>
              </font>
              <fill>
                <patternFill>
                  <bgColor theme="0" tint="-4.9989318521683403E-2"/>
                </patternFill>
              </fill>
              <border>
                <left/>
                <right/>
                <top/>
                <bottom/>
              </border>
            </x14:dxf>
          </x14:cfRule>
          <xm:sqref>E242</xm:sqref>
        </x14:conditionalFormatting>
        <x14:conditionalFormatting xmlns:xm="http://schemas.microsoft.com/office/excel/2006/main">
          <x14:cfRule type="expression" priority="1281" id="{A7802DFF-588B-944E-BD81-23E3906344E9}">
            <xm:f>DATOS!$G$58="No"</xm:f>
            <x14:dxf>
              <font>
                <color theme="0" tint="-0.24994659260841701"/>
              </font>
              <fill>
                <patternFill>
                  <bgColor theme="0" tint="-4.9989318521683403E-2"/>
                </patternFill>
              </fill>
              <border>
                <left/>
                <right/>
                <top/>
                <bottom/>
              </border>
            </x14:dxf>
          </x14:cfRule>
          <xm:sqref>E243</xm:sqref>
        </x14:conditionalFormatting>
        <x14:conditionalFormatting xmlns:xm="http://schemas.microsoft.com/office/excel/2006/main">
          <x14:cfRule type="expression" priority="1279" id="{E60808C4-24D0-4C43-8930-8E906D0206D9}">
            <xm:f>DATOS!$I$88=1</xm:f>
            <x14:dxf>
              <font>
                <color theme="0" tint="-0.24994659260841701"/>
              </font>
              <fill>
                <patternFill>
                  <bgColor theme="0" tint="-4.9989318521683403E-2"/>
                </patternFill>
              </fill>
              <border>
                <left/>
                <right/>
                <top/>
                <bottom/>
              </border>
            </x14:dxf>
          </x14:cfRule>
          <xm:sqref>B192:N207</xm:sqref>
        </x14:conditionalFormatting>
        <x14:conditionalFormatting xmlns:xm="http://schemas.microsoft.com/office/excel/2006/main">
          <x14:cfRule type="expression" priority="1278" id="{5614CA88-5E89-B14B-8821-0EF094827EA1}">
            <xm:f>DATOS!$I$88=1</xm:f>
            <x14:dxf>
              <font>
                <color theme="0" tint="-0.24994659260841701"/>
              </font>
              <fill>
                <patternFill>
                  <bgColor theme="0" tint="-4.9989318521683403E-2"/>
                </patternFill>
              </fill>
              <border>
                <left/>
                <right/>
                <top/>
                <bottom/>
              </border>
            </x14:dxf>
          </x14:cfRule>
          <xm:sqref>B209:N232</xm:sqref>
        </x14:conditionalFormatting>
        <x14:conditionalFormatting xmlns:xm="http://schemas.microsoft.com/office/excel/2006/main">
          <x14:cfRule type="expression" priority="1277" id="{9ADF7F64-C2CA-584F-91CC-673548CDAD84}">
            <xm:f>DATOS!$I$88=1</xm:f>
            <x14:dxf>
              <font>
                <color theme="0" tint="-0.24994659260841701"/>
              </font>
              <fill>
                <patternFill>
                  <bgColor theme="0" tint="-4.9989318521683403E-2"/>
                </patternFill>
              </fill>
              <border>
                <left/>
                <right/>
                <top/>
                <bottom/>
              </border>
            </x14:dxf>
          </x14:cfRule>
          <xm:sqref>B237:N238</xm:sqref>
        </x14:conditionalFormatting>
        <x14:conditionalFormatting xmlns:xm="http://schemas.microsoft.com/office/excel/2006/main">
          <x14:cfRule type="expression" priority="2284" id="{5E83CF01-41F6-3245-8DDB-01B2FE3163E0}">
            <xm:f>BASE!$GP$12=0</xm:f>
            <x14:dxf>
              <font>
                <color theme="0" tint="-4.9989318521683403E-2"/>
              </font>
              <fill>
                <patternFill>
                  <bgColor theme="0" tint="-4.9989318521683403E-2"/>
                </patternFill>
              </fill>
              <border>
                <left/>
                <right/>
                <top/>
                <bottom/>
              </border>
            </x14:dxf>
          </x14:cfRule>
          <xm:sqref>BA8:BK8 BA7:BB7 BK7 BA10:BK109 BA9:BB9 BK9 B4:N109 B120:N127 B110:H119 K110:N119 B138:N145 B128:H137 K128:N137 B156:N163 B146:H155 K146:N155 B174:N378 B164:H173 K164:N173 BA120:BK127 BA110:BB110 BK110:BK119 BA111:BA119 BA138:BK145 BK128:BK137 BA156:BK163 BK146:BK155 BA174:BK378 BK164:BK173</xm:sqref>
        </x14:conditionalFormatting>
        <x14:conditionalFormatting xmlns:xm="http://schemas.microsoft.com/office/excel/2006/main">
          <x14:cfRule type="expression" priority="2291" id="{2DD2EAA5-75B5-0243-BB6D-73B384BE8020}">
            <xm:f>BASE!$GQ$13=0</xm:f>
            <x14:dxf>
              <font>
                <color theme="0" tint="-4.9989318521683403E-2"/>
              </font>
              <fill>
                <patternFill>
                  <bgColor theme="0" tint="-4.9989318521683403E-2"/>
                </patternFill>
              </fill>
              <border>
                <left/>
                <right/>
                <top/>
                <bottom/>
              </border>
            </x14:dxf>
          </x14:cfRule>
          <xm:sqref>BA34:BK109 B34:N109 B120:N127 B110:H119 K110:N119 B138:N145 B128:H137 K128:N137 B156:N163 B146:H155 K146:N155 B174:N378 B164:H173 K164:N173 BA120:BK127 BA110:BB110 BK110:BK119 BA111:BA119 BA138:BK145 BK128:BK137 BA156:BK163 BK146:BK155 BA174:BK390 BK164:BK173</xm:sqref>
        </x14:conditionalFormatting>
        <x14:conditionalFormatting xmlns:xm="http://schemas.microsoft.com/office/excel/2006/main">
          <x14:cfRule type="expression" priority="2293" id="{8101A52F-9B2A-3F47-9F37-2069FD693E0B}">
            <xm:f>BASE!$GP$18=0</xm:f>
            <x14:dxf>
              <font>
                <color theme="0" tint="-4.9989318521683403E-2"/>
              </font>
              <fill>
                <patternFill>
                  <bgColor theme="0" tint="-4.9989318521683403E-2"/>
                </patternFill>
              </fill>
              <border>
                <left/>
                <right/>
                <top/>
                <bottom/>
              </border>
            </x14:dxf>
          </x14:cfRule>
          <xm:sqref>B192:N193 B206:N212 I194:N205 B225:N227 B233:N236 G228:N232 E237:N238 B237:C238 F249:N252 B249:D252 B253:N255 F256:N259 B256:D259 B260:N264 B266:N300 F265:N265 B265:D265 B307:N309 B301:C306 B316:N318 B310:C315 B325:N327 B319:C324 B334:N378 B328:C333 H301:N306 H310:N315 H319:N324 H328:N333 B228:C232 BA209:BK379 N110:N119 N128:N137 N164:N173 N146:N155 B194:C205 B213:C224 G213:N224 B239:N248</xm:sqref>
        </x14:conditionalFormatting>
        <x14:conditionalFormatting xmlns:xm="http://schemas.microsoft.com/office/excel/2006/main">
          <x14:cfRule type="expression" priority="1259" id="{2A170DD8-1CF6-A248-A936-D14B3536365F}">
            <xm:f>DATOS!$C$44=0</xm:f>
            <x14:dxf>
              <font>
                <color theme="0" tint="-0.24994659260841701"/>
              </font>
              <fill>
                <patternFill>
                  <bgColor theme="0" tint="-4.9989318521683403E-2"/>
                </patternFill>
              </fill>
            </x14:dxf>
          </x14:cfRule>
          <xm:sqref>K222:L222</xm:sqref>
        </x14:conditionalFormatting>
        <x14:conditionalFormatting xmlns:xm="http://schemas.microsoft.com/office/excel/2006/main">
          <x14:cfRule type="expression" priority="1257" id="{60BAD6EF-AEDA-0545-8D0A-E3A4DA87AC33}">
            <xm:f>DATOS!$C$44=0</xm:f>
            <x14:dxf>
              <font>
                <color theme="0" tint="-0.24994659260841701"/>
              </font>
              <fill>
                <patternFill>
                  <bgColor theme="0" tint="-4.9989318521683403E-2"/>
                </patternFill>
              </fill>
            </x14:dxf>
          </x14:cfRule>
          <xm:sqref>K219:L219</xm:sqref>
        </x14:conditionalFormatting>
        <x14:conditionalFormatting xmlns:xm="http://schemas.microsoft.com/office/excel/2006/main">
          <x14:cfRule type="expression" priority="1255" id="{FC2D7100-2444-5448-B39F-71C9DC14419D}">
            <xm:f>DATOS!$G$58="No"</xm:f>
            <x14:dxf>
              <font>
                <color theme="0" tint="-0.24994659260841701"/>
              </font>
              <fill>
                <patternFill>
                  <bgColor theme="0" tint="-4.9989318521683403E-2"/>
                </patternFill>
              </fill>
              <border>
                <left/>
                <right/>
                <top/>
                <bottom/>
              </border>
            </x14:dxf>
          </x14:cfRule>
          <xm:sqref>E242</xm:sqref>
        </x14:conditionalFormatting>
        <x14:conditionalFormatting xmlns:xm="http://schemas.microsoft.com/office/excel/2006/main">
          <x14:cfRule type="expression" priority="1254" id="{A0268699-1A81-2342-97FB-DE2A35B3DCAA}">
            <xm:f>DATOS!$G$58="No"</xm:f>
            <x14:dxf>
              <font>
                <color theme="0" tint="-0.24994659260841701"/>
              </font>
              <fill>
                <patternFill>
                  <bgColor theme="0" tint="-4.9989318521683403E-2"/>
                </patternFill>
              </fill>
              <border>
                <left/>
                <right/>
                <top/>
                <bottom/>
              </border>
            </x14:dxf>
          </x14:cfRule>
          <xm:sqref>E243</xm:sqref>
        </x14:conditionalFormatting>
        <x14:conditionalFormatting xmlns:xm="http://schemas.microsoft.com/office/excel/2006/main">
          <x14:cfRule type="expression" priority="1253" id="{EC227CE4-0F3C-42DD-94D1-8A928E53358A}">
            <xm:f>DATOS!$F$14=1</xm:f>
            <x14:dxf>
              <font>
                <color theme="0" tint="-0.24994659260841701"/>
              </font>
              <fill>
                <patternFill>
                  <bgColor theme="0" tint="-4.9989318521683403E-2"/>
                </patternFill>
              </fill>
              <border>
                <left/>
                <right/>
                <top/>
                <bottom/>
                <vertical/>
                <horizontal/>
              </border>
            </x14:dxf>
          </x14:cfRule>
          <xm:sqref>B7:N109 B120:N127 B110:H119 K110:N119 B138:N145 B128:H137 K128:N137 B156:N163 B146:H155 K146:N155 B174:N379 B164:H173 K164:N173</xm:sqref>
        </x14:conditionalFormatting>
        <x14:conditionalFormatting xmlns:xm="http://schemas.microsoft.com/office/excel/2006/main">
          <x14:cfRule type="expression" priority="1249" id="{71E2C370-85E7-2D42-889E-E473D97A705B}">
            <xm:f>DATOS!$G$59="No"</xm:f>
            <x14:dxf>
              <font>
                <color theme="0" tint="-0.24994659260841701"/>
              </font>
              <fill>
                <patternFill>
                  <bgColor theme="0" tint="-4.9989318521683403E-2"/>
                </patternFill>
              </fill>
              <border>
                <left/>
                <right/>
                <top/>
                <bottom/>
              </border>
            </x14:dxf>
          </x14:cfRule>
          <xm:sqref>Y265:AA265</xm:sqref>
        </x14:conditionalFormatting>
        <x14:conditionalFormatting xmlns:xm="http://schemas.microsoft.com/office/excel/2006/main">
          <x14:cfRule type="expression" priority="1248" id="{4FCEB7ED-35CD-5442-942E-20855D12D3B1}">
            <xm:f>DATOS!$G$58="No"</xm:f>
            <x14:dxf>
              <font>
                <color theme="0" tint="-0.24994659260841701"/>
              </font>
              <fill>
                <patternFill>
                  <bgColor theme="0" tint="-4.9989318521683403E-2"/>
                </patternFill>
              </fill>
              <border>
                <left/>
                <right/>
                <top/>
                <bottom/>
              </border>
            </x14:dxf>
          </x14:cfRule>
          <xm:sqref>Y265</xm:sqref>
        </x14:conditionalFormatting>
        <x14:conditionalFormatting xmlns:xm="http://schemas.microsoft.com/office/excel/2006/main">
          <x14:cfRule type="expression" priority="1250" id="{643B3D49-052E-2344-A6B7-90C5FFD0880D}">
            <xm:f>BASE!$GP$12=0</xm:f>
            <x14:dxf>
              <font>
                <color theme="0" tint="-4.9989318521683403E-2"/>
              </font>
              <fill>
                <patternFill>
                  <bgColor theme="0" tint="-4.9989318521683403E-2"/>
                </patternFill>
              </fill>
              <border>
                <left/>
                <right/>
                <top/>
                <bottom/>
              </border>
            </x14:dxf>
          </x14:cfRule>
          <xm:sqref>Y265:AA265</xm:sqref>
        </x14:conditionalFormatting>
        <x14:conditionalFormatting xmlns:xm="http://schemas.microsoft.com/office/excel/2006/main">
          <x14:cfRule type="expression" priority="1251" id="{672EB959-4A50-6D42-AB6C-3FCBB9C9B7F0}">
            <xm:f>BASE!$GQ$13=0</xm:f>
            <x14:dxf>
              <font>
                <color theme="0" tint="-4.9989318521683403E-2"/>
              </font>
              <fill>
                <patternFill>
                  <bgColor theme="0" tint="-4.9989318521683403E-2"/>
                </patternFill>
              </fill>
              <border>
                <left/>
                <right/>
                <top/>
                <bottom/>
              </border>
            </x14:dxf>
          </x14:cfRule>
          <xm:sqref>Y265:AA265</xm:sqref>
        </x14:conditionalFormatting>
        <x14:conditionalFormatting xmlns:xm="http://schemas.microsoft.com/office/excel/2006/main">
          <x14:cfRule type="expression" priority="1252" id="{ADA925B8-CE62-0F4D-ADAA-A0C984236378}">
            <xm:f>BASE!$GP$18=0</xm:f>
            <x14:dxf>
              <font>
                <color theme="0" tint="-4.9989318521683403E-2"/>
              </font>
              <fill>
                <patternFill>
                  <bgColor theme="0" tint="-4.9989318521683403E-2"/>
                </patternFill>
              </fill>
              <border>
                <left/>
                <right/>
                <top/>
                <bottom/>
              </border>
            </x14:dxf>
          </x14:cfRule>
          <xm:sqref>Y265:AA265</xm:sqref>
        </x14:conditionalFormatting>
        <x14:conditionalFormatting xmlns:xm="http://schemas.microsoft.com/office/excel/2006/main">
          <x14:cfRule type="expression" priority="1247" id="{53AD6715-96F2-5846-A446-2543F28DE4EC}">
            <xm:f>DATOS!$G$58="No"</xm:f>
            <x14:dxf>
              <font>
                <color theme="0" tint="-0.24994659260841701"/>
              </font>
              <fill>
                <patternFill>
                  <bgColor theme="0" tint="-4.9989318521683403E-2"/>
                </patternFill>
              </fill>
              <border>
                <left/>
                <right/>
                <top/>
                <bottom/>
              </border>
            </x14:dxf>
          </x14:cfRule>
          <xm:sqref>Y265</xm:sqref>
        </x14:conditionalFormatting>
        <x14:conditionalFormatting xmlns:xm="http://schemas.microsoft.com/office/excel/2006/main">
          <x14:cfRule type="expression" priority="1246" id="{9873D9A9-2D1C-E542-B25B-EF7DE058F0C1}">
            <xm:f>DATOS!$F$14=1</xm:f>
            <x14:dxf>
              <font>
                <color theme="0" tint="-0.24994659260841701"/>
              </font>
              <fill>
                <patternFill>
                  <bgColor theme="0" tint="-4.9989318521683403E-2"/>
                </patternFill>
              </fill>
              <border>
                <left/>
                <right/>
                <top/>
                <bottom/>
                <vertical/>
                <horizontal/>
              </border>
            </x14:dxf>
          </x14:cfRule>
          <xm:sqref>Y265:AA265</xm:sqref>
        </x14:conditionalFormatting>
        <x14:conditionalFormatting xmlns:xm="http://schemas.microsoft.com/office/excel/2006/main">
          <x14:cfRule type="expression" priority="1243" id="{F476DAB7-7A2D-1946-BD04-BA9C6AE2F3A6}">
            <xm:f>BASE!$GP$12=0</xm:f>
            <x14:dxf>
              <font>
                <color theme="0" tint="-4.9989318521683403E-2"/>
              </font>
              <fill>
                <patternFill>
                  <bgColor theme="0" tint="-4.9989318521683403E-2"/>
                </patternFill>
              </fill>
              <border>
                <left/>
                <right/>
                <top/>
                <bottom/>
              </border>
            </x14:dxf>
          </x14:cfRule>
          <xm:sqref>I110</xm:sqref>
        </x14:conditionalFormatting>
        <x14:conditionalFormatting xmlns:xm="http://schemas.microsoft.com/office/excel/2006/main">
          <x14:cfRule type="expression" priority="1244" id="{A3899D23-1A2C-6846-94C2-FA370DAB011C}">
            <xm:f>BASE!$GQ$13=0</xm:f>
            <x14:dxf>
              <font>
                <color theme="0" tint="-4.9989318521683403E-2"/>
              </font>
              <fill>
                <patternFill>
                  <bgColor theme="0" tint="-4.9989318521683403E-2"/>
                </patternFill>
              </fill>
              <border>
                <left/>
                <right/>
                <top/>
                <bottom/>
              </border>
            </x14:dxf>
          </x14:cfRule>
          <xm:sqref>I110</xm:sqref>
        </x14:conditionalFormatting>
        <x14:conditionalFormatting xmlns:xm="http://schemas.microsoft.com/office/excel/2006/main">
          <x14:cfRule type="expression" priority="1245" id="{F06E9678-48B8-9A42-B760-5AFDAE1DCB8C}">
            <xm:f>BASE!$GP$18=0</xm:f>
            <x14:dxf>
              <font>
                <color theme="0" tint="-4.9989318521683403E-2"/>
              </font>
              <fill>
                <patternFill>
                  <bgColor theme="0" tint="-4.9989318521683403E-2"/>
                </patternFill>
              </fill>
              <border>
                <left/>
                <right/>
                <top/>
                <bottom/>
              </border>
            </x14:dxf>
          </x14:cfRule>
          <xm:sqref>I110</xm:sqref>
        </x14:conditionalFormatting>
        <x14:conditionalFormatting xmlns:xm="http://schemas.microsoft.com/office/excel/2006/main">
          <x14:cfRule type="expression" priority="447" id="{EC74637A-FA86-5943-8F56-7E61D03AC2D0}">
            <xm:f>BASE!$GP$12=0</xm:f>
            <x14:dxf>
              <font>
                <color theme="0" tint="-4.9989318521683403E-2"/>
              </font>
              <fill>
                <patternFill>
                  <bgColor theme="0" tint="-4.9989318521683403E-2"/>
                </patternFill>
              </fill>
              <border>
                <left/>
                <right/>
                <top/>
                <bottom/>
              </border>
            </x14:dxf>
          </x14:cfRule>
          <xm:sqref>BB111</xm:sqref>
        </x14:conditionalFormatting>
        <x14:conditionalFormatting xmlns:xm="http://schemas.microsoft.com/office/excel/2006/main">
          <x14:cfRule type="expression" priority="448" id="{922F23E0-A3CD-444D-9A90-CE1A11639089}">
            <xm:f>BASE!$GQ$13=0</xm:f>
            <x14:dxf>
              <font>
                <color theme="0" tint="-4.9989318521683403E-2"/>
              </font>
              <fill>
                <patternFill>
                  <bgColor theme="0" tint="-4.9989318521683403E-2"/>
                </patternFill>
              </fill>
              <border>
                <left/>
                <right/>
                <top/>
                <bottom/>
              </border>
            </x14:dxf>
          </x14:cfRule>
          <xm:sqref>BB111</xm:sqref>
        </x14:conditionalFormatting>
        <x14:conditionalFormatting xmlns:xm="http://schemas.microsoft.com/office/excel/2006/main">
          <x14:cfRule type="expression" priority="445" id="{E1656741-9D73-B04B-8B22-0CDE56C1600C}">
            <xm:f>BASE!$GP$12=0</xm:f>
            <x14:dxf>
              <font>
                <color theme="0" tint="-4.9989318521683403E-2"/>
              </font>
              <fill>
                <patternFill>
                  <bgColor theme="0" tint="-4.9989318521683403E-2"/>
                </patternFill>
              </fill>
              <border>
                <left/>
                <right/>
                <top/>
                <bottom/>
              </border>
            </x14:dxf>
          </x14:cfRule>
          <xm:sqref>BB112</xm:sqref>
        </x14:conditionalFormatting>
        <x14:conditionalFormatting xmlns:xm="http://schemas.microsoft.com/office/excel/2006/main">
          <x14:cfRule type="expression" priority="446" id="{8B3D0279-50A0-0446-A754-BA96E792DCC3}">
            <xm:f>BASE!$GQ$13=0</xm:f>
            <x14:dxf>
              <font>
                <color theme="0" tint="-4.9989318521683403E-2"/>
              </font>
              <fill>
                <patternFill>
                  <bgColor theme="0" tint="-4.9989318521683403E-2"/>
                </patternFill>
              </fill>
              <border>
                <left/>
                <right/>
                <top/>
                <bottom/>
              </border>
            </x14:dxf>
          </x14:cfRule>
          <xm:sqref>BB112</xm:sqref>
        </x14:conditionalFormatting>
        <x14:conditionalFormatting xmlns:xm="http://schemas.microsoft.com/office/excel/2006/main">
          <x14:cfRule type="expression" priority="443" id="{36CC7C48-B565-1549-BC48-3FF18F5C55CA}">
            <xm:f>BASE!$GP$12=0</xm:f>
            <x14:dxf>
              <font>
                <color theme="0" tint="-4.9989318521683403E-2"/>
              </font>
              <fill>
                <patternFill>
                  <bgColor theme="0" tint="-4.9989318521683403E-2"/>
                </patternFill>
              </fill>
              <border>
                <left/>
                <right/>
                <top/>
                <bottom/>
              </border>
            </x14:dxf>
          </x14:cfRule>
          <xm:sqref>BB113</xm:sqref>
        </x14:conditionalFormatting>
        <x14:conditionalFormatting xmlns:xm="http://schemas.microsoft.com/office/excel/2006/main">
          <x14:cfRule type="expression" priority="444" id="{DCF90949-35B4-404D-8690-EB4BE7E0E2BC}">
            <xm:f>BASE!$GQ$13=0</xm:f>
            <x14:dxf>
              <font>
                <color theme="0" tint="-4.9989318521683403E-2"/>
              </font>
              <fill>
                <patternFill>
                  <bgColor theme="0" tint="-4.9989318521683403E-2"/>
                </patternFill>
              </fill>
              <border>
                <left/>
                <right/>
                <top/>
                <bottom/>
              </border>
            </x14:dxf>
          </x14:cfRule>
          <xm:sqref>BB113</xm:sqref>
        </x14:conditionalFormatting>
        <x14:conditionalFormatting xmlns:xm="http://schemas.microsoft.com/office/excel/2006/main">
          <x14:cfRule type="expression" priority="441" id="{18B9E5DA-AD73-3D4F-BE21-764D6055252C}">
            <xm:f>BASE!$GP$12=0</xm:f>
            <x14:dxf>
              <font>
                <color theme="0" tint="-4.9989318521683403E-2"/>
              </font>
              <fill>
                <patternFill>
                  <bgColor theme="0" tint="-4.9989318521683403E-2"/>
                </patternFill>
              </fill>
              <border>
                <left/>
                <right/>
                <top/>
                <bottom/>
              </border>
            </x14:dxf>
          </x14:cfRule>
          <xm:sqref>BB114</xm:sqref>
        </x14:conditionalFormatting>
        <x14:conditionalFormatting xmlns:xm="http://schemas.microsoft.com/office/excel/2006/main">
          <x14:cfRule type="expression" priority="442" id="{777945AC-2350-AD4B-ADEC-52EFF88F5870}">
            <xm:f>BASE!$GQ$13=0</xm:f>
            <x14:dxf>
              <font>
                <color theme="0" tint="-4.9989318521683403E-2"/>
              </font>
              <fill>
                <patternFill>
                  <bgColor theme="0" tint="-4.9989318521683403E-2"/>
                </patternFill>
              </fill>
              <border>
                <left/>
                <right/>
                <top/>
                <bottom/>
              </border>
            </x14:dxf>
          </x14:cfRule>
          <xm:sqref>BB114</xm:sqref>
        </x14:conditionalFormatting>
        <x14:conditionalFormatting xmlns:xm="http://schemas.microsoft.com/office/excel/2006/main">
          <x14:cfRule type="expression" priority="439" id="{B48BA60A-5A26-AA4B-9EB9-0EE0B983D8B2}">
            <xm:f>BASE!$GP$12=0</xm:f>
            <x14:dxf>
              <font>
                <color theme="0" tint="-4.9989318521683403E-2"/>
              </font>
              <fill>
                <patternFill>
                  <bgColor theme="0" tint="-4.9989318521683403E-2"/>
                </patternFill>
              </fill>
              <border>
                <left/>
                <right/>
                <top/>
                <bottom/>
              </border>
            </x14:dxf>
          </x14:cfRule>
          <xm:sqref>BB115</xm:sqref>
        </x14:conditionalFormatting>
        <x14:conditionalFormatting xmlns:xm="http://schemas.microsoft.com/office/excel/2006/main">
          <x14:cfRule type="expression" priority="440" id="{B2E640F9-591C-A742-B168-8DCFBFFAAFAD}">
            <xm:f>BASE!$GQ$13=0</xm:f>
            <x14:dxf>
              <font>
                <color theme="0" tint="-4.9989318521683403E-2"/>
              </font>
              <fill>
                <patternFill>
                  <bgColor theme="0" tint="-4.9989318521683403E-2"/>
                </patternFill>
              </fill>
              <border>
                <left/>
                <right/>
                <top/>
                <bottom/>
              </border>
            </x14:dxf>
          </x14:cfRule>
          <xm:sqref>BB115</xm:sqref>
        </x14:conditionalFormatting>
        <x14:conditionalFormatting xmlns:xm="http://schemas.microsoft.com/office/excel/2006/main">
          <x14:cfRule type="expression" priority="437" id="{A936AFEC-E2F7-B34D-8791-9E2EE3B361C1}">
            <xm:f>BASE!$GP$12=0</xm:f>
            <x14:dxf>
              <font>
                <color theme="0" tint="-4.9989318521683403E-2"/>
              </font>
              <fill>
                <patternFill>
                  <bgColor theme="0" tint="-4.9989318521683403E-2"/>
                </patternFill>
              </fill>
              <border>
                <left/>
                <right/>
                <top/>
                <bottom/>
              </border>
            </x14:dxf>
          </x14:cfRule>
          <xm:sqref>BB116</xm:sqref>
        </x14:conditionalFormatting>
        <x14:conditionalFormatting xmlns:xm="http://schemas.microsoft.com/office/excel/2006/main">
          <x14:cfRule type="expression" priority="438" id="{C6A14404-C82D-764A-8C06-1E21F9F10C0C}">
            <xm:f>BASE!$GQ$13=0</xm:f>
            <x14:dxf>
              <font>
                <color theme="0" tint="-4.9989318521683403E-2"/>
              </font>
              <fill>
                <patternFill>
                  <bgColor theme="0" tint="-4.9989318521683403E-2"/>
                </patternFill>
              </fill>
              <border>
                <left/>
                <right/>
                <top/>
                <bottom/>
              </border>
            </x14:dxf>
          </x14:cfRule>
          <xm:sqref>BB116</xm:sqref>
        </x14:conditionalFormatting>
        <x14:conditionalFormatting xmlns:xm="http://schemas.microsoft.com/office/excel/2006/main">
          <x14:cfRule type="expression" priority="435" id="{5AAB2215-A131-2147-8BC0-C59C74C31E4C}">
            <xm:f>BASE!$GP$12=0</xm:f>
            <x14:dxf>
              <font>
                <color theme="0" tint="-4.9989318521683403E-2"/>
              </font>
              <fill>
                <patternFill>
                  <bgColor theme="0" tint="-4.9989318521683403E-2"/>
                </patternFill>
              </fill>
              <border>
                <left/>
                <right/>
                <top/>
                <bottom/>
              </border>
            </x14:dxf>
          </x14:cfRule>
          <xm:sqref>BB117</xm:sqref>
        </x14:conditionalFormatting>
        <x14:conditionalFormatting xmlns:xm="http://schemas.microsoft.com/office/excel/2006/main">
          <x14:cfRule type="expression" priority="436" id="{AE554511-C6DF-9742-AE70-52C8FD4C03C0}">
            <xm:f>BASE!$GQ$13=0</xm:f>
            <x14:dxf>
              <font>
                <color theme="0" tint="-4.9989318521683403E-2"/>
              </font>
              <fill>
                <patternFill>
                  <bgColor theme="0" tint="-4.9989318521683403E-2"/>
                </patternFill>
              </fill>
              <border>
                <left/>
                <right/>
                <top/>
                <bottom/>
              </border>
            </x14:dxf>
          </x14:cfRule>
          <xm:sqref>BB117</xm:sqref>
        </x14:conditionalFormatting>
        <x14:conditionalFormatting xmlns:xm="http://schemas.microsoft.com/office/excel/2006/main">
          <x14:cfRule type="expression" priority="433" id="{FBEB667B-2EF5-3845-B476-245308E074F1}">
            <xm:f>BASE!$GP$12=0</xm:f>
            <x14:dxf>
              <font>
                <color theme="0" tint="-4.9989318521683403E-2"/>
              </font>
              <fill>
                <patternFill>
                  <bgColor theme="0" tint="-4.9989318521683403E-2"/>
                </patternFill>
              </fill>
              <border>
                <left/>
                <right/>
                <top/>
                <bottom/>
              </border>
            </x14:dxf>
          </x14:cfRule>
          <xm:sqref>BB118</xm:sqref>
        </x14:conditionalFormatting>
        <x14:conditionalFormatting xmlns:xm="http://schemas.microsoft.com/office/excel/2006/main">
          <x14:cfRule type="expression" priority="434" id="{2ABF0FB4-68DD-D24A-9B2C-B952CC2F3026}">
            <xm:f>BASE!$GQ$13=0</xm:f>
            <x14:dxf>
              <font>
                <color theme="0" tint="-4.9989318521683403E-2"/>
              </font>
              <fill>
                <patternFill>
                  <bgColor theme="0" tint="-4.9989318521683403E-2"/>
                </patternFill>
              </fill>
              <border>
                <left/>
                <right/>
                <top/>
                <bottom/>
              </border>
            </x14:dxf>
          </x14:cfRule>
          <xm:sqref>BB118</xm:sqref>
        </x14:conditionalFormatting>
        <x14:conditionalFormatting xmlns:xm="http://schemas.microsoft.com/office/excel/2006/main">
          <x14:cfRule type="expression" priority="431" id="{99EC76D2-04DB-1945-BA6A-9F5CB2BCE7EB}">
            <xm:f>BASE!$GP$12=0</xm:f>
            <x14:dxf>
              <font>
                <color theme="0" tint="-4.9989318521683403E-2"/>
              </font>
              <fill>
                <patternFill>
                  <bgColor theme="0" tint="-4.9989318521683403E-2"/>
                </patternFill>
              </fill>
              <border>
                <left/>
                <right/>
                <top/>
                <bottom/>
              </border>
            </x14:dxf>
          </x14:cfRule>
          <xm:sqref>BB119</xm:sqref>
        </x14:conditionalFormatting>
        <x14:conditionalFormatting xmlns:xm="http://schemas.microsoft.com/office/excel/2006/main">
          <x14:cfRule type="expression" priority="432" id="{F21A597B-006B-6540-A529-89B8520F4C5B}">
            <xm:f>BASE!$GQ$13=0</xm:f>
            <x14:dxf>
              <font>
                <color theme="0" tint="-4.9989318521683403E-2"/>
              </font>
              <fill>
                <patternFill>
                  <bgColor theme="0" tint="-4.9989318521683403E-2"/>
                </patternFill>
              </fill>
              <border>
                <left/>
                <right/>
                <top/>
                <bottom/>
              </border>
            </x14:dxf>
          </x14:cfRule>
          <xm:sqref>BB119</xm:sqref>
        </x14:conditionalFormatting>
        <x14:conditionalFormatting xmlns:xm="http://schemas.microsoft.com/office/excel/2006/main">
          <x14:cfRule type="expression" priority="429" id="{FE57A3CA-A4B3-4649-B062-393A145355E2}">
            <xm:f>BASE!$GP$12=0</xm:f>
            <x14:dxf>
              <font>
                <color theme="0" tint="-4.9989318521683403E-2"/>
              </font>
              <fill>
                <patternFill>
                  <bgColor theme="0" tint="-4.9989318521683403E-2"/>
                </patternFill>
              </fill>
              <border>
                <left/>
                <right/>
                <top/>
                <bottom/>
              </border>
            </x14:dxf>
          </x14:cfRule>
          <xm:sqref>BA128:BB128 BA129:BA137</xm:sqref>
        </x14:conditionalFormatting>
        <x14:conditionalFormatting xmlns:xm="http://schemas.microsoft.com/office/excel/2006/main">
          <x14:cfRule type="expression" priority="430" id="{29ACEF35-6927-414A-B07E-DD73BF227814}">
            <xm:f>BASE!$GQ$13=0</xm:f>
            <x14:dxf>
              <font>
                <color theme="0" tint="-4.9989318521683403E-2"/>
              </font>
              <fill>
                <patternFill>
                  <bgColor theme="0" tint="-4.9989318521683403E-2"/>
                </patternFill>
              </fill>
              <border>
                <left/>
                <right/>
                <top/>
                <bottom/>
              </border>
            </x14:dxf>
          </x14:cfRule>
          <xm:sqref>BA128:BB128 BA129:BA137</xm:sqref>
        </x14:conditionalFormatting>
        <x14:conditionalFormatting xmlns:xm="http://schemas.microsoft.com/office/excel/2006/main">
          <x14:cfRule type="expression" priority="427" id="{C783A9BB-2208-1E46-A76F-772DD1C2F160}">
            <xm:f>BASE!$GP$12=0</xm:f>
            <x14:dxf>
              <font>
                <color theme="0" tint="-4.9989318521683403E-2"/>
              </font>
              <fill>
                <patternFill>
                  <bgColor theme="0" tint="-4.9989318521683403E-2"/>
                </patternFill>
              </fill>
              <border>
                <left/>
                <right/>
                <top/>
                <bottom/>
              </border>
            </x14:dxf>
          </x14:cfRule>
          <xm:sqref>BB129</xm:sqref>
        </x14:conditionalFormatting>
        <x14:conditionalFormatting xmlns:xm="http://schemas.microsoft.com/office/excel/2006/main">
          <x14:cfRule type="expression" priority="428" id="{2B701515-865C-5146-9C60-1454D49C1394}">
            <xm:f>BASE!$GQ$13=0</xm:f>
            <x14:dxf>
              <font>
                <color theme="0" tint="-4.9989318521683403E-2"/>
              </font>
              <fill>
                <patternFill>
                  <bgColor theme="0" tint="-4.9989318521683403E-2"/>
                </patternFill>
              </fill>
              <border>
                <left/>
                <right/>
                <top/>
                <bottom/>
              </border>
            </x14:dxf>
          </x14:cfRule>
          <xm:sqref>BB129</xm:sqref>
        </x14:conditionalFormatting>
        <x14:conditionalFormatting xmlns:xm="http://schemas.microsoft.com/office/excel/2006/main">
          <x14:cfRule type="expression" priority="425" id="{B68F39AF-21F8-5B4E-854E-EE7884DC350D}">
            <xm:f>BASE!$GP$12=0</xm:f>
            <x14:dxf>
              <font>
                <color theme="0" tint="-4.9989318521683403E-2"/>
              </font>
              <fill>
                <patternFill>
                  <bgColor theme="0" tint="-4.9989318521683403E-2"/>
                </patternFill>
              </fill>
              <border>
                <left/>
                <right/>
                <top/>
                <bottom/>
              </border>
            </x14:dxf>
          </x14:cfRule>
          <xm:sqref>BB130</xm:sqref>
        </x14:conditionalFormatting>
        <x14:conditionalFormatting xmlns:xm="http://schemas.microsoft.com/office/excel/2006/main">
          <x14:cfRule type="expression" priority="426" id="{00340A0A-3BA1-8B4D-9E63-DB08DAEEB57A}">
            <xm:f>BASE!$GQ$13=0</xm:f>
            <x14:dxf>
              <font>
                <color theme="0" tint="-4.9989318521683403E-2"/>
              </font>
              <fill>
                <patternFill>
                  <bgColor theme="0" tint="-4.9989318521683403E-2"/>
                </patternFill>
              </fill>
              <border>
                <left/>
                <right/>
                <top/>
                <bottom/>
              </border>
            </x14:dxf>
          </x14:cfRule>
          <xm:sqref>BB130</xm:sqref>
        </x14:conditionalFormatting>
        <x14:conditionalFormatting xmlns:xm="http://schemas.microsoft.com/office/excel/2006/main">
          <x14:cfRule type="expression" priority="423" id="{FA5086AE-458B-A748-B8CD-88CF13A1DA66}">
            <xm:f>BASE!$GP$12=0</xm:f>
            <x14:dxf>
              <font>
                <color theme="0" tint="-4.9989318521683403E-2"/>
              </font>
              <fill>
                <patternFill>
                  <bgColor theme="0" tint="-4.9989318521683403E-2"/>
                </patternFill>
              </fill>
              <border>
                <left/>
                <right/>
                <top/>
                <bottom/>
              </border>
            </x14:dxf>
          </x14:cfRule>
          <xm:sqref>BB131</xm:sqref>
        </x14:conditionalFormatting>
        <x14:conditionalFormatting xmlns:xm="http://schemas.microsoft.com/office/excel/2006/main">
          <x14:cfRule type="expression" priority="424" id="{1140FF0F-39D2-434C-AB4B-9AD51216F6D0}">
            <xm:f>BASE!$GQ$13=0</xm:f>
            <x14:dxf>
              <font>
                <color theme="0" tint="-4.9989318521683403E-2"/>
              </font>
              <fill>
                <patternFill>
                  <bgColor theme="0" tint="-4.9989318521683403E-2"/>
                </patternFill>
              </fill>
              <border>
                <left/>
                <right/>
                <top/>
                <bottom/>
              </border>
            </x14:dxf>
          </x14:cfRule>
          <xm:sqref>BB131</xm:sqref>
        </x14:conditionalFormatting>
        <x14:conditionalFormatting xmlns:xm="http://schemas.microsoft.com/office/excel/2006/main">
          <x14:cfRule type="expression" priority="421" id="{A94E9CF4-21BE-3941-BACD-E42B7EA9210B}">
            <xm:f>BASE!$GP$12=0</xm:f>
            <x14:dxf>
              <font>
                <color theme="0" tint="-4.9989318521683403E-2"/>
              </font>
              <fill>
                <patternFill>
                  <bgColor theme="0" tint="-4.9989318521683403E-2"/>
                </patternFill>
              </fill>
              <border>
                <left/>
                <right/>
                <top/>
                <bottom/>
              </border>
            </x14:dxf>
          </x14:cfRule>
          <xm:sqref>BB132</xm:sqref>
        </x14:conditionalFormatting>
        <x14:conditionalFormatting xmlns:xm="http://schemas.microsoft.com/office/excel/2006/main">
          <x14:cfRule type="expression" priority="422" id="{992D4441-30A5-A843-8A89-171E4359AE0D}">
            <xm:f>BASE!$GQ$13=0</xm:f>
            <x14:dxf>
              <font>
                <color theme="0" tint="-4.9989318521683403E-2"/>
              </font>
              <fill>
                <patternFill>
                  <bgColor theme="0" tint="-4.9989318521683403E-2"/>
                </patternFill>
              </fill>
              <border>
                <left/>
                <right/>
                <top/>
                <bottom/>
              </border>
            </x14:dxf>
          </x14:cfRule>
          <xm:sqref>BB132</xm:sqref>
        </x14:conditionalFormatting>
        <x14:conditionalFormatting xmlns:xm="http://schemas.microsoft.com/office/excel/2006/main">
          <x14:cfRule type="expression" priority="419" id="{FD83C6D2-B9EA-DD4B-B605-F45A144D4A86}">
            <xm:f>BASE!$GP$12=0</xm:f>
            <x14:dxf>
              <font>
                <color theme="0" tint="-4.9989318521683403E-2"/>
              </font>
              <fill>
                <patternFill>
                  <bgColor theme="0" tint="-4.9989318521683403E-2"/>
                </patternFill>
              </fill>
              <border>
                <left/>
                <right/>
                <top/>
                <bottom/>
              </border>
            </x14:dxf>
          </x14:cfRule>
          <xm:sqref>BB133</xm:sqref>
        </x14:conditionalFormatting>
        <x14:conditionalFormatting xmlns:xm="http://schemas.microsoft.com/office/excel/2006/main">
          <x14:cfRule type="expression" priority="420" id="{4082F696-8BE1-BF42-AE6F-6823E01F577A}">
            <xm:f>BASE!$GQ$13=0</xm:f>
            <x14:dxf>
              <font>
                <color theme="0" tint="-4.9989318521683403E-2"/>
              </font>
              <fill>
                <patternFill>
                  <bgColor theme="0" tint="-4.9989318521683403E-2"/>
                </patternFill>
              </fill>
              <border>
                <left/>
                <right/>
                <top/>
                <bottom/>
              </border>
            </x14:dxf>
          </x14:cfRule>
          <xm:sqref>BB133</xm:sqref>
        </x14:conditionalFormatting>
        <x14:conditionalFormatting xmlns:xm="http://schemas.microsoft.com/office/excel/2006/main">
          <x14:cfRule type="expression" priority="417" id="{E5227390-6F1E-F940-A868-A8669CC3732D}">
            <xm:f>BASE!$GP$12=0</xm:f>
            <x14:dxf>
              <font>
                <color theme="0" tint="-4.9989318521683403E-2"/>
              </font>
              <fill>
                <patternFill>
                  <bgColor theme="0" tint="-4.9989318521683403E-2"/>
                </patternFill>
              </fill>
              <border>
                <left/>
                <right/>
                <top/>
                <bottom/>
              </border>
            </x14:dxf>
          </x14:cfRule>
          <xm:sqref>BB134</xm:sqref>
        </x14:conditionalFormatting>
        <x14:conditionalFormatting xmlns:xm="http://schemas.microsoft.com/office/excel/2006/main">
          <x14:cfRule type="expression" priority="418" id="{3E9866F5-44FE-2942-8E8A-76C2FE8147B7}">
            <xm:f>BASE!$GQ$13=0</xm:f>
            <x14:dxf>
              <font>
                <color theme="0" tint="-4.9989318521683403E-2"/>
              </font>
              <fill>
                <patternFill>
                  <bgColor theme="0" tint="-4.9989318521683403E-2"/>
                </patternFill>
              </fill>
              <border>
                <left/>
                <right/>
                <top/>
                <bottom/>
              </border>
            </x14:dxf>
          </x14:cfRule>
          <xm:sqref>BB134</xm:sqref>
        </x14:conditionalFormatting>
        <x14:conditionalFormatting xmlns:xm="http://schemas.microsoft.com/office/excel/2006/main">
          <x14:cfRule type="expression" priority="415" id="{35AAC824-C7F0-4343-B575-1715FFA614D7}">
            <xm:f>BASE!$GP$12=0</xm:f>
            <x14:dxf>
              <font>
                <color theme="0" tint="-4.9989318521683403E-2"/>
              </font>
              <fill>
                <patternFill>
                  <bgColor theme="0" tint="-4.9989318521683403E-2"/>
                </patternFill>
              </fill>
              <border>
                <left/>
                <right/>
                <top/>
                <bottom/>
              </border>
            </x14:dxf>
          </x14:cfRule>
          <xm:sqref>BB135</xm:sqref>
        </x14:conditionalFormatting>
        <x14:conditionalFormatting xmlns:xm="http://schemas.microsoft.com/office/excel/2006/main">
          <x14:cfRule type="expression" priority="416" id="{9A96184C-8A61-E243-8161-F2B9C98EA876}">
            <xm:f>BASE!$GQ$13=0</xm:f>
            <x14:dxf>
              <font>
                <color theme="0" tint="-4.9989318521683403E-2"/>
              </font>
              <fill>
                <patternFill>
                  <bgColor theme="0" tint="-4.9989318521683403E-2"/>
                </patternFill>
              </fill>
              <border>
                <left/>
                <right/>
                <top/>
                <bottom/>
              </border>
            </x14:dxf>
          </x14:cfRule>
          <xm:sqref>BB135</xm:sqref>
        </x14:conditionalFormatting>
        <x14:conditionalFormatting xmlns:xm="http://schemas.microsoft.com/office/excel/2006/main">
          <x14:cfRule type="expression" priority="413" id="{AF9E5742-E852-8946-8784-CB99C8E739A0}">
            <xm:f>BASE!$GP$12=0</xm:f>
            <x14:dxf>
              <font>
                <color theme="0" tint="-4.9989318521683403E-2"/>
              </font>
              <fill>
                <patternFill>
                  <bgColor theme="0" tint="-4.9989318521683403E-2"/>
                </patternFill>
              </fill>
              <border>
                <left/>
                <right/>
                <top/>
                <bottom/>
              </border>
            </x14:dxf>
          </x14:cfRule>
          <xm:sqref>BB136</xm:sqref>
        </x14:conditionalFormatting>
        <x14:conditionalFormatting xmlns:xm="http://schemas.microsoft.com/office/excel/2006/main">
          <x14:cfRule type="expression" priority="414" id="{27A196CE-65FB-9B44-A25B-30F21C0E1F08}">
            <xm:f>BASE!$GQ$13=0</xm:f>
            <x14:dxf>
              <font>
                <color theme="0" tint="-4.9989318521683403E-2"/>
              </font>
              <fill>
                <patternFill>
                  <bgColor theme="0" tint="-4.9989318521683403E-2"/>
                </patternFill>
              </fill>
              <border>
                <left/>
                <right/>
                <top/>
                <bottom/>
              </border>
            </x14:dxf>
          </x14:cfRule>
          <xm:sqref>BB136</xm:sqref>
        </x14:conditionalFormatting>
        <x14:conditionalFormatting xmlns:xm="http://schemas.microsoft.com/office/excel/2006/main">
          <x14:cfRule type="expression" priority="411" id="{B9DA9108-A778-8647-BE15-0972E5BBA390}">
            <xm:f>BASE!$GP$12=0</xm:f>
            <x14:dxf>
              <font>
                <color theme="0" tint="-4.9989318521683403E-2"/>
              </font>
              <fill>
                <patternFill>
                  <bgColor theme="0" tint="-4.9989318521683403E-2"/>
                </patternFill>
              </fill>
              <border>
                <left/>
                <right/>
                <top/>
                <bottom/>
              </border>
            </x14:dxf>
          </x14:cfRule>
          <xm:sqref>BB137</xm:sqref>
        </x14:conditionalFormatting>
        <x14:conditionalFormatting xmlns:xm="http://schemas.microsoft.com/office/excel/2006/main">
          <x14:cfRule type="expression" priority="412" id="{8F456D4A-8142-4345-B15C-42863844EFB2}">
            <xm:f>BASE!$GQ$13=0</xm:f>
            <x14:dxf>
              <font>
                <color theme="0" tint="-4.9989318521683403E-2"/>
              </font>
              <fill>
                <patternFill>
                  <bgColor theme="0" tint="-4.9989318521683403E-2"/>
                </patternFill>
              </fill>
              <border>
                <left/>
                <right/>
                <top/>
                <bottom/>
              </border>
            </x14:dxf>
          </x14:cfRule>
          <xm:sqref>BB137</xm:sqref>
        </x14:conditionalFormatting>
        <x14:conditionalFormatting xmlns:xm="http://schemas.microsoft.com/office/excel/2006/main">
          <x14:cfRule type="expression" priority="409" id="{87E135EF-0FD1-9545-BD21-ACD706364E84}">
            <xm:f>BASE!$GP$12=0</xm:f>
            <x14:dxf>
              <font>
                <color theme="0" tint="-4.9989318521683403E-2"/>
              </font>
              <fill>
                <patternFill>
                  <bgColor theme="0" tint="-4.9989318521683403E-2"/>
                </patternFill>
              </fill>
              <border>
                <left/>
                <right/>
                <top/>
                <bottom/>
              </border>
            </x14:dxf>
          </x14:cfRule>
          <xm:sqref>BA146:BB146 BA147:BA155</xm:sqref>
        </x14:conditionalFormatting>
        <x14:conditionalFormatting xmlns:xm="http://schemas.microsoft.com/office/excel/2006/main">
          <x14:cfRule type="expression" priority="410" id="{EC6B091F-4669-2345-97F7-DBFCF8CCDBD1}">
            <xm:f>BASE!$GQ$13=0</xm:f>
            <x14:dxf>
              <font>
                <color theme="0" tint="-4.9989318521683403E-2"/>
              </font>
              <fill>
                <patternFill>
                  <bgColor theme="0" tint="-4.9989318521683403E-2"/>
                </patternFill>
              </fill>
              <border>
                <left/>
                <right/>
                <top/>
                <bottom/>
              </border>
            </x14:dxf>
          </x14:cfRule>
          <xm:sqref>BA146:BB146 BA147:BA155</xm:sqref>
        </x14:conditionalFormatting>
        <x14:conditionalFormatting xmlns:xm="http://schemas.microsoft.com/office/excel/2006/main">
          <x14:cfRule type="expression" priority="407" id="{495B56D8-9AC2-F94D-BCA3-965D36285E78}">
            <xm:f>BASE!$GP$12=0</xm:f>
            <x14:dxf>
              <font>
                <color theme="0" tint="-4.9989318521683403E-2"/>
              </font>
              <fill>
                <patternFill>
                  <bgColor theme="0" tint="-4.9989318521683403E-2"/>
                </patternFill>
              </fill>
              <border>
                <left/>
                <right/>
                <top/>
                <bottom/>
              </border>
            </x14:dxf>
          </x14:cfRule>
          <xm:sqref>BB147</xm:sqref>
        </x14:conditionalFormatting>
        <x14:conditionalFormatting xmlns:xm="http://schemas.microsoft.com/office/excel/2006/main">
          <x14:cfRule type="expression" priority="408" id="{B7112AF4-D364-5548-B9FF-099D36C6EA96}">
            <xm:f>BASE!$GQ$13=0</xm:f>
            <x14:dxf>
              <font>
                <color theme="0" tint="-4.9989318521683403E-2"/>
              </font>
              <fill>
                <patternFill>
                  <bgColor theme="0" tint="-4.9989318521683403E-2"/>
                </patternFill>
              </fill>
              <border>
                <left/>
                <right/>
                <top/>
                <bottom/>
              </border>
            </x14:dxf>
          </x14:cfRule>
          <xm:sqref>BB147</xm:sqref>
        </x14:conditionalFormatting>
        <x14:conditionalFormatting xmlns:xm="http://schemas.microsoft.com/office/excel/2006/main">
          <x14:cfRule type="expression" priority="405" id="{D8F1C1CA-4C0E-E944-A729-58C1831CA37F}">
            <xm:f>BASE!$GP$12=0</xm:f>
            <x14:dxf>
              <font>
                <color theme="0" tint="-4.9989318521683403E-2"/>
              </font>
              <fill>
                <patternFill>
                  <bgColor theme="0" tint="-4.9989318521683403E-2"/>
                </patternFill>
              </fill>
              <border>
                <left/>
                <right/>
                <top/>
                <bottom/>
              </border>
            </x14:dxf>
          </x14:cfRule>
          <xm:sqref>BB148</xm:sqref>
        </x14:conditionalFormatting>
        <x14:conditionalFormatting xmlns:xm="http://schemas.microsoft.com/office/excel/2006/main">
          <x14:cfRule type="expression" priority="406" id="{AB3A7F18-ED28-B14F-857D-6F1A0F58355D}">
            <xm:f>BASE!$GQ$13=0</xm:f>
            <x14:dxf>
              <font>
                <color theme="0" tint="-4.9989318521683403E-2"/>
              </font>
              <fill>
                <patternFill>
                  <bgColor theme="0" tint="-4.9989318521683403E-2"/>
                </patternFill>
              </fill>
              <border>
                <left/>
                <right/>
                <top/>
                <bottom/>
              </border>
            </x14:dxf>
          </x14:cfRule>
          <xm:sqref>BB148</xm:sqref>
        </x14:conditionalFormatting>
        <x14:conditionalFormatting xmlns:xm="http://schemas.microsoft.com/office/excel/2006/main">
          <x14:cfRule type="expression" priority="403" id="{EECBD2A9-7519-284D-BD06-A4A5D531FBD4}">
            <xm:f>BASE!$GP$12=0</xm:f>
            <x14:dxf>
              <font>
                <color theme="0" tint="-4.9989318521683403E-2"/>
              </font>
              <fill>
                <patternFill>
                  <bgColor theme="0" tint="-4.9989318521683403E-2"/>
                </patternFill>
              </fill>
              <border>
                <left/>
                <right/>
                <top/>
                <bottom/>
              </border>
            </x14:dxf>
          </x14:cfRule>
          <xm:sqref>BB149</xm:sqref>
        </x14:conditionalFormatting>
        <x14:conditionalFormatting xmlns:xm="http://schemas.microsoft.com/office/excel/2006/main">
          <x14:cfRule type="expression" priority="404" id="{FAA90796-CAB5-1740-B12E-2A0D76573E66}">
            <xm:f>BASE!$GQ$13=0</xm:f>
            <x14:dxf>
              <font>
                <color theme="0" tint="-4.9989318521683403E-2"/>
              </font>
              <fill>
                <patternFill>
                  <bgColor theme="0" tint="-4.9989318521683403E-2"/>
                </patternFill>
              </fill>
              <border>
                <left/>
                <right/>
                <top/>
                <bottom/>
              </border>
            </x14:dxf>
          </x14:cfRule>
          <xm:sqref>BB149</xm:sqref>
        </x14:conditionalFormatting>
        <x14:conditionalFormatting xmlns:xm="http://schemas.microsoft.com/office/excel/2006/main">
          <x14:cfRule type="expression" priority="401" id="{A0054D72-8E4E-6D4D-8CE5-72067807F341}">
            <xm:f>BASE!$GP$12=0</xm:f>
            <x14:dxf>
              <font>
                <color theme="0" tint="-4.9989318521683403E-2"/>
              </font>
              <fill>
                <patternFill>
                  <bgColor theme="0" tint="-4.9989318521683403E-2"/>
                </patternFill>
              </fill>
              <border>
                <left/>
                <right/>
                <top/>
                <bottom/>
              </border>
            </x14:dxf>
          </x14:cfRule>
          <xm:sqref>BB150</xm:sqref>
        </x14:conditionalFormatting>
        <x14:conditionalFormatting xmlns:xm="http://schemas.microsoft.com/office/excel/2006/main">
          <x14:cfRule type="expression" priority="402" id="{F2D0C204-BA82-E841-8CF1-09A1A3D6E2A6}">
            <xm:f>BASE!$GQ$13=0</xm:f>
            <x14:dxf>
              <font>
                <color theme="0" tint="-4.9989318521683403E-2"/>
              </font>
              <fill>
                <patternFill>
                  <bgColor theme="0" tint="-4.9989318521683403E-2"/>
                </patternFill>
              </fill>
              <border>
                <left/>
                <right/>
                <top/>
                <bottom/>
              </border>
            </x14:dxf>
          </x14:cfRule>
          <xm:sqref>BB150</xm:sqref>
        </x14:conditionalFormatting>
        <x14:conditionalFormatting xmlns:xm="http://schemas.microsoft.com/office/excel/2006/main">
          <x14:cfRule type="expression" priority="399" id="{9D30174F-1909-014D-968C-84F7D7B2AFC3}">
            <xm:f>BASE!$GP$12=0</xm:f>
            <x14:dxf>
              <font>
                <color theme="0" tint="-4.9989318521683403E-2"/>
              </font>
              <fill>
                <patternFill>
                  <bgColor theme="0" tint="-4.9989318521683403E-2"/>
                </patternFill>
              </fill>
              <border>
                <left/>
                <right/>
                <top/>
                <bottom/>
              </border>
            </x14:dxf>
          </x14:cfRule>
          <xm:sqref>BB151</xm:sqref>
        </x14:conditionalFormatting>
        <x14:conditionalFormatting xmlns:xm="http://schemas.microsoft.com/office/excel/2006/main">
          <x14:cfRule type="expression" priority="400" id="{CD957A37-6C29-0840-963E-C695C15A023A}">
            <xm:f>BASE!$GQ$13=0</xm:f>
            <x14:dxf>
              <font>
                <color theme="0" tint="-4.9989318521683403E-2"/>
              </font>
              <fill>
                <patternFill>
                  <bgColor theme="0" tint="-4.9989318521683403E-2"/>
                </patternFill>
              </fill>
              <border>
                <left/>
                <right/>
                <top/>
                <bottom/>
              </border>
            </x14:dxf>
          </x14:cfRule>
          <xm:sqref>BB151</xm:sqref>
        </x14:conditionalFormatting>
        <x14:conditionalFormatting xmlns:xm="http://schemas.microsoft.com/office/excel/2006/main">
          <x14:cfRule type="expression" priority="397" id="{611587B9-3071-F346-92BF-2D54A68A3E0F}">
            <xm:f>BASE!$GP$12=0</xm:f>
            <x14:dxf>
              <font>
                <color theme="0" tint="-4.9989318521683403E-2"/>
              </font>
              <fill>
                <patternFill>
                  <bgColor theme="0" tint="-4.9989318521683403E-2"/>
                </patternFill>
              </fill>
              <border>
                <left/>
                <right/>
                <top/>
                <bottom/>
              </border>
            </x14:dxf>
          </x14:cfRule>
          <xm:sqref>BB152</xm:sqref>
        </x14:conditionalFormatting>
        <x14:conditionalFormatting xmlns:xm="http://schemas.microsoft.com/office/excel/2006/main">
          <x14:cfRule type="expression" priority="398" id="{6BD655CF-9F31-F143-AA09-BC94528CA4CF}">
            <xm:f>BASE!$GQ$13=0</xm:f>
            <x14:dxf>
              <font>
                <color theme="0" tint="-4.9989318521683403E-2"/>
              </font>
              <fill>
                <patternFill>
                  <bgColor theme="0" tint="-4.9989318521683403E-2"/>
                </patternFill>
              </fill>
              <border>
                <left/>
                <right/>
                <top/>
                <bottom/>
              </border>
            </x14:dxf>
          </x14:cfRule>
          <xm:sqref>BB152</xm:sqref>
        </x14:conditionalFormatting>
        <x14:conditionalFormatting xmlns:xm="http://schemas.microsoft.com/office/excel/2006/main">
          <x14:cfRule type="expression" priority="395" id="{82AE0DE0-8715-3E4C-BD1D-1C5136E36760}">
            <xm:f>BASE!$GP$12=0</xm:f>
            <x14:dxf>
              <font>
                <color theme="0" tint="-4.9989318521683403E-2"/>
              </font>
              <fill>
                <patternFill>
                  <bgColor theme="0" tint="-4.9989318521683403E-2"/>
                </patternFill>
              </fill>
              <border>
                <left/>
                <right/>
                <top/>
                <bottom/>
              </border>
            </x14:dxf>
          </x14:cfRule>
          <xm:sqref>BB153</xm:sqref>
        </x14:conditionalFormatting>
        <x14:conditionalFormatting xmlns:xm="http://schemas.microsoft.com/office/excel/2006/main">
          <x14:cfRule type="expression" priority="396" id="{05851A34-711D-684D-84CD-DB4DA9D3B9E1}">
            <xm:f>BASE!$GQ$13=0</xm:f>
            <x14:dxf>
              <font>
                <color theme="0" tint="-4.9989318521683403E-2"/>
              </font>
              <fill>
                <patternFill>
                  <bgColor theme="0" tint="-4.9989318521683403E-2"/>
                </patternFill>
              </fill>
              <border>
                <left/>
                <right/>
                <top/>
                <bottom/>
              </border>
            </x14:dxf>
          </x14:cfRule>
          <xm:sqref>BB153</xm:sqref>
        </x14:conditionalFormatting>
        <x14:conditionalFormatting xmlns:xm="http://schemas.microsoft.com/office/excel/2006/main">
          <x14:cfRule type="expression" priority="393" id="{D0D0277B-85A8-0645-ACBA-030D7B6C4EE6}">
            <xm:f>BASE!$GP$12=0</xm:f>
            <x14:dxf>
              <font>
                <color theme="0" tint="-4.9989318521683403E-2"/>
              </font>
              <fill>
                <patternFill>
                  <bgColor theme="0" tint="-4.9989318521683403E-2"/>
                </patternFill>
              </fill>
              <border>
                <left/>
                <right/>
                <top/>
                <bottom/>
              </border>
            </x14:dxf>
          </x14:cfRule>
          <xm:sqref>BB154</xm:sqref>
        </x14:conditionalFormatting>
        <x14:conditionalFormatting xmlns:xm="http://schemas.microsoft.com/office/excel/2006/main">
          <x14:cfRule type="expression" priority="394" id="{908CC89F-7E23-6347-98C0-E57E131EE0CE}">
            <xm:f>BASE!$GQ$13=0</xm:f>
            <x14:dxf>
              <font>
                <color theme="0" tint="-4.9989318521683403E-2"/>
              </font>
              <fill>
                <patternFill>
                  <bgColor theme="0" tint="-4.9989318521683403E-2"/>
                </patternFill>
              </fill>
              <border>
                <left/>
                <right/>
                <top/>
                <bottom/>
              </border>
            </x14:dxf>
          </x14:cfRule>
          <xm:sqref>BB154</xm:sqref>
        </x14:conditionalFormatting>
        <x14:conditionalFormatting xmlns:xm="http://schemas.microsoft.com/office/excel/2006/main">
          <x14:cfRule type="expression" priority="391" id="{B994EE2E-5097-2A4E-9C7D-1FE9E4B0BE90}">
            <xm:f>BASE!$GP$12=0</xm:f>
            <x14:dxf>
              <font>
                <color theme="0" tint="-4.9989318521683403E-2"/>
              </font>
              <fill>
                <patternFill>
                  <bgColor theme="0" tint="-4.9989318521683403E-2"/>
                </patternFill>
              </fill>
              <border>
                <left/>
                <right/>
                <top/>
                <bottom/>
              </border>
            </x14:dxf>
          </x14:cfRule>
          <xm:sqref>BB155</xm:sqref>
        </x14:conditionalFormatting>
        <x14:conditionalFormatting xmlns:xm="http://schemas.microsoft.com/office/excel/2006/main">
          <x14:cfRule type="expression" priority="392" id="{1F5E7BE4-5EB4-CE40-A42A-50845F69CFDE}">
            <xm:f>BASE!$GQ$13=0</xm:f>
            <x14:dxf>
              <font>
                <color theme="0" tint="-4.9989318521683403E-2"/>
              </font>
              <fill>
                <patternFill>
                  <bgColor theme="0" tint="-4.9989318521683403E-2"/>
                </patternFill>
              </fill>
              <border>
                <left/>
                <right/>
                <top/>
                <bottom/>
              </border>
            </x14:dxf>
          </x14:cfRule>
          <xm:sqref>BB155</xm:sqref>
        </x14:conditionalFormatting>
        <x14:conditionalFormatting xmlns:xm="http://schemas.microsoft.com/office/excel/2006/main">
          <x14:cfRule type="expression" priority="389" id="{7AF6BF21-6235-F64A-BE52-507D253F80AB}">
            <xm:f>BASE!$GP$12=0</xm:f>
            <x14:dxf>
              <font>
                <color theme="0" tint="-4.9989318521683403E-2"/>
              </font>
              <fill>
                <patternFill>
                  <bgColor theme="0" tint="-4.9989318521683403E-2"/>
                </patternFill>
              </fill>
              <border>
                <left/>
                <right/>
                <top/>
                <bottom/>
              </border>
            </x14:dxf>
          </x14:cfRule>
          <xm:sqref>BA164:BB164 BA165:BA173</xm:sqref>
        </x14:conditionalFormatting>
        <x14:conditionalFormatting xmlns:xm="http://schemas.microsoft.com/office/excel/2006/main">
          <x14:cfRule type="expression" priority="390" id="{82E30DDF-DAA9-254B-B226-CB1E3EC20480}">
            <xm:f>BASE!$GQ$13=0</xm:f>
            <x14:dxf>
              <font>
                <color theme="0" tint="-4.9989318521683403E-2"/>
              </font>
              <fill>
                <patternFill>
                  <bgColor theme="0" tint="-4.9989318521683403E-2"/>
                </patternFill>
              </fill>
              <border>
                <left/>
                <right/>
                <top/>
                <bottom/>
              </border>
            </x14:dxf>
          </x14:cfRule>
          <xm:sqref>BA164:BB164 BA165:BA173</xm:sqref>
        </x14:conditionalFormatting>
        <x14:conditionalFormatting xmlns:xm="http://schemas.microsoft.com/office/excel/2006/main">
          <x14:cfRule type="expression" priority="387" id="{0A7B5382-6C6C-AA44-8483-612B81501950}">
            <xm:f>BASE!$GP$12=0</xm:f>
            <x14:dxf>
              <font>
                <color theme="0" tint="-4.9989318521683403E-2"/>
              </font>
              <fill>
                <patternFill>
                  <bgColor theme="0" tint="-4.9989318521683403E-2"/>
                </patternFill>
              </fill>
              <border>
                <left/>
                <right/>
                <top/>
                <bottom/>
              </border>
            </x14:dxf>
          </x14:cfRule>
          <xm:sqref>BB165</xm:sqref>
        </x14:conditionalFormatting>
        <x14:conditionalFormatting xmlns:xm="http://schemas.microsoft.com/office/excel/2006/main">
          <x14:cfRule type="expression" priority="388" id="{33BAE493-DA2F-DA46-AA7A-FD4405936521}">
            <xm:f>BASE!$GQ$13=0</xm:f>
            <x14:dxf>
              <font>
                <color theme="0" tint="-4.9989318521683403E-2"/>
              </font>
              <fill>
                <patternFill>
                  <bgColor theme="0" tint="-4.9989318521683403E-2"/>
                </patternFill>
              </fill>
              <border>
                <left/>
                <right/>
                <top/>
                <bottom/>
              </border>
            </x14:dxf>
          </x14:cfRule>
          <xm:sqref>BB165</xm:sqref>
        </x14:conditionalFormatting>
        <x14:conditionalFormatting xmlns:xm="http://schemas.microsoft.com/office/excel/2006/main">
          <x14:cfRule type="expression" priority="385" id="{95C5AD5A-54B1-D842-ABD5-C9326A9CF127}">
            <xm:f>BASE!$GP$12=0</xm:f>
            <x14:dxf>
              <font>
                <color theme="0" tint="-4.9989318521683403E-2"/>
              </font>
              <fill>
                <patternFill>
                  <bgColor theme="0" tint="-4.9989318521683403E-2"/>
                </patternFill>
              </fill>
              <border>
                <left/>
                <right/>
                <top/>
                <bottom/>
              </border>
            </x14:dxf>
          </x14:cfRule>
          <xm:sqref>BB166</xm:sqref>
        </x14:conditionalFormatting>
        <x14:conditionalFormatting xmlns:xm="http://schemas.microsoft.com/office/excel/2006/main">
          <x14:cfRule type="expression" priority="386" id="{35939376-7446-9D42-8463-F93865D57B7B}">
            <xm:f>BASE!$GQ$13=0</xm:f>
            <x14:dxf>
              <font>
                <color theme="0" tint="-4.9989318521683403E-2"/>
              </font>
              <fill>
                <patternFill>
                  <bgColor theme="0" tint="-4.9989318521683403E-2"/>
                </patternFill>
              </fill>
              <border>
                <left/>
                <right/>
                <top/>
                <bottom/>
              </border>
            </x14:dxf>
          </x14:cfRule>
          <xm:sqref>BB166</xm:sqref>
        </x14:conditionalFormatting>
        <x14:conditionalFormatting xmlns:xm="http://schemas.microsoft.com/office/excel/2006/main">
          <x14:cfRule type="expression" priority="383" id="{D3DEBCAA-9291-A742-8DD7-CC4AC6107AA8}">
            <xm:f>BASE!$GP$12=0</xm:f>
            <x14:dxf>
              <font>
                <color theme="0" tint="-4.9989318521683403E-2"/>
              </font>
              <fill>
                <patternFill>
                  <bgColor theme="0" tint="-4.9989318521683403E-2"/>
                </patternFill>
              </fill>
              <border>
                <left/>
                <right/>
                <top/>
                <bottom/>
              </border>
            </x14:dxf>
          </x14:cfRule>
          <xm:sqref>BB167</xm:sqref>
        </x14:conditionalFormatting>
        <x14:conditionalFormatting xmlns:xm="http://schemas.microsoft.com/office/excel/2006/main">
          <x14:cfRule type="expression" priority="384" id="{A19FE9B1-8E3F-B24A-83C3-6A05BF5EE8A8}">
            <xm:f>BASE!$GQ$13=0</xm:f>
            <x14:dxf>
              <font>
                <color theme="0" tint="-4.9989318521683403E-2"/>
              </font>
              <fill>
                <patternFill>
                  <bgColor theme="0" tint="-4.9989318521683403E-2"/>
                </patternFill>
              </fill>
              <border>
                <left/>
                <right/>
                <top/>
                <bottom/>
              </border>
            </x14:dxf>
          </x14:cfRule>
          <xm:sqref>BB167</xm:sqref>
        </x14:conditionalFormatting>
        <x14:conditionalFormatting xmlns:xm="http://schemas.microsoft.com/office/excel/2006/main">
          <x14:cfRule type="expression" priority="381" id="{C5249BA9-6FB8-DD43-87D3-7FC27AF92094}">
            <xm:f>BASE!$GP$12=0</xm:f>
            <x14:dxf>
              <font>
                <color theme="0" tint="-4.9989318521683403E-2"/>
              </font>
              <fill>
                <patternFill>
                  <bgColor theme="0" tint="-4.9989318521683403E-2"/>
                </patternFill>
              </fill>
              <border>
                <left/>
                <right/>
                <top/>
                <bottom/>
              </border>
            </x14:dxf>
          </x14:cfRule>
          <xm:sqref>BB168</xm:sqref>
        </x14:conditionalFormatting>
        <x14:conditionalFormatting xmlns:xm="http://schemas.microsoft.com/office/excel/2006/main">
          <x14:cfRule type="expression" priority="382" id="{08D31D7D-971E-694E-A53E-AC5CC0CBC0F9}">
            <xm:f>BASE!$GQ$13=0</xm:f>
            <x14:dxf>
              <font>
                <color theme="0" tint="-4.9989318521683403E-2"/>
              </font>
              <fill>
                <patternFill>
                  <bgColor theme="0" tint="-4.9989318521683403E-2"/>
                </patternFill>
              </fill>
              <border>
                <left/>
                <right/>
                <top/>
                <bottom/>
              </border>
            </x14:dxf>
          </x14:cfRule>
          <xm:sqref>BB168</xm:sqref>
        </x14:conditionalFormatting>
        <x14:conditionalFormatting xmlns:xm="http://schemas.microsoft.com/office/excel/2006/main">
          <x14:cfRule type="expression" priority="379" id="{D339D24C-CD44-1442-B23C-9C827C0640A4}">
            <xm:f>BASE!$GP$12=0</xm:f>
            <x14:dxf>
              <font>
                <color theme="0" tint="-4.9989318521683403E-2"/>
              </font>
              <fill>
                <patternFill>
                  <bgColor theme="0" tint="-4.9989318521683403E-2"/>
                </patternFill>
              </fill>
              <border>
                <left/>
                <right/>
                <top/>
                <bottom/>
              </border>
            </x14:dxf>
          </x14:cfRule>
          <xm:sqref>BB169</xm:sqref>
        </x14:conditionalFormatting>
        <x14:conditionalFormatting xmlns:xm="http://schemas.microsoft.com/office/excel/2006/main">
          <x14:cfRule type="expression" priority="380" id="{69B7B174-E341-B545-99F2-4713A6B42FBB}">
            <xm:f>BASE!$GQ$13=0</xm:f>
            <x14:dxf>
              <font>
                <color theme="0" tint="-4.9989318521683403E-2"/>
              </font>
              <fill>
                <patternFill>
                  <bgColor theme="0" tint="-4.9989318521683403E-2"/>
                </patternFill>
              </fill>
              <border>
                <left/>
                <right/>
                <top/>
                <bottom/>
              </border>
            </x14:dxf>
          </x14:cfRule>
          <xm:sqref>BB169</xm:sqref>
        </x14:conditionalFormatting>
        <x14:conditionalFormatting xmlns:xm="http://schemas.microsoft.com/office/excel/2006/main">
          <x14:cfRule type="expression" priority="377" id="{B0307384-C651-214D-8F60-9227010F03D5}">
            <xm:f>BASE!$GP$12=0</xm:f>
            <x14:dxf>
              <font>
                <color theme="0" tint="-4.9989318521683403E-2"/>
              </font>
              <fill>
                <patternFill>
                  <bgColor theme="0" tint="-4.9989318521683403E-2"/>
                </patternFill>
              </fill>
              <border>
                <left/>
                <right/>
                <top/>
                <bottom/>
              </border>
            </x14:dxf>
          </x14:cfRule>
          <xm:sqref>BB170</xm:sqref>
        </x14:conditionalFormatting>
        <x14:conditionalFormatting xmlns:xm="http://schemas.microsoft.com/office/excel/2006/main">
          <x14:cfRule type="expression" priority="378" id="{E542CA79-160D-434E-B997-1D436448BF3A}">
            <xm:f>BASE!$GQ$13=0</xm:f>
            <x14:dxf>
              <font>
                <color theme="0" tint="-4.9989318521683403E-2"/>
              </font>
              <fill>
                <patternFill>
                  <bgColor theme="0" tint="-4.9989318521683403E-2"/>
                </patternFill>
              </fill>
              <border>
                <left/>
                <right/>
                <top/>
                <bottom/>
              </border>
            </x14:dxf>
          </x14:cfRule>
          <xm:sqref>BB170</xm:sqref>
        </x14:conditionalFormatting>
        <x14:conditionalFormatting xmlns:xm="http://schemas.microsoft.com/office/excel/2006/main">
          <x14:cfRule type="expression" priority="375" id="{AA2A9BDB-72A4-0D4A-9169-16027DE7C5D3}">
            <xm:f>BASE!$GP$12=0</xm:f>
            <x14:dxf>
              <font>
                <color theme="0" tint="-4.9989318521683403E-2"/>
              </font>
              <fill>
                <patternFill>
                  <bgColor theme="0" tint="-4.9989318521683403E-2"/>
                </patternFill>
              </fill>
              <border>
                <left/>
                <right/>
                <top/>
                <bottom/>
              </border>
            </x14:dxf>
          </x14:cfRule>
          <xm:sqref>BB171</xm:sqref>
        </x14:conditionalFormatting>
        <x14:conditionalFormatting xmlns:xm="http://schemas.microsoft.com/office/excel/2006/main">
          <x14:cfRule type="expression" priority="376" id="{FDC59FF6-E107-1947-AF26-C08C0DB3B228}">
            <xm:f>BASE!$GQ$13=0</xm:f>
            <x14:dxf>
              <font>
                <color theme="0" tint="-4.9989318521683403E-2"/>
              </font>
              <fill>
                <patternFill>
                  <bgColor theme="0" tint="-4.9989318521683403E-2"/>
                </patternFill>
              </fill>
              <border>
                <left/>
                <right/>
                <top/>
                <bottom/>
              </border>
            </x14:dxf>
          </x14:cfRule>
          <xm:sqref>BB171</xm:sqref>
        </x14:conditionalFormatting>
        <x14:conditionalFormatting xmlns:xm="http://schemas.microsoft.com/office/excel/2006/main">
          <x14:cfRule type="expression" priority="373" id="{F432CC44-5F75-4946-86A7-676D6E52461C}">
            <xm:f>BASE!$GP$12=0</xm:f>
            <x14:dxf>
              <font>
                <color theme="0" tint="-4.9989318521683403E-2"/>
              </font>
              <fill>
                <patternFill>
                  <bgColor theme="0" tint="-4.9989318521683403E-2"/>
                </patternFill>
              </fill>
              <border>
                <left/>
                <right/>
                <top/>
                <bottom/>
              </border>
            </x14:dxf>
          </x14:cfRule>
          <xm:sqref>BB172</xm:sqref>
        </x14:conditionalFormatting>
        <x14:conditionalFormatting xmlns:xm="http://schemas.microsoft.com/office/excel/2006/main">
          <x14:cfRule type="expression" priority="374" id="{D827FDFD-A286-4142-BEBE-917B7770DF97}">
            <xm:f>BASE!$GQ$13=0</xm:f>
            <x14:dxf>
              <font>
                <color theme="0" tint="-4.9989318521683403E-2"/>
              </font>
              <fill>
                <patternFill>
                  <bgColor theme="0" tint="-4.9989318521683403E-2"/>
                </patternFill>
              </fill>
              <border>
                <left/>
                <right/>
                <top/>
                <bottom/>
              </border>
            </x14:dxf>
          </x14:cfRule>
          <xm:sqref>BB172</xm:sqref>
        </x14:conditionalFormatting>
        <x14:conditionalFormatting xmlns:xm="http://schemas.microsoft.com/office/excel/2006/main">
          <x14:cfRule type="expression" priority="371" id="{10A79B6C-CB58-0F43-8FCE-29E1187B1D24}">
            <xm:f>BASE!$GP$12=0</xm:f>
            <x14:dxf>
              <font>
                <color theme="0" tint="-4.9989318521683403E-2"/>
              </font>
              <fill>
                <patternFill>
                  <bgColor theme="0" tint="-4.9989318521683403E-2"/>
                </patternFill>
              </fill>
              <border>
                <left/>
                <right/>
                <top/>
                <bottom/>
              </border>
            </x14:dxf>
          </x14:cfRule>
          <xm:sqref>BB173</xm:sqref>
        </x14:conditionalFormatting>
        <x14:conditionalFormatting xmlns:xm="http://schemas.microsoft.com/office/excel/2006/main">
          <x14:cfRule type="expression" priority="372" id="{6AD5203D-360A-8E40-8054-324DDBF58A16}">
            <xm:f>BASE!$GQ$13=0</xm:f>
            <x14:dxf>
              <font>
                <color theme="0" tint="-4.9989318521683403E-2"/>
              </font>
              <fill>
                <patternFill>
                  <bgColor theme="0" tint="-4.9989318521683403E-2"/>
                </patternFill>
              </fill>
              <border>
                <left/>
                <right/>
                <top/>
                <bottom/>
              </border>
            </x14:dxf>
          </x14:cfRule>
          <xm:sqref>BB173</xm:sqref>
        </x14:conditionalFormatting>
        <x14:conditionalFormatting xmlns:xm="http://schemas.microsoft.com/office/excel/2006/main">
          <x14:cfRule type="expression" priority="367" id="{7FD8C56A-5D9F-0141-9276-1BDD7891966C}">
            <xm:f>BASE!$GP$12=0</xm:f>
            <x14:dxf>
              <font>
                <color theme="0" tint="-4.9989318521683403E-2"/>
              </font>
              <fill>
                <patternFill>
                  <bgColor theme="0" tint="-4.9989318521683403E-2"/>
                </patternFill>
              </fill>
              <border>
                <left/>
                <right/>
                <top/>
                <bottom/>
              </border>
            </x14:dxf>
          </x14:cfRule>
          <xm:sqref>J110</xm:sqref>
        </x14:conditionalFormatting>
        <x14:conditionalFormatting xmlns:xm="http://schemas.microsoft.com/office/excel/2006/main">
          <x14:cfRule type="expression" priority="368" id="{55A4C426-2373-6643-8424-27306FC9C9E2}">
            <xm:f>BASE!$GQ$13=0</xm:f>
            <x14:dxf>
              <font>
                <color theme="0" tint="-4.9989318521683403E-2"/>
              </font>
              <fill>
                <patternFill>
                  <bgColor theme="0" tint="-4.9989318521683403E-2"/>
                </patternFill>
              </fill>
              <border>
                <left/>
                <right/>
                <top/>
                <bottom/>
              </border>
            </x14:dxf>
          </x14:cfRule>
          <xm:sqref>J110</xm:sqref>
        </x14:conditionalFormatting>
        <x14:conditionalFormatting xmlns:xm="http://schemas.microsoft.com/office/excel/2006/main">
          <x14:cfRule type="expression" priority="369" id="{AEAC2D2F-5CF7-4546-BC01-3FC5612BE6E0}">
            <xm:f>BASE!$GP$18=0</xm:f>
            <x14:dxf>
              <font>
                <color theme="0" tint="-4.9989318521683403E-2"/>
              </font>
              <fill>
                <patternFill>
                  <bgColor theme="0" tint="-4.9989318521683403E-2"/>
                </patternFill>
              </fill>
              <border>
                <left/>
                <right/>
                <top/>
                <bottom/>
              </border>
            </x14:dxf>
          </x14:cfRule>
          <xm:sqref>J110</xm:sqref>
        </x14:conditionalFormatting>
        <x14:conditionalFormatting xmlns:xm="http://schemas.microsoft.com/office/excel/2006/main">
          <x14:cfRule type="expression" priority="364" id="{7F819407-11A6-FE42-B5AB-780F109C22F5}">
            <xm:f>BASE!$GP$12=0</xm:f>
            <x14:dxf>
              <font>
                <color theme="0" tint="-4.9989318521683403E-2"/>
              </font>
              <fill>
                <patternFill>
                  <bgColor theme="0" tint="-4.9989318521683403E-2"/>
                </patternFill>
              </fill>
              <border>
                <left/>
                <right/>
                <top/>
                <bottom/>
              </border>
            </x14:dxf>
          </x14:cfRule>
          <xm:sqref>I111</xm:sqref>
        </x14:conditionalFormatting>
        <x14:conditionalFormatting xmlns:xm="http://schemas.microsoft.com/office/excel/2006/main">
          <x14:cfRule type="expression" priority="365" id="{DB01AF3F-1FCC-0E44-9278-AE588E724C39}">
            <xm:f>BASE!$GQ$13=0</xm:f>
            <x14:dxf>
              <font>
                <color theme="0" tint="-4.9989318521683403E-2"/>
              </font>
              <fill>
                <patternFill>
                  <bgColor theme="0" tint="-4.9989318521683403E-2"/>
                </patternFill>
              </fill>
              <border>
                <left/>
                <right/>
                <top/>
                <bottom/>
              </border>
            </x14:dxf>
          </x14:cfRule>
          <xm:sqref>I111</xm:sqref>
        </x14:conditionalFormatting>
        <x14:conditionalFormatting xmlns:xm="http://schemas.microsoft.com/office/excel/2006/main">
          <x14:cfRule type="expression" priority="366" id="{6497EB9B-E079-6044-8C27-3DDCDCCC42CD}">
            <xm:f>BASE!$GP$18=0</xm:f>
            <x14:dxf>
              <font>
                <color theme="0" tint="-4.9989318521683403E-2"/>
              </font>
              <fill>
                <patternFill>
                  <bgColor theme="0" tint="-4.9989318521683403E-2"/>
                </patternFill>
              </fill>
              <border>
                <left/>
                <right/>
                <top/>
                <bottom/>
              </border>
            </x14:dxf>
          </x14:cfRule>
          <xm:sqref>I111</xm:sqref>
        </x14:conditionalFormatting>
        <x14:conditionalFormatting xmlns:xm="http://schemas.microsoft.com/office/excel/2006/main">
          <x14:cfRule type="expression" priority="361" id="{1FBC2136-D80B-4847-9F79-769E77379CE9}">
            <xm:f>BASE!$GP$12=0</xm:f>
            <x14:dxf>
              <font>
                <color theme="0" tint="-4.9989318521683403E-2"/>
              </font>
              <fill>
                <patternFill>
                  <bgColor theme="0" tint="-4.9989318521683403E-2"/>
                </patternFill>
              </fill>
              <border>
                <left/>
                <right/>
                <top/>
                <bottom/>
              </border>
            </x14:dxf>
          </x14:cfRule>
          <xm:sqref>J111</xm:sqref>
        </x14:conditionalFormatting>
        <x14:conditionalFormatting xmlns:xm="http://schemas.microsoft.com/office/excel/2006/main">
          <x14:cfRule type="expression" priority="362" id="{EFEE18D9-BC7E-C84A-8979-AC03B1E974C5}">
            <xm:f>BASE!$GQ$13=0</xm:f>
            <x14:dxf>
              <font>
                <color theme="0" tint="-4.9989318521683403E-2"/>
              </font>
              <fill>
                <patternFill>
                  <bgColor theme="0" tint="-4.9989318521683403E-2"/>
                </patternFill>
              </fill>
              <border>
                <left/>
                <right/>
                <top/>
                <bottom/>
              </border>
            </x14:dxf>
          </x14:cfRule>
          <xm:sqref>J111</xm:sqref>
        </x14:conditionalFormatting>
        <x14:conditionalFormatting xmlns:xm="http://schemas.microsoft.com/office/excel/2006/main">
          <x14:cfRule type="expression" priority="363" id="{130CC398-0671-A640-966C-23866D632C6F}">
            <xm:f>BASE!$GP$18=0</xm:f>
            <x14:dxf>
              <font>
                <color theme="0" tint="-4.9989318521683403E-2"/>
              </font>
              <fill>
                <patternFill>
                  <bgColor theme="0" tint="-4.9989318521683403E-2"/>
                </patternFill>
              </fill>
              <border>
                <left/>
                <right/>
                <top/>
                <bottom/>
              </border>
            </x14:dxf>
          </x14:cfRule>
          <xm:sqref>J111</xm:sqref>
        </x14:conditionalFormatting>
        <x14:conditionalFormatting xmlns:xm="http://schemas.microsoft.com/office/excel/2006/main">
          <x14:cfRule type="expression" priority="358" id="{91A6FD94-41FB-D74C-BEA9-D35BDAE50F8E}">
            <xm:f>BASE!$GP$12=0</xm:f>
            <x14:dxf>
              <font>
                <color theme="0" tint="-4.9989318521683403E-2"/>
              </font>
              <fill>
                <patternFill>
                  <bgColor theme="0" tint="-4.9989318521683403E-2"/>
                </patternFill>
              </fill>
              <border>
                <left/>
                <right/>
                <top/>
                <bottom/>
              </border>
            </x14:dxf>
          </x14:cfRule>
          <xm:sqref>I112</xm:sqref>
        </x14:conditionalFormatting>
        <x14:conditionalFormatting xmlns:xm="http://schemas.microsoft.com/office/excel/2006/main">
          <x14:cfRule type="expression" priority="359" id="{BA9F104D-0F8F-6D4F-AC24-5A5460AE8940}">
            <xm:f>BASE!$GQ$13=0</xm:f>
            <x14:dxf>
              <font>
                <color theme="0" tint="-4.9989318521683403E-2"/>
              </font>
              <fill>
                <patternFill>
                  <bgColor theme="0" tint="-4.9989318521683403E-2"/>
                </patternFill>
              </fill>
              <border>
                <left/>
                <right/>
                <top/>
                <bottom/>
              </border>
            </x14:dxf>
          </x14:cfRule>
          <xm:sqref>I112</xm:sqref>
        </x14:conditionalFormatting>
        <x14:conditionalFormatting xmlns:xm="http://schemas.microsoft.com/office/excel/2006/main">
          <x14:cfRule type="expression" priority="360" id="{C785681C-9D34-5D4E-A542-4F769C4FD62C}">
            <xm:f>BASE!$GP$18=0</xm:f>
            <x14:dxf>
              <font>
                <color theme="0" tint="-4.9989318521683403E-2"/>
              </font>
              <fill>
                <patternFill>
                  <bgColor theme="0" tint="-4.9989318521683403E-2"/>
                </patternFill>
              </fill>
              <border>
                <left/>
                <right/>
                <top/>
                <bottom/>
              </border>
            </x14:dxf>
          </x14:cfRule>
          <xm:sqref>I112</xm:sqref>
        </x14:conditionalFormatting>
        <x14:conditionalFormatting xmlns:xm="http://schemas.microsoft.com/office/excel/2006/main">
          <x14:cfRule type="expression" priority="355" id="{09EBD351-B14E-F64E-8F4F-E7CBB0E138AE}">
            <xm:f>BASE!$GP$12=0</xm:f>
            <x14:dxf>
              <font>
                <color theme="0" tint="-4.9989318521683403E-2"/>
              </font>
              <fill>
                <patternFill>
                  <bgColor theme="0" tint="-4.9989318521683403E-2"/>
                </patternFill>
              </fill>
              <border>
                <left/>
                <right/>
                <top/>
                <bottom/>
              </border>
            </x14:dxf>
          </x14:cfRule>
          <xm:sqref>J112</xm:sqref>
        </x14:conditionalFormatting>
        <x14:conditionalFormatting xmlns:xm="http://schemas.microsoft.com/office/excel/2006/main">
          <x14:cfRule type="expression" priority="356" id="{8DC88C75-7AFB-1748-B2B9-D3D967221F9E}">
            <xm:f>BASE!$GQ$13=0</xm:f>
            <x14:dxf>
              <font>
                <color theme="0" tint="-4.9989318521683403E-2"/>
              </font>
              <fill>
                <patternFill>
                  <bgColor theme="0" tint="-4.9989318521683403E-2"/>
                </patternFill>
              </fill>
              <border>
                <left/>
                <right/>
                <top/>
                <bottom/>
              </border>
            </x14:dxf>
          </x14:cfRule>
          <xm:sqref>J112</xm:sqref>
        </x14:conditionalFormatting>
        <x14:conditionalFormatting xmlns:xm="http://schemas.microsoft.com/office/excel/2006/main">
          <x14:cfRule type="expression" priority="357" id="{5D29E7CE-31CA-D44F-952E-09CFD1047AA9}">
            <xm:f>BASE!$GP$18=0</xm:f>
            <x14:dxf>
              <font>
                <color theme="0" tint="-4.9989318521683403E-2"/>
              </font>
              <fill>
                <patternFill>
                  <bgColor theme="0" tint="-4.9989318521683403E-2"/>
                </patternFill>
              </fill>
              <border>
                <left/>
                <right/>
                <top/>
                <bottom/>
              </border>
            </x14:dxf>
          </x14:cfRule>
          <xm:sqref>J112</xm:sqref>
        </x14:conditionalFormatting>
        <x14:conditionalFormatting xmlns:xm="http://schemas.microsoft.com/office/excel/2006/main">
          <x14:cfRule type="expression" priority="352" id="{B3E4A2D5-7604-BD4D-B98E-557CB20A41E5}">
            <xm:f>BASE!$GP$12=0</xm:f>
            <x14:dxf>
              <font>
                <color theme="0" tint="-4.9989318521683403E-2"/>
              </font>
              <fill>
                <patternFill>
                  <bgColor theme="0" tint="-4.9989318521683403E-2"/>
                </patternFill>
              </fill>
              <border>
                <left/>
                <right/>
                <top/>
                <bottom/>
              </border>
            </x14:dxf>
          </x14:cfRule>
          <xm:sqref>I113</xm:sqref>
        </x14:conditionalFormatting>
        <x14:conditionalFormatting xmlns:xm="http://schemas.microsoft.com/office/excel/2006/main">
          <x14:cfRule type="expression" priority="353" id="{89324544-DA10-8642-B978-C4892473B3B7}">
            <xm:f>BASE!$GQ$13=0</xm:f>
            <x14:dxf>
              <font>
                <color theme="0" tint="-4.9989318521683403E-2"/>
              </font>
              <fill>
                <patternFill>
                  <bgColor theme="0" tint="-4.9989318521683403E-2"/>
                </patternFill>
              </fill>
              <border>
                <left/>
                <right/>
                <top/>
                <bottom/>
              </border>
            </x14:dxf>
          </x14:cfRule>
          <xm:sqref>I113</xm:sqref>
        </x14:conditionalFormatting>
        <x14:conditionalFormatting xmlns:xm="http://schemas.microsoft.com/office/excel/2006/main">
          <x14:cfRule type="expression" priority="354" id="{9A64D5CD-086E-6440-9ABC-54E185B3A0E8}">
            <xm:f>BASE!$GP$18=0</xm:f>
            <x14:dxf>
              <font>
                <color theme="0" tint="-4.9989318521683403E-2"/>
              </font>
              <fill>
                <patternFill>
                  <bgColor theme="0" tint="-4.9989318521683403E-2"/>
                </patternFill>
              </fill>
              <border>
                <left/>
                <right/>
                <top/>
                <bottom/>
              </border>
            </x14:dxf>
          </x14:cfRule>
          <xm:sqref>I113</xm:sqref>
        </x14:conditionalFormatting>
        <x14:conditionalFormatting xmlns:xm="http://schemas.microsoft.com/office/excel/2006/main">
          <x14:cfRule type="expression" priority="349" id="{25DA4BEF-851C-BF4A-B228-158FE733FA09}">
            <xm:f>BASE!$GP$12=0</xm:f>
            <x14:dxf>
              <font>
                <color theme="0" tint="-4.9989318521683403E-2"/>
              </font>
              <fill>
                <patternFill>
                  <bgColor theme="0" tint="-4.9989318521683403E-2"/>
                </patternFill>
              </fill>
              <border>
                <left/>
                <right/>
                <top/>
                <bottom/>
              </border>
            </x14:dxf>
          </x14:cfRule>
          <xm:sqref>J113</xm:sqref>
        </x14:conditionalFormatting>
        <x14:conditionalFormatting xmlns:xm="http://schemas.microsoft.com/office/excel/2006/main">
          <x14:cfRule type="expression" priority="350" id="{9CE27CE4-59C8-F148-8B11-DAE8512D2DFA}">
            <xm:f>BASE!$GQ$13=0</xm:f>
            <x14:dxf>
              <font>
                <color theme="0" tint="-4.9989318521683403E-2"/>
              </font>
              <fill>
                <patternFill>
                  <bgColor theme="0" tint="-4.9989318521683403E-2"/>
                </patternFill>
              </fill>
              <border>
                <left/>
                <right/>
                <top/>
                <bottom/>
              </border>
            </x14:dxf>
          </x14:cfRule>
          <xm:sqref>J113</xm:sqref>
        </x14:conditionalFormatting>
        <x14:conditionalFormatting xmlns:xm="http://schemas.microsoft.com/office/excel/2006/main">
          <x14:cfRule type="expression" priority="351" id="{3F7A92F1-4B0F-1846-9038-26DCF3332761}">
            <xm:f>BASE!$GP$18=0</xm:f>
            <x14:dxf>
              <font>
                <color theme="0" tint="-4.9989318521683403E-2"/>
              </font>
              <fill>
                <patternFill>
                  <bgColor theme="0" tint="-4.9989318521683403E-2"/>
                </patternFill>
              </fill>
              <border>
                <left/>
                <right/>
                <top/>
                <bottom/>
              </border>
            </x14:dxf>
          </x14:cfRule>
          <xm:sqref>J113</xm:sqref>
        </x14:conditionalFormatting>
        <x14:conditionalFormatting xmlns:xm="http://schemas.microsoft.com/office/excel/2006/main">
          <x14:cfRule type="expression" priority="346" id="{7ADD09D7-03E4-9045-A727-29C7A9CDA46D}">
            <xm:f>BASE!$GP$12=0</xm:f>
            <x14:dxf>
              <font>
                <color theme="0" tint="-4.9989318521683403E-2"/>
              </font>
              <fill>
                <patternFill>
                  <bgColor theme="0" tint="-4.9989318521683403E-2"/>
                </patternFill>
              </fill>
              <border>
                <left/>
                <right/>
                <top/>
                <bottom/>
              </border>
            </x14:dxf>
          </x14:cfRule>
          <xm:sqref>I114</xm:sqref>
        </x14:conditionalFormatting>
        <x14:conditionalFormatting xmlns:xm="http://schemas.microsoft.com/office/excel/2006/main">
          <x14:cfRule type="expression" priority="347" id="{0EDDFFB2-DE35-374B-8371-893DEF1BEAC2}">
            <xm:f>BASE!$GQ$13=0</xm:f>
            <x14:dxf>
              <font>
                <color theme="0" tint="-4.9989318521683403E-2"/>
              </font>
              <fill>
                <patternFill>
                  <bgColor theme="0" tint="-4.9989318521683403E-2"/>
                </patternFill>
              </fill>
              <border>
                <left/>
                <right/>
                <top/>
                <bottom/>
              </border>
            </x14:dxf>
          </x14:cfRule>
          <xm:sqref>I114</xm:sqref>
        </x14:conditionalFormatting>
        <x14:conditionalFormatting xmlns:xm="http://schemas.microsoft.com/office/excel/2006/main">
          <x14:cfRule type="expression" priority="348" id="{4FA79831-561F-5F4B-B2F8-B5FD6B12D731}">
            <xm:f>BASE!$GP$18=0</xm:f>
            <x14:dxf>
              <font>
                <color theme="0" tint="-4.9989318521683403E-2"/>
              </font>
              <fill>
                <patternFill>
                  <bgColor theme="0" tint="-4.9989318521683403E-2"/>
                </patternFill>
              </fill>
              <border>
                <left/>
                <right/>
                <top/>
                <bottom/>
              </border>
            </x14:dxf>
          </x14:cfRule>
          <xm:sqref>I114</xm:sqref>
        </x14:conditionalFormatting>
        <x14:conditionalFormatting xmlns:xm="http://schemas.microsoft.com/office/excel/2006/main">
          <x14:cfRule type="expression" priority="343" id="{B3CDE356-6C2F-0F4F-A529-393BEA740714}">
            <xm:f>BASE!$GP$12=0</xm:f>
            <x14:dxf>
              <font>
                <color theme="0" tint="-4.9989318521683403E-2"/>
              </font>
              <fill>
                <patternFill>
                  <bgColor theme="0" tint="-4.9989318521683403E-2"/>
                </patternFill>
              </fill>
              <border>
                <left/>
                <right/>
                <top/>
                <bottom/>
              </border>
            </x14:dxf>
          </x14:cfRule>
          <xm:sqref>J114</xm:sqref>
        </x14:conditionalFormatting>
        <x14:conditionalFormatting xmlns:xm="http://schemas.microsoft.com/office/excel/2006/main">
          <x14:cfRule type="expression" priority="344" id="{6560A368-959A-AA49-827D-742602B8558C}">
            <xm:f>BASE!$GQ$13=0</xm:f>
            <x14:dxf>
              <font>
                <color theme="0" tint="-4.9989318521683403E-2"/>
              </font>
              <fill>
                <patternFill>
                  <bgColor theme="0" tint="-4.9989318521683403E-2"/>
                </patternFill>
              </fill>
              <border>
                <left/>
                <right/>
                <top/>
                <bottom/>
              </border>
            </x14:dxf>
          </x14:cfRule>
          <xm:sqref>J114</xm:sqref>
        </x14:conditionalFormatting>
        <x14:conditionalFormatting xmlns:xm="http://schemas.microsoft.com/office/excel/2006/main">
          <x14:cfRule type="expression" priority="345" id="{6CB8EA31-DD13-7648-91A3-9E2C09B53761}">
            <xm:f>BASE!$GP$18=0</xm:f>
            <x14:dxf>
              <font>
                <color theme="0" tint="-4.9989318521683403E-2"/>
              </font>
              <fill>
                <patternFill>
                  <bgColor theme="0" tint="-4.9989318521683403E-2"/>
                </patternFill>
              </fill>
              <border>
                <left/>
                <right/>
                <top/>
                <bottom/>
              </border>
            </x14:dxf>
          </x14:cfRule>
          <xm:sqref>J114</xm:sqref>
        </x14:conditionalFormatting>
        <x14:conditionalFormatting xmlns:xm="http://schemas.microsoft.com/office/excel/2006/main">
          <x14:cfRule type="expression" priority="340" id="{13F8101A-223C-E241-BEA2-25DCDB203367}">
            <xm:f>BASE!$GP$12=0</xm:f>
            <x14:dxf>
              <font>
                <color theme="0" tint="-4.9989318521683403E-2"/>
              </font>
              <fill>
                <patternFill>
                  <bgColor theme="0" tint="-4.9989318521683403E-2"/>
                </patternFill>
              </fill>
              <border>
                <left/>
                <right/>
                <top/>
                <bottom/>
              </border>
            </x14:dxf>
          </x14:cfRule>
          <xm:sqref>I115</xm:sqref>
        </x14:conditionalFormatting>
        <x14:conditionalFormatting xmlns:xm="http://schemas.microsoft.com/office/excel/2006/main">
          <x14:cfRule type="expression" priority="341" id="{831F2F02-E5B2-4B4C-AE9D-1A0E4D7FF0FA}">
            <xm:f>BASE!$GQ$13=0</xm:f>
            <x14:dxf>
              <font>
                <color theme="0" tint="-4.9989318521683403E-2"/>
              </font>
              <fill>
                <patternFill>
                  <bgColor theme="0" tint="-4.9989318521683403E-2"/>
                </patternFill>
              </fill>
              <border>
                <left/>
                <right/>
                <top/>
                <bottom/>
              </border>
            </x14:dxf>
          </x14:cfRule>
          <xm:sqref>I115</xm:sqref>
        </x14:conditionalFormatting>
        <x14:conditionalFormatting xmlns:xm="http://schemas.microsoft.com/office/excel/2006/main">
          <x14:cfRule type="expression" priority="342" id="{174AE367-E23F-8046-A089-9C8B3D9625E0}">
            <xm:f>BASE!$GP$18=0</xm:f>
            <x14:dxf>
              <font>
                <color theme="0" tint="-4.9989318521683403E-2"/>
              </font>
              <fill>
                <patternFill>
                  <bgColor theme="0" tint="-4.9989318521683403E-2"/>
                </patternFill>
              </fill>
              <border>
                <left/>
                <right/>
                <top/>
                <bottom/>
              </border>
            </x14:dxf>
          </x14:cfRule>
          <xm:sqref>I115</xm:sqref>
        </x14:conditionalFormatting>
        <x14:conditionalFormatting xmlns:xm="http://schemas.microsoft.com/office/excel/2006/main">
          <x14:cfRule type="expression" priority="337" id="{5C3F3F0D-AB4E-E140-B03F-E18F5A565BFC}">
            <xm:f>BASE!$GP$12=0</xm:f>
            <x14:dxf>
              <font>
                <color theme="0" tint="-4.9989318521683403E-2"/>
              </font>
              <fill>
                <patternFill>
                  <bgColor theme="0" tint="-4.9989318521683403E-2"/>
                </patternFill>
              </fill>
              <border>
                <left/>
                <right/>
                <top/>
                <bottom/>
              </border>
            </x14:dxf>
          </x14:cfRule>
          <xm:sqref>J115</xm:sqref>
        </x14:conditionalFormatting>
        <x14:conditionalFormatting xmlns:xm="http://schemas.microsoft.com/office/excel/2006/main">
          <x14:cfRule type="expression" priority="338" id="{D2D0F2C5-4F9F-BB46-8336-E405C005E4CA}">
            <xm:f>BASE!$GQ$13=0</xm:f>
            <x14:dxf>
              <font>
                <color theme="0" tint="-4.9989318521683403E-2"/>
              </font>
              <fill>
                <patternFill>
                  <bgColor theme="0" tint="-4.9989318521683403E-2"/>
                </patternFill>
              </fill>
              <border>
                <left/>
                <right/>
                <top/>
                <bottom/>
              </border>
            </x14:dxf>
          </x14:cfRule>
          <xm:sqref>J115</xm:sqref>
        </x14:conditionalFormatting>
        <x14:conditionalFormatting xmlns:xm="http://schemas.microsoft.com/office/excel/2006/main">
          <x14:cfRule type="expression" priority="339" id="{6687BB1F-A23B-1E4F-BB78-453A544ADF0B}">
            <xm:f>BASE!$GP$18=0</xm:f>
            <x14:dxf>
              <font>
                <color theme="0" tint="-4.9989318521683403E-2"/>
              </font>
              <fill>
                <patternFill>
                  <bgColor theme="0" tint="-4.9989318521683403E-2"/>
                </patternFill>
              </fill>
              <border>
                <left/>
                <right/>
                <top/>
                <bottom/>
              </border>
            </x14:dxf>
          </x14:cfRule>
          <xm:sqref>J115</xm:sqref>
        </x14:conditionalFormatting>
        <x14:conditionalFormatting xmlns:xm="http://schemas.microsoft.com/office/excel/2006/main">
          <x14:cfRule type="expression" priority="334" id="{6F30E683-B4DF-204A-84D2-4F5CFF7FEB20}">
            <xm:f>BASE!$GP$12=0</xm:f>
            <x14:dxf>
              <font>
                <color theme="0" tint="-4.9989318521683403E-2"/>
              </font>
              <fill>
                <patternFill>
                  <bgColor theme="0" tint="-4.9989318521683403E-2"/>
                </patternFill>
              </fill>
              <border>
                <left/>
                <right/>
                <top/>
                <bottom/>
              </border>
            </x14:dxf>
          </x14:cfRule>
          <xm:sqref>I116</xm:sqref>
        </x14:conditionalFormatting>
        <x14:conditionalFormatting xmlns:xm="http://schemas.microsoft.com/office/excel/2006/main">
          <x14:cfRule type="expression" priority="335" id="{73E26007-14E3-F249-95F7-E09051885852}">
            <xm:f>BASE!$GQ$13=0</xm:f>
            <x14:dxf>
              <font>
                <color theme="0" tint="-4.9989318521683403E-2"/>
              </font>
              <fill>
                <patternFill>
                  <bgColor theme="0" tint="-4.9989318521683403E-2"/>
                </patternFill>
              </fill>
              <border>
                <left/>
                <right/>
                <top/>
                <bottom/>
              </border>
            </x14:dxf>
          </x14:cfRule>
          <xm:sqref>I116</xm:sqref>
        </x14:conditionalFormatting>
        <x14:conditionalFormatting xmlns:xm="http://schemas.microsoft.com/office/excel/2006/main">
          <x14:cfRule type="expression" priority="336" id="{DF9DDBC9-0946-0C4D-9592-92675763F949}">
            <xm:f>BASE!$GP$18=0</xm:f>
            <x14:dxf>
              <font>
                <color theme="0" tint="-4.9989318521683403E-2"/>
              </font>
              <fill>
                <patternFill>
                  <bgColor theme="0" tint="-4.9989318521683403E-2"/>
                </patternFill>
              </fill>
              <border>
                <left/>
                <right/>
                <top/>
                <bottom/>
              </border>
            </x14:dxf>
          </x14:cfRule>
          <xm:sqref>I116</xm:sqref>
        </x14:conditionalFormatting>
        <x14:conditionalFormatting xmlns:xm="http://schemas.microsoft.com/office/excel/2006/main">
          <x14:cfRule type="expression" priority="331" id="{7F05A4B5-B85A-E040-B343-66426A69E97D}">
            <xm:f>BASE!$GP$12=0</xm:f>
            <x14:dxf>
              <font>
                <color theme="0" tint="-4.9989318521683403E-2"/>
              </font>
              <fill>
                <patternFill>
                  <bgColor theme="0" tint="-4.9989318521683403E-2"/>
                </patternFill>
              </fill>
              <border>
                <left/>
                <right/>
                <top/>
                <bottom/>
              </border>
            </x14:dxf>
          </x14:cfRule>
          <xm:sqref>J116</xm:sqref>
        </x14:conditionalFormatting>
        <x14:conditionalFormatting xmlns:xm="http://schemas.microsoft.com/office/excel/2006/main">
          <x14:cfRule type="expression" priority="332" id="{6632B3C6-25AE-6848-B86C-D65A8C8ED48A}">
            <xm:f>BASE!$GQ$13=0</xm:f>
            <x14:dxf>
              <font>
                <color theme="0" tint="-4.9989318521683403E-2"/>
              </font>
              <fill>
                <patternFill>
                  <bgColor theme="0" tint="-4.9989318521683403E-2"/>
                </patternFill>
              </fill>
              <border>
                <left/>
                <right/>
                <top/>
                <bottom/>
              </border>
            </x14:dxf>
          </x14:cfRule>
          <xm:sqref>J116</xm:sqref>
        </x14:conditionalFormatting>
        <x14:conditionalFormatting xmlns:xm="http://schemas.microsoft.com/office/excel/2006/main">
          <x14:cfRule type="expression" priority="333" id="{DBBDC249-4735-3B4B-B0F8-34151DF37A29}">
            <xm:f>BASE!$GP$18=0</xm:f>
            <x14:dxf>
              <font>
                <color theme="0" tint="-4.9989318521683403E-2"/>
              </font>
              <fill>
                <patternFill>
                  <bgColor theme="0" tint="-4.9989318521683403E-2"/>
                </patternFill>
              </fill>
              <border>
                <left/>
                <right/>
                <top/>
                <bottom/>
              </border>
            </x14:dxf>
          </x14:cfRule>
          <xm:sqref>J116</xm:sqref>
        </x14:conditionalFormatting>
        <x14:conditionalFormatting xmlns:xm="http://schemas.microsoft.com/office/excel/2006/main">
          <x14:cfRule type="expression" priority="328" id="{296C8AF3-5C32-8346-81A0-6A385316FA4D}">
            <xm:f>BASE!$GP$12=0</xm:f>
            <x14:dxf>
              <font>
                <color theme="0" tint="-4.9989318521683403E-2"/>
              </font>
              <fill>
                <patternFill>
                  <bgColor theme="0" tint="-4.9989318521683403E-2"/>
                </patternFill>
              </fill>
              <border>
                <left/>
                <right/>
                <top/>
                <bottom/>
              </border>
            </x14:dxf>
          </x14:cfRule>
          <xm:sqref>I117</xm:sqref>
        </x14:conditionalFormatting>
        <x14:conditionalFormatting xmlns:xm="http://schemas.microsoft.com/office/excel/2006/main">
          <x14:cfRule type="expression" priority="329" id="{7088D0CF-56A0-D744-8B6F-14F1446A8CE9}">
            <xm:f>BASE!$GQ$13=0</xm:f>
            <x14:dxf>
              <font>
                <color theme="0" tint="-4.9989318521683403E-2"/>
              </font>
              <fill>
                <patternFill>
                  <bgColor theme="0" tint="-4.9989318521683403E-2"/>
                </patternFill>
              </fill>
              <border>
                <left/>
                <right/>
                <top/>
                <bottom/>
              </border>
            </x14:dxf>
          </x14:cfRule>
          <xm:sqref>I117</xm:sqref>
        </x14:conditionalFormatting>
        <x14:conditionalFormatting xmlns:xm="http://schemas.microsoft.com/office/excel/2006/main">
          <x14:cfRule type="expression" priority="330" id="{3DE8CD17-CBCC-CD42-AFD4-2285FAB4BE70}">
            <xm:f>BASE!$GP$18=0</xm:f>
            <x14:dxf>
              <font>
                <color theme="0" tint="-4.9989318521683403E-2"/>
              </font>
              <fill>
                <patternFill>
                  <bgColor theme="0" tint="-4.9989318521683403E-2"/>
                </patternFill>
              </fill>
              <border>
                <left/>
                <right/>
                <top/>
                <bottom/>
              </border>
            </x14:dxf>
          </x14:cfRule>
          <xm:sqref>I117</xm:sqref>
        </x14:conditionalFormatting>
        <x14:conditionalFormatting xmlns:xm="http://schemas.microsoft.com/office/excel/2006/main">
          <x14:cfRule type="expression" priority="325" id="{C08C2CA8-CBBC-DB48-B769-FADAB9E7D021}">
            <xm:f>BASE!$GP$12=0</xm:f>
            <x14:dxf>
              <font>
                <color theme="0" tint="-4.9989318521683403E-2"/>
              </font>
              <fill>
                <patternFill>
                  <bgColor theme="0" tint="-4.9989318521683403E-2"/>
                </patternFill>
              </fill>
              <border>
                <left/>
                <right/>
                <top/>
                <bottom/>
              </border>
            </x14:dxf>
          </x14:cfRule>
          <xm:sqref>J117</xm:sqref>
        </x14:conditionalFormatting>
        <x14:conditionalFormatting xmlns:xm="http://schemas.microsoft.com/office/excel/2006/main">
          <x14:cfRule type="expression" priority="326" id="{2542FF56-DD12-AE4B-A8A5-9D4A6F78C986}">
            <xm:f>BASE!$GQ$13=0</xm:f>
            <x14:dxf>
              <font>
                <color theme="0" tint="-4.9989318521683403E-2"/>
              </font>
              <fill>
                <patternFill>
                  <bgColor theme="0" tint="-4.9989318521683403E-2"/>
                </patternFill>
              </fill>
              <border>
                <left/>
                <right/>
                <top/>
                <bottom/>
              </border>
            </x14:dxf>
          </x14:cfRule>
          <xm:sqref>J117</xm:sqref>
        </x14:conditionalFormatting>
        <x14:conditionalFormatting xmlns:xm="http://schemas.microsoft.com/office/excel/2006/main">
          <x14:cfRule type="expression" priority="327" id="{BCE8A140-CCF7-3A4D-BD31-E2422F8F9470}">
            <xm:f>BASE!$GP$18=0</xm:f>
            <x14:dxf>
              <font>
                <color theme="0" tint="-4.9989318521683403E-2"/>
              </font>
              <fill>
                <patternFill>
                  <bgColor theme="0" tint="-4.9989318521683403E-2"/>
                </patternFill>
              </fill>
              <border>
                <left/>
                <right/>
                <top/>
                <bottom/>
              </border>
            </x14:dxf>
          </x14:cfRule>
          <xm:sqref>J117</xm:sqref>
        </x14:conditionalFormatting>
        <x14:conditionalFormatting xmlns:xm="http://schemas.microsoft.com/office/excel/2006/main">
          <x14:cfRule type="expression" priority="322" id="{89C7F1AA-D9A2-6148-8161-992651566419}">
            <xm:f>BASE!$GP$12=0</xm:f>
            <x14:dxf>
              <font>
                <color theme="0" tint="-4.9989318521683403E-2"/>
              </font>
              <fill>
                <patternFill>
                  <bgColor theme="0" tint="-4.9989318521683403E-2"/>
                </patternFill>
              </fill>
              <border>
                <left/>
                <right/>
                <top/>
                <bottom/>
              </border>
            </x14:dxf>
          </x14:cfRule>
          <xm:sqref>I118</xm:sqref>
        </x14:conditionalFormatting>
        <x14:conditionalFormatting xmlns:xm="http://schemas.microsoft.com/office/excel/2006/main">
          <x14:cfRule type="expression" priority="323" id="{EC359CE9-1516-8B40-9DE6-45AE08D3F999}">
            <xm:f>BASE!$GQ$13=0</xm:f>
            <x14:dxf>
              <font>
                <color theme="0" tint="-4.9989318521683403E-2"/>
              </font>
              <fill>
                <patternFill>
                  <bgColor theme="0" tint="-4.9989318521683403E-2"/>
                </patternFill>
              </fill>
              <border>
                <left/>
                <right/>
                <top/>
                <bottom/>
              </border>
            </x14:dxf>
          </x14:cfRule>
          <xm:sqref>I118</xm:sqref>
        </x14:conditionalFormatting>
        <x14:conditionalFormatting xmlns:xm="http://schemas.microsoft.com/office/excel/2006/main">
          <x14:cfRule type="expression" priority="324" id="{80777138-0121-FA4C-B720-663ED0BC0C82}">
            <xm:f>BASE!$GP$18=0</xm:f>
            <x14:dxf>
              <font>
                <color theme="0" tint="-4.9989318521683403E-2"/>
              </font>
              <fill>
                <patternFill>
                  <bgColor theme="0" tint="-4.9989318521683403E-2"/>
                </patternFill>
              </fill>
              <border>
                <left/>
                <right/>
                <top/>
                <bottom/>
              </border>
            </x14:dxf>
          </x14:cfRule>
          <xm:sqref>I118</xm:sqref>
        </x14:conditionalFormatting>
        <x14:conditionalFormatting xmlns:xm="http://schemas.microsoft.com/office/excel/2006/main">
          <x14:cfRule type="expression" priority="319" id="{FAF29D17-1A45-4549-87C6-0F41BDA1D683}">
            <xm:f>BASE!$GP$12=0</xm:f>
            <x14:dxf>
              <font>
                <color theme="0" tint="-4.9989318521683403E-2"/>
              </font>
              <fill>
                <patternFill>
                  <bgColor theme="0" tint="-4.9989318521683403E-2"/>
                </patternFill>
              </fill>
              <border>
                <left/>
                <right/>
                <top/>
                <bottom/>
              </border>
            </x14:dxf>
          </x14:cfRule>
          <xm:sqref>J118</xm:sqref>
        </x14:conditionalFormatting>
        <x14:conditionalFormatting xmlns:xm="http://schemas.microsoft.com/office/excel/2006/main">
          <x14:cfRule type="expression" priority="320" id="{4AF58C25-D4BD-D940-BC05-30AD41BE3CCD}">
            <xm:f>BASE!$GQ$13=0</xm:f>
            <x14:dxf>
              <font>
                <color theme="0" tint="-4.9989318521683403E-2"/>
              </font>
              <fill>
                <patternFill>
                  <bgColor theme="0" tint="-4.9989318521683403E-2"/>
                </patternFill>
              </fill>
              <border>
                <left/>
                <right/>
                <top/>
                <bottom/>
              </border>
            </x14:dxf>
          </x14:cfRule>
          <xm:sqref>J118</xm:sqref>
        </x14:conditionalFormatting>
        <x14:conditionalFormatting xmlns:xm="http://schemas.microsoft.com/office/excel/2006/main">
          <x14:cfRule type="expression" priority="321" id="{D42A517D-E0C3-4743-8B6C-ECFF5AC5B9CE}">
            <xm:f>BASE!$GP$18=0</xm:f>
            <x14:dxf>
              <font>
                <color theme="0" tint="-4.9989318521683403E-2"/>
              </font>
              <fill>
                <patternFill>
                  <bgColor theme="0" tint="-4.9989318521683403E-2"/>
                </patternFill>
              </fill>
              <border>
                <left/>
                <right/>
                <top/>
                <bottom/>
              </border>
            </x14:dxf>
          </x14:cfRule>
          <xm:sqref>J118</xm:sqref>
        </x14:conditionalFormatting>
        <x14:conditionalFormatting xmlns:xm="http://schemas.microsoft.com/office/excel/2006/main">
          <x14:cfRule type="expression" priority="316" id="{4E0BA9C2-DABC-C64C-A946-D636EA59B47D}">
            <xm:f>BASE!$GP$12=0</xm:f>
            <x14:dxf>
              <font>
                <color theme="0" tint="-4.9989318521683403E-2"/>
              </font>
              <fill>
                <patternFill>
                  <bgColor theme="0" tint="-4.9989318521683403E-2"/>
                </patternFill>
              </fill>
              <border>
                <left/>
                <right/>
                <top/>
                <bottom/>
              </border>
            </x14:dxf>
          </x14:cfRule>
          <xm:sqref>I119</xm:sqref>
        </x14:conditionalFormatting>
        <x14:conditionalFormatting xmlns:xm="http://schemas.microsoft.com/office/excel/2006/main">
          <x14:cfRule type="expression" priority="317" id="{D3E784E2-5C1A-E048-B94F-33F274BAAEAE}">
            <xm:f>BASE!$GQ$13=0</xm:f>
            <x14:dxf>
              <font>
                <color theme="0" tint="-4.9989318521683403E-2"/>
              </font>
              <fill>
                <patternFill>
                  <bgColor theme="0" tint="-4.9989318521683403E-2"/>
                </patternFill>
              </fill>
              <border>
                <left/>
                <right/>
                <top/>
                <bottom/>
              </border>
            </x14:dxf>
          </x14:cfRule>
          <xm:sqref>I119</xm:sqref>
        </x14:conditionalFormatting>
        <x14:conditionalFormatting xmlns:xm="http://schemas.microsoft.com/office/excel/2006/main">
          <x14:cfRule type="expression" priority="318" id="{F80BF8D4-82F6-024D-B56C-1E9CBC9FDB47}">
            <xm:f>BASE!$GP$18=0</xm:f>
            <x14:dxf>
              <font>
                <color theme="0" tint="-4.9989318521683403E-2"/>
              </font>
              <fill>
                <patternFill>
                  <bgColor theme="0" tint="-4.9989318521683403E-2"/>
                </patternFill>
              </fill>
              <border>
                <left/>
                <right/>
                <top/>
                <bottom/>
              </border>
            </x14:dxf>
          </x14:cfRule>
          <xm:sqref>I119</xm:sqref>
        </x14:conditionalFormatting>
        <x14:conditionalFormatting xmlns:xm="http://schemas.microsoft.com/office/excel/2006/main">
          <x14:cfRule type="expression" priority="313" id="{E6EEF4EA-16DA-DC4F-B81A-A03855D4D2C5}">
            <xm:f>BASE!$GP$12=0</xm:f>
            <x14:dxf>
              <font>
                <color theme="0" tint="-4.9989318521683403E-2"/>
              </font>
              <fill>
                <patternFill>
                  <bgColor theme="0" tint="-4.9989318521683403E-2"/>
                </patternFill>
              </fill>
              <border>
                <left/>
                <right/>
                <top/>
                <bottom/>
              </border>
            </x14:dxf>
          </x14:cfRule>
          <xm:sqref>J119</xm:sqref>
        </x14:conditionalFormatting>
        <x14:conditionalFormatting xmlns:xm="http://schemas.microsoft.com/office/excel/2006/main">
          <x14:cfRule type="expression" priority="314" id="{90CC7AAD-6ED9-8745-BA32-922881A00D32}">
            <xm:f>BASE!$GQ$13=0</xm:f>
            <x14:dxf>
              <font>
                <color theme="0" tint="-4.9989318521683403E-2"/>
              </font>
              <fill>
                <patternFill>
                  <bgColor theme="0" tint="-4.9989318521683403E-2"/>
                </patternFill>
              </fill>
              <border>
                <left/>
                <right/>
                <top/>
                <bottom/>
              </border>
            </x14:dxf>
          </x14:cfRule>
          <xm:sqref>J119</xm:sqref>
        </x14:conditionalFormatting>
        <x14:conditionalFormatting xmlns:xm="http://schemas.microsoft.com/office/excel/2006/main">
          <x14:cfRule type="expression" priority="315" id="{7B5ABDBD-42B5-2742-A4B4-90D69319932D}">
            <xm:f>BASE!$GP$18=0</xm:f>
            <x14:dxf>
              <font>
                <color theme="0" tint="-4.9989318521683403E-2"/>
              </font>
              <fill>
                <patternFill>
                  <bgColor theme="0" tint="-4.9989318521683403E-2"/>
                </patternFill>
              </fill>
              <border>
                <left/>
                <right/>
                <top/>
                <bottom/>
              </border>
            </x14:dxf>
          </x14:cfRule>
          <xm:sqref>J119</xm:sqref>
        </x14:conditionalFormatting>
        <x14:conditionalFormatting xmlns:xm="http://schemas.microsoft.com/office/excel/2006/main">
          <x14:cfRule type="expression" priority="310" id="{75885EBE-E0D3-5646-B9E3-C7312563168B}">
            <xm:f>BASE!$GP$12=0</xm:f>
            <x14:dxf>
              <font>
                <color theme="0" tint="-4.9989318521683403E-2"/>
              </font>
              <fill>
                <patternFill>
                  <bgColor theme="0" tint="-4.9989318521683403E-2"/>
                </patternFill>
              </fill>
              <border>
                <left/>
                <right/>
                <top/>
                <bottom/>
              </border>
            </x14:dxf>
          </x14:cfRule>
          <xm:sqref>I128</xm:sqref>
        </x14:conditionalFormatting>
        <x14:conditionalFormatting xmlns:xm="http://schemas.microsoft.com/office/excel/2006/main">
          <x14:cfRule type="expression" priority="311" id="{97E0D097-DC7F-754F-A50E-F18DB552A064}">
            <xm:f>BASE!$GQ$13=0</xm:f>
            <x14:dxf>
              <font>
                <color theme="0" tint="-4.9989318521683403E-2"/>
              </font>
              <fill>
                <patternFill>
                  <bgColor theme="0" tint="-4.9989318521683403E-2"/>
                </patternFill>
              </fill>
              <border>
                <left/>
                <right/>
                <top/>
                <bottom/>
              </border>
            </x14:dxf>
          </x14:cfRule>
          <xm:sqref>I128</xm:sqref>
        </x14:conditionalFormatting>
        <x14:conditionalFormatting xmlns:xm="http://schemas.microsoft.com/office/excel/2006/main">
          <x14:cfRule type="expression" priority="312" id="{356A9273-D206-9149-B9A0-B14924478D22}">
            <xm:f>BASE!$GP$18=0</xm:f>
            <x14:dxf>
              <font>
                <color theme="0" tint="-4.9989318521683403E-2"/>
              </font>
              <fill>
                <patternFill>
                  <bgColor theme="0" tint="-4.9989318521683403E-2"/>
                </patternFill>
              </fill>
              <border>
                <left/>
                <right/>
                <top/>
                <bottom/>
              </border>
            </x14:dxf>
          </x14:cfRule>
          <xm:sqref>I128</xm:sqref>
        </x14:conditionalFormatting>
        <x14:conditionalFormatting xmlns:xm="http://schemas.microsoft.com/office/excel/2006/main">
          <x14:cfRule type="expression" priority="307" id="{059EEBA6-AE78-B548-88D2-2BF84E71048F}">
            <xm:f>BASE!$GP$12=0</xm:f>
            <x14:dxf>
              <font>
                <color theme="0" tint="-4.9989318521683403E-2"/>
              </font>
              <fill>
                <patternFill>
                  <bgColor theme="0" tint="-4.9989318521683403E-2"/>
                </patternFill>
              </fill>
              <border>
                <left/>
                <right/>
                <top/>
                <bottom/>
              </border>
            </x14:dxf>
          </x14:cfRule>
          <xm:sqref>J128</xm:sqref>
        </x14:conditionalFormatting>
        <x14:conditionalFormatting xmlns:xm="http://schemas.microsoft.com/office/excel/2006/main">
          <x14:cfRule type="expression" priority="308" id="{BE669831-8A1A-E64C-B261-5EDB9AD3AE3E}">
            <xm:f>BASE!$GQ$13=0</xm:f>
            <x14:dxf>
              <font>
                <color theme="0" tint="-4.9989318521683403E-2"/>
              </font>
              <fill>
                <patternFill>
                  <bgColor theme="0" tint="-4.9989318521683403E-2"/>
                </patternFill>
              </fill>
              <border>
                <left/>
                <right/>
                <top/>
                <bottom/>
              </border>
            </x14:dxf>
          </x14:cfRule>
          <xm:sqref>J128</xm:sqref>
        </x14:conditionalFormatting>
        <x14:conditionalFormatting xmlns:xm="http://schemas.microsoft.com/office/excel/2006/main">
          <x14:cfRule type="expression" priority="309" id="{CDBA74D0-6A2F-8443-856A-BD56503C325D}">
            <xm:f>BASE!$GP$18=0</xm:f>
            <x14:dxf>
              <font>
                <color theme="0" tint="-4.9989318521683403E-2"/>
              </font>
              <fill>
                <patternFill>
                  <bgColor theme="0" tint="-4.9989318521683403E-2"/>
                </patternFill>
              </fill>
              <border>
                <left/>
                <right/>
                <top/>
                <bottom/>
              </border>
            </x14:dxf>
          </x14:cfRule>
          <xm:sqref>J128</xm:sqref>
        </x14:conditionalFormatting>
        <x14:conditionalFormatting xmlns:xm="http://schemas.microsoft.com/office/excel/2006/main">
          <x14:cfRule type="expression" priority="304" id="{953CA93F-04A7-C949-8039-85B1A40CB641}">
            <xm:f>BASE!$GP$12=0</xm:f>
            <x14:dxf>
              <font>
                <color theme="0" tint="-4.9989318521683403E-2"/>
              </font>
              <fill>
                <patternFill>
                  <bgColor theme="0" tint="-4.9989318521683403E-2"/>
                </patternFill>
              </fill>
              <border>
                <left/>
                <right/>
                <top/>
                <bottom/>
              </border>
            </x14:dxf>
          </x14:cfRule>
          <xm:sqref>I129</xm:sqref>
        </x14:conditionalFormatting>
        <x14:conditionalFormatting xmlns:xm="http://schemas.microsoft.com/office/excel/2006/main">
          <x14:cfRule type="expression" priority="305" id="{6C4FC9C4-A698-F94D-91A8-11FCF4F02B80}">
            <xm:f>BASE!$GQ$13=0</xm:f>
            <x14:dxf>
              <font>
                <color theme="0" tint="-4.9989318521683403E-2"/>
              </font>
              <fill>
                <patternFill>
                  <bgColor theme="0" tint="-4.9989318521683403E-2"/>
                </patternFill>
              </fill>
              <border>
                <left/>
                <right/>
                <top/>
                <bottom/>
              </border>
            </x14:dxf>
          </x14:cfRule>
          <xm:sqref>I129</xm:sqref>
        </x14:conditionalFormatting>
        <x14:conditionalFormatting xmlns:xm="http://schemas.microsoft.com/office/excel/2006/main">
          <x14:cfRule type="expression" priority="306" id="{7410DAEC-177E-D241-B65E-8D0A6395F9EA}">
            <xm:f>BASE!$GP$18=0</xm:f>
            <x14:dxf>
              <font>
                <color theme="0" tint="-4.9989318521683403E-2"/>
              </font>
              <fill>
                <patternFill>
                  <bgColor theme="0" tint="-4.9989318521683403E-2"/>
                </patternFill>
              </fill>
              <border>
                <left/>
                <right/>
                <top/>
                <bottom/>
              </border>
            </x14:dxf>
          </x14:cfRule>
          <xm:sqref>I129</xm:sqref>
        </x14:conditionalFormatting>
        <x14:conditionalFormatting xmlns:xm="http://schemas.microsoft.com/office/excel/2006/main">
          <x14:cfRule type="expression" priority="301" id="{9FCDDE27-4C28-4B42-915A-5914E5669E5A}">
            <xm:f>BASE!$GP$12=0</xm:f>
            <x14:dxf>
              <font>
                <color theme="0" tint="-4.9989318521683403E-2"/>
              </font>
              <fill>
                <patternFill>
                  <bgColor theme="0" tint="-4.9989318521683403E-2"/>
                </patternFill>
              </fill>
              <border>
                <left/>
                <right/>
                <top/>
                <bottom/>
              </border>
            </x14:dxf>
          </x14:cfRule>
          <xm:sqref>J129</xm:sqref>
        </x14:conditionalFormatting>
        <x14:conditionalFormatting xmlns:xm="http://schemas.microsoft.com/office/excel/2006/main">
          <x14:cfRule type="expression" priority="302" id="{A1150DEE-E4CD-994E-BFED-092D28456FE3}">
            <xm:f>BASE!$GQ$13=0</xm:f>
            <x14:dxf>
              <font>
                <color theme="0" tint="-4.9989318521683403E-2"/>
              </font>
              <fill>
                <patternFill>
                  <bgColor theme="0" tint="-4.9989318521683403E-2"/>
                </patternFill>
              </fill>
              <border>
                <left/>
                <right/>
                <top/>
                <bottom/>
              </border>
            </x14:dxf>
          </x14:cfRule>
          <xm:sqref>J129</xm:sqref>
        </x14:conditionalFormatting>
        <x14:conditionalFormatting xmlns:xm="http://schemas.microsoft.com/office/excel/2006/main">
          <x14:cfRule type="expression" priority="303" id="{E97FEB53-3584-F64B-85CE-EFDEC2CB0E8C}">
            <xm:f>BASE!$GP$18=0</xm:f>
            <x14:dxf>
              <font>
                <color theme="0" tint="-4.9989318521683403E-2"/>
              </font>
              <fill>
                <patternFill>
                  <bgColor theme="0" tint="-4.9989318521683403E-2"/>
                </patternFill>
              </fill>
              <border>
                <left/>
                <right/>
                <top/>
                <bottom/>
              </border>
            </x14:dxf>
          </x14:cfRule>
          <xm:sqref>J129</xm:sqref>
        </x14:conditionalFormatting>
        <x14:conditionalFormatting xmlns:xm="http://schemas.microsoft.com/office/excel/2006/main">
          <x14:cfRule type="expression" priority="298" id="{CB92F32F-1893-9A4C-A394-6FC8B3BF8EAE}">
            <xm:f>BASE!$GP$12=0</xm:f>
            <x14:dxf>
              <font>
                <color theme="0" tint="-4.9989318521683403E-2"/>
              </font>
              <fill>
                <patternFill>
                  <bgColor theme="0" tint="-4.9989318521683403E-2"/>
                </patternFill>
              </fill>
              <border>
                <left/>
                <right/>
                <top/>
                <bottom/>
              </border>
            </x14:dxf>
          </x14:cfRule>
          <xm:sqref>I130</xm:sqref>
        </x14:conditionalFormatting>
        <x14:conditionalFormatting xmlns:xm="http://schemas.microsoft.com/office/excel/2006/main">
          <x14:cfRule type="expression" priority="299" id="{49E16D0A-4DF9-B643-9D86-9DBE08C5F6D7}">
            <xm:f>BASE!$GQ$13=0</xm:f>
            <x14:dxf>
              <font>
                <color theme="0" tint="-4.9989318521683403E-2"/>
              </font>
              <fill>
                <patternFill>
                  <bgColor theme="0" tint="-4.9989318521683403E-2"/>
                </patternFill>
              </fill>
              <border>
                <left/>
                <right/>
                <top/>
                <bottom/>
              </border>
            </x14:dxf>
          </x14:cfRule>
          <xm:sqref>I130</xm:sqref>
        </x14:conditionalFormatting>
        <x14:conditionalFormatting xmlns:xm="http://schemas.microsoft.com/office/excel/2006/main">
          <x14:cfRule type="expression" priority="300" id="{97D81F4F-890B-4D4D-8A00-60B12377FD89}">
            <xm:f>BASE!$GP$18=0</xm:f>
            <x14:dxf>
              <font>
                <color theme="0" tint="-4.9989318521683403E-2"/>
              </font>
              <fill>
                <patternFill>
                  <bgColor theme="0" tint="-4.9989318521683403E-2"/>
                </patternFill>
              </fill>
              <border>
                <left/>
                <right/>
                <top/>
                <bottom/>
              </border>
            </x14:dxf>
          </x14:cfRule>
          <xm:sqref>I130</xm:sqref>
        </x14:conditionalFormatting>
        <x14:conditionalFormatting xmlns:xm="http://schemas.microsoft.com/office/excel/2006/main">
          <x14:cfRule type="expression" priority="295" id="{A51C400C-884F-9142-9215-B0E078384114}">
            <xm:f>BASE!$GP$12=0</xm:f>
            <x14:dxf>
              <font>
                <color theme="0" tint="-4.9989318521683403E-2"/>
              </font>
              <fill>
                <patternFill>
                  <bgColor theme="0" tint="-4.9989318521683403E-2"/>
                </patternFill>
              </fill>
              <border>
                <left/>
                <right/>
                <top/>
                <bottom/>
              </border>
            </x14:dxf>
          </x14:cfRule>
          <xm:sqref>J130</xm:sqref>
        </x14:conditionalFormatting>
        <x14:conditionalFormatting xmlns:xm="http://schemas.microsoft.com/office/excel/2006/main">
          <x14:cfRule type="expression" priority="296" id="{EB9DDFAB-1D3D-524F-9838-1D6C924A6A7E}">
            <xm:f>BASE!$GQ$13=0</xm:f>
            <x14:dxf>
              <font>
                <color theme="0" tint="-4.9989318521683403E-2"/>
              </font>
              <fill>
                <patternFill>
                  <bgColor theme="0" tint="-4.9989318521683403E-2"/>
                </patternFill>
              </fill>
              <border>
                <left/>
                <right/>
                <top/>
                <bottom/>
              </border>
            </x14:dxf>
          </x14:cfRule>
          <xm:sqref>J130</xm:sqref>
        </x14:conditionalFormatting>
        <x14:conditionalFormatting xmlns:xm="http://schemas.microsoft.com/office/excel/2006/main">
          <x14:cfRule type="expression" priority="297" id="{7BD17896-A794-674D-85E1-20E47F902D14}">
            <xm:f>BASE!$GP$18=0</xm:f>
            <x14:dxf>
              <font>
                <color theme="0" tint="-4.9989318521683403E-2"/>
              </font>
              <fill>
                <patternFill>
                  <bgColor theme="0" tint="-4.9989318521683403E-2"/>
                </patternFill>
              </fill>
              <border>
                <left/>
                <right/>
                <top/>
                <bottom/>
              </border>
            </x14:dxf>
          </x14:cfRule>
          <xm:sqref>J130</xm:sqref>
        </x14:conditionalFormatting>
        <x14:conditionalFormatting xmlns:xm="http://schemas.microsoft.com/office/excel/2006/main">
          <x14:cfRule type="expression" priority="292" id="{B7B51CCD-E587-C74C-BCB0-A11024A71CF2}">
            <xm:f>BASE!$GP$12=0</xm:f>
            <x14:dxf>
              <font>
                <color theme="0" tint="-4.9989318521683403E-2"/>
              </font>
              <fill>
                <patternFill>
                  <bgColor theme="0" tint="-4.9989318521683403E-2"/>
                </patternFill>
              </fill>
              <border>
                <left/>
                <right/>
                <top/>
                <bottom/>
              </border>
            </x14:dxf>
          </x14:cfRule>
          <xm:sqref>I131</xm:sqref>
        </x14:conditionalFormatting>
        <x14:conditionalFormatting xmlns:xm="http://schemas.microsoft.com/office/excel/2006/main">
          <x14:cfRule type="expression" priority="293" id="{16520331-2B45-3244-9992-8CC7F15E1191}">
            <xm:f>BASE!$GQ$13=0</xm:f>
            <x14:dxf>
              <font>
                <color theme="0" tint="-4.9989318521683403E-2"/>
              </font>
              <fill>
                <patternFill>
                  <bgColor theme="0" tint="-4.9989318521683403E-2"/>
                </patternFill>
              </fill>
              <border>
                <left/>
                <right/>
                <top/>
                <bottom/>
              </border>
            </x14:dxf>
          </x14:cfRule>
          <xm:sqref>I131</xm:sqref>
        </x14:conditionalFormatting>
        <x14:conditionalFormatting xmlns:xm="http://schemas.microsoft.com/office/excel/2006/main">
          <x14:cfRule type="expression" priority="294" id="{FB258184-14E2-2D4D-AF03-0C6450C4551E}">
            <xm:f>BASE!$GP$18=0</xm:f>
            <x14:dxf>
              <font>
                <color theme="0" tint="-4.9989318521683403E-2"/>
              </font>
              <fill>
                <patternFill>
                  <bgColor theme="0" tint="-4.9989318521683403E-2"/>
                </patternFill>
              </fill>
              <border>
                <left/>
                <right/>
                <top/>
                <bottom/>
              </border>
            </x14:dxf>
          </x14:cfRule>
          <xm:sqref>I131</xm:sqref>
        </x14:conditionalFormatting>
        <x14:conditionalFormatting xmlns:xm="http://schemas.microsoft.com/office/excel/2006/main">
          <x14:cfRule type="expression" priority="289" id="{0089FDD6-E6EE-094E-BE3B-16D0C841D73F}">
            <xm:f>BASE!$GP$12=0</xm:f>
            <x14:dxf>
              <font>
                <color theme="0" tint="-4.9989318521683403E-2"/>
              </font>
              <fill>
                <patternFill>
                  <bgColor theme="0" tint="-4.9989318521683403E-2"/>
                </patternFill>
              </fill>
              <border>
                <left/>
                <right/>
                <top/>
                <bottom/>
              </border>
            </x14:dxf>
          </x14:cfRule>
          <xm:sqref>J131</xm:sqref>
        </x14:conditionalFormatting>
        <x14:conditionalFormatting xmlns:xm="http://schemas.microsoft.com/office/excel/2006/main">
          <x14:cfRule type="expression" priority="290" id="{DD549BD6-E769-8346-96A9-C2DDB74D3F7B}">
            <xm:f>BASE!$GQ$13=0</xm:f>
            <x14:dxf>
              <font>
                <color theme="0" tint="-4.9989318521683403E-2"/>
              </font>
              <fill>
                <patternFill>
                  <bgColor theme="0" tint="-4.9989318521683403E-2"/>
                </patternFill>
              </fill>
              <border>
                <left/>
                <right/>
                <top/>
                <bottom/>
              </border>
            </x14:dxf>
          </x14:cfRule>
          <xm:sqref>J131</xm:sqref>
        </x14:conditionalFormatting>
        <x14:conditionalFormatting xmlns:xm="http://schemas.microsoft.com/office/excel/2006/main">
          <x14:cfRule type="expression" priority="291" id="{CB56F338-5CCE-B641-AAC4-99A3A027269C}">
            <xm:f>BASE!$GP$18=0</xm:f>
            <x14:dxf>
              <font>
                <color theme="0" tint="-4.9989318521683403E-2"/>
              </font>
              <fill>
                <patternFill>
                  <bgColor theme="0" tint="-4.9989318521683403E-2"/>
                </patternFill>
              </fill>
              <border>
                <left/>
                <right/>
                <top/>
                <bottom/>
              </border>
            </x14:dxf>
          </x14:cfRule>
          <xm:sqref>J131</xm:sqref>
        </x14:conditionalFormatting>
        <x14:conditionalFormatting xmlns:xm="http://schemas.microsoft.com/office/excel/2006/main">
          <x14:cfRule type="expression" priority="286" id="{2463E2A3-A3B1-CC4E-981F-09DD5268D99D}">
            <xm:f>BASE!$GP$12=0</xm:f>
            <x14:dxf>
              <font>
                <color theme="0" tint="-4.9989318521683403E-2"/>
              </font>
              <fill>
                <patternFill>
                  <bgColor theme="0" tint="-4.9989318521683403E-2"/>
                </patternFill>
              </fill>
              <border>
                <left/>
                <right/>
                <top/>
                <bottom/>
              </border>
            </x14:dxf>
          </x14:cfRule>
          <xm:sqref>I132</xm:sqref>
        </x14:conditionalFormatting>
        <x14:conditionalFormatting xmlns:xm="http://schemas.microsoft.com/office/excel/2006/main">
          <x14:cfRule type="expression" priority="287" id="{33AAAF37-A69C-6F46-AD71-B7AFF1F6AF39}">
            <xm:f>BASE!$GQ$13=0</xm:f>
            <x14:dxf>
              <font>
                <color theme="0" tint="-4.9989318521683403E-2"/>
              </font>
              <fill>
                <patternFill>
                  <bgColor theme="0" tint="-4.9989318521683403E-2"/>
                </patternFill>
              </fill>
              <border>
                <left/>
                <right/>
                <top/>
                <bottom/>
              </border>
            </x14:dxf>
          </x14:cfRule>
          <xm:sqref>I132</xm:sqref>
        </x14:conditionalFormatting>
        <x14:conditionalFormatting xmlns:xm="http://schemas.microsoft.com/office/excel/2006/main">
          <x14:cfRule type="expression" priority="288" id="{4629212A-3828-E64D-91B4-94844BE1BD0B}">
            <xm:f>BASE!$GP$18=0</xm:f>
            <x14:dxf>
              <font>
                <color theme="0" tint="-4.9989318521683403E-2"/>
              </font>
              <fill>
                <patternFill>
                  <bgColor theme="0" tint="-4.9989318521683403E-2"/>
                </patternFill>
              </fill>
              <border>
                <left/>
                <right/>
                <top/>
                <bottom/>
              </border>
            </x14:dxf>
          </x14:cfRule>
          <xm:sqref>I132</xm:sqref>
        </x14:conditionalFormatting>
        <x14:conditionalFormatting xmlns:xm="http://schemas.microsoft.com/office/excel/2006/main">
          <x14:cfRule type="expression" priority="283" id="{1696195A-F58A-A641-A4EE-E76113F7988A}">
            <xm:f>BASE!$GP$12=0</xm:f>
            <x14:dxf>
              <font>
                <color theme="0" tint="-4.9989318521683403E-2"/>
              </font>
              <fill>
                <patternFill>
                  <bgColor theme="0" tint="-4.9989318521683403E-2"/>
                </patternFill>
              </fill>
              <border>
                <left/>
                <right/>
                <top/>
                <bottom/>
              </border>
            </x14:dxf>
          </x14:cfRule>
          <xm:sqref>J132</xm:sqref>
        </x14:conditionalFormatting>
        <x14:conditionalFormatting xmlns:xm="http://schemas.microsoft.com/office/excel/2006/main">
          <x14:cfRule type="expression" priority="284" id="{4CD1FC59-8A15-DA40-8316-C94B0C638226}">
            <xm:f>BASE!$GQ$13=0</xm:f>
            <x14:dxf>
              <font>
                <color theme="0" tint="-4.9989318521683403E-2"/>
              </font>
              <fill>
                <patternFill>
                  <bgColor theme="0" tint="-4.9989318521683403E-2"/>
                </patternFill>
              </fill>
              <border>
                <left/>
                <right/>
                <top/>
                <bottom/>
              </border>
            </x14:dxf>
          </x14:cfRule>
          <xm:sqref>J132</xm:sqref>
        </x14:conditionalFormatting>
        <x14:conditionalFormatting xmlns:xm="http://schemas.microsoft.com/office/excel/2006/main">
          <x14:cfRule type="expression" priority="285" id="{BDBB1760-1741-FA43-ACF0-E1B7D823EDE3}">
            <xm:f>BASE!$GP$18=0</xm:f>
            <x14:dxf>
              <font>
                <color theme="0" tint="-4.9989318521683403E-2"/>
              </font>
              <fill>
                <patternFill>
                  <bgColor theme="0" tint="-4.9989318521683403E-2"/>
                </patternFill>
              </fill>
              <border>
                <left/>
                <right/>
                <top/>
                <bottom/>
              </border>
            </x14:dxf>
          </x14:cfRule>
          <xm:sqref>J132</xm:sqref>
        </x14:conditionalFormatting>
        <x14:conditionalFormatting xmlns:xm="http://schemas.microsoft.com/office/excel/2006/main">
          <x14:cfRule type="expression" priority="280" id="{F5F71FF8-A441-3E4D-A13D-A478D847F2C5}">
            <xm:f>BASE!$GP$12=0</xm:f>
            <x14:dxf>
              <font>
                <color theme="0" tint="-4.9989318521683403E-2"/>
              </font>
              <fill>
                <patternFill>
                  <bgColor theme="0" tint="-4.9989318521683403E-2"/>
                </patternFill>
              </fill>
              <border>
                <left/>
                <right/>
                <top/>
                <bottom/>
              </border>
            </x14:dxf>
          </x14:cfRule>
          <xm:sqref>I133</xm:sqref>
        </x14:conditionalFormatting>
        <x14:conditionalFormatting xmlns:xm="http://schemas.microsoft.com/office/excel/2006/main">
          <x14:cfRule type="expression" priority="281" id="{C6537D0F-1D76-6943-8AF0-9F154F6C3B9A}">
            <xm:f>BASE!$GQ$13=0</xm:f>
            <x14:dxf>
              <font>
                <color theme="0" tint="-4.9989318521683403E-2"/>
              </font>
              <fill>
                <patternFill>
                  <bgColor theme="0" tint="-4.9989318521683403E-2"/>
                </patternFill>
              </fill>
              <border>
                <left/>
                <right/>
                <top/>
                <bottom/>
              </border>
            </x14:dxf>
          </x14:cfRule>
          <xm:sqref>I133</xm:sqref>
        </x14:conditionalFormatting>
        <x14:conditionalFormatting xmlns:xm="http://schemas.microsoft.com/office/excel/2006/main">
          <x14:cfRule type="expression" priority="282" id="{4EA18E35-C5A4-C44D-82AE-2AE9DF2A6336}">
            <xm:f>BASE!$GP$18=0</xm:f>
            <x14:dxf>
              <font>
                <color theme="0" tint="-4.9989318521683403E-2"/>
              </font>
              <fill>
                <patternFill>
                  <bgColor theme="0" tint="-4.9989318521683403E-2"/>
                </patternFill>
              </fill>
              <border>
                <left/>
                <right/>
                <top/>
                <bottom/>
              </border>
            </x14:dxf>
          </x14:cfRule>
          <xm:sqref>I133</xm:sqref>
        </x14:conditionalFormatting>
        <x14:conditionalFormatting xmlns:xm="http://schemas.microsoft.com/office/excel/2006/main">
          <x14:cfRule type="expression" priority="277" id="{E18FC404-ACEF-0F4B-862F-E331F75AAF64}">
            <xm:f>BASE!$GP$12=0</xm:f>
            <x14:dxf>
              <font>
                <color theme="0" tint="-4.9989318521683403E-2"/>
              </font>
              <fill>
                <patternFill>
                  <bgColor theme="0" tint="-4.9989318521683403E-2"/>
                </patternFill>
              </fill>
              <border>
                <left/>
                <right/>
                <top/>
                <bottom/>
              </border>
            </x14:dxf>
          </x14:cfRule>
          <xm:sqref>J133</xm:sqref>
        </x14:conditionalFormatting>
        <x14:conditionalFormatting xmlns:xm="http://schemas.microsoft.com/office/excel/2006/main">
          <x14:cfRule type="expression" priority="278" id="{3E4AED22-0BDB-2C48-A746-BA8DC0C7FB56}">
            <xm:f>BASE!$GQ$13=0</xm:f>
            <x14:dxf>
              <font>
                <color theme="0" tint="-4.9989318521683403E-2"/>
              </font>
              <fill>
                <patternFill>
                  <bgColor theme="0" tint="-4.9989318521683403E-2"/>
                </patternFill>
              </fill>
              <border>
                <left/>
                <right/>
                <top/>
                <bottom/>
              </border>
            </x14:dxf>
          </x14:cfRule>
          <xm:sqref>J133</xm:sqref>
        </x14:conditionalFormatting>
        <x14:conditionalFormatting xmlns:xm="http://schemas.microsoft.com/office/excel/2006/main">
          <x14:cfRule type="expression" priority="279" id="{399B3B9C-2B30-4C41-A0BE-0C5AA5381CF0}">
            <xm:f>BASE!$GP$18=0</xm:f>
            <x14:dxf>
              <font>
                <color theme="0" tint="-4.9989318521683403E-2"/>
              </font>
              <fill>
                <patternFill>
                  <bgColor theme="0" tint="-4.9989318521683403E-2"/>
                </patternFill>
              </fill>
              <border>
                <left/>
                <right/>
                <top/>
                <bottom/>
              </border>
            </x14:dxf>
          </x14:cfRule>
          <xm:sqref>J133</xm:sqref>
        </x14:conditionalFormatting>
        <x14:conditionalFormatting xmlns:xm="http://schemas.microsoft.com/office/excel/2006/main">
          <x14:cfRule type="expression" priority="274" id="{E5D4C0AA-429E-E340-B990-38EC3B3A7190}">
            <xm:f>BASE!$GP$12=0</xm:f>
            <x14:dxf>
              <font>
                <color theme="0" tint="-4.9989318521683403E-2"/>
              </font>
              <fill>
                <patternFill>
                  <bgColor theme="0" tint="-4.9989318521683403E-2"/>
                </patternFill>
              </fill>
              <border>
                <left/>
                <right/>
                <top/>
                <bottom/>
              </border>
            </x14:dxf>
          </x14:cfRule>
          <xm:sqref>I134</xm:sqref>
        </x14:conditionalFormatting>
        <x14:conditionalFormatting xmlns:xm="http://schemas.microsoft.com/office/excel/2006/main">
          <x14:cfRule type="expression" priority="275" id="{FECFFD75-55F7-D84D-B9C4-C1BC0F8CDEF6}">
            <xm:f>BASE!$GQ$13=0</xm:f>
            <x14:dxf>
              <font>
                <color theme="0" tint="-4.9989318521683403E-2"/>
              </font>
              <fill>
                <patternFill>
                  <bgColor theme="0" tint="-4.9989318521683403E-2"/>
                </patternFill>
              </fill>
              <border>
                <left/>
                <right/>
                <top/>
                <bottom/>
              </border>
            </x14:dxf>
          </x14:cfRule>
          <xm:sqref>I134</xm:sqref>
        </x14:conditionalFormatting>
        <x14:conditionalFormatting xmlns:xm="http://schemas.microsoft.com/office/excel/2006/main">
          <x14:cfRule type="expression" priority="276" id="{43ADF83C-D551-3349-B7C1-848AD4386CC2}">
            <xm:f>BASE!$GP$18=0</xm:f>
            <x14:dxf>
              <font>
                <color theme="0" tint="-4.9989318521683403E-2"/>
              </font>
              <fill>
                <patternFill>
                  <bgColor theme="0" tint="-4.9989318521683403E-2"/>
                </patternFill>
              </fill>
              <border>
                <left/>
                <right/>
                <top/>
                <bottom/>
              </border>
            </x14:dxf>
          </x14:cfRule>
          <xm:sqref>I134</xm:sqref>
        </x14:conditionalFormatting>
        <x14:conditionalFormatting xmlns:xm="http://schemas.microsoft.com/office/excel/2006/main">
          <x14:cfRule type="expression" priority="271" id="{6030A468-C13D-6A44-903E-FE01AF8F0C70}">
            <xm:f>BASE!$GP$12=0</xm:f>
            <x14:dxf>
              <font>
                <color theme="0" tint="-4.9989318521683403E-2"/>
              </font>
              <fill>
                <patternFill>
                  <bgColor theme="0" tint="-4.9989318521683403E-2"/>
                </patternFill>
              </fill>
              <border>
                <left/>
                <right/>
                <top/>
                <bottom/>
              </border>
            </x14:dxf>
          </x14:cfRule>
          <xm:sqref>J134</xm:sqref>
        </x14:conditionalFormatting>
        <x14:conditionalFormatting xmlns:xm="http://schemas.microsoft.com/office/excel/2006/main">
          <x14:cfRule type="expression" priority="272" id="{8C9F7807-1B8B-2047-8246-2197513CBAB9}">
            <xm:f>BASE!$GQ$13=0</xm:f>
            <x14:dxf>
              <font>
                <color theme="0" tint="-4.9989318521683403E-2"/>
              </font>
              <fill>
                <patternFill>
                  <bgColor theme="0" tint="-4.9989318521683403E-2"/>
                </patternFill>
              </fill>
              <border>
                <left/>
                <right/>
                <top/>
                <bottom/>
              </border>
            </x14:dxf>
          </x14:cfRule>
          <xm:sqref>J134</xm:sqref>
        </x14:conditionalFormatting>
        <x14:conditionalFormatting xmlns:xm="http://schemas.microsoft.com/office/excel/2006/main">
          <x14:cfRule type="expression" priority="273" id="{65112BBC-1696-B643-984C-468F46680B7E}">
            <xm:f>BASE!$GP$18=0</xm:f>
            <x14:dxf>
              <font>
                <color theme="0" tint="-4.9989318521683403E-2"/>
              </font>
              <fill>
                <patternFill>
                  <bgColor theme="0" tint="-4.9989318521683403E-2"/>
                </patternFill>
              </fill>
              <border>
                <left/>
                <right/>
                <top/>
                <bottom/>
              </border>
            </x14:dxf>
          </x14:cfRule>
          <xm:sqref>J134</xm:sqref>
        </x14:conditionalFormatting>
        <x14:conditionalFormatting xmlns:xm="http://schemas.microsoft.com/office/excel/2006/main">
          <x14:cfRule type="expression" priority="268" id="{94E5A819-4DC4-0449-B013-112F40AA4E58}">
            <xm:f>BASE!$GP$12=0</xm:f>
            <x14:dxf>
              <font>
                <color theme="0" tint="-4.9989318521683403E-2"/>
              </font>
              <fill>
                <patternFill>
                  <bgColor theme="0" tint="-4.9989318521683403E-2"/>
                </patternFill>
              </fill>
              <border>
                <left/>
                <right/>
                <top/>
                <bottom/>
              </border>
            </x14:dxf>
          </x14:cfRule>
          <xm:sqref>I135</xm:sqref>
        </x14:conditionalFormatting>
        <x14:conditionalFormatting xmlns:xm="http://schemas.microsoft.com/office/excel/2006/main">
          <x14:cfRule type="expression" priority="269" id="{56663316-7A27-0E4F-B3C8-CC5926C4E07A}">
            <xm:f>BASE!$GQ$13=0</xm:f>
            <x14:dxf>
              <font>
                <color theme="0" tint="-4.9989318521683403E-2"/>
              </font>
              <fill>
                <patternFill>
                  <bgColor theme="0" tint="-4.9989318521683403E-2"/>
                </patternFill>
              </fill>
              <border>
                <left/>
                <right/>
                <top/>
                <bottom/>
              </border>
            </x14:dxf>
          </x14:cfRule>
          <xm:sqref>I135</xm:sqref>
        </x14:conditionalFormatting>
        <x14:conditionalFormatting xmlns:xm="http://schemas.microsoft.com/office/excel/2006/main">
          <x14:cfRule type="expression" priority="270" id="{6B8B5D3F-185E-D842-9643-A7F1653E6C22}">
            <xm:f>BASE!$GP$18=0</xm:f>
            <x14:dxf>
              <font>
                <color theme="0" tint="-4.9989318521683403E-2"/>
              </font>
              <fill>
                <patternFill>
                  <bgColor theme="0" tint="-4.9989318521683403E-2"/>
                </patternFill>
              </fill>
              <border>
                <left/>
                <right/>
                <top/>
                <bottom/>
              </border>
            </x14:dxf>
          </x14:cfRule>
          <xm:sqref>I135</xm:sqref>
        </x14:conditionalFormatting>
        <x14:conditionalFormatting xmlns:xm="http://schemas.microsoft.com/office/excel/2006/main">
          <x14:cfRule type="expression" priority="265" id="{0014D01E-AC03-934D-AED6-557F3DE2E834}">
            <xm:f>BASE!$GP$12=0</xm:f>
            <x14:dxf>
              <font>
                <color theme="0" tint="-4.9989318521683403E-2"/>
              </font>
              <fill>
                <patternFill>
                  <bgColor theme="0" tint="-4.9989318521683403E-2"/>
                </patternFill>
              </fill>
              <border>
                <left/>
                <right/>
                <top/>
                <bottom/>
              </border>
            </x14:dxf>
          </x14:cfRule>
          <xm:sqref>J135</xm:sqref>
        </x14:conditionalFormatting>
        <x14:conditionalFormatting xmlns:xm="http://schemas.microsoft.com/office/excel/2006/main">
          <x14:cfRule type="expression" priority="266" id="{96F4705A-6DE4-9C46-9801-44FC4A448A08}">
            <xm:f>BASE!$GQ$13=0</xm:f>
            <x14:dxf>
              <font>
                <color theme="0" tint="-4.9989318521683403E-2"/>
              </font>
              <fill>
                <patternFill>
                  <bgColor theme="0" tint="-4.9989318521683403E-2"/>
                </patternFill>
              </fill>
              <border>
                <left/>
                <right/>
                <top/>
                <bottom/>
              </border>
            </x14:dxf>
          </x14:cfRule>
          <xm:sqref>J135</xm:sqref>
        </x14:conditionalFormatting>
        <x14:conditionalFormatting xmlns:xm="http://schemas.microsoft.com/office/excel/2006/main">
          <x14:cfRule type="expression" priority="267" id="{D4F1F06A-8D04-A740-A417-CC3A568A8ABA}">
            <xm:f>BASE!$GP$18=0</xm:f>
            <x14:dxf>
              <font>
                <color theme="0" tint="-4.9989318521683403E-2"/>
              </font>
              <fill>
                <patternFill>
                  <bgColor theme="0" tint="-4.9989318521683403E-2"/>
                </patternFill>
              </fill>
              <border>
                <left/>
                <right/>
                <top/>
                <bottom/>
              </border>
            </x14:dxf>
          </x14:cfRule>
          <xm:sqref>J135</xm:sqref>
        </x14:conditionalFormatting>
        <x14:conditionalFormatting xmlns:xm="http://schemas.microsoft.com/office/excel/2006/main">
          <x14:cfRule type="expression" priority="262" id="{2E8BDD46-2A50-A548-AABA-2A95EC411F8D}">
            <xm:f>BASE!$GP$12=0</xm:f>
            <x14:dxf>
              <font>
                <color theme="0" tint="-4.9989318521683403E-2"/>
              </font>
              <fill>
                <patternFill>
                  <bgColor theme="0" tint="-4.9989318521683403E-2"/>
                </patternFill>
              </fill>
              <border>
                <left/>
                <right/>
                <top/>
                <bottom/>
              </border>
            </x14:dxf>
          </x14:cfRule>
          <xm:sqref>I136</xm:sqref>
        </x14:conditionalFormatting>
        <x14:conditionalFormatting xmlns:xm="http://schemas.microsoft.com/office/excel/2006/main">
          <x14:cfRule type="expression" priority="263" id="{3743AC77-E2E3-3545-99EF-EA471AB287D5}">
            <xm:f>BASE!$GQ$13=0</xm:f>
            <x14:dxf>
              <font>
                <color theme="0" tint="-4.9989318521683403E-2"/>
              </font>
              <fill>
                <patternFill>
                  <bgColor theme="0" tint="-4.9989318521683403E-2"/>
                </patternFill>
              </fill>
              <border>
                <left/>
                <right/>
                <top/>
                <bottom/>
              </border>
            </x14:dxf>
          </x14:cfRule>
          <xm:sqref>I136</xm:sqref>
        </x14:conditionalFormatting>
        <x14:conditionalFormatting xmlns:xm="http://schemas.microsoft.com/office/excel/2006/main">
          <x14:cfRule type="expression" priority="264" id="{03CB44FF-F3F9-E44E-A72F-C47E31B459B3}">
            <xm:f>BASE!$GP$18=0</xm:f>
            <x14:dxf>
              <font>
                <color theme="0" tint="-4.9989318521683403E-2"/>
              </font>
              <fill>
                <patternFill>
                  <bgColor theme="0" tint="-4.9989318521683403E-2"/>
                </patternFill>
              </fill>
              <border>
                <left/>
                <right/>
                <top/>
                <bottom/>
              </border>
            </x14:dxf>
          </x14:cfRule>
          <xm:sqref>I136</xm:sqref>
        </x14:conditionalFormatting>
        <x14:conditionalFormatting xmlns:xm="http://schemas.microsoft.com/office/excel/2006/main">
          <x14:cfRule type="expression" priority="259" id="{F39AA6D3-E600-814B-B6F5-79D55A48A434}">
            <xm:f>BASE!$GP$12=0</xm:f>
            <x14:dxf>
              <font>
                <color theme="0" tint="-4.9989318521683403E-2"/>
              </font>
              <fill>
                <patternFill>
                  <bgColor theme="0" tint="-4.9989318521683403E-2"/>
                </patternFill>
              </fill>
              <border>
                <left/>
                <right/>
                <top/>
                <bottom/>
              </border>
            </x14:dxf>
          </x14:cfRule>
          <xm:sqref>J136</xm:sqref>
        </x14:conditionalFormatting>
        <x14:conditionalFormatting xmlns:xm="http://schemas.microsoft.com/office/excel/2006/main">
          <x14:cfRule type="expression" priority="260" id="{1634A94E-D566-F04D-A6C3-887341BE6AED}">
            <xm:f>BASE!$GQ$13=0</xm:f>
            <x14:dxf>
              <font>
                <color theme="0" tint="-4.9989318521683403E-2"/>
              </font>
              <fill>
                <patternFill>
                  <bgColor theme="0" tint="-4.9989318521683403E-2"/>
                </patternFill>
              </fill>
              <border>
                <left/>
                <right/>
                <top/>
                <bottom/>
              </border>
            </x14:dxf>
          </x14:cfRule>
          <xm:sqref>J136</xm:sqref>
        </x14:conditionalFormatting>
        <x14:conditionalFormatting xmlns:xm="http://schemas.microsoft.com/office/excel/2006/main">
          <x14:cfRule type="expression" priority="261" id="{119BE638-3445-F340-99C3-7C1179483A0F}">
            <xm:f>BASE!$GP$18=0</xm:f>
            <x14:dxf>
              <font>
                <color theme="0" tint="-4.9989318521683403E-2"/>
              </font>
              <fill>
                <patternFill>
                  <bgColor theme="0" tint="-4.9989318521683403E-2"/>
                </patternFill>
              </fill>
              <border>
                <left/>
                <right/>
                <top/>
                <bottom/>
              </border>
            </x14:dxf>
          </x14:cfRule>
          <xm:sqref>J136</xm:sqref>
        </x14:conditionalFormatting>
        <x14:conditionalFormatting xmlns:xm="http://schemas.microsoft.com/office/excel/2006/main">
          <x14:cfRule type="expression" priority="256" id="{A0EDB226-724A-D84B-89B0-D896C9242AEC}">
            <xm:f>BASE!$GP$12=0</xm:f>
            <x14:dxf>
              <font>
                <color theme="0" tint="-4.9989318521683403E-2"/>
              </font>
              <fill>
                <patternFill>
                  <bgColor theme="0" tint="-4.9989318521683403E-2"/>
                </patternFill>
              </fill>
              <border>
                <left/>
                <right/>
                <top/>
                <bottom/>
              </border>
            </x14:dxf>
          </x14:cfRule>
          <xm:sqref>I137</xm:sqref>
        </x14:conditionalFormatting>
        <x14:conditionalFormatting xmlns:xm="http://schemas.microsoft.com/office/excel/2006/main">
          <x14:cfRule type="expression" priority="257" id="{35611636-6A90-0E4C-89E4-18E7DB8EDA25}">
            <xm:f>BASE!$GQ$13=0</xm:f>
            <x14:dxf>
              <font>
                <color theme="0" tint="-4.9989318521683403E-2"/>
              </font>
              <fill>
                <patternFill>
                  <bgColor theme="0" tint="-4.9989318521683403E-2"/>
                </patternFill>
              </fill>
              <border>
                <left/>
                <right/>
                <top/>
                <bottom/>
              </border>
            </x14:dxf>
          </x14:cfRule>
          <xm:sqref>I137</xm:sqref>
        </x14:conditionalFormatting>
        <x14:conditionalFormatting xmlns:xm="http://schemas.microsoft.com/office/excel/2006/main">
          <x14:cfRule type="expression" priority="258" id="{E0C22BAA-F84D-0D42-92B2-B82E60DEBF5E}">
            <xm:f>BASE!$GP$18=0</xm:f>
            <x14:dxf>
              <font>
                <color theme="0" tint="-4.9989318521683403E-2"/>
              </font>
              <fill>
                <patternFill>
                  <bgColor theme="0" tint="-4.9989318521683403E-2"/>
                </patternFill>
              </fill>
              <border>
                <left/>
                <right/>
                <top/>
                <bottom/>
              </border>
            </x14:dxf>
          </x14:cfRule>
          <xm:sqref>I137</xm:sqref>
        </x14:conditionalFormatting>
        <x14:conditionalFormatting xmlns:xm="http://schemas.microsoft.com/office/excel/2006/main">
          <x14:cfRule type="expression" priority="253" id="{9BC49DF3-7C20-C541-AA74-E1895512FCB8}">
            <xm:f>BASE!$GP$12=0</xm:f>
            <x14:dxf>
              <font>
                <color theme="0" tint="-4.9989318521683403E-2"/>
              </font>
              <fill>
                <patternFill>
                  <bgColor theme="0" tint="-4.9989318521683403E-2"/>
                </patternFill>
              </fill>
              <border>
                <left/>
                <right/>
                <top/>
                <bottom/>
              </border>
            </x14:dxf>
          </x14:cfRule>
          <xm:sqref>J137</xm:sqref>
        </x14:conditionalFormatting>
        <x14:conditionalFormatting xmlns:xm="http://schemas.microsoft.com/office/excel/2006/main">
          <x14:cfRule type="expression" priority="254" id="{108CCA52-69A1-2C4E-A253-C8119EDF4929}">
            <xm:f>BASE!$GQ$13=0</xm:f>
            <x14:dxf>
              <font>
                <color theme="0" tint="-4.9989318521683403E-2"/>
              </font>
              <fill>
                <patternFill>
                  <bgColor theme="0" tint="-4.9989318521683403E-2"/>
                </patternFill>
              </fill>
              <border>
                <left/>
                <right/>
                <top/>
                <bottom/>
              </border>
            </x14:dxf>
          </x14:cfRule>
          <xm:sqref>J137</xm:sqref>
        </x14:conditionalFormatting>
        <x14:conditionalFormatting xmlns:xm="http://schemas.microsoft.com/office/excel/2006/main">
          <x14:cfRule type="expression" priority="255" id="{CDC0AC4A-8619-394E-AC5B-D6A647818A8E}">
            <xm:f>BASE!$GP$18=0</xm:f>
            <x14:dxf>
              <font>
                <color theme="0" tint="-4.9989318521683403E-2"/>
              </font>
              <fill>
                <patternFill>
                  <bgColor theme="0" tint="-4.9989318521683403E-2"/>
                </patternFill>
              </fill>
              <border>
                <left/>
                <right/>
                <top/>
                <bottom/>
              </border>
            </x14:dxf>
          </x14:cfRule>
          <xm:sqref>J137</xm:sqref>
        </x14:conditionalFormatting>
        <x14:conditionalFormatting xmlns:xm="http://schemas.microsoft.com/office/excel/2006/main">
          <x14:cfRule type="expression" priority="250" id="{E3AEC760-AEEF-0249-A7F6-64001EEBF0D3}">
            <xm:f>BASE!$GP$12=0</xm:f>
            <x14:dxf>
              <font>
                <color theme="0" tint="-4.9989318521683403E-2"/>
              </font>
              <fill>
                <patternFill>
                  <bgColor theme="0" tint="-4.9989318521683403E-2"/>
                </patternFill>
              </fill>
              <border>
                <left/>
                <right/>
                <top/>
                <bottom/>
              </border>
            </x14:dxf>
          </x14:cfRule>
          <xm:sqref>I146</xm:sqref>
        </x14:conditionalFormatting>
        <x14:conditionalFormatting xmlns:xm="http://schemas.microsoft.com/office/excel/2006/main">
          <x14:cfRule type="expression" priority="251" id="{E6B14B8B-AF2C-D848-93EE-6256CAD7B8E1}">
            <xm:f>BASE!$GQ$13=0</xm:f>
            <x14:dxf>
              <font>
                <color theme="0" tint="-4.9989318521683403E-2"/>
              </font>
              <fill>
                <patternFill>
                  <bgColor theme="0" tint="-4.9989318521683403E-2"/>
                </patternFill>
              </fill>
              <border>
                <left/>
                <right/>
                <top/>
                <bottom/>
              </border>
            </x14:dxf>
          </x14:cfRule>
          <xm:sqref>I146</xm:sqref>
        </x14:conditionalFormatting>
        <x14:conditionalFormatting xmlns:xm="http://schemas.microsoft.com/office/excel/2006/main">
          <x14:cfRule type="expression" priority="252" id="{EEA61ABE-4E5E-CD44-8F31-3BCFD45310A8}">
            <xm:f>BASE!$GP$18=0</xm:f>
            <x14:dxf>
              <font>
                <color theme="0" tint="-4.9989318521683403E-2"/>
              </font>
              <fill>
                <patternFill>
                  <bgColor theme="0" tint="-4.9989318521683403E-2"/>
                </patternFill>
              </fill>
              <border>
                <left/>
                <right/>
                <top/>
                <bottom/>
              </border>
            </x14:dxf>
          </x14:cfRule>
          <xm:sqref>I146</xm:sqref>
        </x14:conditionalFormatting>
        <x14:conditionalFormatting xmlns:xm="http://schemas.microsoft.com/office/excel/2006/main">
          <x14:cfRule type="expression" priority="247" id="{E98F8BEE-20A1-7244-B388-EA3801B1063C}">
            <xm:f>BASE!$GP$12=0</xm:f>
            <x14:dxf>
              <font>
                <color theme="0" tint="-4.9989318521683403E-2"/>
              </font>
              <fill>
                <patternFill>
                  <bgColor theme="0" tint="-4.9989318521683403E-2"/>
                </patternFill>
              </fill>
              <border>
                <left/>
                <right/>
                <top/>
                <bottom/>
              </border>
            </x14:dxf>
          </x14:cfRule>
          <xm:sqref>J146</xm:sqref>
        </x14:conditionalFormatting>
        <x14:conditionalFormatting xmlns:xm="http://schemas.microsoft.com/office/excel/2006/main">
          <x14:cfRule type="expression" priority="248" id="{394FBF8D-CFF1-514D-A317-20FB679C64E0}">
            <xm:f>BASE!$GQ$13=0</xm:f>
            <x14:dxf>
              <font>
                <color theme="0" tint="-4.9989318521683403E-2"/>
              </font>
              <fill>
                <patternFill>
                  <bgColor theme="0" tint="-4.9989318521683403E-2"/>
                </patternFill>
              </fill>
              <border>
                <left/>
                <right/>
                <top/>
                <bottom/>
              </border>
            </x14:dxf>
          </x14:cfRule>
          <xm:sqref>J146</xm:sqref>
        </x14:conditionalFormatting>
        <x14:conditionalFormatting xmlns:xm="http://schemas.microsoft.com/office/excel/2006/main">
          <x14:cfRule type="expression" priority="249" id="{17CE4918-BA7F-8347-B19D-8428F2F4E7C6}">
            <xm:f>BASE!$GP$18=0</xm:f>
            <x14:dxf>
              <font>
                <color theme="0" tint="-4.9989318521683403E-2"/>
              </font>
              <fill>
                <patternFill>
                  <bgColor theme="0" tint="-4.9989318521683403E-2"/>
                </patternFill>
              </fill>
              <border>
                <left/>
                <right/>
                <top/>
                <bottom/>
              </border>
            </x14:dxf>
          </x14:cfRule>
          <xm:sqref>J146</xm:sqref>
        </x14:conditionalFormatting>
        <x14:conditionalFormatting xmlns:xm="http://schemas.microsoft.com/office/excel/2006/main">
          <x14:cfRule type="expression" priority="244" id="{7C1957FB-D07C-024D-ADB8-FC18F5AD3C16}">
            <xm:f>BASE!$GP$12=0</xm:f>
            <x14:dxf>
              <font>
                <color theme="0" tint="-4.9989318521683403E-2"/>
              </font>
              <fill>
                <patternFill>
                  <bgColor theme="0" tint="-4.9989318521683403E-2"/>
                </patternFill>
              </fill>
              <border>
                <left/>
                <right/>
                <top/>
                <bottom/>
              </border>
            </x14:dxf>
          </x14:cfRule>
          <xm:sqref>I147</xm:sqref>
        </x14:conditionalFormatting>
        <x14:conditionalFormatting xmlns:xm="http://schemas.microsoft.com/office/excel/2006/main">
          <x14:cfRule type="expression" priority="245" id="{90BB295F-00D7-4746-AB9A-C4D9DB36044A}">
            <xm:f>BASE!$GQ$13=0</xm:f>
            <x14:dxf>
              <font>
                <color theme="0" tint="-4.9989318521683403E-2"/>
              </font>
              <fill>
                <patternFill>
                  <bgColor theme="0" tint="-4.9989318521683403E-2"/>
                </patternFill>
              </fill>
              <border>
                <left/>
                <right/>
                <top/>
                <bottom/>
              </border>
            </x14:dxf>
          </x14:cfRule>
          <xm:sqref>I147</xm:sqref>
        </x14:conditionalFormatting>
        <x14:conditionalFormatting xmlns:xm="http://schemas.microsoft.com/office/excel/2006/main">
          <x14:cfRule type="expression" priority="246" id="{8A83D6A0-6895-764A-A1F5-A51208AE7CDC}">
            <xm:f>BASE!$GP$18=0</xm:f>
            <x14:dxf>
              <font>
                <color theme="0" tint="-4.9989318521683403E-2"/>
              </font>
              <fill>
                <patternFill>
                  <bgColor theme="0" tint="-4.9989318521683403E-2"/>
                </patternFill>
              </fill>
              <border>
                <left/>
                <right/>
                <top/>
                <bottom/>
              </border>
            </x14:dxf>
          </x14:cfRule>
          <xm:sqref>I147</xm:sqref>
        </x14:conditionalFormatting>
        <x14:conditionalFormatting xmlns:xm="http://schemas.microsoft.com/office/excel/2006/main">
          <x14:cfRule type="expression" priority="241" id="{64605E32-894E-DE4B-9B39-FE1534CB27C8}">
            <xm:f>BASE!$GP$12=0</xm:f>
            <x14:dxf>
              <font>
                <color theme="0" tint="-4.9989318521683403E-2"/>
              </font>
              <fill>
                <patternFill>
                  <bgColor theme="0" tint="-4.9989318521683403E-2"/>
                </patternFill>
              </fill>
              <border>
                <left/>
                <right/>
                <top/>
                <bottom/>
              </border>
            </x14:dxf>
          </x14:cfRule>
          <xm:sqref>J147</xm:sqref>
        </x14:conditionalFormatting>
        <x14:conditionalFormatting xmlns:xm="http://schemas.microsoft.com/office/excel/2006/main">
          <x14:cfRule type="expression" priority="242" id="{2F177CB6-F8E8-AA4E-AC63-6E849738FF24}">
            <xm:f>BASE!$GQ$13=0</xm:f>
            <x14:dxf>
              <font>
                <color theme="0" tint="-4.9989318521683403E-2"/>
              </font>
              <fill>
                <patternFill>
                  <bgColor theme="0" tint="-4.9989318521683403E-2"/>
                </patternFill>
              </fill>
              <border>
                <left/>
                <right/>
                <top/>
                <bottom/>
              </border>
            </x14:dxf>
          </x14:cfRule>
          <xm:sqref>J147</xm:sqref>
        </x14:conditionalFormatting>
        <x14:conditionalFormatting xmlns:xm="http://schemas.microsoft.com/office/excel/2006/main">
          <x14:cfRule type="expression" priority="243" id="{ED0D9E1B-6FBD-124A-93AD-F0B2F3924C7D}">
            <xm:f>BASE!$GP$18=0</xm:f>
            <x14:dxf>
              <font>
                <color theme="0" tint="-4.9989318521683403E-2"/>
              </font>
              <fill>
                <patternFill>
                  <bgColor theme="0" tint="-4.9989318521683403E-2"/>
                </patternFill>
              </fill>
              <border>
                <left/>
                <right/>
                <top/>
                <bottom/>
              </border>
            </x14:dxf>
          </x14:cfRule>
          <xm:sqref>J147</xm:sqref>
        </x14:conditionalFormatting>
        <x14:conditionalFormatting xmlns:xm="http://schemas.microsoft.com/office/excel/2006/main">
          <x14:cfRule type="expression" priority="238" id="{1045B332-15C2-1A43-B114-22F16F82B606}">
            <xm:f>BASE!$GP$12=0</xm:f>
            <x14:dxf>
              <font>
                <color theme="0" tint="-4.9989318521683403E-2"/>
              </font>
              <fill>
                <patternFill>
                  <bgColor theme="0" tint="-4.9989318521683403E-2"/>
                </patternFill>
              </fill>
              <border>
                <left/>
                <right/>
                <top/>
                <bottom/>
              </border>
            </x14:dxf>
          </x14:cfRule>
          <xm:sqref>I148</xm:sqref>
        </x14:conditionalFormatting>
        <x14:conditionalFormatting xmlns:xm="http://schemas.microsoft.com/office/excel/2006/main">
          <x14:cfRule type="expression" priority="239" id="{BCF83C4E-168C-AC4C-9207-8B249AAAAD6F}">
            <xm:f>BASE!$GQ$13=0</xm:f>
            <x14:dxf>
              <font>
                <color theme="0" tint="-4.9989318521683403E-2"/>
              </font>
              <fill>
                <patternFill>
                  <bgColor theme="0" tint="-4.9989318521683403E-2"/>
                </patternFill>
              </fill>
              <border>
                <left/>
                <right/>
                <top/>
                <bottom/>
              </border>
            </x14:dxf>
          </x14:cfRule>
          <xm:sqref>I148</xm:sqref>
        </x14:conditionalFormatting>
        <x14:conditionalFormatting xmlns:xm="http://schemas.microsoft.com/office/excel/2006/main">
          <x14:cfRule type="expression" priority="240" id="{DA0D9A37-CC45-D741-AEBB-BF9411A4B39D}">
            <xm:f>BASE!$GP$18=0</xm:f>
            <x14:dxf>
              <font>
                <color theme="0" tint="-4.9989318521683403E-2"/>
              </font>
              <fill>
                <patternFill>
                  <bgColor theme="0" tint="-4.9989318521683403E-2"/>
                </patternFill>
              </fill>
              <border>
                <left/>
                <right/>
                <top/>
                <bottom/>
              </border>
            </x14:dxf>
          </x14:cfRule>
          <xm:sqref>I148</xm:sqref>
        </x14:conditionalFormatting>
        <x14:conditionalFormatting xmlns:xm="http://schemas.microsoft.com/office/excel/2006/main">
          <x14:cfRule type="expression" priority="235" id="{C2A472F4-3E26-F14D-A681-73ABD36439F4}">
            <xm:f>BASE!$GP$12=0</xm:f>
            <x14:dxf>
              <font>
                <color theme="0" tint="-4.9989318521683403E-2"/>
              </font>
              <fill>
                <patternFill>
                  <bgColor theme="0" tint="-4.9989318521683403E-2"/>
                </patternFill>
              </fill>
              <border>
                <left/>
                <right/>
                <top/>
                <bottom/>
              </border>
            </x14:dxf>
          </x14:cfRule>
          <xm:sqref>J148</xm:sqref>
        </x14:conditionalFormatting>
        <x14:conditionalFormatting xmlns:xm="http://schemas.microsoft.com/office/excel/2006/main">
          <x14:cfRule type="expression" priority="236" id="{EF5D893F-641C-F847-9AB8-DA96B09BA551}">
            <xm:f>BASE!$GQ$13=0</xm:f>
            <x14:dxf>
              <font>
                <color theme="0" tint="-4.9989318521683403E-2"/>
              </font>
              <fill>
                <patternFill>
                  <bgColor theme="0" tint="-4.9989318521683403E-2"/>
                </patternFill>
              </fill>
              <border>
                <left/>
                <right/>
                <top/>
                <bottom/>
              </border>
            </x14:dxf>
          </x14:cfRule>
          <xm:sqref>J148</xm:sqref>
        </x14:conditionalFormatting>
        <x14:conditionalFormatting xmlns:xm="http://schemas.microsoft.com/office/excel/2006/main">
          <x14:cfRule type="expression" priority="237" id="{1F2B662E-BC09-C242-9438-C363CED95130}">
            <xm:f>BASE!$GP$18=0</xm:f>
            <x14:dxf>
              <font>
                <color theme="0" tint="-4.9989318521683403E-2"/>
              </font>
              <fill>
                <patternFill>
                  <bgColor theme="0" tint="-4.9989318521683403E-2"/>
                </patternFill>
              </fill>
              <border>
                <left/>
                <right/>
                <top/>
                <bottom/>
              </border>
            </x14:dxf>
          </x14:cfRule>
          <xm:sqref>J148</xm:sqref>
        </x14:conditionalFormatting>
        <x14:conditionalFormatting xmlns:xm="http://schemas.microsoft.com/office/excel/2006/main">
          <x14:cfRule type="expression" priority="232" id="{48340EB8-8B7D-C64D-93D0-3131843F4BBA}">
            <xm:f>BASE!$GP$12=0</xm:f>
            <x14:dxf>
              <font>
                <color theme="0" tint="-4.9989318521683403E-2"/>
              </font>
              <fill>
                <patternFill>
                  <bgColor theme="0" tint="-4.9989318521683403E-2"/>
                </patternFill>
              </fill>
              <border>
                <left/>
                <right/>
                <top/>
                <bottom/>
              </border>
            </x14:dxf>
          </x14:cfRule>
          <xm:sqref>I149</xm:sqref>
        </x14:conditionalFormatting>
        <x14:conditionalFormatting xmlns:xm="http://schemas.microsoft.com/office/excel/2006/main">
          <x14:cfRule type="expression" priority="233" id="{ECC3E7A2-5C45-9642-ACAD-D366523B9E68}">
            <xm:f>BASE!$GQ$13=0</xm:f>
            <x14:dxf>
              <font>
                <color theme="0" tint="-4.9989318521683403E-2"/>
              </font>
              <fill>
                <patternFill>
                  <bgColor theme="0" tint="-4.9989318521683403E-2"/>
                </patternFill>
              </fill>
              <border>
                <left/>
                <right/>
                <top/>
                <bottom/>
              </border>
            </x14:dxf>
          </x14:cfRule>
          <xm:sqref>I149</xm:sqref>
        </x14:conditionalFormatting>
        <x14:conditionalFormatting xmlns:xm="http://schemas.microsoft.com/office/excel/2006/main">
          <x14:cfRule type="expression" priority="234" id="{9A2590EB-A8E8-0A4F-A4CC-39C5B674CED2}">
            <xm:f>BASE!$GP$18=0</xm:f>
            <x14:dxf>
              <font>
                <color theme="0" tint="-4.9989318521683403E-2"/>
              </font>
              <fill>
                <patternFill>
                  <bgColor theme="0" tint="-4.9989318521683403E-2"/>
                </patternFill>
              </fill>
              <border>
                <left/>
                <right/>
                <top/>
                <bottom/>
              </border>
            </x14:dxf>
          </x14:cfRule>
          <xm:sqref>I149</xm:sqref>
        </x14:conditionalFormatting>
        <x14:conditionalFormatting xmlns:xm="http://schemas.microsoft.com/office/excel/2006/main">
          <x14:cfRule type="expression" priority="229" id="{EA651DCF-E3E5-3D47-8292-98B09E31A412}">
            <xm:f>BASE!$GP$12=0</xm:f>
            <x14:dxf>
              <font>
                <color theme="0" tint="-4.9989318521683403E-2"/>
              </font>
              <fill>
                <patternFill>
                  <bgColor theme="0" tint="-4.9989318521683403E-2"/>
                </patternFill>
              </fill>
              <border>
                <left/>
                <right/>
                <top/>
                <bottom/>
              </border>
            </x14:dxf>
          </x14:cfRule>
          <xm:sqref>J149</xm:sqref>
        </x14:conditionalFormatting>
        <x14:conditionalFormatting xmlns:xm="http://schemas.microsoft.com/office/excel/2006/main">
          <x14:cfRule type="expression" priority="230" id="{A88B640F-FD16-DE46-A976-CA258E637BDD}">
            <xm:f>BASE!$GQ$13=0</xm:f>
            <x14:dxf>
              <font>
                <color theme="0" tint="-4.9989318521683403E-2"/>
              </font>
              <fill>
                <patternFill>
                  <bgColor theme="0" tint="-4.9989318521683403E-2"/>
                </patternFill>
              </fill>
              <border>
                <left/>
                <right/>
                <top/>
                <bottom/>
              </border>
            </x14:dxf>
          </x14:cfRule>
          <xm:sqref>J149</xm:sqref>
        </x14:conditionalFormatting>
        <x14:conditionalFormatting xmlns:xm="http://schemas.microsoft.com/office/excel/2006/main">
          <x14:cfRule type="expression" priority="231" id="{CA385577-EAD8-E846-8E12-7C6A27BB7B7C}">
            <xm:f>BASE!$GP$18=0</xm:f>
            <x14:dxf>
              <font>
                <color theme="0" tint="-4.9989318521683403E-2"/>
              </font>
              <fill>
                <patternFill>
                  <bgColor theme="0" tint="-4.9989318521683403E-2"/>
                </patternFill>
              </fill>
              <border>
                <left/>
                <right/>
                <top/>
                <bottom/>
              </border>
            </x14:dxf>
          </x14:cfRule>
          <xm:sqref>J149</xm:sqref>
        </x14:conditionalFormatting>
        <x14:conditionalFormatting xmlns:xm="http://schemas.microsoft.com/office/excel/2006/main">
          <x14:cfRule type="expression" priority="226" id="{9F27D9E3-303A-7842-AD7E-CB19BEAF4C10}">
            <xm:f>BASE!$GP$12=0</xm:f>
            <x14:dxf>
              <font>
                <color theme="0" tint="-4.9989318521683403E-2"/>
              </font>
              <fill>
                <patternFill>
                  <bgColor theme="0" tint="-4.9989318521683403E-2"/>
                </patternFill>
              </fill>
              <border>
                <left/>
                <right/>
                <top/>
                <bottom/>
              </border>
            </x14:dxf>
          </x14:cfRule>
          <xm:sqref>I150</xm:sqref>
        </x14:conditionalFormatting>
        <x14:conditionalFormatting xmlns:xm="http://schemas.microsoft.com/office/excel/2006/main">
          <x14:cfRule type="expression" priority="227" id="{E345E078-3C3D-2044-BD94-2EF2AD34B37A}">
            <xm:f>BASE!$GQ$13=0</xm:f>
            <x14:dxf>
              <font>
                <color theme="0" tint="-4.9989318521683403E-2"/>
              </font>
              <fill>
                <patternFill>
                  <bgColor theme="0" tint="-4.9989318521683403E-2"/>
                </patternFill>
              </fill>
              <border>
                <left/>
                <right/>
                <top/>
                <bottom/>
              </border>
            </x14:dxf>
          </x14:cfRule>
          <xm:sqref>I150</xm:sqref>
        </x14:conditionalFormatting>
        <x14:conditionalFormatting xmlns:xm="http://schemas.microsoft.com/office/excel/2006/main">
          <x14:cfRule type="expression" priority="228" id="{9C8C7138-B56B-F748-8F8B-50FA7A1EE735}">
            <xm:f>BASE!$GP$18=0</xm:f>
            <x14:dxf>
              <font>
                <color theme="0" tint="-4.9989318521683403E-2"/>
              </font>
              <fill>
                <patternFill>
                  <bgColor theme="0" tint="-4.9989318521683403E-2"/>
                </patternFill>
              </fill>
              <border>
                <left/>
                <right/>
                <top/>
                <bottom/>
              </border>
            </x14:dxf>
          </x14:cfRule>
          <xm:sqref>I150</xm:sqref>
        </x14:conditionalFormatting>
        <x14:conditionalFormatting xmlns:xm="http://schemas.microsoft.com/office/excel/2006/main">
          <x14:cfRule type="expression" priority="223" id="{56D8EA43-6B4F-7F4E-974B-FAF7F6A5BB79}">
            <xm:f>BASE!$GP$12=0</xm:f>
            <x14:dxf>
              <font>
                <color theme="0" tint="-4.9989318521683403E-2"/>
              </font>
              <fill>
                <patternFill>
                  <bgColor theme="0" tint="-4.9989318521683403E-2"/>
                </patternFill>
              </fill>
              <border>
                <left/>
                <right/>
                <top/>
                <bottom/>
              </border>
            </x14:dxf>
          </x14:cfRule>
          <xm:sqref>J150</xm:sqref>
        </x14:conditionalFormatting>
        <x14:conditionalFormatting xmlns:xm="http://schemas.microsoft.com/office/excel/2006/main">
          <x14:cfRule type="expression" priority="224" id="{9EAEC1C1-2DCC-F441-B534-327EFF0DA8B2}">
            <xm:f>BASE!$GQ$13=0</xm:f>
            <x14:dxf>
              <font>
                <color theme="0" tint="-4.9989318521683403E-2"/>
              </font>
              <fill>
                <patternFill>
                  <bgColor theme="0" tint="-4.9989318521683403E-2"/>
                </patternFill>
              </fill>
              <border>
                <left/>
                <right/>
                <top/>
                <bottom/>
              </border>
            </x14:dxf>
          </x14:cfRule>
          <xm:sqref>J150</xm:sqref>
        </x14:conditionalFormatting>
        <x14:conditionalFormatting xmlns:xm="http://schemas.microsoft.com/office/excel/2006/main">
          <x14:cfRule type="expression" priority="225" id="{A1D97DB1-1BC7-9544-AF6D-5ED039840567}">
            <xm:f>BASE!$GP$18=0</xm:f>
            <x14:dxf>
              <font>
                <color theme="0" tint="-4.9989318521683403E-2"/>
              </font>
              <fill>
                <patternFill>
                  <bgColor theme="0" tint="-4.9989318521683403E-2"/>
                </patternFill>
              </fill>
              <border>
                <left/>
                <right/>
                <top/>
                <bottom/>
              </border>
            </x14:dxf>
          </x14:cfRule>
          <xm:sqref>J150</xm:sqref>
        </x14:conditionalFormatting>
        <x14:conditionalFormatting xmlns:xm="http://schemas.microsoft.com/office/excel/2006/main">
          <x14:cfRule type="expression" priority="220" id="{879BD4E2-5E6F-9E4C-9F27-0B10DE4B8999}">
            <xm:f>BASE!$GP$12=0</xm:f>
            <x14:dxf>
              <font>
                <color theme="0" tint="-4.9989318521683403E-2"/>
              </font>
              <fill>
                <patternFill>
                  <bgColor theme="0" tint="-4.9989318521683403E-2"/>
                </patternFill>
              </fill>
              <border>
                <left/>
                <right/>
                <top/>
                <bottom/>
              </border>
            </x14:dxf>
          </x14:cfRule>
          <xm:sqref>I151</xm:sqref>
        </x14:conditionalFormatting>
        <x14:conditionalFormatting xmlns:xm="http://schemas.microsoft.com/office/excel/2006/main">
          <x14:cfRule type="expression" priority="221" id="{3473207A-E938-0242-8D61-E96FC9A4DFF4}">
            <xm:f>BASE!$GQ$13=0</xm:f>
            <x14:dxf>
              <font>
                <color theme="0" tint="-4.9989318521683403E-2"/>
              </font>
              <fill>
                <patternFill>
                  <bgColor theme="0" tint="-4.9989318521683403E-2"/>
                </patternFill>
              </fill>
              <border>
                <left/>
                <right/>
                <top/>
                <bottom/>
              </border>
            </x14:dxf>
          </x14:cfRule>
          <xm:sqref>I151</xm:sqref>
        </x14:conditionalFormatting>
        <x14:conditionalFormatting xmlns:xm="http://schemas.microsoft.com/office/excel/2006/main">
          <x14:cfRule type="expression" priority="222" id="{6809C9BE-C479-2044-8B73-D46332F51B85}">
            <xm:f>BASE!$GP$18=0</xm:f>
            <x14:dxf>
              <font>
                <color theme="0" tint="-4.9989318521683403E-2"/>
              </font>
              <fill>
                <patternFill>
                  <bgColor theme="0" tint="-4.9989318521683403E-2"/>
                </patternFill>
              </fill>
              <border>
                <left/>
                <right/>
                <top/>
                <bottom/>
              </border>
            </x14:dxf>
          </x14:cfRule>
          <xm:sqref>I151</xm:sqref>
        </x14:conditionalFormatting>
        <x14:conditionalFormatting xmlns:xm="http://schemas.microsoft.com/office/excel/2006/main">
          <x14:cfRule type="expression" priority="217" id="{8B9BADE1-25CC-5046-80DC-52458C02014C}">
            <xm:f>BASE!$GP$12=0</xm:f>
            <x14:dxf>
              <font>
                <color theme="0" tint="-4.9989318521683403E-2"/>
              </font>
              <fill>
                <patternFill>
                  <bgColor theme="0" tint="-4.9989318521683403E-2"/>
                </patternFill>
              </fill>
              <border>
                <left/>
                <right/>
                <top/>
                <bottom/>
              </border>
            </x14:dxf>
          </x14:cfRule>
          <xm:sqref>J151</xm:sqref>
        </x14:conditionalFormatting>
        <x14:conditionalFormatting xmlns:xm="http://schemas.microsoft.com/office/excel/2006/main">
          <x14:cfRule type="expression" priority="218" id="{ADA811C8-1C20-DE4D-A00B-2AA558457B07}">
            <xm:f>BASE!$GQ$13=0</xm:f>
            <x14:dxf>
              <font>
                <color theme="0" tint="-4.9989318521683403E-2"/>
              </font>
              <fill>
                <patternFill>
                  <bgColor theme="0" tint="-4.9989318521683403E-2"/>
                </patternFill>
              </fill>
              <border>
                <left/>
                <right/>
                <top/>
                <bottom/>
              </border>
            </x14:dxf>
          </x14:cfRule>
          <xm:sqref>J151</xm:sqref>
        </x14:conditionalFormatting>
        <x14:conditionalFormatting xmlns:xm="http://schemas.microsoft.com/office/excel/2006/main">
          <x14:cfRule type="expression" priority="219" id="{37863EB9-3BC5-0E4F-A715-0F2C40402C86}">
            <xm:f>BASE!$GP$18=0</xm:f>
            <x14:dxf>
              <font>
                <color theme="0" tint="-4.9989318521683403E-2"/>
              </font>
              <fill>
                <patternFill>
                  <bgColor theme="0" tint="-4.9989318521683403E-2"/>
                </patternFill>
              </fill>
              <border>
                <left/>
                <right/>
                <top/>
                <bottom/>
              </border>
            </x14:dxf>
          </x14:cfRule>
          <xm:sqref>J151</xm:sqref>
        </x14:conditionalFormatting>
        <x14:conditionalFormatting xmlns:xm="http://schemas.microsoft.com/office/excel/2006/main">
          <x14:cfRule type="expression" priority="214" id="{A4AC7863-5447-FE49-B5D9-C8E75A80D210}">
            <xm:f>BASE!$GP$12=0</xm:f>
            <x14:dxf>
              <font>
                <color theme="0" tint="-4.9989318521683403E-2"/>
              </font>
              <fill>
                <patternFill>
                  <bgColor theme="0" tint="-4.9989318521683403E-2"/>
                </patternFill>
              </fill>
              <border>
                <left/>
                <right/>
                <top/>
                <bottom/>
              </border>
            </x14:dxf>
          </x14:cfRule>
          <xm:sqref>I152</xm:sqref>
        </x14:conditionalFormatting>
        <x14:conditionalFormatting xmlns:xm="http://schemas.microsoft.com/office/excel/2006/main">
          <x14:cfRule type="expression" priority="215" id="{3F02B186-3E81-D14B-9B7C-5BF0F6627E19}">
            <xm:f>BASE!$GQ$13=0</xm:f>
            <x14:dxf>
              <font>
                <color theme="0" tint="-4.9989318521683403E-2"/>
              </font>
              <fill>
                <patternFill>
                  <bgColor theme="0" tint="-4.9989318521683403E-2"/>
                </patternFill>
              </fill>
              <border>
                <left/>
                <right/>
                <top/>
                <bottom/>
              </border>
            </x14:dxf>
          </x14:cfRule>
          <xm:sqref>I152</xm:sqref>
        </x14:conditionalFormatting>
        <x14:conditionalFormatting xmlns:xm="http://schemas.microsoft.com/office/excel/2006/main">
          <x14:cfRule type="expression" priority="216" id="{041B6EA5-0BEE-2542-A33C-F4F6108C1ED0}">
            <xm:f>BASE!$GP$18=0</xm:f>
            <x14:dxf>
              <font>
                <color theme="0" tint="-4.9989318521683403E-2"/>
              </font>
              <fill>
                <patternFill>
                  <bgColor theme="0" tint="-4.9989318521683403E-2"/>
                </patternFill>
              </fill>
              <border>
                <left/>
                <right/>
                <top/>
                <bottom/>
              </border>
            </x14:dxf>
          </x14:cfRule>
          <xm:sqref>I152</xm:sqref>
        </x14:conditionalFormatting>
        <x14:conditionalFormatting xmlns:xm="http://schemas.microsoft.com/office/excel/2006/main">
          <x14:cfRule type="expression" priority="211" id="{83659D9E-1028-B849-B5A3-9D736AD13A56}">
            <xm:f>BASE!$GP$12=0</xm:f>
            <x14:dxf>
              <font>
                <color theme="0" tint="-4.9989318521683403E-2"/>
              </font>
              <fill>
                <patternFill>
                  <bgColor theme="0" tint="-4.9989318521683403E-2"/>
                </patternFill>
              </fill>
              <border>
                <left/>
                <right/>
                <top/>
                <bottom/>
              </border>
            </x14:dxf>
          </x14:cfRule>
          <xm:sqref>J152</xm:sqref>
        </x14:conditionalFormatting>
        <x14:conditionalFormatting xmlns:xm="http://schemas.microsoft.com/office/excel/2006/main">
          <x14:cfRule type="expression" priority="212" id="{52C65F72-D87C-4246-931B-9BA53D90B3BF}">
            <xm:f>BASE!$GQ$13=0</xm:f>
            <x14:dxf>
              <font>
                <color theme="0" tint="-4.9989318521683403E-2"/>
              </font>
              <fill>
                <patternFill>
                  <bgColor theme="0" tint="-4.9989318521683403E-2"/>
                </patternFill>
              </fill>
              <border>
                <left/>
                <right/>
                <top/>
                <bottom/>
              </border>
            </x14:dxf>
          </x14:cfRule>
          <xm:sqref>J152</xm:sqref>
        </x14:conditionalFormatting>
        <x14:conditionalFormatting xmlns:xm="http://schemas.microsoft.com/office/excel/2006/main">
          <x14:cfRule type="expression" priority="213" id="{7E731FC8-087D-2642-91E0-F2C2A0B0D357}">
            <xm:f>BASE!$GP$18=0</xm:f>
            <x14:dxf>
              <font>
                <color theme="0" tint="-4.9989318521683403E-2"/>
              </font>
              <fill>
                <patternFill>
                  <bgColor theme="0" tint="-4.9989318521683403E-2"/>
                </patternFill>
              </fill>
              <border>
                <left/>
                <right/>
                <top/>
                <bottom/>
              </border>
            </x14:dxf>
          </x14:cfRule>
          <xm:sqref>J152</xm:sqref>
        </x14:conditionalFormatting>
        <x14:conditionalFormatting xmlns:xm="http://schemas.microsoft.com/office/excel/2006/main">
          <x14:cfRule type="expression" priority="208" id="{2BE52CD5-DAEE-0745-BD47-E333DB56403B}">
            <xm:f>BASE!$GP$12=0</xm:f>
            <x14:dxf>
              <font>
                <color theme="0" tint="-4.9989318521683403E-2"/>
              </font>
              <fill>
                <patternFill>
                  <bgColor theme="0" tint="-4.9989318521683403E-2"/>
                </patternFill>
              </fill>
              <border>
                <left/>
                <right/>
                <top/>
                <bottom/>
              </border>
            </x14:dxf>
          </x14:cfRule>
          <xm:sqref>I153</xm:sqref>
        </x14:conditionalFormatting>
        <x14:conditionalFormatting xmlns:xm="http://schemas.microsoft.com/office/excel/2006/main">
          <x14:cfRule type="expression" priority="209" id="{0FA521CC-438B-FE4A-8B06-76C51A64376B}">
            <xm:f>BASE!$GQ$13=0</xm:f>
            <x14:dxf>
              <font>
                <color theme="0" tint="-4.9989318521683403E-2"/>
              </font>
              <fill>
                <patternFill>
                  <bgColor theme="0" tint="-4.9989318521683403E-2"/>
                </patternFill>
              </fill>
              <border>
                <left/>
                <right/>
                <top/>
                <bottom/>
              </border>
            </x14:dxf>
          </x14:cfRule>
          <xm:sqref>I153</xm:sqref>
        </x14:conditionalFormatting>
        <x14:conditionalFormatting xmlns:xm="http://schemas.microsoft.com/office/excel/2006/main">
          <x14:cfRule type="expression" priority="210" id="{844D4BFC-E870-BB4A-8A7D-1CE21C766385}">
            <xm:f>BASE!$GP$18=0</xm:f>
            <x14:dxf>
              <font>
                <color theme="0" tint="-4.9989318521683403E-2"/>
              </font>
              <fill>
                <patternFill>
                  <bgColor theme="0" tint="-4.9989318521683403E-2"/>
                </patternFill>
              </fill>
              <border>
                <left/>
                <right/>
                <top/>
                <bottom/>
              </border>
            </x14:dxf>
          </x14:cfRule>
          <xm:sqref>I153</xm:sqref>
        </x14:conditionalFormatting>
        <x14:conditionalFormatting xmlns:xm="http://schemas.microsoft.com/office/excel/2006/main">
          <x14:cfRule type="expression" priority="205" id="{E56039A7-B3CD-E24B-A9F1-D23A8033CEE5}">
            <xm:f>BASE!$GP$12=0</xm:f>
            <x14:dxf>
              <font>
                <color theme="0" tint="-4.9989318521683403E-2"/>
              </font>
              <fill>
                <patternFill>
                  <bgColor theme="0" tint="-4.9989318521683403E-2"/>
                </patternFill>
              </fill>
              <border>
                <left/>
                <right/>
                <top/>
                <bottom/>
              </border>
            </x14:dxf>
          </x14:cfRule>
          <xm:sqref>J153</xm:sqref>
        </x14:conditionalFormatting>
        <x14:conditionalFormatting xmlns:xm="http://schemas.microsoft.com/office/excel/2006/main">
          <x14:cfRule type="expression" priority="206" id="{7C9E19C4-62DB-CB4D-B929-82E6B9EB5726}">
            <xm:f>BASE!$GQ$13=0</xm:f>
            <x14:dxf>
              <font>
                <color theme="0" tint="-4.9989318521683403E-2"/>
              </font>
              <fill>
                <patternFill>
                  <bgColor theme="0" tint="-4.9989318521683403E-2"/>
                </patternFill>
              </fill>
              <border>
                <left/>
                <right/>
                <top/>
                <bottom/>
              </border>
            </x14:dxf>
          </x14:cfRule>
          <xm:sqref>J153</xm:sqref>
        </x14:conditionalFormatting>
        <x14:conditionalFormatting xmlns:xm="http://schemas.microsoft.com/office/excel/2006/main">
          <x14:cfRule type="expression" priority="207" id="{5BA68D6E-474B-484D-B607-9D8F9404E48C}">
            <xm:f>BASE!$GP$18=0</xm:f>
            <x14:dxf>
              <font>
                <color theme="0" tint="-4.9989318521683403E-2"/>
              </font>
              <fill>
                <patternFill>
                  <bgColor theme="0" tint="-4.9989318521683403E-2"/>
                </patternFill>
              </fill>
              <border>
                <left/>
                <right/>
                <top/>
                <bottom/>
              </border>
            </x14:dxf>
          </x14:cfRule>
          <xm:sqref>J153</xm:sqref>
        </x14:conditionalFormatting>
        <x14:conditionalFormatting xmlns:xm="http://schemas.microsoft.com/office/excel/2006/main">
          <x14:cfRule type="expression" priority="202" id="{F6EBBE89-EC16-814C-AEA9-3DCD83B1140A}">
            <xm:f>BASE!$GP$12=0</xm:f>
            <x14:dxf>
              <font>
                <color theme="0" tint="-4.9989318521683403E-2"/>
              </font>
              <fill>
                <patternFill>
                  <bgColor theme="0" tint="-4.9989318521683403E-2"/>
                </patternFill>
              </fill>
              <border>
                <left/>
                <right/>
                <top/>
                <bottom/>
              </border>
            </x14:dxf>
          </x14:cfRule>
          <xm:sqref>I154</xm:sqref>
        </x14:conditionalFormatting>
        <x14:conditionalFormatting xmlns:xm="http://schemas.microsoft.com/office/excel/2006/main">
          <x14:cfRule type="expression" priority="203" id="{7C5DAEE7-B252-3641-A2C1-DBB4751EBE43}">
            <xm:f>BASE!$GQ$13=0</xm:f>
            <x14:dxf>
              <font>
                <color theme="0" tint="-4.9989318521683403E-2"/>
              </font>
              <fill>
                <patternFill>
                  <bgColor theme="0" tint="-4.9989318521683403E-2"/>
                </patternFill>
              </fill>
              <border>
                <left/>
                <right/>
                <top/>
                <bottom/>
              </border>
            </x14:dxf>
          </x14:cfRule>
          <xm:sqref>I154</xm:sqref>
        </x14:conditionalFormatting>
        <x14:conditionalFormatting xmlns:xm="http://schemas.microsoft.com/office/excel/2006/main">
          <x14:cfRule type="expression" priority="204" id="{538A3621-2D3D-684B-B56D-94864DF1AA21}">
            <xm:f>BASE!$GP$18=0</xm:f>
            <x14:dxf>
              <font>
                <color theme="0" tint="-4.9989318521683403E-2"/>
              </font>
              <fill>
                <patternFill>
                  <bgColor theme="0" tint="-4.9989318521683403E-2"/>
                </patternFill>
              </fill>
              <border>
                <left/>
                <right/>
                <top/>
                <bottom/>
              </border>
            </x14:dxf>
          </x14:cfRule>
          <xm:sqref>I154</xm:sqref>
        </x14:conditionalFormatting>
        <x14:conditionalFormatting xmlns:xm="http://schemas.microsoft.com/office/excel/2006/main">
          <x14:cfRule type="expression" priority="199" id="{901BC720-B134-694F-9996-292FFB2DE20D}">
            <xm:f>BASE!$GP$12=0</xm:f>
            <x14:dxf>
              <font>
                <color theme="0" tint="-4.9989318521683403E-2"/>
              </font>
              <fill>
                <patternFill>
                  <bgColor theme="0" tint="-4.9989318521683403E-2"/>
                </patternFill>
              </fill>
              <border>
                <left/>
                <right/>
                <top/>
                <bottom/>
              </border>
            </x14:dxf>
          </x14:cfRule>
          <xm:sqref>J154</xm:sqref>
        </x14:conditionalFormatting>
        <x14:conditionalFormatting xmlns:xm="http://schemas.microsoft.com/office/excel/2006/main">
          <x14:cfRule type="expression" priority="200" id="{DFF331D2-824F-E141-A8C8-5A65C3860E7A}">
            <xm:f>BASE!$GQ$13=0</xm:f>
            <x14:dxf>
              <font>
                <color theme="0" tint="-4.9989318521683403E-2"/>
              </font>
              <fill>
                <patternFill>
                  <bgColor theme="0" tint="-4.9989318521683403E-2"/>
                </patternFill>
              </fill>
              <border>
                <left/>
                <right/>
                <top/>
                <bottom/>
              </border>
            </x14:dxf>
          </x14:cfRule>
          <xm:sqref>J154</xm:sqref>
        </x14:conditionalFormatting>
        <x14:conditionalFormatting xmlns:xm="http://schemas.microsoft.com/office/excel/2006/main">
          <x14:cfRule type="expression" priority="201" id="{02DD9A41-84D8-F940-AA58-F7A05FC0D1C0}">
            <xm:f>BASE!$GP$18=0</xm:f>
            <x14:dxf>
              <font>
                <color theme="0" tint="-4.9989318521683403E-2"/>
              </font>
              <fill>
                <patternFill>
                  <bgColor theme="0" tint="-4.9989318521683403E-2"/>
                </patternFill>
              </fill>
              <border>
                <left/>
                <right/>
                <top/>
                <bottom/>
              </border>
            </x14:dxf>
          </x14:cfRule>
          <xm:sqref>J154</xm:sqref>
        </x14:conditionalFormatting>
        <x14:conditionalFormatting xmlns:xm="http://schemas.microsoft.com/office/excel/2006/main">
          <x14:cfRule type="expression" priority="196" id="{CAA4713F-9677-F242-8DF1-B58C95921B56}">
            <xm:f>BASE!$GP$12=0</xm:f>
            <x14:dxf>
              <font>
                <color theme="0" tint="-4.9989318521683403E-2"/>
              </font>
              <fill>
                <patternFill>
                  <bgColor theme="0" tint="-4.9989318521683403E-2"/>
                </patternFill>
              </fill>
              <border>
                <left/>
                <right/>
                <top/>
                <bottom/>
              </border>
            </x14:dxf>
          </x14:cfRule>
          <xm:sqref>I155</xm:sqref>
        </x14:conditionalFormatting>
        <x14:conditionalFormatting xmlns:xm="http://schemas.microsoft.com/office/excel/2006/main">
          <x14:cfRule type="expression" priority="197" id="{3F24A396-ED9E-7141-AA5D-316F5F811CDD}">
            <xm:f>BASE!$GQ$13=0</xm:f>
            <x14:dxf>
              <font>
                <color theme="0" tint="-4.9989318521683403E-2"/>
              </font>
              <fill>
                <patternFill>
                  <bgColor theme="0" tint="-4.9989318521683403E-2"/>
                </patternFill>
              </fill>
              <border>
                <left/>
                <right/>
                <top/>
                <bottom/>
              </border>
            </x14:dxf>
          </x14:cfRule>
          <xm:sqref>I155</xm:sqref>
        </x14:conditionalFormatting>
        <x14:conditionalFormatting xmlns:xm="http://schemas.microsoft.com/office/excel/2006/main">
          <x14:cfRule type="expression" priority="198" id="{CEED64D8-F27D-BF4E-8501-ACF684CE54C0}">
            <xm:f>BASE!$GP$18=0</xm:f>
            <x14:dxf>
              <font>
                <color theme="0" tint="-4.9989318521683403E-2"/>
              </font>
              <fill>
                <patternFill>
                  <bgColor theme="0" tint="-4.9989318521683403E-2"/>
                </patternFill>
              </fill>
              <border>
                <left/>
                <right/>
                <top/>
                <bottom/>
              </border>
            </x14:dxf>
          </x14:cfRule>
          <xm:sqref>I155</xm:sqref>
        </x14:conditionalFormatting>
        <x14:conditionalFormatting xmlns:xm="http://schemas.microsoft.com/office/excel/2006/main">
          <x14:cfRule type="expression" priority="193" id="{394C1099-6DE2-AD44-9BFD-751EAD79409A}">
            <xm:f>BASE!$GP$12=0</xm:f>
            <x14:dxf>
              <font>
                <color theme="0" tint="-4.9989318521683403E-2"/>
              </font>
              <fill>
                <patternFill>
                  <bgColor theme="0" tint="-4.9989318521683403E-2"/>
                </patternFill>
              </fill>
              <border>
                <left/>
                <right/>
                <top/>
                <bottom/>
              </border>
            </x14:dxf>
          </x14:cfRule>
          <xm:sqref>J155</xm:sqref>
        </x14:conditionalFormatting>
        <x14:conditionalFormatting xmlns:xm="http://schemas.microsoft.com/office/excel/2006/main">
          <x14:cfRule type="expression" priority="194" id="{FB13C676-BF7C-2E48-A52F-2B1D02711D71}">
            <xm:f>BASE!$GQ$13=0</xm:f>
            <x14:dxf>
              <font>
                <color theme="0" tint="-4.9989318521683403E-2"/>
              </font>
              <fill>
                <patternFill>
                  <bgColor theme="0" tint="-4.9989318521683403E-2"/>
                </patternFill>
              </fill>
              <border>
                <left/>
                <right/>
                <top/>
                <bottom/>
              </border>
            </x14:dxf>
          </x14:cfRule>
          <xm:sqref>J155</xm:sqref>
        </x14:conditionalFormatting>
        <x14:conditionalFormatting xmlns:xm="http://schemas.microsoft.com/office/excel/2006/main">
          <x14:cfRule type="expression" priority="195" id="{C5C94B51-B69D-3944-BBDA-1E59BD218FC6}">
            <xm:f>BASE!$GP$18=0</xm:f>
            <x14:dxf>
              <font>
                <color theme="0" tint="-4.9989318521683403E-2"/>
              </font>
              <fill>
                <patternFill>
                  <bgColor theme="0" tint="-4.9989318521683403E-2"/>
                </patternFill>
              </fill>
              <border>
                <left/>
                <right/>
                <top/>
                <bottom/>
              </border>
            </x14:dxf>
          </x14:cfRule>
          <xm:sqref>J155</xm:sqref>
        </x14:conditionalFormatting>
        <x14:conditionalFormatting xmlns:xm="http://schemas.microsoft.com/office/excel/2006/main">
          <x14:cfRule type="expression" priority="190" id="{F36E9420-7E0E-7647-BE61-629CBD2034F5}">
            <xm:f>BASE!$GP$12=0</xm:f>
            <x14:dxf>
              <font>
                <color theme="0" tint="-4.9989318521683403E-2"/>
              </font>
              <fill>
                <patternFill>
                  <bgColor theme="0" tint="-4.9989318521683403E-2"/>
                </patternFill>
              </fill>
              <border>
                <left/>
                <right/>
                <top/>
                <bottom/>
              </border>
            </x14:dxf>
          </x14:cfRule>
          <xm:sqref>I164</xm:sqref>
        </x14:conditionalFormatting>
        <x14:conditionalFormatting xmlns:xm="http://schemas.microsoft.com/office/excel/2006/main">
          <x14:cfRule type="expression" priority="191" id="{E6C13B01-F0C0-934B-A50E-830CEBACB7A8}">
            <xm:f>BASE!$GQ$13=0</xm:f>
            <x14:dxf>
              <font>
                <color theme="0" tint="-4.9989318521683403E-2"/>
              </font>
              <fill>
                <patternFill>
                  <bgColor theme="0" tint="-4.9989318521683403E-2"/>
                </patternFill>
              </fill>
              <border>
                <left/>
                <right/>
                <top/>
                <bottom/>
              </border>
            </x14:dxf>
          </x14:cfRule>
          <xm:sqref>I164</xm:sqref>
        </x14:conditionalFormatting>
        <x14:conditionalFormatting xmlns:xm="http://schemas.microsoft.com/office/excel/2006/main">
          <x14:cfRule type="expression" priority="192" id="{9AA1A4D9-FD92-4D43-A579-15A6A1284978}">
            <xm:f>BASE!$GP$18=0</xm:f>
            <x14:dxf>
              <font>
                <color theme="0" tint="-4.9989318521683403E-2"/>
              </font>
              <fill>
                <patternFill>
                  <bgColor theme="0" tint="-4.9989318521683403E-2"/>
                </patternFill>
              </fill>
              <border>
                <left/>
                <right/>
                <top/>
                <bottom/>
              </border>
            </x14:dxf>
          </x14:cfRule>
          <xm:sqref>I164</xm:sqref>
        </x14:conditionalFormatting>
        <x14:conditionalFormatting xmlns:xm="http://schemas.microsoft.com/office/excel/2006/main">
          <x14:cfRule type="expression" priority="187" id="{A01D756C-F304-A44A-A455-E2CA272B30AF}">
            <xm:f>BASE!$GP$12=0</xm:f>
            <x14:dxf>
              <font>
                <color theme="0" tint="-4.9989318521683403E-2"/>
              </font>
              <fill>
                <patternFill>
                  <bgColor theme="0" tint="-4.9989318521683403E-2"/>
                </patternFill>
              </fill>
              <border>
                <left/>
                <right/>
                <top/>
                <bottom/>
              </border>
            </x14:dxf>
          </x14:cfRule>
          <xm:sqref>J164</xm:sqref>
        </x14:conditionalFormatting>
        <x14:conditionalFormatting xmlns:xm="http://schemas.microsoft.com/office/excel/2006/main">
          <x14:cfRule type="expression" priority="188" id="{DEFEEBDA-5842-6148-B607-E1172818DD56}">
            <xm:f>BASE!$GQ$13=0</xm:f>
            <x14:dxf>
              <font>
                <color theme="0" tint="-4.9989318521683403E-2"/>
              </font>
              <fill>
                <patternFill>
                  <bgColor theme="0" tint="-4.9989318521683403E-2"/>
                </patternFill>
              </fill>
              <border>
                <left/>
                <right/>
                <top/>
                <bottom/>
              </border>
            </x14:dxf>
          </x14:cfRule>
          <xm:sqref>J164</xm:sqref>
        </x14:conditionalFormatting>
        <x14:conditionalFormatting xmlns:xm="http://schemas.microsoft.com/office/excel/2006/main">
          <x14:cfRule type="expression" priority="189" id="{F282E8AD-A4A2-E842-8403-3063B6E6D8B8}">
            <xm:f>BASE!$GP$18=0</xm:f>
            <x14:dxf>
              <font>
                <color theme="0" tint="-4.9989318521683403E-2"/>
              </font>
              <fill>
                <patternFill>
                  <bgColor theme="0" tint="-4.9989318521683403E-2"/>
                </patternFill>
              </fill>
              <border>
                <left/>
                <right/>
                <top/>
                <bottom/>
              </border>
            </x14:dxf>
          </x14:cfRule>
          <xm:sqref>J164</xm:sqref>
        </x14:conditionalFormatting>
        <x14:conditionalFormatting xmlns:xm="http://schemas.microsoft.com/office/excel/2006/main">
          <x14:cfRule type="expression" priority="184" id="{B4B7BD5C-1828-7C46-8225-2C8E6538F901}">
            <xm:f>BASE!$GP$12=0</xm:f>
            <x14:dxf>
              <font>
                <color theme="0" tint="-4.9989318521683403E-2"/>
              </font>
              <fill>
                <patternFill>
                  <bgColor theme="0" tint="-4.9989318521683403E-2"/>
                </patternFill>
              </fill>
              <border>
                <left/>
                <right/>
                <top/>
                <bottom/>
              </border>
            </x14:dxf>
          </x14:cfRule>
          <xm:sqref>I165</xm:sqref>
        </x14:conditionalFormatting>
        <x14:conditionalFormatting xmlns:xm="http://schemas.microsoft.com/office/excel/2006/main">
          <x14:cfRule type="expression" priority="185" id="{30E7B417-1136-BF42-987A-C22501E11BB8}">
            <xm:f>BASE!$GQ$13=0</xm:f>
            <x14:dxf>
              <font>
                <color theme="0" tint="-4.9989318521683403E-2"/>
              </font>
              <fill>
                <patternFill>
                  <bgColor theme="0" tint="-4.9989318521683403E-2"/>
                </patternFill>
              </fill>
              <border>
                <left/>
                <right/>
                <top/>
                <bottom/>
              </border>
            </x14:dxf>
          </x14:cfRule>
          <xm:sqref>I165</xm:sqref>
        </x14:conditionalFormatting>
        <x14:conditionalFormatting xmlns:xm="http://schemas.microsoft.com/office/excel/2006/main">
          <x14:cfRule type="expression" priority="186" id="{827C0678-9BA0-F041-8008-D9A5D499787E}">
            <xm:f>BASE!$GP$18=0</xm:f>
            <x14:dxf>
              <font>
                <color theme="0" tint="-4.9989318521683403E-2"/>
              </font>
              <fill>
                <patternFill>
                  <bgColor theme="0" tint="-4.9989318521683403E-2"/>
                </patternFill>
              </fill>
              <border>
                <left/>
                <right/>
                <top/>
                <bottom/>
              </border>
            </x14:dxf>
          </x14:cfRule>
          <xm:sqref>I165</xm:sqref>
        </x14:conditionalFormatting>
        <x14:conditionalFormatting xmlns:xm="http://schemas.microsoft.com/office/excel/2006/main">
          <x14:cfRule type="expression" priority="181" id="{609A6AED-744D-0845-A037-FB4A976B9295}">
            <xm:f>BASE!$GP$12=0</xm:f>
            <x14:dxf>
              <font>
                <color theme="0" tint="-4.9989318521683403E-2"/>
              </font>
              <fill>
                <patternFill>
                  <bgColor theme="0" tint="-4.9989318521683403E-2"/>
                </patternFill>
              </fill>
              <border>
                <left/>
                <right/>
                <top/>
                <bottom/>
              </border>
            </x14:dxf>
          </x14:cfRule>
          <xm:sqref>J165</xm:sqref>
        </x14:conditionalFormatting>
        <x14:conditionalFormatting xmlns:xm="http://schemas.microsoft.com/office/excel/2006/main">
          <x14:cfRule type="expression" priority="182" id="{D62C5348-E779-C845-9917-FEC22A772722}">
            <xm:f>BASE!$GQ$13=0</xm:f>
            <x14:dxf>
              <font>
                <color theme="0" tint="-4.9989318521683403E-2"/>
              </font>
              <fill>
                <patternFill>
                  <bgColor theme="0" tint="-4.9989318521683403E-2"/>
                </patternFill>
              </fill>
              <border>
                <left/>
                <right/>
                <top/>
                <bottom/>
              </border>
            </x14:dxf>
          </x14:cfRule>
          <xm:sqref>J165</xm:sqref>
        </x14:conditionalFormatting>
        <x14:conditionalFormatting xmlns:xm="http://schemas.microsoft.com/office/excel/2006/main">
          <x14:cfRule type="expression" priority="183" id="{2C86E542-88F6-6D49-85CC-B7FB1164FCED}">
            <xm:f>BASE!$GP$18=0</xm:f>
            <x14:dxf>
              <font>
                <color theme="0" tint="-4.9989318521683403E-2"/>
              </font>
              <fill>
                <patternFill>
                  <bgColor theme="0" tint="-4.9989318521683403E-2"/>
                </patternFill>
              </fill>
              <border>
                <left/>
                <right/>
                <top/>
                <bottom/>
              </border>
            </x14:dxf>
          </x14:cfRule>
          <xm:sqref>J165</xm:sqref>
        </x14:conditionalFormatting>
        <x14:conditionalFormatting xmlns:xm="http://schemas.microsoft.com/office/excel/2006/main">
          <x14:cfRule type="expression" priority="178" id="{3F98ECA6-7CD5-AE4C-964B-3EB1BEB8F4FE}">
            <xm:f>BASE!$GP$12=0</xm:f>
            <x14:dxf>
              <font>
                <color theme="0" tint="-4.9989318521683403E-2"/>
              </font>
              <fill>
                <patternFill>
                  <bgColor theme="0" tint="-4.9989318521683403E-2"/>
                </patternFill>
              </fill>
              <border>
                <left/>
                <right/>
                <top/>
                <bottom/>
              </border>
            </x14:dxf>
          </x14:cfRule>
          <xm:sqref>I166</xm:sqref>
        </x14:conditionalFormatting>
        <x14:conditionalFormatting xmlns:xm="http://schemas.microsoft.com/office/excel/2006/main">
          <x14:cfRule type="expression" priority="179" id="{F5AF6A78-58FA-7845-A24F-EE8921FE890B}">
            <xm:f>BASE!$GQ$13=0</xm:f>
            <x14:dxf>
              <font>
                <color theme="0" tint="-4.9989318521683403E-2"/>
              </font>
              <fill>
                <patternFill>
                  <bgColor theme="0" tint="-4.9989318521683403E-2"/>
                </patternFill>
              </fill>
              <border>
                <left/>
                <right/>
                <top/>
                <bottom/>
              </border>
            </x14:dxf>
          </x14:cfRule>
          <xm:sqref>I166</xm:sqref>
        </x14:conditionalFormatting>
        <x14:conditionalFormatting xmlns:xm="http://schemas.microsoft.com/office/excel/2006/main">
          <x14:cfRule type="expression" priority="180" id="{A22EB7CF-2A11-944F-B99D-30B4EE2610A2}">
            <xm:f>BASE!$GP$18=0</xm:f>
            <x14:dxf>
              <font>
                <color theme="0" tint="-4.9989318521683403E-2"/>
              </font>
              <fill>
                <patternFill>
                  <bgColor theme="0" tint="-4.9989318521683403E-2"/>
                </patternFill>
              </fill>
              <border>
                <left/>
                <right/>
                <top/>
                <bottom/>
              </border>
            </x14:dxf>
          </x14:cfRule>
          <xm:sqref>I166</xm:sqref>
        </x14:conditionalFormatting>
        <x14:conditionalFormatting xmlns:xm="http://schemas.microsoft.com/office/excel/2006/main">
          <x14:cfRule type="expression" priority="175" id="{5E3D811D-08CB-1241-A77F-5C27DDC645C2}">
            <xm:f>BASE!$GP$12=0</xm:f>
            <x14:dxf>
              <font>
                <color theme="0" tint="-4.9989318521683403E-2"/>
              </font>
              <fill>
                <patternFill>
                  <bgColor theme="0" tint="-4.9989318521683403E-2"/>
                </patternFill>
              </fill>
              <border>
                <left/>
                <right/>
                <top/>
                <bottom/>
              </border>
            </x14:dxf>
          </x14:cfRule>
          <xm:sqref>J166</xm:sqref>
        </x14:conditionalFormatting>
        <x14:conditionalFormatting xmlns:xm="http://schemas.microsoft.com/office/excel/2006/main">
          <x14:cfRule type="expression" priority="176" id="{0AA4C346-06FA-6F45-952F-887B4F1DBB60}">
            <xm:f>BASE!$GQ$13=0</xm:f>
            <x14:dxf>
              <font>
                <color theme="0" tint="-4.9989318521683403E-2"/>
              </font>
              <fill>
                <patternFill>
                  <bgColor theme="0" tint="-4.9989318521683403E-2"/>
                </patternFill>
              </fill>
              <border>
                <left/>
                <right/>
                <top/>
                <bottom/>
              </border>
            </x14:dxf>
          </x14:cfRule>
          <xm:sqref>J166</xm:sqref>
        </x14:conditionalFormatting>
        <x14:conditionalFormatting xmlns:xm="http://schemas.microsoft.com/office/excel/2006/main">
          <x14:cfRule type="expression" priority="177" id="{74D1E3DF-F5A3-5E44-A6E4-EF216FC224AC}">
            <xm:f>BASE!$GP$18=0</xm:f>
            <x14:dxf>
              <font>
                <color theme="0" tint="-4.9989318521683403E-2"/>
              </font>
              <fill>
                <patternFill>
                  <bgColor theme="0" tint="-4.9989318521683403E-2"/>
                </patternFill>
              </fill>
              <border>
                <left/>
                <right/>
                <top/>
                <bottom/>
              </border>
            </x14:dxf>
          </x14:cfRule>
          <xm:sqref>J166</xm:sqref>
        </x14:conditionalFormatting>
        <x14:conditionalFormatting xmlns:xm="http://schemas.microsoft.com/office/excel/2006/main">
          <x14:cfRule type="expression" priority="172" id="{2D92D9C7-4696-624A-A8FB-1FE33A29F441}">
            <xm:f>BASE!$GP$12=0</xm:f>
            <x14:dxf>
              <font>
                <color theme="0" tint="-4.9989318521683403E-2"/>
              </font>
              <fill>
                <patternFill>
                  <bgColor theme="0" tint="-4.9989318521683403E-2"/>
                </patternFill>
              </fill>
              <border>
                <left/>
                <right/>
                <top/>
                <bottom/>
              </border>
            </x14:dxf>
          </x14:cfRule>
          <xm:sqref>I167</xm:sqref>
        </x14:conditionalFormatting>
        <x14:conditionalFormatting xmlns:xm="http://schemas.microsoft.com/office/excel/2006/main">
          <x14:cfRule type="expression" priority="173" id="{2523D4F7-F0F2-7044-853F-9A0660A40728}">
            <xm:f>BASE!$GQ$13=0</xm:f>
            <x14:dxf>
              <font>
                <color theme="0" tint="-4.9989318521683403E-2"/>
              </font>
              <fill>
                <patternFill>
                  <bgColor theme="0" tint="-4.9989318521683403E-2"/>
                </patternFill>
              </fill>
              <border>
                <left/>
                <right/>
                <top/>
                <bottom/>
              </border>
            </x14:dxf>
          </x14:cfRule>
          <xm:sqref>I167</xm:sqref>
        </x14:conditionalFormatting>
        <x14:conditionalFormatting xmlns:xm="http://schemas.microsoft.com/office/excel/2006/main">
          <x14:cfRule type="expression" priority="174" id="{C553DE6E-996B-614B-857C-FD75773D24C7}">
            <xm:f>BASE!$GP$18=0</xm:f>
            <x14:dxf>
              <font>
                <color theme="0" tint="-4.9989318521683403E-2"/>
              </font>
              <fill>
                <patternFill>
                  <bgColor theme="0" tint="-4.9989318521683403E-2"/>
                </patternFill>
              </fill>
              <border>
                <left/>
                <right/>
                <top/>
                <bottom/>
              </border>
            </x14:dxf>
          </x14:cfRule>
          <xm:sqref>I167</xm:sqref>
        </x14:conditionalFormatting>
        <x14:conditionalFormatting xmlns:xm="http://schemas.microsoft.com/office/excel/2006/main">
          <x14:cfRule type="expression" priority="169" id="{DC7C7CF3-06A1-C844-B97E-94AF9126F3B0}">
            <xm:f>BASE!$GP$12=0</xm:f>
            <x14:dxf>
              <font>
                <color theme="0" tint="-4.9989318521683403E-2"/>
              </font>
              <fill>
                <patternFill>
                  <bgColor theme="0" tint="-4.9989318521683403E-2"/>
                </patternFill>
              </fill>
              <border>
                <left/>
                <right/>
                <top/>
                <bottom/>
              </border>
            </x14:dxf>
          </x14:cfRule>
          <xm:sqref>J167</xm:sqref>
        </x14:conditionalFormatting>
        <x14:conditionalFormatting xmlns:xm="http://schemas.microsoft.com/office/excel/2006/main">
          <x14:cfRule type="expression" priority="170" id="{157B9FA1-6C29-5641-92AA-55B14602154E}">
            <xm:f>BASE!$GQ$13=0</xm:f>
            <x14:dxf>
              <font>
                <color theme="0" tint="-4.9989318521683403E-2"/>
              </font>
              <fill>
                <patternFill>
                  <bgColor theme="0" tint="-4.9989318521683403E-2"/>
                </patternFill>
              </fill>
              <border>
                <left/>
                <right/>
                <top/>
                <bottom/>
              </border>
            </x14:dxf>
          </x14:cfRule>
          <xm:sqref>J167</xm:sqref>
        </x14:conditionalFormatting>
        <x14:conditionalFormatting xmlns:xm="http://schemas.microsoft.com/office/excel/2006/main">
          <x14:cfRule type="expression" priority="171" id="{8431A767-9231-7B49-A3FC-0EDD68C87DBF}">
            <xm:f>BASE!$GP$18=0</xm:f>
            <x14:dxf>
              <font>
                <color theme="0" tint="-4.9989318521683403E-2"/>
              </font>
              <fill>
                <patternFill>
                  <bgColor theme="0" tint="-4.9989318521683403E-2"/>
                </patternFill>
              </fill>
              <border>
                <left/>
                <right/>
                <top/>
                <bottom/>
              </border>
            </x14:dxf>
          </x14:cfRule>
          <xm:sqref>J167</xm:sqref>
        </x14:conditionalFormatting>
        <x14:conditionalFormatting xmlns:xm="http://schemas.microsoft.com/office/excel/2006/main">
          <x14:cfRule type="expression" priority="166" id="{63E3AEF8-863C-084C-B706-D93133B57CC9}">
            <xm:f>BASE!$GP$12=0</xm:f>
            <x14:dxf>
              <font>
                <color theme="0" tint="-4.9989318521683403E-2"/>
              </font>
              <fill>
                <patternFill>
                  <bgColor theme="0" tint="-4.9989318521683403E-2"/>
                </patternFill>
              </fill>
              <border>
                <left/>
                <right/>
                <top/>
                <bottom/>
              </border>
            </x14:dxf>
          </x14:cfRule>
          <xm:sqref>I168</xm:sqref>
        </x14:conditionalFormatting>
        <x14:conditionalFormatting xmlns:xm="http://schemas.microsoft.com/office/excel/2006/main">
          <x14:cfRule type="expression" priority="167" id="{E9A95018-F710-7049-A8A4-F7D9716DCF10}">
            <xm:f>BASE!$GQ$13=0</xm:f>
            <x14:dxf>
              <font>
                <color theme="0" tint="-4.9989318521683403E-2"/>
              </font>
              <fill>
                <patternFill>
                  <bgColor theme="0" tint="-4.9989318521683403E-2"/>
                </patternFill>
              </fill>
              <border>
                <left/>
                <right/>
                <top/>
                <bottom/>
              </border>
            </x14:dxf>
          </x14:cfRule>
          <xm:sqref>I168</xm:sqref>
        </x14:conditionalFormatting>
        <x14:conditionalFormatting xmlns:xm="http://schemas.microsoft.com/office/excel/2006/main">
          <x14:cfRule type="expression" priority="168" id="{A510CC7E-EB2D-584D-B371-28811CFDB992}">
            <xm:f>BASE!$GP$18=0</xm:f>
            <x14:dxf>
              <font>
                <color theme="0" tint="-4.9989318521683403E-2"/>
              </font>
              <fill>
                <patternFill>
                  <bgColor theme="0" tint="-4.9989318521683403E-2"/>
                </patternFill>
              </fill>
              <border>
                <left/>
                <right/>
                <top/>
                <bottom/>
              </border>
            </x14:dxf>
          </x14:cfRule>
          <xm:sqref>I168</xm:sqref>
        </x14:conditionalFormatting>
        <x14:conditionalFormatting xmlns:xm="http://schemas.microsoft.com/office/excel/2006/main">
          <x14:cfRule type="expression" priority="163" id="{42D5F9A2-8235-F449-91FA-977CE2E4A75C}">
            <xm:f>BASE!$GP$12=0</xm:f>
            <x14:dxf>
              <font>
                <color theme="0" tint="-4.9989318521683403E-2"/>
              </font>
              <fill>
                <patternFill>
                  <bgColor theme="0" tint="-4.9989318521683403E-2"/>
                </patternFill>
              </fill>
              <border>
                <left/>
                <right/>
                <top/>
                <bottom/>
              </border>
            </x14:dxf>
          </x14:cfRule>
          <xm:sqref>J168</xm:sqref>
        </x14:conditionalFormatting>
        <x14:conditionalFormatting xmlns:xm="http://schemas.microsoft.com/office/excel/2006/main">
          <x14:cfRule type="expression" priority="164" id="{6E2A3EF4-DB39-2E44-AC24-840848E79D8A}">
            <xm:f>BASE!$GQ$13=0</xm:f>
            <x14:dxf>
              <font>
                <color theme="0" tint="-4.9989318521683403E-2"/>
              </font>
              <fill>
                <patternFill>
                  <bgColor theme="0" tint="-4.9989318521683403E-2"/>
                </patternFill>
              </fill>
              <border>
                <left/>
                <right/>
                <top/>
                <bottom/>
              </border>
            </x14:dxf>
          </x14:cfRule>
          <xm:sqref>J168</xm:sqref>
        </x14:conditionalFormatting>
        <x14:conditionalFormatting xmlns:xm="http://schemas.microsoft.com/office/excel/2006/main">
          <x14:cfRule type="expression" priority="165" id="{E429E834-BF4C-6540-92B7-52E03F8A9334}">
            <xm:f>BASE!$GP$18=0</xm:f>
            <x14:dxf>
              <font>
                <color theme="0" tint="-4.9989318521683403E-2"/>
              </font>
              <fill>
                <patternFill>
                  <bgColor theme="0" tint="-4.9989318521683403E-2"/>
                </patternFill>
              </fill>
              <border>
                <left/>
                <right/>
                <top/>
                <bottom/>
              </border>
            </x14:dxf>
          </x14:cfRule>
          <xm:sqref>J168</xm:sqref>
        </x14:conditionalFormatting>
        <x14:conditionalFormatting xmlns:xm="http://schemas.microsoft.com/office/excel/2006/main">
          <x14:cfRule type="expression" priority="160" id="{D4E5DEC4-3038-0E41-82AE-EDE7EE10ED19}">
            <xm:f>BASE!$GP$12=0</xm:f>
            <x14:dxf>
              <font>
                <color theme="0" tint="-4.9989318521683403E-2"/>
              </font>
              <fill>
                <patternFill>
                  <bgColor theme="0" tint="-4.9989318521683403E-2"/>
                </patternFill>
              </fill>
              <border>
                <left/>
                <right/>
                <top/>
                <bottom/>
              </border>
            </x14:dxf>
          </x14:cfRule>
          <xm:sqref>I169</xm:sqref>
        </x14:conditionalFormatting>
        <x14:conditionalFormatting xmlns:xm="http://schemas.microsoft.com/office/excel/2006/main">
          <x14:cfRule type="expression" priority="161" id="{F4604787-039D-6C4A-85C8-F9CC405C7020}">
            <xm:f>BASE!$GQ$13=0</xm:f>
            <x14:dxf>
              <font>
                <color theme="0" tint="-4.9989318521683403E-2"/>
              </font>
              <fill>
                <patternFill>
                  <bgColor theme="0" tint="-4.9989318521683403E-2"/>
                </patternFill>
              </fill>
              <border>
                <left/>
                <right/>
                <top/>
                <bottom/>
              </border>
            </x14:dxf>
          </x14:cfRule>
          <xm:sqref>I169</xm:sqref>
        </x14:conditionalFormatting>
        <x14:conditionalFormatting xmlns:xm="http://schemas.microsoft.com/office/excel/2006/main">
          <x14:cfRule type="expression" priority="162" id="{9888A723-DA26-4540-98F2-DEEC10A9D386}">
            <xm:f>BASE!$GP$18=0</xm:f>
            <x14:dxf>
              <font>
                <color theme="0" tint="-4.9989318521683403E-2"/>
              </font>
              <fill>
                <patternFill>
                  <bgColor theme="0" tint="-4.9989318521683403E-2"/>
                </patternFill>
              </fill>
              <border>
                <left/>
                <right/>
                <top/>
                <bottom/>
              </border>
            </x14:dxf>
          </x14:cfRule>
          <xm:sqref>I169</xm:sqref>
        </x14:conditionalFormatting>
        <x14:conditionalFormatting xmlns:xm="http://schemas.microsoft.com/office/excel/2006/main">
          <x14:cfRule type="expression" priority="157" id="{8204B2C2-9EB9-D441-8BB6-539B5C961D65}">
            <xm:f>BASE!$GP$12=0</xm:f>
            <x14:dxf>
              <font>
                <color theme="0" tint="-4.9989318521683403E-2"/>
              </font>
              <fill>
                <patternFill>
                  <bgColor theme="0" tint="-4.9989318521683403E-2"/>
                </patternFill>
              </fill>
              <border>
                <left/>
                <right/>
                <top/>
                <bottom/>
              </border>
            </x14:dxf>
          </x14:cfRule>
          <xm:sqref>J169</xm:sqref>
        </x14:conditionalFormatting>
        <x14:conditionalFormatting xmlns:xm="http://schemas.microsoft.com/office/excel/2006/main">
          <x14:cfRule type="expression" priority="158" id="{22852F37-11BF-AA46-BDC2-992E00F876E8}">
            <xm:f>BASE!$GQ$13=0</xm:f>
            <x14:dxf>
              <font>
                <color theme="0" tint="-4.9989318521683403E-2"/>
              </font>
              <fill>
                <patternFill>
                  <bgColor theme="0" tint="-4.9989318521683403E-2"/>
                </patternFill>
              </fill>
              <border>
                <left/>
                <right/>
                <top/>
                <bottom/>
              </border>
            </x14:dxf>
          </x14:cfRule>
          <xm:sqref>J169</xm:sqref>
        </x14:conditionalFormatting>
        <x14:conditionalFormatting xmlns:xm="http://schemas.microsoft.com/office/excel/2006/main">
          <x14:cfRule type="expression" priority="159" id="{1E41922D-C8D4-8940-B36E-DAA331B5003B}">
            <xm:f>BASE!$GP$18=0</xm:f>
            <x14:dxf>
              <font>
                <color theme="0" tint="-4.9989318521683403E-2"/>
              </font>
              <fill>
                <patternFill>
                  <bgColor theme="0" tint="-4.9989318521683403E-2"/>
                </patternFill>
              </fill>
              <border>
                <left/>
                <right/>
                <top/>
                <bottom/>
              </border>
            </x14:dxf>
          </x14:cfRule>
          <xm:sqref>J169</xm:sqref>
        </x14:conditionalFormatting>
        <x14:conditionalFormatting xmlns:xm="http://schemas.microsoft.com/office/excel/2006/main">
          <x14:cfRule type="expression" priority="154" id="{9D5F3658-A61D-A643-9F98-99859B65C4AC}">
            <xm:f>BASE!$GP$12=0</xm:f>
            <x14:dxf>
              <font>
                <color theme="0" tint="-4.9989318521683403E-2"/>
              </font>
              <fill>
                <patternFill>
                  <bgColor theme="0" tint="-4.9989318521683403E-2"/>
                </patternFill>
              </fill>
              <border>
                <left/>
                <right/>
                <top/>
                <bottom/>
              </border>
            </x14:dxf>
          </x14:cfRule>
          <xm:sqref>I170</xm:sqref>
        </x14:conditionalFormatting>
        <x14:conditionalFormatting xmlns:xm="http://schemas.microsoft.com/office/excel/2006/main">
          <x14:cfRule type="expression" priority="155" id="{CDB0CD0C-A207-8D40-B88F-2CDA4B6D95EA}">
            <xm:f>BASE!$GQ$13=0</xm:f>
            <x14:dxf>
              <font>
                <color theme="0" tint="-4.9989318521683403E-2"/>
              </font>
              <fill>
                <patternFill>
                  <bgColor theme="0" tint="-4.9989318521683403E-2"/>
                </patternFill>
              </fill>
              <border>
                <left/>
                <right/>
                <top/>
                <bottom/>
              </border>
            </x14:dxf>
          </x14:cfRule>
          <xm:sqref>I170</xm:sqref>
        </x14:conditionalFormatting>
        <x14:conditionalFormatting xmlns:xm="http://schemas.microsoft.com/office/excel/2006/main">
          <x14:cfRule type="expression" priority="156" id="{95CBBF0D-66C9-3F47-A139-C02F04842242}">
            <xm:f>BASE!$GP$18=0</xm:f>
            <x14:dxf>
              <font>
                <color theme="0" tint="-4.9989318521683403E-2"/>
              </font>
              <fill>
                <patternFill>
                  <bgColor theme="0" tint="-4.9989318521683403E-2"/>
                </patternFill>
              </fill>
              <border>
                <left/>
                <right/>
                <top/>
                <bottom/>
              </border>
            </x14:dxf>
          </x14:cfRule>
          <xm:sqref>I170</xm:sqref>
        </x14:conditionalFormatting>
        <x14:conditionalFormatting xmlns:xm="http://schemas.microsoft.com/office/excel/2006/main">
          <x14:cfRule type="expression" priority="151" id="{6800F5BA-5A78-8145-BFE2-CF47CDF3157D}">
            <xm:f>BASE!$GP$12=0</xm:f>
            <x14:dxf>
              <font>
                <color theme="0" tint="-4.9989318521683403E-2"/>
              </font>
              <fill>
                <patternFill>
                  <bgColor theme="0" tint="-4.9989318521683403E-2"/>
                </patternFill>
              </fill>
              <border>
                <left/>
                <right/>
                <top/>
                <bottom/>
              </border>
            </x14:dxf>
          </x14:cfRule>
          <xm:sqref>J170</xm:sqref>
        </x14:conditionalFormatting>
        <x14:conditionalFormatting xmlns:xm="http://schemas.microsoft.com/office/excel/2006/main">
          <x14:cfRule type="expression" priority="152" id="{297FC599-67E6-F440-9306-C2871D306231}">
            <xm:f>BASE!$GQ$13=0</xm:f>
            <x14:dxf>
              <font>
                <color theme="0" tint="-4.9989318521683403E-2"/>
              </font>
              <fill>
                <patternFill>
                  <bgColor theme="0" tint="-4.9989318521683403E-2"/>
                </patternFill>
              </fill>
              <border>
                <left/>
                <right/>
                <top/>
                <bottom/>
              </border>
            </x14:dxf>
          </x14:cfRule>
          <xm:sqref>J170</xm:sqref>
        </x14:conditionalFormatting>
        <x14:conditionalFormatting xmlns:xm="http://schemas.microsoft.com/office/excel/2006/main">
          <x14:cfRule type="expression" priority="153" id="{43AC8267-948A-084B-A3AE-F4110A542873}">
            <xm:f>BASE!$GP$18=0</xm:f>
            <x14:dxf>
              <font>
                <color theme="0" tint="-4.9989318521683403E-2"/>
              </font>
              <fill>
                <patternFill>
                  <bgColor theme="0" tint="-4.9989318521683403E-2"/>
                </patternFill>
              </fill>
              <border>
                <left/>
                <right/>
                <top/>
                <bottom/>
              </border>
            </x14:dxf>
          </x14:cfRule>
          <xm:sqref>J170</xm:sqref>
        </x14:conditionalFormatting>
        <x14:conditionalFormatting xmlns:xm="http://schemas.microsoft.com/office/excel/2006/main">
          <x14:cfRule type="expression" priority="148" id="{558B0ECF-3E03-1E48-9D76-E7A340DE668C}">
            <xm:f>BASE!$GP$12=0</xm:f>
            <x14:dxf>
              <font>
                <color theme="0" tint="-4.9989318521683403E-2"/>
              </font>
              <fill>
                <patternFill>
                  <bgColor theme="0" tint="-4.9989318521683403E-2"/>
                </patternFill>
              </fill>
              <border>
                <left/>
                <right/>
                <top/>
                <bottom/>
              </border>
            </x14:dxf>
          </x14:cfRule>
          <xm:sqref>I171</xm:sqref>
        </x14:conditionalFormatting>
        <x14:conditionalFormatting xmlns:xm="http://schemas.microsoft.com/office/excel/2006/main">
          <x14:cfRule type="expression" priority="149" id="{6AB883E3-EEA0-7546-8EE1-19E6AF7225BB}">
            <xm:f>BASE!$GQ$13=0</xm:f>
            <x14:dxf>
              <font>
                <color theme="0" tint="-4.9989318521683403E-2"/>
              </font>
              <fill>
                <patternFill>
                  <bgColor theme="0" tint="-4.9989318521683403E-2"/>
                </patternFill>
              </fill>
              <border>
                <left/>
                <right/>
                <top/>
                <bottom/>
              </border>
            </x14:dxf>
          </x14:cfRule>
          <xm:sqref>I171</xm:sqref>
        </x14:conditionalFormatting>
        <x14:conditionalFormatting xmlns:xm="http://schemas.microsoft.com/office/excel/2006/main">
          <x14:cfRule type="expression" priority="150" id="{EB9F7B4A-B0E0-0D4F-809E-BEA3335A7B28}">
            <xm:f>BASE!$GP$18=0</xm:f>
            <x14:dxf>
              <font>
                <color theme="0" tint="-4.9989318521683403E-2"/>
              </font>
              <fill>
                <patternFill>
                  <bgColor theme="0" tint="-4.9989318521683403E-2"/>
                </patternFill>
              </fill>
              <border>
                <left/>
                <right/>
                <top/>
                <bottom/>
              </border>
            </x14:dxf>
          </x14:cfRule>
          <xm:sqref>I171</xm:sqref>
        </x14:conditionalFormatting>
        <x14:conditionalFormatting xmlns:xm="http://schemas.microsoft.com/office/excel/2006/main">
          <x14:cfRule type="expression" priority="145" id="{939D017A-F5D0-994D-A70F-DFEE2A8ABC62}">
            <xm:f>BASE!$GP$12=0</xm:f>
            <x14:dxf>
              <font>
                <color theme="0" tint="-4.9989318521683403E-2"/>
              </font>
              <fill>
                <patternFill>
                  <bgColor theme="0" tint="-4.9989318521683403E-2"/>
                </patternFill>
              </fill>
              <border>
                <left/>
                <right/>
                <top/>
                <bottom/>
              </border>
            </x14:dxf>
          </x14:cfRule>
          <xm:sqref>J171</xm:sqref>
        </x14:conditionalFormatting>
        <x14:conditionalFormatting xmlns:xm="http://schemas.microsoft.com/office/excel/2006/main">
          <x14:cfRule type="expression" priority="146" id="{31D76E61-5FC9-3549-B9DA-2E08ABB6230C}">
            <xm:f>BASE!$GQ$13=0</xm:f>
            <x14:dxf>
              <font>
                <color theme="0" tint="-4.9989318521683403E-2"/>
              </font>
              <fill>
                <patternFill>
                  <bgColor theme="0" tint="-4.9989318521683403E-2"/>
                </patternFill>
              </fill>
              <border>
                <left/>
                <right/>
                <top/>
                <bottom/>
              </border>
            </x14:dxf>
          </x14:cfRule>
          <xm:sqref>J171</xm:sqref>
        </x14:conditionalFormatting>
        <x14:conditionalFormatting xmlns:xm="http://schemas.microsoft.com/office/excel/2006/main">
          <x14:cfRule type="expression" priority="147" id="{087E55B4-F1BC-0547-A48A-8AFDC6C865FC}">
            <xm:f>BASE!$GP$18=0</xm:f>
            <x14:dxf>
              <font>
                <color theme="0" tint="-4.9989318521683403E-2"/>
              </font>
              <fill>
                <patternFill>
                  <bgColor theme="0" tint="-4.9989318521683403E-2"/>
                </patternFill>
              </fill>
              <border>
                <left/>
                <right/>
                <top/>
                <bottom/>
              </border>
            </x14:dxf>
          </x14:cfRule>
          <xm:sqref>J171</xm:sqref>
        </x14:conditionalFormatting>
        <x14:conditionalFormatting xmlns:xm="http://schemas.microsoft.com/office/excel/2006/main">
          <x14:cfRule type="expression" priority="142" id="{472B59C3-755C-AA41-810C-E32BA46EDAD9}">
            <xm:f>BASE!$GP$12=0</xm:f>
            <x14:dxf>
              <font>
                <color theme="0" tint="-4.9989318521683403E-2"/>
              </font>
              <fill>
                <patternFill>
                  <bgColor theme="0" tint="-4.9989318521683403E-2"/>
                </patternFill>
              </fill>
              <border>
                <left/>
                <right/>
                <top/>
                <bottom/>
              </border>
            </x14:dxf>
          </x14:cfRule>
          <xm:sqref>I172</xm:sqref>
        </x14:conditionalFormatting>
        <x14:conditionalFormatting xmlns:xm="http://schemas.microsoft.com/office/excel/2006/main">
          <x14:cfRule type="expression" priority="143" id="{7C4272AB-5901-3E4A-9122-FD4D583E397D}">
            <xm:f>BASE!$GQ$13=0</xm:f>
            <x14:dxf>
              <font>
                <color theme="0" tint="-4.9989318521683403E-2"/>
              </font>
              <fill>
                <patternFill>
                  <bgColor theme="0" tint="-4.9989318521683403E-2"/>
                </patternFill>
              </fill>
              <border>
                <left/>
                <right/>
                <top/>
                <bottom/>
              </border>
            </x14:dxf>
          </x14:cfRule>
          <xm:sqref>I172</xm:sqref>
        </x14:conditionalFormatting>
        <x14:conditionalFormatting xmlns:xm="http://schemas.microsoft.com/office/excel/2006/main">
          <x14:cfRule type="expression" priority="144" id="{F6D631B0-8979-D947-A10C-341F2FADAB7F}">
            <xm:f>BASE!$GP$18=0</xm:f>
            <x14:dxf>
              <font>
                <color theme="0" tint="-4.9989318521683403E-2"/>
              </font>
              <fill>
                <patternFill>
                  <bgColor theme="0" tint="-4.9989318521683403E-2"/>
                </patternFill>
              </fill>
              <border>
                <left/>
                <right/>
                <top/>
                <bottom/>
              </border>
            </x14:dxf>
          </x14:cfRule>
          <xm:sqref>I172</xm:sqref>
        </x14:conditionalFormatting>
        <x14:conditionalFormatting xmlns:xm="http://schemas.microsoft.com/office/excel/2006/main">
          <x14:cfRule type="expression" priority="139" id="{1CA8A62D-8869-D643-A72C-161D2B70E5E7}">
            <xm:f>BASE!$GP$12=0</xm:f>
            <x14:dxf>
              <font>
                <color theme="0" tint="-4.9989318521683403E-2"/>
              </font>
              <fill>
                <patternFill>
                  <bgColor theme="0" tint="-4.9989318521683403E-2"/>
                </patternFill>
              </fill>
              <border>
                <left/>
                <right/>
                <top/>
                <bottom/>
              </border>
            </x14:dxf>
          </x14:cfRule>
          <xm:sqref>J172</xm:sqref>
        </x14:conditionalFormatting>
        <x14:conditionalFormatting xmlns:xm="http://schemas.microsoft.com/office/excel/2006/main">
          <x14:cfRule type="expression" priority="140" id="{124E34E5-777D-694E-B9A9-F6DDC6C016B3}">
            <xm:f>BASE!$GQ$13=0</xm:f>
            <x14:dxf>
              <font>
                <color theme="0" tint="-4.9989318521683403E-2"/>
              </font>
              <fill>
                <patternFill>
                  <bgColor theme="0" tint="-4.9989318521683403E-2"/>
                </patternFill>
              </fill>
              <border>
                <left/>
                <right/>
                <top/>
                <bottom/>
              </border>
            </x14:dxf>
          </x14:cfRule>
          <xm:sqref>J172</xm:sqref>
        </x14:conditionalFormatting>
        <x14:conditionalFormatting xmlns:xm="http://schemas.microsoft.com/office/excel/2006/main">
          <x14:cfRule type="expression" priority="141" id="{4D692363-EF9B-F549-9CB4-CAF0D71DEA59}">
            <xm:f>BASE!$GP$18=0</xm:f>
            <x14:dxf>
              <font>
                <color theme="0" tint="-4.9989318521683403E-2"/>
              </font>
              <fill>
                <patternFill>
                  <bgColor theme="0" tint="-4.9989318521683403E-2"/>
                </patternFill>
              </fill>
              <border>
                <left/>
                <right/>
                <top/>
                <bottom/>
              </border>
            </x14:dxf>
          </x14:cfRule>
          <xm:sqref>J172</xm:sqref>
        </x14:conditionalFormatting>
        <x14:conditionalFormatting xmlns:xm="http://schemas.microsoft.com/office/excel/2006/main">
          <x14:cfRule type="expression" priority="136" id="{A9D249DE-3DD0-D742-B706-475C4C8FA712}">
            <xm:f>BASE!$GP$12=0</xm:f>
            <x14:dxf>
              <font>
                <color theme="0" tint="-4.9989318521683403E-2"/>
              </font>
              <fill>
                <patternFill>
                  <bgColor theme="0" tint="-4.9989318521683403E-2"/>
                </patternFill>
              </fill>
              <border>
                <left/>
                <right/>
                <top/>
                <bottom/>
              </border>
            </x14:dxf>
          </x14:cfRule>
          <xm:sqref>I173</xm:sqref>
        </x14:conditionalFormatting>
        <x14:conditionalFormatting xmlns:xm="http://schemas.microsoft.com/office/excel/2006/main">
          <x14:cfRule type="expression" priority="137" id="{11B42A58-AA9D-BF4C-8D2E-BB47303674A7}">
            <xm:f>BASE!$GQ$13=0</xm:f>
            <x14:dxf>
              <font>
                <color theme="0" tint="-4.9989318521683403E-2"/>
              </font>
              <fill>
                <patternFill>
                  <bgColor theme="0" tint="-4.9989318521683403E-2"/>
                </patternFill>
              </fill>
              <border>
                <left/>
                <right/>
                <top/>
                <bottom/>
              </border>
            </x14:dxf>
          </x14:cfRule>
          <xm:sqref>I173</xm:sqref>
        </x14:conditionalFormatting>
        <x14:conditionalFormatting xmlns:xm="http://schemas.microsoft.com/office/excel/2006/main">
          <x14:cfRule type="expression" priority="138" id="{42943FBE-3096-4346-B631-1E46676898C9}">
            <xm:f>BASE!$GP$18=0</xm:f>
            <x14:dxf>
              <font>
                <color theme="0" tint="-4.9989318521683403E-2"/>
              </font>
              <fill>
                <patternFill>
                  <bgColor theme="0" tint="-4.9989318521683403E-2"/>
                </patternFill>
              </fill>
              <border>
                <left/>
                <right/>
                <top/>
                <bottom/>
              </border>
            </x14:dxf>
          </x14:cfRule>
          <xm:sqref>I173</xm:sqref>
        </x14:conditionalFormatting>
        <x14:conditionalFormatting xmlns:xm="http://schemas.microsoft.com/office/excel/2006/main">
          <x14:cfRule type="expression" priority="133" id="{BCDDAF5E-E822-0C4F-B3AF-44222C4A06B8}">
            <xm:f>BASE!$GP$12=0</xm:f>
            <x14:dxf>
              <font>
                <color theme="0" tint="-4.9989318521683403E-2"/>
              </font>
              <fill>
                <patternFill>
                  <bgColor theme="0" tint="-4.9989318521683403E-2"/>
                </patternFill>
              </fill>
              <border>
                <left/>
                <right/>
                <top/>
                <bottom/>
              </border>
            </x14:dxf>
          </x14:cfRule>
          <xm:sqref>J173</xm:sqref>
        </x14:conditionalFormatting>
        <x14:conditionalFormatting xmlns:xm="http://schemas.microsoft.com/office/excel/2006/main">
          <x14:cfRule type="expression" priority="134" id="{390CCF15-DB57-FA49-B6BF-9D826730BEEA}">
            <xm:f>BASE!$GQ$13=0</xm:f>
            <x14:dxf>
              <font>
                <color theme="0" tint="-4.9989318521683403E-2"/>
              </font>
              <fill>
                <patternFill>
                  <bgColor theme="0" tint="-4.9989318521683403E-2"/>
                </patternFill>
              </fill>
              <border>
                <left/>
                <right/>
                <top/>
                <bottom/>
              </border>
            </x14:dxf>
          </x14:cfRule>
          <xm:sqref>J173</xm:sqref>
        </x14:conditionalFormatting>
        <x14:conditionalFormatting xmlns:xm="http://schemas.microsoft.com/office/excel/2006/main">
          <x14:cfRule type="expression" priority="135" id="{4C85A7CE-5198-064F-AE74-36A6F8C1660F}">
            <xm:f>BASE!$GP$18=0</xm:f>
            <x14:dxf>
              <font>
                <color theme="0" tint="-4.9989318521683403E-2"/>
              </font>
              <fill>
                <patternFill>
                  <bgColor theme="0" tint="-4.9989318521683403E-2"/>
                </patternFill>
              </fill>
              <border>
                <left/>
                <right/>
                <top/>
                <bottom/>
              </border>
            </x14:dxf>
          </x14:cfRule>
          <xm:sqref>J173</xm:sqref>
        </x14:conditionalFormatting>
        <x14:conditionalFormatting xmlns:xm="http://schemas.microsoft.com/office/excel/2006/main">
          <x14:cfRule type="expression" priority="131" id="{2F57B9B5-1053-A346-A950-8A7C75DE2021}">
            <xm:f>BASE!$GP$12=0</xm:f>
            <x14:dxf>
              <font>
                <color theme="0" tint="-4.9989318521683403E-2"/>
              </font>
              <fill>
                <patternFill>
                  <bgColor theme="0" tint="-4.9989318521683403E-2"/>
                </patternFill>
              </fill>
              <border>
                <left/>
                <right/>
                <top/>
                <bottom/>
              </border>
            </x14:dxf>
          </x14:cfRule>
          <xm:sqref>BB111</xm:sqref>
        </x14:conditionalFormatting>
        <x14:conditionalFormatting xmlns:xm="http://schemas.microsoft.com/office/excel/2006/main">
          <x14:cfRule type="expression" priority="132" id="{DD6E9516-A045-884F-84BB-6BC8495AD8EB}">
            <xm:f>BASE!$GQ$13=0</xm:f>
            <x14:dxf>
              <font>
                <color theme="0" tint="-4.9989318521683403E-2"/>
              </font>
              <fill>
                <patternFill>
                  <bgColor theme="0" tint="-4.9989318521683403E-2"/>
                </patternFill>
              </fill>
              <border>
                <left/>
                <right/>
                <top/>
                <bottom/>
              </border>
            </x14:dxf>
          </x14:cfRule>
          <xm:sqref>BB111</xm:sqref>
        </x14:conditionalFormatting>
        <x14:conditionalFormatting xmlns:xm="http://schemas.microsoft.com/office/excel/2006/main">
          <x14:cfRule type="expression" priority="129" id="{25CD7CBA-382A-A449-AF88-542A400B4E8C}">
            <xm:f>BASE!$GP$12=0</xm:f>
            <x14:dxf>
              <font>
                <color theme="0" tint="-4.9989318521683403E-2"/>
              </font>
              <fill>
                <patternFill>
                  <bgColor theme="0" tint="-4.9989318521683403E-2"/>
                </patternFill>
              </fill>
              <border>
                <left/>
                <right/>
                <top/>
                <bottom/>
              </border>
            </x14:dxf>
          </x14:cfRule>
          <xm:sqref>BB112</xm:sqref>
        </x14:conditionalFormatting>
        <x14:conditionalFormatting xmlns:xm="http://schemas.microsoft.com/office/excel/2006/main">
          <x14:cfRule type="expression" priority="130" id="{A173A2CE-456E-874D-A8A0-91D308472897}">
            <xm:f>BASE!$GQ$13=0</xm:f>
            <x14:dxf>
              <font>
                <color theme="0" tint="-4.9989318521683403E-2"/>
              </font>
              <fill>
                <patternFill>
                  <bgColor theme="0" tint="-4.9989318521683403E-2"/>
                </patternFill>
              </fill>
              <border>
                <left/>
                <right/>
                <top/>
                <bottom/>
              </border>
            </x14:dxf>
          </x14:cfRule>
          <xm:sqref>BB112</xm:sqref>
        </x14:conditionalFormatting>
        <x14:conditionalFormatting xmlns:xm="http://schemas.microsoft.com/office/excel/2006/main">
          <x14:cfRule type="expression" priority="127" id="{9941010C-7749-C041-B3B6-CFAA3538D54A}">
            <xm:f>BASE!$GP$12=0</xm:f>
            <x14:dxf>
              <font>
                <color theme="0" tint="-4.9989318521683403E-2"/>
              </font>
              <fill>
                <patternFill>
                  <bgColor theme="0" tint="-4.9989318521683403E-2"/>
                </patternFill>
              </fill>
              <border>
                <left/>
                <right/>
                <top/>
                <bottom/>
              </border>
            </x14:dxf>
          </x14:cfRule>
          <xm:sqref>BB113</xm:sqref>
        </x14:conditionalFormatting>
        <x14:conditionalFormatting xmlns:xm="http://schemas.microsoft.com/office/excel/2006/main">
          <x14:cfRule type="expression" priority="128" id="{D8A878BB-E4EA-464E-BB4C-29B81E65CE0B}">
            <xm:f>BASE!$GQ$13=0</xm:f>
            <x14:dxf>
              <font>
                <color theme="0" tint="-4.9989318521683403E-2"/>
              </font>
              <fill>
                <patternFill>
                  <bgColor theme="0" tint="-4.9989318521683403E-2"/>
                </patternFill>
              </fill>
              <border>
                <left/>
                <right/>
                <top/>
                <bottom/>
              </border>
            </x14:dxf>
          </x14:cfRule>
          <xm:sqref>BB113</xm:sqref>
        </x14:conditionalFormatting>
        <x14:conditionalFormatting xmlns:xm="http://schemas.microsoft.com/office/excel/2006/main">
          <x14:cfRule type="expression" priority="125" id="{BFD15CFE-8B92-3040-8F9F-BCC13FEE3BB7}">
            <xm:f>BASE!$GP$12=0</xm:f>
            <x14:dxf>
              <font>
                <color theme="0" tint="-4.9989318521683403E-2"/>
              </font>
              <fill>
                <patternFill>
                  <bgColor theme="0" tint="-4.9989318521683403E-2"/>
                </patternFill>
              </fill>
              <border>
                <left/>
                <right/>
                <top/>
                <bottom/>
              </border>
            </x14:dxf>
          </x14:cfRule>
          <xm:sqref>BB114</xm:sqref>
        </x14:conditionalFormatting>
        <x14:conditionalFormatting xmlns:xm="http://schemas.microsoft.com/office/excel/2006/main">
          <x14:cfRule type="expression" priority="126" id="{BD3B1417-2FA8-124F-A289-8715243374AA}">
            <xm:f>BASE!$GQ$13=0</xm:f>
            <x14:dxf>
              <font>
                <color theme="0" tint="-4.9989318521683403E-2"/>
              </font>
              <fill>
                <patternFill>
                  <bgColor theme="0" tint="-4.9989318521683403E-2"/>
                </patternFill>
              </fill>
              <border>
                <left/>
                <right/>
                <top/>
                <bottom/>
              </border>
            </x14:dxf>
          </x14:cfRule>
          <xm:sqref>BB114</xm:sqref>
        </x14:conditionalFormatting>
        <x14:conditionalFormatting xmlns:xm="http://schemas.microsoft.com/office/excel/2006/main">
          <x14:cfRule type="expression" priority="123" id="{137DE3FE-E43E-A14A-A449-2F3A2B415795}">
            <xm:f>BASE!$GP$12=0</xm:f>
            <x14:dxf>
              <font>
                <color theme="0" tint="-4.9989318521683403E-2"/>
              </font>
              <fill>
                <patternFill>
                  <bgColor theme="0" tint="-4.9989318521683403E-2"/>
                </patternFill>
              </fill>
              <border>
                <left/>
                <right/>
                <top/>
                <bottom/>
              </border>
            </x14:dxf>
          </x14:cfRule>
          <xm:sqref>BB115</xm:sqref>
        </x14:conditionalFormatting>
        <x14:conditionalFormatting xmlns:xm="http://schemas.microsoft.com/office/excel/2006/main">
          <x14:cfRule type="expression" priority="124" id="{980FE4EA-DEAF-584B-B84E-AB3E1064DA87}">
            <xm:f>BASE!$GQ$13=0</xm:f>
            <x14:dxf>
              <font>
                <color theme="0" tint="-4.9989318521683403E-2"/>
              </font>
              <fill>
                <patternFill>
                  <bgColor theme="0" tint="-4.9989318521683403E-2"/>
                </patternFill>
              </fill>
              <border>
                <left/>
                <right/>
                <top/>
                <bottom/>
              </border>
            </x14:dxf>
          </x14:cfRule>
          <xm:sqref>BB115</xm:sqref>
        </x14:conditionalFormatting>
        <x14:conditionalFormatting xmlns:xm="http://schemas.microsoft.com/office/excel/2006/main">
          <x14:cfRule type="expression" priority="121" id="{3F4FCF8F-125A-C54D-95F2-1BC7C6722A9A}">
            <xm:f>BASE!$GP$12=0</xm:f>
            <x14:dxf>
              <font>
                <color theme="0" tint="-4.9989318521683403E-2"/>
              </font>
              <fill>
                <patternFill>
                  <bgColor theme="0" tint="-4.9989318521683403E-2"/>
                </patternFill>
              </fill>
              <border>
                <left/>
                <right/>
                <top/>
                <bottom/>
              </border>
            </x14:dxf>
          </x14:cfRule>
          <xm:sqref>BB116</xm:sqref>
        </x14:conditionalFormatting>
        <x14:conditionalFormatting xmlns:xm="http://schemas.microsoft.com/office/excel/2006/main">
          <x14:cfRule type="expression" priority="122" id="{1C28D44C-DF87-8B46-85BE-5662F083395E}">
            <xm:f>BASE!$GQ$13=0</xm:f>
            <x14:dxf>
              <font>
                <color theme="0" tint="-4.9989318521683403E-2"/>
              </font>
              <fill>
                <patternFill>
                  <bgColor theme="0" tint="-4.9989318521683403E-2"/>
                </patternFill>
              </fill>
              <border>
                <left/>
                <right/>
                <top/>
                <bottom/>
              </border>
            </x14:dxf>
          </x14:cfRule>
          <xm:sqref>BB116</xm:sqref>
        </x14:conditionalFormatting>
        <x14:conditionalFormatting xmlns:xm="http://schemas.microsoft.com/office/excel/2006/main">
          <x14:cfRule type="expression" priority="119" id="{8B63A2E9-B795-DF4E-B31D-AFFD71E3A004}">
            <xm:f>BASE!$GP$12=0</xm:f>
            <x14:dxf>
              <font>
                <color theme="0" tint="-4.9989318521683403E-2"/>
              </font>
              <fill>
                <patternFill>
                  <bgColor theme="0" tint="-4.9989318521683403E-2"/>
                </patternFill>
              </fill>
              <border>
                <left/>
                <right/>
                <top/>
                <bottom/>
              </border>
            </x14:dxf>
          </x14:cfRule>
          <xm:sqref>BB117</xm:sqref>
        </x14:conditionalFormatting>
        <x14:conditionalFormatting xmlns:xm="http://schemas.microsoft.com/office/excel/2006/main">
          <x14:cfRule type="expression" priority="120" id="{7CA2C753-F4FB-4445-BDF0-68FDD61A9662}">
            <xm:f>BASE!$GQ$13=0</xm:f>
            <x14:dxf>
              <font>
                <color theme="0" tint="-4.9989318521683403E-2"/>
              </font>
              <fill>
                <patternFill>
                  <bgColor theme="0" tint="-4.9989318521683403E-2"/>
                </patternFill>
              </fill>
              <border>
                <left/>
                <right/>
                <top/>
                <bottom/>
              </border>
            </x14:dxf>
          </x14:cfRule>
          <xm:sqref>BB117</xm:sqref>
        </x14:conditionalFormatting>
        <x14:conditionalFormatting xmlns:xm="http://schemas.microsoft.com/office/excel/2006/main">
          <x14:cfRule type="expression" priority="117" id="{DC187B2A-E1EC-CD41-98B3-558BF65C75A8}">
            <xm:f>BASE!$GP$12=0</xm:f>
            <x14:dxf>
              <font>
                <color theme="0" tint="-4.9989318521683403E-2"/>
              </font>
              <fill>
                <patternFill>
                  <bgColor theme="0" tint="-4.9989318521683403E-2"/>
                </patternFill>
              </fill>
              <border>
                <left/>
                <right/>
                <top/>
                <bottom/>
              </border>
            </x14:dxf>
          </x14:cfRule>
          <xm:sqref>BB118</xm:sqref>
        </x14:conditionalFormatting>
        <x14:conditionalFormatting xmlns:xm="http://schemas.microsoft.com/office/excel/2006/main">
          <x14:cfRule type="expression" priority="118" id="{C0D47990-9A9E-0D45-ACE6-5A68C3EE13D5}">
            <xm:f>BASE!$GQ$13=0</xm:f>
            <x14:dxf>
              <font>
                <color theme="0" tint="-4.9989318521683403E-2"/>
              </font>
              <fill>
                <patternFill>
                  <bgColor theme="0" tint="-4.9989318521683403E-2"/>
                </patternFill>
              </fill>
              <border>
                <left/>
                <right/>
                <top/>
                <bottom/>
              </border>
            </x14:dxf>
          </x14:cfRule>
          <xm:sqref>BB118</xm:sqref>
        </x14:conditionalFormatting>
        <x14:conditionalFormatting xmlns:xm="http://schemas.microsoft.com/office/excel/2006/main">
          <x14:cfRule type="expression" priority="115" id="{2530197C-D5EA-F043-AD47-1D8FE25257FA}">
            <xm:f>BASE!$GP$12=0</xm:f>
            <x14:dxf>
              <font>
                <color theme="0" tint="-4.9989318521683403E-2"/>
              </font>
              <fill>
                <patternFill>
                  <bgColor theme="0" tint="-4.9989318521683403E-2"/>
                </patternFill>
              </fill>
              <border>
                <left/>
                <right/>
                <top/>
                <bottom/>
              </border>
            </x14:dxf>
          </x14:cfRule>
          <xm:sqref>BB119</xm:sqref>
        </x14:conditionalFormatting>
        <x14:conditionalFormatting xmlns:xm="http://schemas.microsoft.com/office/excel/2006/main">
          <x14:cfRule type="expression" priority="116" id="{C6CF1638-3F18-6F47-80E3-D7129827B5D1}">
            <xm:f>BASE!$GQ$13=0</xm:f>
            <x14:dxf>
              <font>
                <color theme="0" tint="-4.9989318521683403E-2"/>
              </font>
              <fill>
                <patternFill>
                  <bgColor theme="0" tint="-4.9989318521683403E-2"/>
                </patternFill>
              </fill>
              <border>
                <left/>
                <right/>
                <top/>
                <bottom/>
              </border>
            </x14:dxf>
          </x14:cfRule>
          <xm:sqref>BB119</xm:sqref>
        </x14:conditionalFormatting>
        <x14:conditionalFormatting xmlns:xm="http://schemas.microsoft.com/office/excel/2006/main">
          <x14:cfRule type="expression" priority="113" id="{40C1A2F5-FD0B-FD48-9820-FADDA802CA04}">
            <xm:f>BASE!$GP$12=0</xm:f>
            <x14:dxf>
              <font>
                <color theme="0" tint="-4.9989318521683403E-2"/>
              </font>
              <fill>
                <patternFill>
                  <bgColor theme="0" tint="-4.9989318521683403E-2"/>
                </patternFill>
              </fill>
              <border>
                <left/>
                <right/>
                <top/>
                <bottom/>
              </border>
            </x14:dxf>
          </x14:cfRule>
          <xm:sqref>BB128</xm:sqref>
        </x14:conditionalFormatting>
        <x14:conditionalFormatting xmlns:xm="http://schemas.microsoft.com/office/excel/2006/main">
          <x14:cfRule type="expression" priority="114" id="{C0445907-3083-3844-967D-2C1578E64AF7}">
            <xm:f>BASE!$GQ$13=0</xm:f>
            <x14:dxf>
              <font>
                <color theme="0" tint="-4.9989318521683403E-2"/>
              </font>
              <fill>
                <patternFill>
                  <bgColor theme="0" tint="-4.9989318521683403E-2"/>
                </patternFill>
              </fill>
              <border>
                <left/>
                <right/>
                <top/>
                <bottom/>
              </border>
            </x14:dxf>
          </x14:cfRule>
          <xm:sqref>BB128</xm:sqref>
        </x14:conditionalFormatting>
        <x14:conditionalFormatting xmlns:xm="http://schemas.microsoft.com/office/excel/2006/main">
          <x14:cfRule type="expression" priority="111" id="{71FC92E6-544F-4E46-852A-4268E725CFB6}">
            <xm:f>BASE!$GP$12=0</xm:f>
            <x14:dxf>
              <font>
                <color theme="0" tint="-4.9989318521683403E-2"/>
              </font>
              <fill>
                <patternFill>
                  <bgColor theme="0" tint="-4.9989318521683403E-2"/>
                </patternFill>
              </fill>
              <border>
                <left/>
                <right/>
                <top/>
                <bottom/>
              </border>
            </x14:dxf>
          </x14:cfRule>
          <xm:sqref>BB129</xm:sqref>
        </x14:conditionalFormatting>
        <x14:conditionalFormatting xmlns:xm="http://schemas.microsoft.com/office/excel/2006/main">
          <x14:cfRule type="expression" priority="112" id="{2FDF8743-F823-F749-9E55-DD80F635BFF8}">
            <xm:f>BASE!$GQ$13=0</xm:f>
            <x14:dxf>
              <font>
                <color theme="0" tint="-4.9989318521683403E-2"/>
              </font>
              <fill>
                <patternFill>
                  <bgColor theme="0" tint="-4.9989318521683403E-2"/>
                </patternFill>
              </fill>
              <border>
                <left/>
                <right/>
                <top/>
                <bottom/>
              </border>
            </x14:dxf>
          </x14:cfRule>
          <xm:sqref>BB129</xm:sqref>
        </x14:conditionalFormatting>
        <x14:conditionalFormatting xmlns:xm="http://schemas.microsoft.com/office/excel/2006/main">
          <x14:cfRule type="expression" priority="109" id="{DFC286F4-B281-5B44-A1E0-3B274F7F3ECE}">
            <xm:f>BASE!$GP$12=0</xm:f>
            <x14:dxf>
              <font>
                <color theme="0" tint="-4.9989318521683403E-2"/>
              </font>
              <fill>
                <patternFill>
                  <bgColor theme="0" tint="-4.9989318521683403E-2"/>
                </patternFill>
              </fill>
              <border>
                <left/>
                <right/>
                <top/>
                <bottom/>
              </border>
            </x14:dxf>
          </x14:cfRule>
          <xm:sqref>BB130</xm:sqref>
        </x14:conditionalFormatting>
        <x14:conditionalFormatting xmlns:xm="http://schemas.microsoft.com/office/excel/2006/main">
          <x14:cfRule type="expression" priority="110" id="{18810F29-B3CD-2843-B1FA-AE1648DCF299}">
            <xm:f>BASE!$GQ$13=0</xm:f>
            <x14:dxf>
              <font>
                <color theme="0" tint="-4.9989318521683403E-2"/>
              </font>
              <fill>
                <patternFill>
                  <bgColor theme="0" tint="-4.9989318521683403E-2"/>
                </patternFill>
              </fill>
              <border>
                <left/>
                <right/>
                <top/>
                <bottom/>
              </border>
            </x14:dxf>
          </x14:cfRule>
          <xm:sqref>BB130</xm:sqref>
        </x14:conditionalFormatting>
        <x14:conditionalFormatting xmlns:xm="http://schemas.microsoft.com/office/excel/2006/main">
          <x14:cfRule type="expression" priority="107" id="{E42B5E2C-B4EB-AD4B-BDCD-C7E7A6E2A906}">
            <xm:f>BASE!$GP$12=0</xm:f>
            <x14:dxf>
              <font>
                <color theme="0" tint="-4.9989318521683403E-2"/>
              </font>
              <fill>
                <patternFill>
                  <bgColor theme="0" tint="-4.9989318521683403E-2"/>
                </patternFill>
              </fill>
              <border>
                <left/>
                <right/>
                <top/>
                <bottom/>
              </border>
            </x14:dxf>
          </x14:cfRule>
          <xm:sqref>BB131</xm:sqref>
        </x14:conditionalFormatting>
        <x14:conditionalFormatting xmlns:xm="http://schemas.microsoft.com/office/excel/2006/main">
          <x14:cfRule type="expression" priority="108" id="{15629964-1103-B341-8ACC-05EA36E0B3C3}">
            <xm:f>BASE!$GQ$13=0</xm:f>
            <x14:dxf>
              <font>
                <color theme="0" tint="-4.9989318521683403E-2"/>
              </font>
              <fill>
                <patternFill>
                  <bgColor theme="0" tint="-4.9989318521683403E-2"/>
                </patternFill>
              </fill>
              <border>
                <left/>
                <right/>
                <top/>
                <bottom/>
              </border>
            </x14:dxf>
          </x14:cfRule>
          <xm:sqref>BB131</xm:sqref>
        </x14:conditionalFormatting>
        <x14:conditionalFormatting xmlns:xm="http://schemas.microsoft.com/office/excel/2006/main">
          <x14:cfRule type="expression" priority="105" id="{C75A89C1-5547-1349-99E4-75FF08836232}">
            <xm:f>BASE!$GP$12=0</xm:f>
            <x14:dxf>
              <font>
                <color theme="0" tint="-4.9989318521683403E-2"/>
              </font>
              <fill>
                <patternFill>
                  <bgColor theme="0" tint="-4.9989318521683403E-2"/>
                </patternFill>
              </fill>
              <border>
                <left/>
                <right/>
                <top/>
                <bottom/>
              </border>
            </x14:dxf>
          </x14:cfRule>
          <xm:sqref>BB132</xm:sqref>
        </x14:conditionalFormatting>
        <x14:conditionalFormatting xmlns:xm="http://schemas.microsoft.com/office/excel/2006/main">
          <x14:cfRule type="expression" priority="106" id="{3F4BF49A-A981-C243-B373-94F20863A821}">
            <xm:f>BASE!$GQ$13=0</xm:f>
            <x14:dxf>
              <font>
                <color theme="0" tint="-4.9989318521683403E-2"/>
              </font>
              <fill>
                <patternFill>
                  <bgColor theme="0" tint="-4.9989318521683403E-2"/>
                </patternFill>
              </fill>
              <border>
                <left/>
                <right/>
                <top/>
                <bottom/>
              </border>
            </x14:dxf>
          </x14:cfRule>
          <xm:sqref>BB132</xm:sqref>
        </x14:conditionalFormatting>
        <x14:conditionalFormatting xmlns:xm="http://schemas.microsoft.com/office/excel/2006/main">
          <x14:cfRule type="expression" priority="103" id="{8178AC40-0678-524C-B8D1-2182CCB1F027}">
            <xm:f>BASE!$GP$12=0</xm:f>
            <x14:dxf>
              <font>
                <color theme="0" tint="-4.9989318521683403E-2"/>
              </font>
              <fill>
                <patternFill>
                  <bgColor theme="0" tint="-4.9989318521683403E-2"/>
                </patternFill>
              </fill>
              <border>
                <left/>
                <right/>
                <top/>
                <bottom/>
              </border>
            </x14:dxf>
          </x14:cfRule>
          <xm:sqref>BB133</xm:sqref>
        </x14:conditionalFormatting>
        <x14:conditionalFormatting xmlns:xm="http://schemas.microsoft.com/office/excel/2006/main">
          <x14:cfRule type="expression" priority="104" id="{BC9DECE3-F7E0-B74C-8705-E012162B8BFB}">
            <xm:f>BASE!$GQ$13=0</xm:f>
            <x14:dxf>
              <font>
                <color theme="0" tint="-4.9989318521683403E-2"/>
              </font>
              <fill>
                <patternFill>
                  <bgColor theme="0" tint="-4.9989318521683403E-2"/>
                </patternFill>
              </fill>
              <border>
                <left/>
                <right/>
                <top/>
                <bottom/>
              </border>
            </x14:dxf>
          </x14:cfRule>
          <xm:sqref>BB133</xm:sqref>
        </x14:conditionalFormatting>
        <x14:conditionalFormatting xmlns:xm="http://schemas.microsoft.com/office/excel/2006/main">
          <x14:cfRule type="expression" priority="101" id="{719F2201-0D8F-0F4A-B054-5308A06A462B}">
            <xm:f>BASE!$GP$12=0</xm:f>
            <x14:dxf>
              <font>
                <color theme="0" tint="-4.9989318521683403E-2"/>
              </font>
              <fill>
                <patternFill>
                  <bgColor theme="0" tint="-4.9989318521683403E-2"/>
                </patternFill>
              </fill>
              <border>
                <left/>
                <right/>
                <top/>
                <bottom/>
              </border>
            </x14:dxf>
          </x14:cfRule>
          <xm:sqref>BB134</xm:sqref>
        </x14:conditionalFormatting>
        <x14:conditionalFormatting xmlns:xm="http://schemas.microsoft.com/office/excel/2006/main">
          <x14:cfRule type="expression" priority="102" id="{4C13D47B-8C47-6548-BB1E-B9100BCA2805}">
            <xm:f>BASE!$GQ$13=0</xm:f>
            <x14:dxf>
              <font>
                <color theme="0" tint="-4.9989318521683403E-2"/>
              </font>
              <fill>
                <patternFill>
                  <bgColor theme="0" tint="-4.9989318521683403E-2"/>
                </patternFill>
              </fill>
              <border>
                <left/>
                <right/>
                <top/>
                <bottom/>
              </border>
            </x14:dxf>
          </x14:cfRule>
          <xm:sqref>BB134</xm:sqref>
        </x14:conditionalFormatting>
        <x14:conditionalFormatting xmlns:xm="http://schemas.microsoft.com/office/excel/2006/main">
          <x14:cfRule type="expression" priority="99" id="{DF3E93E3-31A5-764B-A17D-3F66472C7B56}">
            <xm:f>BASE!$GP$12=0</xm:f>
            <x14:dxf>
              <font>
                <color theme="0" tint="-4.9989318521683403E-2"/>
              </font>
              <fill>
                <patternFill>
                  <bgColor theme="0" tint="-4.9989318521683403E-2"/>
                </patternFill>
              </fill>
              <border>
                <left/>
                <right/>
                <top/>
                <bottom/>
              </border>
            </x14:dxf>
          </x14:cfRule>
          <xm:sqref>BB135</xm:sqref>
        </x14:conditionalFormatting>
        <x14:conditionalFormatting xmlns:xm="http://schemas.microsoft.com/office/excel/2006/main">
          <x14:cfRule type="expression" priority="100" id="{A9623878-C9B1-0C44-A7F8-4F8F7FFECF1A}">
            <xm:f>BASE!$GQ$13=0</xm:f>
            <x14:dxf>
              <font>
                <color theme="0" tint="-4.9989318521683403E-2"/>
              </font>
              <fill>
                <patternFill>
                  <bgColor theme="0" tint="-4.9989318521683403E-2"/>
                </patternFill>
              </fill>
              <border>
                <left/>
                <right/>
                <top/>
                <bottom/>
              </border>
            </x14:dxf>
          </x14:cfRule>
          <xm:sqref>BB135</xm:sqref>
        </x14:conditionalFormatting>
        <x14:conditionalFormatting xmlns:xm="http://schemas.microsoft.com/office/excel/2006/main">
          <x14:cfRule type="expression" priority="97" id="{7BFBD0CB-1A34-134B-ADDC-A837D33E1F48}">
            <xm:f>BASE!$GP$12=0</xm:f>
            <x14:dxf>
              <font>
                <color theme="0" tint="-4.9989318521683403E-2"/>
              </font>
              <fill>
                <patternFill>
                  <bgColor theme="0" tint="-4.9989318521683403E-2"/>
                </patternFill>
              </fill>
              <border>
                <left/>
                <right/>
                <top/>
                <bottom/>
              </border>
            </x14:dxf>
          </x14:cfRule>
          <xm:sqref>BB136</xm:sqref>
        </x14:conditionalFormatting>
        <x14:conditionalFormatting xmlns:xm="http://schemas.microsoft.com/office/excel/2006/main">
          <x14:cfRule type="expression" priority="98" id="{31D2E07E-A09D-3B4A-BB70-5CB26407FE46}">
            <xm:f>BASE!$GQ$13=0</xm:f>
            <x14:dxf>
              <font>
                <color theme="0" tint="-4.9989318521683403E-2"/>
              </font>
              <fill>
                <patternFill>
                  <bgColor theme="0" tint="-4.9989318521683403E-2"/>
                </patternFill>
              </fill>
              <border>
                <left/>
                <right/>
                <top/>
                <bottom/>
              </border>
            </x14:dxf>
          </x14:cfRule>
          <xm:sqref>BB136</xm:sqref>
        </x14:conditionalFormatting>
        <x14:conditionalFormatting xmlns:xm="http://schemas.microsoft.com/office/excel/2006/main">
          <x14:cfRule type="expression" priority="95" id="{4C6AED7F-94E9-B64A-8B55-0F30FDF175CC}">
            <xm:f>BASE!$GP$12=0</xm:f>
            <x14:dxf>
              <font>
                <color theme="0" tint="-4.9989318521683403E-2"/>
              </font>
              <fill>
                <patternFill>
                  <bgColor theme="0" tint="-4.9989318521683403E-2"/>
                </patternFill>
              </fill>
              <border>
                <left/>
                <right/>
                <top/>
                <bottom/>
              </border>
            </x14:dxf>
          </x14:cfRule>
          <xm:sqref>BB137</xm:sqref>
        </x14:conditionalFormatting>
        <x14:conditionalFormatting xmlns:xm="http://schemas.microsoft.com/office/excel/2006/main">
          <x14:cfRule type="expression" priority="96" id="{9209558F-A9C0-CD4E-A5EB-BA89F2B50919}">
            <xm:f>BASE!$GQ$13=0</xm:f>
            <x14:dxf>
              <font>
                <color theme="0" tint="-4.9989318521683403E-2"/>
              </font>
              <fill>
                <patternFill>
                  <bgColor theme="0" tint="-4.9989318521683403E-2"/>
                </patternFill>
              </fill>
              <border>
                <left/>
                <right/>
                <top/>
                <bottom/>
              </border>
            </x14:dxf>
          </x14:cfRule>
          <xm:sqref>BB137</xm:sqref>
        </x14:conditionalFormatting>
        <x14:conditionalFormatting xmlns:xm="http://schemas.microsoft.com/office/excel/2006/main">
          <x14:cfRule type="expression" priority="93" id="{1AD2C0E8-7DD1-4246-B537-9B5308215916}">
            <xm:f>BASE!$GP$12=0</xm:f>
            <x14:dxf>
              <font>
                <color theme="0" tint="-4.9989318521683403E-2"/>
              </font>
              <fill>
                <patternFill>
                  <bgColor theme="0" tint="-4.9989318521683403E-2"/>
                </patternFill>
              </fill>
              <border>
                <left/>
                <right/>
                <top/>
                <bottom/>
              </border>
            </x14:dxf>
          </x14:cfRule>
          <xm:sqref>BB129</xm:sqref>
        </x14:conditionalFormatting>
        <x14:conditionalFormatting xmlns:xm="http://schemas.microsoft.com/office/excel/2006/main">
          <x14:cfRule type="expression" priority="94" id="{9629E931-1ED0-514D-8B71-C12B121E41E0}">
            <xm:f>BASE!$GQ$13=0</xm:f>
            <x14:dxf>
              <font>
                <color theme="0" tint="-4.9989318521683403E-2"/>
              </font>
              <fill>
                <patternFill>
                  <bgColor theme="0" tint="-4.9989318521683403E-2"/>
                </patternFill>
              </fill>
              <border>
                <left/>
                <right/>
                <top/>
                <bottom/>
              </border>
            </x14:dxf>
          </x14:cfRule>
          <xm:sqref>BB129</xm:sqref>
        </x14:conditionalFormatting>
        <x14:conditionalFormatting xmlns:xm="http://schemas.microsoft.com/office/excel/2006/main">
          <x14:cfRule type="expression" priority="91" id="{6817A844-57C2-8946-90C7-F2C1D941D7F0}">
            <xm:f>BASE!$GP$12=0</xm:f>
            <x14:dxf>
              <font>
                <color theme="0" tint="-4.9989318521683403E-2"/>
              </font>
              <fill>
                <patternFill>
                  <bgColor theme="0" tint="-4.9989318521683403E-2"/>
                </patternFill>
              </fill>
              <border>
                <left/>
                <right/>
                <top/>
                <bottom/>
              </border>
            </x14:dxf>
          </x14:cfRule>
          <xm:sqref>BB130</xm:sqref>
        </x14:conditionalFormatting>
        <x14:conditionalFormatting xmlns:xm="http://schemas.microsoft.com/office/excel/2006/main">
          <x14:cfRule type="expression" priority="92" id="{160D9030-09EF-184C-82AA-20B8875796F4}">
            <xm:f>BASE!$GQ$13=0</xm:f>
            <x14:dxf>
              <font>
                <color theme="0" tint="-4.9989318521683403E-2"/>
              </font>
              <fill>
                <patternFill>
                  <bgColor theme="0" tint="-4.9989318521683403E-2"/>
                </patternFill>
              </fill>
              <border>
                <left/>
                <right/>
                <top/>
                <bottom/>
              </border>
            </x14:dxf>
          </x14:cfRule>
          <xm:sqref>BB130</xm:sqref>
        </x14:conditionalFormatting>
        <x14:conditionalFormatting xmlns:xm="http://schemas.microsoft.com/office/excel/2006/main">
          <x14:cfRule type="expression" priority="89" id="{9918A3D5-755D-2E43-9DB9-9B58945B2F46}">
            <xm:f>BASE!$GP$12=0</xm:f>
            <x14:dxf>
              <font>
                <color theme="0" tint="-4.9989318521683403E-2"/>
              </font>
              <fill>
                <patternFill>
                  <bgColor theme="0" tint="-4.9989318521683403E-2"/>
                </patternFill>
              </fill>
              <border>
                <left/>
                <right/>
                <top/>
                <bottom/>
              </border>
            </x14:dxf>
          </x14:cfRule>
          <xm:sqref>BB131</xm:sqref>
        </x14:conditionalFormatting>
        <x14:conditionalFormatting xmlns:xm="http://schemas.microsoft.com/office/excel/2006/main">
          <x14:cfRule type="expression" priority="90" id="{6AEAFB03-75A5-2148-881F-5A355BAE8CE2}">
            <xm:f>BASE!$GQ$13=0</xm:f>
            <x14:dxf>
              <font>
                <color theme="0" tint="-4.9989318521683403E-2"/>
              </font>
              <fill>
                <patternFill>
                  <bgColor theme="0" tint="-4.9989318521683403E-2"/>
                </patternFill>
              </fill>
              <border>
                <left/>
                <right/>
                <top/>
                <bottom/>
              </border>
            </x14:dxf>
          </x14:cfRule>
          <xm:sqref>BB131</xm:sqref>
        </x14:conditionalFormatting>
        <x14:conditionalFormatting xmlns:xm="http://schemas.microsoft.com/office/excel/2006/main">
          <x14:cfRule type="expression" priority="87" id="{E5963C22-10C3-9543-95B8-5C7FF7647426}">
            <xm:f>BASE!$GP$12=0</xm:f>
            <x14:dxf>
              <font>
                <color theme="0" tint="-4.9989318521683403E-2"/>
              </font>
              <fill>
                <patternFill>
                  <bgColor theme="0" tint="-4.9989318521683403E-2"/>
                </patternFill>
              </fill>
              <border>
                <left/>
                <right/>
                <top/>
                <bottom/>
              </border>
            </x14:dxf>
          </x14:cfRule>
          <xm:sqref>BB132</xm:sqref>
        </x14:conditionalFormatting>
        <x14:conditionalFormatting xmlns:xm="http://schemas.microsoft.com/office/excel/2006/main">
          <x14:cfRule type="expression" priority="88" id="{3A89C87E-C159-2442-A41D-8F05EEE54B6C}">
            <xm:f>BASE!$GQ$13=0</xm:f>
            <x14:dxf>
              <font>
                <color theme="0" tint="-4.9989318521683403E-2"/>
              </font>
              <fill>
                <patternFill>
                  <bgColor theme="0" tint="-4.9989318521683403E-2"/>
                </patternFill>
              </fill>
              <border>
                <left/>
                <right/>
                <top/>
                <bottom/>
              </border>
            </x14:dxf>
          </x14:cfRule>
          <xm:sqref>BB132</xm:sqref>
        </x14:conditionalFormatting>
        <x14:conditionalFormatting xmlns:xm="http://schemas.microsoft.com/office/excel/2006/main">
          <x14:cfRule type="expression" priority="85" id="{A0149E60-00C1-CE42-9AAC-134FFAD27496}">
            <xm:f>BASE!$GP$12=0</xm:f>
            <x14:dxf>
              <font>
                <color theme="0" tint="-4.9989318521683403E-2"/>
              </font>
              <fill>
                <patternFill>
                  <bgColor theme="0" tint="-4.9989318521683403E-2"/>
                </patternFill>
              </fill>
              <border>
                <left/>
                <right/>
                <top/>
                <bottom/>
              </border>
            </x14:dxf>
          </x14:cfRule>
          <xm:sqref>BB133</xm:sqref>
        </x14:conditionalFormatting>
        <x14:conditionalFormatting xmlns:xm="http://schemas.microsoft.com/office/excel/2006/main">
          <x14:cfRule type="expression" priority="86" id="{4EBB9925-4A99-AB41-9D16-6D6EFCFBFDE4}">
            <xm:f>BASE!$GQ$13=0</xm:f>
            <x14:dxf>
              <font>
                <color theme="0" tint="-4.9989318521683403E-2"/>
              </font>
              <fill>
                <patternFill>
                  <bgColor theme="0" tint="-4.9989318521683403E-2"/>
                </patternFill>
              </fill>
              <border>
                <left/>
                <right/>
                <top/>
                <bottom/>
              </border>
            </x14:dxf>
          </x14:cfRule>
          <xm:sqref>BB133</xm:sqref>
        </x14:conditionalFormatting>
        <x14:conditionalFormatting xmlns:xm="http://schemas.microsoft.com/office/excel/2006/main">
          <x14:cfRule type="expression" priority="83" id="{2DB7E5AD-1195-9446-9A90-065208EF4EBB}">
            <xm:f>BASE!$GP$12=0</xm:f>
            <x14:dxf>
              <font>
                <color theme="0" tint="-4.9989318521683403E-2"/>
              </font>
              <fill>
                <patternFill>
                  <bgColor theme="0" tint="-4.9989318521683403E-2"/>
                </patternFill>
              </fill>
              <border>
                <left/>
                <right/>
                <top/>
                <bottom/>
              </border>
            </x14:dxf>
          </x14:cfRule>
          <xm:sqref>BB134</xm:sqref>
        </x14:conditionalFormatting>
        <x14:conditionalFormatting xmlns:xm="http://schemas.microsoft.com/office/excel/2006/main">
          <x14:cfRule type="expression" priority="84" id="{D624DC7B-10D0-B348-948C-D9496FD652D1}">
            <xm:f>BASE!$GQ$13=0</xm:f>
            <x14:dxf>
              <font>
                <color theme="0" tint="-4.9989318521683403E-2"/>
              </font>
              <fill>
                <patternFill>
                  <bgColor theme="0" tint="-4.9989318521683403E-2"/>
                </patternFill>
              </fill>
              <border>
                <left/>
                <right/>
                <top/>
                <bottom/>
              </border>
            </x14:dxf>
          </x14:cfRule>
          <xm:sqref>BB134</xm:sqref>
        </x14:conditionalFormatting>
        <x14:conditionalFormatting xmlns:xm="http://schemas.microsoft.com/office/excel/2006/main">
          <x14:cfRule type="expression" priority="81" id="{1D877C67-805E-A34F-BEF3-01B34ADA1E32}">
            <xm:f>BASE!$GP$12=0</xm:f>
            <x14:dxf>
              <font>
                <color theme="0" tint="-4.9989318521683403E-2"/>
              </font>
              <fill>
                <patternFill>
                  <bgColor theme="0" tint="-4.9989318521683403E-2"/>
                </patternFill>
              </fill>
              <border>
                <left/>
                <right/>
                <top/>
                <bottom/>
              </border>
            </x14:dxf>
          </x14:cfRule>
          <xm:sqref>BB135</xm:sqref>
        </x14:conditionalFormatting>
        <x14:conditionalFormatting xmlns:xm="http://schemas.microsoft.com/office/excel/2006/main">
          <x14:cfRule type="expression" priority="82" id="{AAB0159F-539F-4F4E-BEB0-29FF723087D2}">
            <xm:f>BASE!$GQ$13=0</xm:f>
            <x14:dxf>
              <font>
                <color theme="0" tint="-4.9989318521683403E-2"/>
              </font>
              <fill>
                <patternFill>
                  <bgColor theme="0" tint="-4.9989318521683403E-2"/>
                </patternFill>
              </fill>
              <border>
                <left/>
                <right/>
                <top/>
                <bottom/>
              </border>
            </x14:dxf>
          </x14:cfRule>
          <xm:sqref>BB135</xm:sqref>
        </x14:conditionalFormatting>
        <x14:conditionalFormatting xmlns:xm="http://schemas.microsoft.com/office/excel/2006/main">
          <x14:cfRule type="expression" priority="79" id="{10AEB536-C7CD-0641-87C1-0DEAE88BB428}">
            <xm:f>BASE!$GP$12=0</xm:f>
            <x14:dxf>
              <font>
                <color theme="0" tint="-4.9989318521683403E-2"/>
              </font>
              <fill>
                <patternFill>
                  <bgColor theme="0" tint="-4.9989318521683403E-2"/>
                </patternFill>
              </fill>
              <border>
                <left/>
                <right/>
                <top/>
                <bottom/>
              </border>
            </x14:dxf>
          </x14:cfRule>
          <xm:sqref>BB136</xm:sqref>
        </x14:conditionalFormatting>
        <x14:conditionalFormatting xmlns:xm="http://schemas.microsoft.com/office/excel/2006/main">
          <x14:cfRule type="expression" priority="80" id="{2F943F68-3821-D949-BF93-03C1BB5189E7}">
            <xm:f>BASE!$GQ$13=0</xm:f>
            <x14:dxf>
              <font>
                <color theme="0" tint="-4.9989318521683403E-2"/>
              </font>
              <fill>
                <patternFill>
                  <bgColor theme="0" tint="-4.9989318521683403E-2"/>
                </patternFill>
              </fill>
              <border>
                <left/>
                <right/>
                <top/>
                <bottom/>
              </border>
            </x14:dxf>
          </x14:cfRule>
          <xm:sqref>BB136</xm:sqref>
        </x14:conditionalFormatting>
        <x14:conditionalFormatting xmlns:xm="http://schemas.microsoft.com/office/excel/2006/main">
          <x14:cfRule type="expression" priority="77" id="{387C8F4C-8675-3246-8C82-769EE74D4E13}">
            <xm:f>BASE!$GP$12=0</xm:f>
            <x14:dxf>
              <font>
                <color theme="0" tint="-4.9989318521683403E-2"/>
              </font>
              <fill>
                <patternFill>
                  <bgColor theme="0" tint="-4.9989318521683403E-2"/>
                </patternFill>
              </fill>
              <border>
                <left/>
                <right/>
                <top/>
                <bottom/>
              </border>
            </x14:dxf>
          </x14:cfRule>
          <xm:sqref>BB137</xm:sqref>
        </x14:conditionalFormatting>
        <x14:conditionalFormatting xmlns:xm="http://schemas.microsoft.com/office/excel/2006/main">
          <x14:cfRule type="expression" priority="78" id="{1BD4444A-11C9-134D-B7DA-B13432CA9EEE}">
            <xm:f>BASE!$GQ$13=0</xm:f>
            <x14:dxf>
              <font>
                <color theme="0" tint="-4.9989318521683403E-2"/>
              </font>
              <fill>
                <patternFill>
                  <bgColor theme="0" tint="-4.9989318521683403E-2"/>
                </patternFill>
              </fill>
              <border>
                <left/>
                <right/>
                <top/>
                <bottom/>
              </border>
            </x14:dxf>
          </x14:cfRule>
          <xm:sqref>BB137</xm:sqref>
        </x14:conditionalFormatting>
        <x14:conditionalFormatting xmlns:xm="http://schemas.microsoft.com/office/excel/2006/main">
          <x14:cfRule type="expression" priority="75" id="{B287D847-B36F-E842-8C17-2231CD6238AF}">
            <xm:f>BASE!$GP$12=0</xm:f>
            <x14:dxf>
              <font>
                <color theme="0" tint="-4.9989318521683403E-2"/>
              </font>
              <fill>
                <patternFill>
                  <bgColor theme="0" tint="-4.9989318521683403E-2"/>
                </patternFill>
              </fill>
              <border>
                <left/>
                <right/>
                <top/>
                <bottom/>
              </border>
            </x14:dxf>
          </x14:cfRule>
          <xm:sqref>BB146</xm:sqref>
        </x14:conditionalFormatting>
        <x14:conditionalFormatting xmlns:xm="http://schemas.microsoft.com/office/excel/2006/main">
          <x14:cfRule type="expression" priority="76" id="{324A30B1-B433-6B45-AADA-66FB4052640A}">
            <xm:f>BASE!$GQ$13=0</xm:f>
            <x14:dxf>
              <font>
                <color theme="0" tint="-4.9989318521683403E-2"/>
              </font>
              <fill>
                <patternFill>
                  <bgColor theme="0" tint="-4.9989318521683403E-2"/>
                </patternFill>
              </fill>
              <border>
                <left/>
                <right/>
                <top/>
                <bottom/>
              </border>
            </x14:dxf>
          </x14:cfRule>
          <xm:sqref>BB146</xm:sqref>
        </x14:conditionalFormatting>
        <x14:conditionalFormatting xmlns:xm="http://schemas.microsoft.com/office/excel/2006/main">
          <x14:cfRule type="expression" priority="73" id="{562B2A33-B42C-6247-A8F8-2971ADD1F51E}">
            <xm:f>BASE!$GP$12=0</xm:f>
            <x14:dxf>
              <font>
                <color theme="0" tint="-4.9989318521683403E-2"/>
              </font>
              <fill>
                <patternFill>
                  <bgColor theme="0" tint="-4.9989318521683403E-2"/>
                </patternFill>
              </fill>
              <border>
                <left/>
                <right/>
                <top/>
                <bottom/>
              </border>
            </x14:dxf>
          </x14:cfRule>
          <xm:sqref>BB147</xm:sqref>
        </x14:conditionalFormatting>
        <x14:conditionalFormatting xmlns:xm="http://schemas.microsoft.com/office/excel/2006/main">
          <x14:cfRule type="expression" priority="74" id="{84C243E0-2058-CC41-9124-778D08DC9908}">
            <xm:f>BASE!$GQ$13=0</xm:f>
            <x14:dxf>
              <font>
                <color theme="0" tint="-4.9989318521683403E-2"/>
              </font>
              <fill>
                <patternFill>
                  <bgColor theme="0" tint="-4.9989318521683403E-2"/>
                </patternFill>
              </fill>
              <border>
                <left/>
                <right/>
                <top/>
                <bottom/>
              </border>
            </x14:dxf>
          </x14:cfRule>
          <xm:sqref>BB147</xm:sqref>
        </x14:conditionalFormatting>
        <x14:conditionalFormatting xmlns:xm="http://schemas.microsoft.com/office/excel/2006/main">
          <x14:cfRule type="expression" priority="71" id="{6B2A4112-5644-EB40-A59C-909B54536C56}">
            <xm:f>BASE!$GP$12=0</xm:f>
            <x14:dxf>
              <font>
                <color theme="0" tint="-4.9989318521683403E-2"/>
              </font>
              <fill>
                <patternFill>
                  <bgColor theme="0" tint="-4.9989318521683403E-2"/>
                </patternFill>
              </fill>
              <border>
                <left/>
                <right/>
                <top/>
                <bottom/>
              </border>
            </x14:dxf>
          </x14:cfRule>
          <xm:sqref>BB148</xm:sqref>
        </x14:conditionalFormatting>
        <x14:conditionalFormatting xmlns:xm="http://schemas.microsoft.com/office/excel/2006/main">
          <x14:cfRule type="expression" priority="72" id="{6E5B3B18-405E-3B4F-9308-C72613C341A2}">
            <xm:f>BASE!$GQ$13=0</xm:f>
            <x14:dxf>
              <font>
                <color theme="0" tint="-4.9989318521683403E-2"/>
              </font>
              <fill>
                <patternFill>
                  <bgColor theme="0" tint="-4.9989318521683403E-2"/>
                </patternFill>
              </fill>
              <border>
                <left/>
                <right/>
                <top/>
                <bottom/>
              </border>
            </x14:dxf>
          </x14:cfRule>
          <xm:sqref>BB148</xm:sqref>
        </x14:conditionalFormatting>
        <x14:conditionalFormatting xmlns:xm="http://schemas.microsoft.com/office/excel/2006/main">
          <x14:cfRule type="expression" priority="69" id="{8F4FFF16-2C4B-8C44-AA80-A69ECEF9936C}">
            <xm:f>BASE!$GP$12=0</xm:f>
            <x14:dxf>
              <font>
                <color theme="0" tint="-4.9989318521683403E-2"/>
              </font>
              <fill>
                <patternFill>
                  <bgColor theme="0" tint="-4.9989318521683403E-2"/>
                </patternFill>
              </fill>
              <border>
                <left/>
                <right/>
                <top/>
                <bottom/>
              </border>
            </x14:dxf>
          </x14:cfRule>
          <xm:sqref>BB149</xm:sqref>
        </x14:conditionalFormatting>
        <x14:conditionalFormatting xmlns:xm="http://schemas.microsoft.com/office/excel/2006/main">
          <x14:cfRule type="expression" priority="70" id="{D51CD309-6B18-8D43-8B38-2F884550969B}">
            <xm:f>BASE!$GQ$13=0</xm:f>
            <x14:dxf>
              <font>
                <color theme="0" tint="-4.9989318521683403E-2"/>
              </font>
              <fill>
                <patternFill>
                  <bgColor theme="0" tint="-4.9989318521683403E-2"/>
                </patternFill>
              </fill>
              <border>
                <left/>
                <right/>
                <top/>
                <bottom/>
              </border>
            </x14:dxf>
          </x14:cfRule>
          <xm:sqref>BB149</xm:sqref>
        </x14:conditionalFormatting>
        <x14:conditionalFormatting xmlns:xm="http://schemas.microsoft.com/office/excel/2006/main">
          <x14:cfRule type="expression" priority="67" id="{26FE21A8-B7A3-2C49-86D7-1E7CECB768E0}">
            <xm:f>BASE!$GP$12=0</xm:f>
            <x14:dxf>
              <font>
                <color theme="0" tint="-4.9989318521683403E-2"/>
              </font>
              <fill>
                <patternFill>
                  <bgColor theme="0" tint="-4.9989318521683403E-2"/>
                </patternFill>
              </fill>
              <border>
                <left/>
                <right/>
                <top/>
                <bottom/>
              </border>
            </x14:dxf>
          </x14:cfRule>
          <xm:sqref>BB150</xm:sqref>
        </x14:conditionalFormatting>
        <x14:conditionalFormatting xmlns:xm="http://schemas.microsoft.com/office/excel/2006/main">
          <x14:cfRule type="expression" priority="68" id="{FBDDA80C-A535-BB4D-A9BC-9F3D00CC4D0D}">
            <xm:f>BASE!$GQ$13=0</xm:f>
            <x14:dxf>
              <font>
                <color theme="0" tint="-4.9989318521683403E-2"/>
              </font>
              <fill>
                <patternFill>
                  <bgColor theme="0" tint="-4.9989318521683403E-2"/>
                </patternFill>
              </fill>
              <border>
                <left/>
                <right/>
                <top/>
                <bottom/>
              </border>
            </x14:dxf>
          </x14:cfRule>
          <xm:sqref>BB150</xm:sqref>
        </x14:conditionalFormatting>
        <x14:conditionalFormatting xmlns:xm="http://schemas.microsoft.com/office/excel/2006/main">
          <x14:cfRule type="expression" priority="65" id="{A49CF907-6A31-5E44-A0F8-26E04C297FAF}">
            <xm:f>BASE!$GP$12=0</xm:f>
            <x14:dxf>
              <font>
                <color theme="0" tint="-4.9989318521683403E-2"/>
              </font>
              <fill>
                <patternFill>
                  <bgColor theme="0" tint="-4.9989318521683403E-2"/>
                </patternFill>
              </fill>
              <border>
                <left/>
                <right/>
                <top/>
                <bottom/>
              </border>
            </x14:dxf>
          </x14:cfRule>
          <xm:sqref>BB151</xm:sqref>
        </x14:conditionalFormatting>
        <x14:conditionalFormatting xmlns:xm="http://schemas.microsoft.com/office/excel/2006/main">
          <x14:cfRule type="expression" priority="66" id="{C365B89F-EC2D-614D-AC2C-04785292580E}">
            <xm:f>BASE!$GQ$13=0</xm:f>
            <x14:dxf>
              <font>
                <color theme="0" tint="-4.9989318521683403E-2"/>
              </font>
              <fill>
                <patternFill>
                  <bgColor theme="0" tint="-4.9989318521683403E-2"/>
                </patternFill>
              </fill>
              <border>
                <left/>
                <right/>
                <top/>
                <bottom/>
              </border>
            </x14:dxf>
          </x14:cfRule>
          <xm:sqref>BB151</xm:sqref>
        </x14:conditionalFormatting>
        <x14:conditionalFormatting xmlns:xm="http://schemas.microsoft.com/office/excel/2006/main">
          <x14:cfRule type="expression" priority="63" id="{F7A44869-D3C0-8841-A74A-CBABB4B4C5AC}">
            <xm:f>BASE!$GP$12=0</xm:f>
            <x14:dxf>
              <font>
                <color theme="0" tint="-4.9989318521683403E-2"/>
              </font>
              <fill>
                <patternFill>
                  <bgColor theme="0" tint="-4.9989318521683403E-2"/>
                </patternFill>
              </fill>
              <border>
                <left/>
                <right/>
                <top/>
                <bottom/>
              </border>
            </x14:dxf>
          </x14:cfRule>
          <xm:sqref>BB152</xm:sqref>
        </x14:conditionalFormatting>
        <x14:conditionalFormatting xmlns:xm="http://schemas.microsoft.com/office/excel/2006/main">
          <x14:cfRule type="expression" priority="64" id="{C452225C-CB33-DF49-8AAF-79C39B08981E}">
            <xm:f>BASE!$GQ$13=0</xm:f>
            <x14:dxf>
              <font>
                <color theme="0" tint="-4.9989318521683403E-2"/>
              </font>
              <fill>
                <patternFill>
                  <bgColor theme="0" tint="-4.9989318521683403E-2"/>
                </patternFill>
              </fill>
              <border>
                <left/>
                <right/>
                <top/>
                <bottom/>
              </border>
            </x14:dxf>
          </x14:cfRule>
          <xm:sqref>BB152</xm:sqref>
        </x14:conditionalFormatting>
        <x14:conditionalFormatting xmlns:xm="http://schemas.microsoft.com/office/excel/2006/main">
          <x14:cfRule type="expression" priority="61" id="{9535EB3C-AC2B-D749-953D-A0CF7E9E550E}">
            <xm:f>BASE!$GP$12=0</xm:f>
            <x14:dxf>
              <font>
                <color theme="0" tint="-4.9989318521683403E-2"/>
              </font>
              <fill>
                <patternFill>
                  <bgColor theme="0" tint="-4.9989318521683403E-2"/>
                </patternFill>
              </fill>
              <border>
                <left/>
                <right/>
                <top/>
                <bottom/>
              </border>
            </x14:dxf>
          </x14:cfRule>
          <xm:sqref>BB153</xm:sqref>
        </x14:conditionalFormatting>
        <x14:conditionalFormatting xmlns:xm="http://schemas.microsoft.com/office/excel/2006/main">
          <x14:cfRule type="expression" priority="62" id="{39F1F137-6AE0-DC4E-B0D0-D4753CBEFE9B}">
            <xm:f>BASE!$GQ$13=0</xm:f>
            <x14:dxf>
              <font>
                <color theme="0" tint="-4.9989318521683403E-2"/>
              </font>
              <fill>
                <patternFill>
                  <bgColor theme="0" tint="-4.9989318521683403E-2"/>
                </patternFill>
              </fill>
              <border>
                <left/>
                <right/>
                <top/>
                <bottom/>
              </border>
            </x14:dxf>
          </x14:cfRule>
          <xm:sqref>BB153</xm:sqref>
        </x14:conditionalFormatting>
        <x14:conditionalFormatting xmlns:xm="http://schemas.microsoft.com/office/excel/2006/main">
          <x14:cfRule type="expression" priority="59" id="{4AE75D61-CBAE-8C48-B0BF-8300A5A0992C}">
            <xm:f>BASE!$GP$12=0</xm:f>
            <x14:dxf>
              <font>
                <color theme="0" tint="-4.9989318521683403E-2"/>
              </font>
              <fill>
                <patternFill>
                  <bgColor theme="0" tint="-4.9989318521683403E-2"/>
                </patternFill>
              </fill>
              <border>
                <left/>
                <right/>
                <top/>
                <bottom/>
              </border>
            </x14:dxf>
          </x14:cfRule>
          <xm:sqref>BB154</xm:sqref>
        </x14:conditionalFormatting>
        <x14:conditionalFormatting xmlns:xm="http://schemas.microsoft.com/office/excel/2006/main">
          <x14:cfRule type="expression" priority="60" id="{81F2A349-A428-014A-8C00-01AA017B350E}">
            <xm:f>BASE!$GQ$13=0</xm:f>
            <x14:dxf>
              <font>
                <color theme="0" tint="-4.9989318521683403E-2"/>
              </font>
              <fill>
                <patternFill>
                  <bgColor theme="0" tint="-4.9989318521683403E-2"/>
                </patternFill>
              </fill>
              <border>
                <left/>
                <right/>
                <top/>
                <bottom/>
              </border>
            </x14:dxf>
          </x14:cfRule>
          <xm:sqref>BB154</xm:sqref>
        </x14:conditionalFormatting>
        <x14:conditionalFormatting xmlns:xm="http://schemas.microsoft.com/office/excel/2006/main">
          <x14:cfRule type="expression" priority="57" id="{05B4EC07-76B3-5343-9739-D667AE24B2F3}">
            <xm:f>BASE!$GP$12=0</xm:f>
            <x14:dxf>
              <font>
                <color theme="0" tint="-4.9989318521683403E-2"/>
              </font>
              <fill>
                <patternFill>
                  <bgColor theme="0" tint="-4.9989318521683403E-2"/>
                </patternFill>
              </fill>
              <border>
                <left/>
                <right/>
                <top/>
                <bottom/>
              </border>
            </x14:dxf>
          </x14:cfRule>
          <xm:sqref>BB155</xm:sqref>
        </x14:conditionalFormatting>
        <x14:conditionalFormatting xmlns:xm="http://schemas.microsoft.com/office/excel/2006/main">
          <x14:cfRule type="expression" priority="58" id="{7917AEAF-F4D4-0B4F-B249-BBF1FE2DC372}">
            <xm:f>BASE!$GQ$13=0</xm:f>
            <x14:dxf>
              <font>
                <color theme="0" tint="-4.9989318521683403E-2"/>
              </font>
              <fill>
                <patternFill>
                  <bgColor theme="0" tint="-4.9989318521683403E-2"/>
                </patternFill>
              </fill>
              <border>
                <left/>
                <right/>
                <top/>
                <bottom/>
              </border>
            </x14:dxf>
          </x14:cfRule>
          <xm:sqref>BB155</xm:sqref>
        </x14:conditionalFormatting>
        <x14:conditionalFormatting xmlns:xm="http://schemas.microsoft.com/office/excel/2006/main">
          <x14:cfRule type="expression" priority="55" id="{E0D95FDB-2613-E645-BA0F-B31BE73E3FE5}">
            <xm:f>BASE!$GP$12=0</xm:f>
            <x14:dxf>
              <font>
                <color theme="0" tint="-4.9989318521683403E-2"/>
              </font>
              <fill>
                <patternFill>
                  <bgColor theme="0" tint="-4.9989318521683403E-2"/>
                </patternFill>
              </fill>
              <border>
                <left/>
                <right/>
                <top/>
                <bottom/>
              </border>
            </x14:dxf>
          </x14:cfRule>
          <xm:sqref>BB147</xm:sqref>
        </x14:conditionalFormatting>
        <x14:conditionalFormatting xmlns:xm="http://schemas.microsoft.com/office/excel/2006/main">
          <x14:cfRule type="expression" priority="56" id="{232DDFEC-3AC7-C94E-9D08-7194E816C39C}">
            <xm:f>BASE!$GQ$13=0</xm:f>
            <x14:dxf>
              <font>
                <color theme="0" tint="-4.9989318521683403E-2"/>
              </font>
              <fill>
                <patternFill>
                  <bgColor theme="0" tint="-4.9989318521683403E-2"/>
                </patternFill>
              </fill>
              <border>
                <left/>
                <right/>
                <top/>
                <bottom/>
              </border>
            </x14:dxf>
          </x14:cfRule>
          <xm:sqref>BB147</xm:sqref>
        </x14:conditionalFormatting>
        <x14:conditionalFormatting xmlns:xm="http://schemas.microsoft.com/office/excel/2006/main">
          <x14:cfRule type="expression" priority="53" id="{878C61B1-D133-E443-85A7-F2F6D8149501}">
            <xm:f>BASE!$GP$12=0</xm:f>
            <x14:dxf>
              <font>
                <color theme="0" tint="-4.9989318521683403E-2"/>
              </font>
              <fill>
                <patternFill>
                  <bgColor theme="0" tint="-4.9989318521683403E-2"/>
                </patternFill>
              </fill>
              <border>
                <left/>
                <right/>
                <top/>
                <bottom/>
              </border>
            </x14:dxf>
          </x14:cfRule>
          <xm:sqref>BB148</xm:sqref>
        </x14:conditionalFormatting>
        <x14:conditionalFormatting xmlns:xm="http://schemas.microsoft.com/office/excel/2006/main">
          <x14:cfRule type="expression" priority="54" id="{D101FEDA-F532-5145-9A05-C6C5C85B157A}">
            <xm:f>BASE!$GQ$13=0</xm:f>
            <x14:dxf>
              <font>
                <color theme="0" tint="-4.9989318521683403E-2"/>
              </font>
              <fill>
                <patternFill>
                  <bgColor theme="0" tint="-4.9989318521683403E-2"/>
                </patternFill>
              </fill>
              <border>
                <left/>
                <right/>
                <top/>
                <bottom/>
              </border>
            </x14:dxf>
          </x14:cfRule>
          <xm:sqref>BB148</xm:sqref>
        </x14:conditionalFormatting>
        <x14:conditionalFormatting xmlns:xm="http://schemas.microsoft.com/office/excel/2006/main">
          <x14:cfRule type="expression" priority="51" id="{57830491-9938-0346-9BC6-AF98AA7F221C}">
            <xm:f>BASE!$GP$12=0</xm:f>
            <x14:dxf>
              <font>
                <color theme="0" tint="-4.9989318521683403E-2"/>
              </font>
              <fill>
                <patternFill>
                  <bgColor theme="0" tint="-4.9989318521683403E-2"/>
                </patternFill>
              </fill>
              <border>
                <left/>
                <right/>
                <top/>
                <bottom/>
              </border>
            </x14:dxf>
          </x14:cfRule>
          <xm:sqref>BB149</xm:sqref>
        </x14:conditionalFormatting>
        <x14:conditionalFormatting xmlns:xm="http://schemas.microsoft.com/office/excel/2006/main">
          <x14:cfRule type="expression" priority="52" id="{BC36767B-2A5D-E04D-8248-8B6C17831A5C}">
            <xm:f>BASE!$GQ$13=0</xm:f>
            <x14:dxf>
              <font>
                <color theme="0" tint="-4.9989318521683403E-2"/>
              </font>
              <fill>
                <patternFill>
                  <bgColor theme="0" tint="-4.9989318521683403E-2"/>
                </patternFill>
              </fill>
              <border>
                <left/>
                <right/>
                <top/>
                <bottom/>
              </border>
            </x14:dxf>
          </x14:cfRule>
          <xm:sqref>BB149</xm:sqref>
        </x14:conditionalFormatting>
        <x14:conditionalFormatting xmlns:xm="http://schemas.microsoft.com/office/excel/2006/main">
          <x14:cfRule type="expression" priority="49" id="{9998CECA-94FC-7C49-98C3-EE80DD23E75A}">
            <xm:f>BASE!$GP$12=0</xm:f>
            <x14:dxf>
              <font>
                <color theme="0" tint="-4.9989318521683403E-2"/>
              </font>
              <fill>
                <patternFill>
                  <bgColor theme="0" tint="-4.9989318521683403E-2"/>
                </patternFill>
              </fill>
              <border>
                <left/>
                <right/>
                <top/>
                <bottom/>
              </border>
            </x14:dxf>
          </x14:cfRule>
          <xm:sqref>BB150</xm:sqref>
        </x14:conditionalFormatting>
        <x14:conditionalFormatting xmlns:xm="http://schemas.microsoft.com/office/excel/2006/main">
          <x14:cfRule type="expression" priority="50" id="{E2941BA2-3E72-344B-BEFC-753C43E3C801}">
            <xm:f>BASE!$GQ$13=0</xm:f>
            <x14:dxf>
              <font>
                <color theme="0" tint="-4.9989318521683403E-2"/>
              </font>
              <fill>
                <patternFill>
                  <bgColor theme="0" tint="-4.9989318521683403E-2"/>
                </patternFill>
              </fill>
              <border>
                <left/>
                <right/>
                <top/>
                <bottom/>
              </border>
            </x14:dxf>
          </x14:cfRule>
          <xm:sqref>BB150</xm:sqref>
        </x14:conditionalFormatting>
        <x14:conditionalFormatting xmlns:xm="http://schemas.microsoft.com/office/excel/2006/main">
          <x14:cfRule type="expression" priority="47" id="{62CC77CB-0C8F-A849-8F07-ADBF2BC8185F}">
            <xm:f>BASE!$GP$12=0</xm:f>
            <x14:dxf>
              <font>
                <color theme="0" tint="-4.9989318521683403E-2"/>
              </font>
              <fill>
                <patternFill>
                  <bgColor theme="0" tint="-4.9989318521683403E-2"/>
                </patternFill>
              </fill>
              <border>
                <left/>
                <right/>
                <top/>
                <bottom/>
              </border>
            </x14:dxf>
          </x14:cfRule>
          <xm:sqref>BB151</xm:sqref>
        </x14:conditionalFormatting>
        <x14:conditionalFormatting xmlns:xm="http://schemas.microsoft.com/office/excel/2006/main">
          <x14:cfRule type="expression" priority="48" id="{C1CDB979-04E2-1E48-B94C-9A6B74C78329}">
            <xm:f>BASE!$GQ$13=0</xm:f>
            <x14:dxf>
              <font>
                <color theme="0" tint="-4.9989318521683403E-2"/>
              </font>
              <fill>
                <patternFill>
                  <bgColor theme="0" tint="-4.9989318521683403E-2"/>
                </patternFill>
              </fill>
              <border>
                <left/>
                <right/>
                <top/>
                <bottom/>
              </border>
            </x14:dxf>
          </x14:cfRule>
          <xm:sqref>BB151</xm:sqref>
        </x14:conditionalFormatting>
        <x14:conditionalFormatting xmlns:xm="http://schemas.microsoft.com/office/excel/2006/main">
          <x14:cfRule type="expression" priority="45" id="{01585D3F-FFF2-7345-A99B-C83C15D4385E}">
            <xm:f>BASE!$GP$12=0</xm:f>
            <x14:dxf>
              <font>
                <color theme="0" tint="-4.9989318521683403E-2"/>
              </font>
              <fill>
                <patternFill>
                  <bgColor theme="0" tint="-4.9989318521683403E-2"/>
                </patternFill>
              </fill>
              <border>
                <left/>
                <right/>
                <top/>
                <bottom/>
              </border>
            </x14:dxf>
          </x14:cfRule>
          <xm:sqref>BB152</xm:sqref>
        </x14:conditionalFormatting>
        <x14:conditionalFormatting xmlns:xm="http://schemas.microsoft.com/office/excel/2006/main">
          <x14:cfRule type="expression" priority="46" id="{5FF4396E-AAE4-DF4F-9C04-7B65D3A84376}">
            <xm:f>BASE!$GQ$13=0</xm:f>
            <x14:dxf>
              <font>
                <color theme="0" tint="-4.9989318521683403E-2"/>
              </font>
              <fill>
                <patternFill>
                  <bgColor theme="0" tint="-4.9989318521683403E-2"/>
                </patternFill>
              </fill>
              <border>
                <left/>
                <right/>
                <top/>
                <bottom/>
              </border>
            </x14:dxf>
          </x14:cfRule>
          <xm:sqref>BB152</xm:sqref>
        </x14:conditionalFormatting>
        <x14:conditionalFormatting xmlns:xm="http://schemas.microsoft.com/office/excel/2006/main">
          <x14:cfRule type="expression" priority="43" id="{3B29748D-F915-CE47-85F1-5D06553A0190}">
            <xm:f>BASE!$GP$12=0</xm:f>
            <x14:dxf>
              <font>
                <color theme="0" tint="-4.9989318521683403E-2"/>
              </font>
              <fill>
                <patternFill>
                  <bgColor theme="0" tint="-4.9989318521683403E-2"/>
                </patternFill>
              </fill>
              <border>
                <left/>
                <right/>
                <top/>
                <bottom/>
              </border>
            </x14:dxf>
          </x14:cfRule>
          <xm:sqref>BB153</xm:sqref>
        </x14:conditionalFormatting>
        <x14:conditionalFormatting xmlns:xm="http://schemas.microsoft.com/office/excel/2006/main">
          <x14:cfRule type="expression" priority="44" id="{81D74A58-B184-3347-A169-A1AA6EAD122C}">
            <xm:f>BASE!$GQ$13=0</xm:f>
            <x14:dxf>
              <font>
                <color theme="0" tint="-4.9989318521683403E-2"/>
              </font>
              <fill>
                <patternFill>
                  <bgColor theme="0" tint="-4.9989318521683403E-2"/>
                </patternFill>
              </fill>
              <border>
                <left/>
                <right/>
                <top/>
                <bottom/>
              </border>
            </x14:dxf>
          </x14:cfRule>
          <xm:sqref>BB153</xm:sqref>
        </x14:conditionalFormatting>
        <x14:conditionalFormatting xmlns:xm="http://schemas.microsoft.com/office/excel/2006/main">
          <x14:cfRule type="expression" priority="41" id="{B4F408D7-1BD9-D146-81FA-EB01D488A327}">
            <xm:f>BASE!$GP$12=0</xm:f>
            <x14:dxf>
              <font>
                <color theme="0" tint="-4.9989318521683403E-2"/>
              </font>
              <fill>
                <patternFill>
                  <bgColor theme="0" tint="-4.9989318521683403E-2"/>
                </patternFill>
              </fill>
              <border>
                <left/>
                <right/>
                <top/>
                <bottom/>
              </border>
            </x14:dxf>
          </x14:cfRule>
          <xm:sqref>BB154</xm:sqref>
        </x14:conditionalFormatting>
        <x14:conditionalFormatting xmlns:xm="http://schemas.microsoft.com/office/excel/2006/main">
          <x14:cfRule type="expression" priority="42" id="{A6BE81B9-AFF3-FF45-BD96-689EAB28E4EC}">
            <xm:f>BASE!$GQ$13=0</xm:f>
            <x14:dxf>
              <font>
                <color theme="0" tint="-4.9989318521683403E-2"/>
              </font>
              <fill>
                <patternFill>
                  <bgColor theme="0" tint="-4.9989318521683403E-2"/>
                </patternFill>
              </fill>
              <border>
                <left/>
                <right/>
                <top/>
                <bottom/>
              </border>
            </x14:dxf>
          </x14:cfRule>
          <xm:sqref>BB154</xm:sqref>
        </x14:conditionalFormatting>
        <x14:conditionalFormatting xmlns:xm="http://schemas.microsoft.com/office/excel/2006/main">
          <x14:cfRule type="expression" priority="39" id="{CB1B3A37-53FA-064D-96B5-97ED32765E37}">
            <xm:f>BASE!$GP$12=0</xm:f>
            <x14:dxf>
              <font>
                <color theme="0" tint="-4.9989318521683403E-2"/>
              </font>
              <fill>
                <patternFill>
                  <bgColor theme="0" tint="-4.9989318521683403E-2"/>
                </patternFill>
              </fill>
              <border>
                <left/>
                <right/>
                <top/>
                <bottom/>
              </border>
            </x14:dxf>
          </x14:cfRule>
          <xm:sqref>BB155</xm:sqref>
        </x14:conditionalFormatting>
        <x14:conditionalFormatting xmlns:xm="http://schemas.microsoft.com/office/excel/2006/main">
          <x14:cfRule type="expression" priority="40" id="{BE8BAF35-9D7D-DF4D-A7A6-612CC578C02E}">
            <xm:f>BASE!$GQ$13=0</xm:f>
            <x14:dxf>
              <font>
                <color theme="0" tint="-4.9989318521683403E-2"/>
              </font>
              <fill>
                <patternFill>
                  <bgColor theme="0" tint="-4.9989318521683403E-2"/>
                </patternFill>
              </fill>
              <border>
                <left/>
                <right/>
                <top/>
                <bottom/>
              </border>
            </x14:dxf>
          </x14:cfRule>
          <xm:sqref>BB155</xm:sqref>
        </x14:conditionalFormatting>
        <x14:conditionalFormatting xmlns:xm="http://schemas.microsoft.com/office/excel/2006/main">
          <x14:cfRule type="expression" priority="37" id="{CE25CA26-3E40-DD48-BA5F-61E6F3EA3F72}">
            <xm:f>BASE!$GP$12=0</xm:f>
            <x14:dxf>
              <font>
                <color theme="0" tint="-4.9989318521683403E-2"/>
              </font>
              <fill>
                <patternFill>
                  <bgColor theme="0" tint="-4.9989318521683403E-2"/>
                </patternFill>
              </fill>
              <border>
                <left/>
                <right/>
                <top/>
                <bottom/>
              </border>
            </x14:dxf>
          </x14:cfRule>
          <xm:sqref>BB164</xm:sqref>
        </x14:conditionalFormatting>
        <x14:conditionalFormatting xmlns:xm="http://schemas.microsoft.com/office/excel/2006/main">
          <x14:cfRule type="expression" priority="38" id="{C10862A3-8B6B-2F47-B979-90D046E29527}">
            <xm:f>BASE!$GQ$13=0</xm:f>
            <x14:dxf>
              <font>
                <color theme="0" tint="-4.9989318521683403E-2"/>
              </font>
              <fill>
                <patternFill>
                  <bgColor theme="0" tint="-4.9989318521683403E-2"/>
                </patternFill>
              </fill>
              <border>
                <left/>
                <right/>
                <top/>
                <bottom/>
              </border>
            </x14:dxf>
          </x14:cfRule>
          <xm:sqref>BB164</xm:sqref>
        </x14:conditionalFormatting>
        <x14:conditionalFormatting xmlns:xm="http://schemas.microsoft.com/office/excel/2006/main">
          <x14:cfRule type="expression" priority="35" id="{808DB898-5149-BE44-9893-C0A3AA22FD51}">
            <xm:f>BASE!$GP$12=0</xm:f>
            <x14:dxf>
              <font>
                <color theme="0" tint="-4.9989318521683403E-2"/>
              </font>
              <fill>
                <patternFill>
                  <bgColor theme="0" tint="-4.9989318521683403E-2"/>
                </patternFill>
              </fill>
              <border>
                <left/>
                <right/>
                <top/>
                <bottom/>
              </border>
            </x14:dxf>
          </x14:cfRule>
          <xm:sqref>BB165</xm:sqref>
        </x14:conditionalFormatting>
        <x14:conditionalFormatting xmlns:xm="http://schemas.microsoft.com/office/excel/2006/main">
          <x14:cfRule type="expression" priority="36" id="{D3820586-267D-2F43-9D90-8FBFE9C19100}">
            <xm:f>BASE!$GQ$13=0</xm:f>
            <x14:dxf>
              <font>
                <color theme="0" tint="-4.9989318521683403E-2"/>
              </font>
              <fill>
                <patternFill>
                  <bgColor theme="0" tint="-4.9989318521683403E-2"/>
                </patternFill>
              </fill>
              <border>
                <left/>
                <right/>
                <top/>
                <bottom/>
              </border>
            </x14:dxf>
          </x14:cfRule>
          <xm:sqref>BB165</xm:sqref>
        </x14:conditionalFormatting>
        <x14:conditionalFormatting xmlns:xm="http://schemas.microsoft.com/office/excel/2006/main">
          <x14:cfRule type="expression" priority="33" id="{960F11AB-6E24-1C4C-8454-F0461BB5F22F}">
            <xm:f>BASE!$GP$12=0</xm:f>
            <x14:dxf>
              <font>
                <color theme="0" tint="-4.9989318521683403E-2"/>
              </font>
              <fill>
                <patternFill>
                  <bgColor theme="0" tint="-4.9989318521683403E-2"/>
                </patternFill>
              </fill>
              <border>
                <left/>
                <right/>
                <top/>
                <bottom/>
              </border>
            </x14:dxf>
          </x14:cfRule>
          <xm:sqref>BB166</xm:sqref>
        </x14:conditionalFormatting>
        <x14:conditionalFormatting xmlns:xm="http://schemas.microsoft.com/office/excel/2006/main">
          <x14:cfRule type="expression" priority="34" id="{6C07C25C-523A-114B-B10B-294EB5752904}">
            <xm:f>BASE!$GQ$13=0</xm:f>
            <x14:dxf>
              <font>
                <color theme="0" tint="-4.9989318521683403E-2"/>
              </font>
              <fill>
                <patternFill>
                  <bgColor theme="0" tint="-4.9989318521683403E-2"/>
                </patternFill>
              </fill>
              <border>
                <left/>
                <right/>
                <top/>
                <bottom/>
              </border>
            </x14:dxf>
          </x14:cfRule>
          <xm:sqref>BB166</xm:sqref>
        </x14:conditionalFormatting>
        <x14:conditionalFormatting xmlns:xm="http://schemas.microsoft.com/office/excel/2006/main">
          <x14:cfRule type="expression" priority="31" id="{A28AC038-3228-E940-8499-FF49620C0B79}">
            <xm:f>BASE!$GP$12=0</xm:f>
            <x14:dxf>
              <font>
                <color theme="0" tint="-4.9989318521683403E-2"/>
              </font>
              <fill>
                <patternFill>
                  <bgColor theme="0" tint="-4.9989318521683403E-2"/>
                </patternFill>
              </fill>
              <border>
                <left/>
                <right/>
                <top/>
                <bottom/>
              </border>
            </x14:dxf>
          </x14:cfRule>
          <xm:sqref>BB167</xm:sqref>
        </x14:conditionalFormatting>
        <x14:conditionalFormatting xmlns:xm="http://schemas.microsoft.com/office/excel/2006/main">
          <x14:cfRule type="expression" priority="32" id="{74FF9BFD-88E1-AC4A-9098-255A121414E7}">
            <xm:f>BASE!$GQ$13=0</xm:f>
            <x14:dxf>
              <font>
                <color theme="0" tint="-4.9989318521683403E-2"/>
              </font>
              <fill>
                <patternFill>
                  <bgColor theme="0" tint="-4.9989318521683403E-2"/>
                </patternFill>
              </fill>
              <border>
                <left/>
                <right/>
                <top/>
                <bottom/>
              </border>
            </x14:dxf>
          </x14:cfRule>
          <xm:sqref>BB167</xm:sqref>
        </x14:conditionalFormatting>
        <x14:conditionalFormatting xmlns:xm="http://schemas.microsoft.com/office/excel/2006/main">
          <x14:cfRule type="expression" priority="29" id="{19DB2B5E-D01F-7C4D-BCE9-A39F48A1C91D}">
            <xm:f>BASE!$GP$12=0</xm:f>
            <x14:dxf>
              <font>
                <color theme="0" tint="-4.9989318521683403E-2"/>
              </font>
              <fill>
                <patternFill>
                  <bgColor theme="0" tint="-4.9989318521683403E-2"/>
                </patternFill>
              </fill>
              <border>
                <left/>
                <right/>
                <top/>
                <bottom/>
              </border>
            </x14:dxf>
          </x14:cfRule>
          <xm:sqref>BB168</xm:sqref>
        </x14:conditionalFormatting>
        <x14:conditionalFormatting xmlns:xm="http://schemas.microsoft.com/office/excel/2006/main">
          <x14:cfRule type="expression" priority="30" id="{E65CCD74-BF3B-4C48-A48A-6891492D1CEA}">
            <xm:f>BASE!$GQ$13=0</xm:f>
            <x14:dxf>
              <font>
                <color theme="0" tint="-4.9989318521683403E-2"/>
              </font>
              <fill>
                <patternFill>
                  <bgColor theme="0" tint="-4.9989318521683403E-2"/>
                </patternFill>
              </fill>
              <border>
                <left/>
                <right/>
                <top/>
                <bottom/>
              </border>
            </x14:dxf>
          </x14:cfRule>
          <xm:sqref>BB168</xm:sqref>
        </x14:conditionalFormatting>
        <x14:conditionalFormatting xmlns:xm="http://schemas.microsoft.com/office/excel/2006/main">
          <x14:cfRule type="expression" priority="27" id="{244B9755-FE7E-A549-961C-46D4A7F7BA50}">
            <xm:f>BASE!$GP$12=0</xm:f>
            <x14:dxf>
              <font>
                <color theme="0" tint="-4.9989318521683403E-2"/>
              </font>
              <fill>
                <patternFill>
                  <bgColor theme="0" tint="-4.9989318521683403E-2"/>
                </patternFill>
              </fill>
              <border>
                <left/>
                <right/>
                <top/>
                <bottom/>
              </border>
            </x14:dxf>
          </x14:cfRule>
          <xm:sqref>BB169</xm:sqref>
        </x14:conditionalFormatting>
        <x14:conditionalFormatting xmlns:xm="http://schemas.microsoft.com/office/excel/2006/main">
          <x14:cfRule type="expression" priority="28" id="{40FC8F47-4993-AA42-9801-AA59369FB58E}">
            <xm:f>BASE!$GQ$13=0</xm:f>
            <x14:dxf>
              <font>
                <color theme="0" tint="-4.9989318521683403E-2"/>
              </font>
              <fill>
                <patternFill>
                  <bgColor theme="0" tint="-4.9989318521683403E-2"/>
                </patternFill>
              </fill>
              <border>
                <left/>
                <right/>
                <top/>
                <bottom/>
              </border>
            </x14:dxf>
          </x14:cfRule>
          <xm:sqref>BB169</xm:sqref>
        </x14:conditionalFormatting>
        <x14:conditionalFormatting xmlns:xm="http://schemas.microsoft.com/office/excel/2006/main">
          <x14:cfRule type="expression" priority="25" id="{5A5AC0D7-ED88-6C44-B52D-4467ECCD9014}">
            <xm:f>BASE!$GP$12=0</xm:f>
            <x14:dxf>
              <font>
                <color theme="0" tint="-4.9989318521683403E-2"/>
              </font>
              <fill>
                <patternFill>
                  <bgColor theme="0" tint="-4.9989318521683403E-2"/>
                </patternFill>
              </fill>
              <border>
                <left/>
                <right/>
                <top/>
                <bottom/>
              </border>
            </x14:dxf>
          </x14:cfRule>
          <xm:sqref>BB170</xm:sqref>
        </x14:conditionalFormatting>
        <x14:conditionalFormatting xmlns:xm="http://schemas.microsoft.com/office/excel/2006/main">
          <x14:cfRule type="expression" priority="26" id="{0E1F8647-155A-9445-97F7-4DE5467ABF24}">
            <xm:f>BASE!$GQ$13=0</xm:f>
            <x14:dxf>
              <font>
                <color theme="0" tint="-4.9989318521683403E-2"/>
              </font>
              <fill>
                <patternFill>
                  <bgColor theme="0" tint="-4.9989318521683403E-2"/>
                </patternFill>
              </fill>
              <border>
                <left/>
                <right/>
                <top/>
                <bottom/>
              </border>
            </x14:dxf>
          </x14:cfRule>
          <xm:sqref>BB170</xm:sqref>
        </x14:conditionalFormatting>
        <x14:conditionalFormatting xmlns:xm="http://schemas.microsoft.com/office/excel/2006/main">
          <x14:cfRule type="expression" priority="23" id="{73C96E09-B0F3-CA43-9E8D-7F10DA2C6398}">
            <xm:f>BASE!$GP$12=0</xm:f>
            <x14:dxf>
              <font>
                <color theme="0" tint="-4.9989318521683403E-2"/>
              </font>
              <fill>
                <patternFill>
                  <bgColor theme="0" tint="-4.9989318521683403E-2"/>
                </patternFill>
              </fill>
              <border>
                <left/>
                <right/>
                <top/>
                <bottom/>
              </border>
            </x14:dxf>
          </x14:cfRule>
          <xm:sqref>BB171</xm:sqref>
        </x14:conditionalFormatting>
        <x14:conditionalFormatting xmlns:xm="http://schemas.microsoft.com/office/excel/2006/main">
          <x14:cfRule type="expression" priority="24" id="{A4C6D4F4-F46E-6148-9958-96DA3B97E102}">
            <xm:f>BASE!$GQ$13=0</xm:f>
            <x14:dxf>
              <font>
                <color theme="0" tint="-4.9989318521683403E-2"/>
              </font>
              <fill>
                <patternFill>
                  <bgColor theme="0" tint="-4.9989318521683403E-2"/>
                </patternFill>
              </fill>
              <border>
                <left/>
                <right/>
                <top/>
                <bottom/>
              </border>
            </x14:dxf>
          </x14:cfRule>
          <xm:sqref>BB171</xm:sqref>
        </x14:conditionalFormatting>
        <x14:conditionalFormatting xmlns:xm="http://schemas.microsoft.com/office/excel/2006/main">
          <x14:cfRule type="expression" priority="21" id="{061B4BC6-C816-AA47-9AA2-C51B3A228708}">
            <xm:f>BASE!$GP$12=0</xm:f>
            <x14:dxf>
              <font>
                <color theme="0" tint="-4.9989318521683403E-2"/>
              </font>
              <fill>
                <patternFill>
                  <bgColor theme="0" tint="-4.9989318521683403E-2"/>
                </patternFill>
              </fill>
              <border>
                <left/>
                <right/>
                <top/>
                <bottom/>
              </border>
            </x14:dxf>
          </x14:cfRule>
          <xm:sqref>BB172</xm:sqref>
        </x14:conditionalFormatting>
        <x14:conditionalFormatting xmlns:xm="http://schemas.microsoft.com/office/excel/2006/main">
          <x14:cfRule type="expression" priority="22" id="{B15263B8-9571-8D41-9964-6FE57454DAC8}">
            <xm:f>BASE!$GQ$13=0</xm:f>
            <x14:dxf>
              <font>
                <color theme="0" tint="-4.9989318521683403E-2"/>
              </font>
              <fill>
                <patternFill>
                  <bgColor theme="0" tint="-4.9989318521683403E-2"/>
                </patternFill>
              </fill>
              <border>
                <left/>
                <right/>
                <top/>
                <bottom/>
              </border>
            </x14:dxf>
          </x14:cfRule>
          <xm:sqref>BB172</xm:sqref>
        </x14:conditionalFormatting>
        <x14:conditionalFormatting xmlns:xm="http://schemas.microsoft.com/office/excel/2006/main">
          <x14:cfRule type="expression" priority="19" id="{ABB9F3CA-AB38-9543-B7B9-16506763E8FB}">
            <xm:f>BASE!$GP$12=0</xm:f>
            <x14:dxf>
              <font>
                <color theme="0" tint="-4.9989318521683403E-2"/>
              </font>
              <fill>
                <patternFill>
                  <bgColor theme="0" tint="-4.9989318521683403E-2"/>
                </patternFill>
              </fill>
              <border>
                <left/>
                <right/>
                <top/>
                <bottom/>
              </border>
            </x14:dxf>
          </x14:cfRule>
          <xm:sqref>BB173</xm:sqref>
        </x14:conditionalFormatting>
        <x14:conditionalFormatting xmlns:xm="http://schemas.microsoft.com/office/excel/2006/main">
          <x14:cfRule type="expression" priority="20" id="{A77D18A8-A8E7-3942-BF6B-92609ADBD2D1}">
            <xm:f>BASE!$GQ$13=0</xm:f>
            <x14:dxf>
              <font>
                <color theme="0" tint="-4.9989318521683403E-2"/>
              </font>
              <fill>
                <patternFill>
                  <bgColor theme="0" tint="-4.9989318521683403E-2"/>
                </patternFill>
              </fill>
              <border>
                <left/>
                <right/>
                <top/>
                <bottom/>
              </border>
            </x14:dxf>
          </x14:cfRule>
          <xm:sqref>BB173</xm:sqref>
        </x14:conditionalFormatting>
        <x14:conditionalFormatting xmlns:xm="http://schemas.microsoft.com/office/excel/2006/main">
          <x14:cfRule type="expression" priority="17" id="{4E9EF61D-5E2E-DD47-8D87-9A8EDA9F9C46}">
            <xm:f>BASE!$GP$12=0</xm:f>
            <x14:dxf>
              <font>
                <color theme="0" tint="-4.9989318521683403E-2"/>
              </font>
              <fill>
                <patternFill>
                  <bgColor theme="0" tint="-4.9989318521683403E-2"/>
                </patternFill>
              </fill>
              <border>
                <left/>
                <right/>
                <top/>
                <bottom/>
              </border>
            </x14:dxf>
          </x14:cfRule>
          <xm:sqref>BB165</xm:sqref>
        </x14:conditionalFormatting>
        <x14:conditionalFormatting xmlns:xm="http://schemas.microsoft.com/office/excel/2006/main">
          <x14:cfRule type="expression" priority="18" id="{8C262390-0F95-3045-BF75-7CB3C5C2F7C3}">
            <xm:f>BASE!$GQ$13=0</xm:f>
            <x14:dxf>
              <font>
                <color theme="0" tint="-4.9989318521683403E-2"/>
              </font>
              <fill>
                <patternFill>
                  <bgColor theme="0" tint="-4.9989318521683403E-2"/>
                </patternFill>
              </fill>
              <border>
                <left/>
                <right/>
                <top/>
                <bottom/>
              </border>
            </x14:dxf>
          </x14:cfRule>
          <xm:sqref>BB165</xm:sqref>
        </x14:conditionalFormatting>
        <x14:conditionalFormatting xmlns:xm="http://schemas.microsoft.com/office/excel/2006/main">
          <x14:cfRule type="expression" priority="15" id="{85054877-AE11-E745-ADDD-F2E515530650}">
            <xm:f>BASE!$GP$12=0</xm:f>
            <x14:dxf>
              <font>
                <color theme="0" tint="-4.9989318521683403E-2"/>
              </font>
              <fill>
                <patternFill>
                  <bgColor theme="0" tint="-4.9989318521683403E-2"/>
                </patternFill>
              </fill>
              <border>
                <left/>
                <right/>
                <top/>
                <bottom/>
              </border>
            </x14:dxf>
          </x14:cfRule>
          <xm:sqref>BB166</xm:sqref>
        </x14:conditionalFormatting>
        <x14:conditionalFormatting xmlns:xm="http://schemas.microsoft.com/office/excel/2006/main">
          <x14:cfRule type="expression" priority="16" id="{A1CB770E-4B83-9840-AE5B-1C87D393A891}">
            <xm:f>BASE!$GQ$13=0</xm:f>
            <x14:dxf>
              <font>
                <color theme="0" tint="-4.9989318521683403E-2"/>
              </font>
              <fill>
                <patternFill>
                  <bgColor theme="0" tint="-4.9989318521683403E-2"/>
                </patternFill>
              </fill>
              <border>
                <left/>
                <right/>
                <top/>
                <bottom/>
              </border>
            </x14:dxf>
          </x14:cfRule>
          <xm:sqref>BB166</xm:sqref>
        </x14:conditionalFormatting>
        <x14:conditionalFormatting xmlns:xm="http://schemas.microsoft.com/office/excel/2006/main">
          <x14:cfRule type="expression" priority="13" id="{F8AD7C80-E670-3647-9809-577E0B46FA2E}">
            <xm:f>BASE!$GP$12=0</xm:f>
            <x14:dxf>
              <font>
                <color theme="0" tint="-4.9989318521683403E-2"/>
              </font>
              <fill>
                <patternFill>
                  <bgColor theme="0" tint="-4.9989318521683403E-2"/>
                </patternFill>
              </fill>
              <border>
                <left/>
                <right/>
                <top/>
                <bottom/>
              </border>
            </x14:dxf>
          </x14:cfRule>
          <xm:sqref>BB167</xm:sqref>
        </x14:conditionalFormatting>
        <x14:conditionalFormatting xmlns:xm="http://schemas.microsoft.com/office/excel/2006/main">
          <x14:cfRule type="expression" priority="14" id="{EB201AEC-8738-224B-8E9F-05455B2EA501}">
            <xm:f>BASE!$GQ$13=0</xm:f>
            <x14:dxf>
              <font>
                <color theme="0" tint="-4.9989318521683403E-2"/>
              </font>
              <fill>
                <patternFill>
                  <bgColor theme="0" tint="-4.9989318521683403E-2"/>
                </patternFill>
              </fill>
              <border>
                <left/>
                <right/>
                <top/>
                <bottom/>
              </border>
            </x14:dxf>
          </x14:cfRule>
          <xm:sqref>BB167</xm:sqref>
        </x14:conditionalFormatting>
        <x14:conditionalFormatting xmlns:xm="http://schemas.microsoft.com/office/excel/2006/main">
          <x14:cfRule type="expression" priority="11" id="{90C5F080-0F60-F245-9E4C-D440EBAAD9BC}">
            <xm:f>BASE!$GP$12=0</xm:f>
            <x14:dxf>
              <font>
                <color theme="0" tint="-4.9989318521683403E-2"/>
              </font>
              <fill>
                <patternFill>
                  <bgColor theme="0" tint="-4.9989318521683403E-2"/>
                </patternFill>
              </fill>
              <border>
                <left/>
                <right/>
                <top/>
                <bottom/>
              </border>
            </x14:dxf>
          </x14:cfRule>
          <xm:sqref>BB168</xm:sqref>
        </x14:conditionalFormatting>
        <x14:conditionalFormatting xmlns:xm="http://schemas.microsoft.com/office/excel/2006/main">
          <x14:cfRule type="expression" priority="12" id="{ED56CDF8-417C-A247-BF7F-D0F61272F7BF}">
            <xm:f>BASE!$GQ$13=0</xm:f>
            <x14:dxf>
              <font>
                <color theme="0" tint="-4.9989318521683403E-2"/>
              </font>
              <fill>
                <patternFill>
                  <bgColor theme="0" tint="-4.9989318521683403E-2"/>
                </patternFill>
              </fill>
              <border>
                <left/>
                <right/>
                <top/>
                <bottom/>
              </border>
            </x14:dxf>
          </x14:cfRule>
          <xm:sqref>BB168</xm:sqref>
        </x14:conditionalFormatting>
        <x14:conditionalFormatting xmlns:xm="http://schemas.microsoft.com/office/excel/2006/main">
          <x14:cfRule type="expression" priority="9" id="{EB70DBC3-14DE-A143-B713-68F47020A7AA}">
            <xm:f>BASE!$GP$12=0</xm:f>
            <x14:dxf>
              <font>
                <color theme="0" tint="-4.9989318521683403E-2"/>
              </font>
              <fill>
                <patternFill>
                  <bgColor theme="0" tint="-4.9989318521683403E-2"/>
                </patternFill>
              </fill>
              <border>
                <left/>
                <right/>
                <top/>
                <bottom/>
              </border>
            </x14:dxf>
          </x14:cfRule>
          <xm:sqref>BB169</xm:sqref>
        </x14:conditionalFormatting>
        <x14:conditionalFormatting xmlns:xm="http://schemas.microsoft.com/office/excel/2006/main">
          <x14:cfRule type="expression" priority="10" id="{E9B721E1-7E68-C54E-B9E3-BD0888B9895C}">
            <xm:f>BASE!$GQ$13=0</xm:f>
            <x14:dxf>
              <font>
                <color theme="0" tint="-4.9989318521683403E-2"/>
              </font>
              <fill>
                <patternFill>
                  <bgColor theme="0" tint="-4.9989318521683403E-2"/>
                </patternFill>
              </fill>
              <border>
                <left/>
                <right/>
                <top/>
                <bottom/>
              </border>
            </x14:dxf>
          </x14:cfRule>
          <xm:sqref>BB169</xm:sqref>
        </x14:conditionalFormatting>
        <x14:conditionalFormatting xmlns:xm="http://schemas.microsoft.com/office/excel/2006/main">
          <x14:cfRule type="expression" priority="7" id="{59E88F6D-34C2-1E42-B4AB-4189E1CE38DB}">
            <xm:f>BASE!$GP$12=0</xm:f>
            <x14:dxf>
              <font>
                <color theme="0" tint="-4.9989318521683403E-2"/>
              </font>
              <fill>
                <patternFill>
                  <bgColor theme="0" tint="-4.9989318521683403E-2"/>
                </patternFill>
              </fill>
              <border>
                <left/>
                <right/>
                <top/>
                <bottom/>
              </border>
            </x14:dxf>
          </x14:cfRule>
          <xm:sqref>BB170</xm:sqref>
        </x14:conditionalFormatting>
        <x14:conditionalFormatting xmlns:xm="http://schemas.microsoft.com/office/excel/2006/main">
          <x14:cfRule type="expression" priority="8" id="{0581874B-0044-AF4F-AE70-352FAC699DD5}">
            <xm:f>BASE!$GQ$13=0</xm:f>
            <x14:dxf>
              <font>
                <color theme="0" tint="-4.9989318521683403E-2"/>
              </font>
              <fill>
                <patternFill>
                  <bgColor theme="0" tint="-4.9989318521683403E-2"/>
                </patternFill>
              </fill>
              <border>
                <left/>
                <right/>
                <top/>
                <bottom/>
              </border>
            </x14:dxf>
          </x14:cfRule>
          <xm:sqref>BB170</xm:sqref>
        </x14:conditionalFormatting>
        <x14:conditionalFormatting xmlns:xm="http://schemas.microsoft.com/office/excel/2006/main">
          <x14:cfRule type="expression" priority="5" id="{87ADE6D7-5166-3D42-83F7-E3E8CEB8FBE2}">
            <xm:f>BASE!$GP$12=0</xm:f>
            <x14:dxf>
              <font>
                <color theme="0" tint="-4.9989318521683403E-2"/>
              </font>
              <fill>
                <patternFill>
                  <bgColor theme="0" tint="-4.9989318521683403E-2"/>
                </patternFill>
              </fill>
              <border>
                <left/>
                <right/>
                <top/>
                <bottom/>
              </border>
            </x14:dxf>
          </x14:cfRule>
          <xm:sqref>BB171</xm:sqref>
        </x14:conditionalFormatting>
        <x14:conditionalFormatting xmlns:xm="http://schemas.microsoft.com/office/excel/2006/main">
          <x14:cfRule type="expression" priority="6" id="{DFCA2A16-6471-E345-B598-F0A559169366}">
            <xm:f>BASE!$GQ$13=0</xm:f>
            <x14:dxf>
              <font>
                <color theme="0" tint="-4.9989318521683403E-2"/>
              </font>
              <fill>
                <patternFill>
                  <bgColor theme="0" tint="-4.9989318521683403E-2"/>
                </patternFill>
              </fill>
              <border>
                <left/>
                <right/>
                <top/>
                <bottom/>
              </border>
            </x14:dxf>
          </x14:cfRule>
          <xm:sqref>BB171</xm:sqref>
        </x14:conditionalFormatting>
        <x14:conditionalFormatting xmlns:xm="http://schemas.microsoft.com/office/excel/2006/main">
          <x14:cfRule type="expression" priority="3" id="{F397B3FD-A6C6-8C47-97C2-38AB0420BDA8}">
            <xm:f>BASE!$GP$12=0</xm:f>
            <x14:dxf>
              <font>
                <color theme="0" tint="-4.9989318521683403E-2"/>
              </font>
              <fill>
                <patternFill>
                  <bgColor theme="0" tint="-4.9989318521683403E-2"/>
                </patternFill>
              </fill>
              <border>
                <left/>
                <right/>
                <top/>
                <bottom/>
              </border>
            </x14:dxf>
          </x14:cfRule>
          <xm:sqref>BB172</xm:sqref>
        </x14:conditionalFormatting>
        <x14:conditionalFormatting xmlns:xm="http://schemas.microsoft.com/office/excel/2006/main">
          <x14:cfRule type="expression" priority="4" id="{482EB333-16AF-9245-9CA9-F0074CC371E3}">
            <xm:f>BASE!$GQ$13=0</xm:f>
            <x14:dxf>
              <font>
                <color theme="0" tint="-4.9989318521683403E-2"/>
              </font>
              <fill>
                <patternFill>
                  <bgColor theme="0" tint="-4.9989318521683403E-2"/>
                </patternFill>
              </fill>
              <border>
                <left/>
                <right/>
                <top/>
                <bottom/>
              </border>
            </x14:dxf>
          </x14:cfRule>
          <xm:sqref>BB172</xm:sqref>
        </x14:conditionalFormatting>
        <x14:conditionalFormatting xmlns:xm="http://schemas.microsoft.com/office/excel/2006/main">
          <x14:cfRule type="expression" priority="1" id="{B29503C1-999A-EB4A-9137-D8EE1DF0AED0}">
            <xm:f>BASE!$GP$12=0</xm:f>
            <x14:dxf>
              <font>
                <color theme="0" tint="-4.9989318521683403E-2"/>
              </font>
              <fill>
                <patternFill>
                  <bgColor theme="0" tint="-4.9989318521683403E-2"/>
                </patternFill>
              </fill>
              <border>
                <left/>
                <right/>
                <top/>
                <bottom/>
              </border>
            </x14:dxf>
          </x14:cfRule>
          <xm:sqref>BB173</xm:sqref>
        </x14:conditionalFormatting>
        <x14:conditionalFormatting xmlns:xm="http://schemas.microsoft.com/office/excel/2006/main">
          <x14:cfRule type="expression" priority="2" id="{19ADBF87-AC22-004A-8B2A-3E1B694ECD46}">
            <xm:f>BASE!$GQ$13=0</xm:f>
            <x14:dxf>
              <font>
                <color theme="0" tint="-4.9989318521683403E-2"/>
              </font>
              <fill>
                <patternFill>
                  <bgColor theme="0" tint="-4.9989318521683403E-2"/>
                </patternFill>
              </fill>
              <border>
                <left/>
                <right/>
                <top/>
                <bottom/>
              </border>
            </x14:dxf>
          </x14:cfRule>
          <xm:sqref>BB173</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sheetPr>
  <dimension ref="A1:BG85"/>
  <sheetViews>
    <sheetView zoomScaleNormal="100" zoomScalePageLayoutView="110" workbookViewId="0">
      <pane ySplit="6" topLeftCell="A7" activePane="bottomLeft" state="frozen"/>
      <selection pane="bottomLeft" activeCell="D20" sqref="D20:E20"/>
    </sheetView>
  </sheetViews>
  <sheetFormatPr baseColWidth="10" defaultColWidth="11.5" defaultRowHeight="15" customHeight="1" thickBottom="1"/>
  <cols>
    <col min="1" max="1" width="2.6640625" style="227" customWidth="1"/>
    <col min="2" max="2" width="23.1640625" style="227" customWidth="1"/>
    <col min="3" max="3" width="15.33203125" style="227" bestFit="1" customWidth="1"/>
    <col min="4" max="4" width="13.6640625" style="228" customWidth="1"/>
    <col min="5" max="5" width="8.33203125" style="228" customWidth="1"/>
    <col min="6" max="6" width="3.1640625" style="228" customWidth="1"/>
    <col min="7" max="7" width="21.33203125" style="227" bestFit="1" customWidth="1"/>
    <col min="8" max="8" width="8.6640625" style="227" bestFit="1" customWidth="1"/>
    <col min="9" max="9" width="22.1640625" style="227" bestFit="1" customWidth="1"/>
    <col min="10" max="10" width="12.5" style="227" customWidth="1"/>
    <col min="11" max="11" width="2.83203125" style="227" customWidth="1"/>
    <col min="12" max="12" width="2.83203125" style="81" hidden="1" customWidth="1"/>
    <col min="13" max="13" width="29" style="82" hidden="1" customWidth="1"/>
    <col min="14" max="14" width="15.33203125" style="82" hidden="1" customWidth="1"/>
    <col min="15" max="15" width="8.6640625" style="73" hidden="1" customWidth="1"/>
    <col min="16" max="16" width="9" style="73" hidden="1" customWidth="1"/>
    <col min="17" max="17" width="5.83203125" style="73" hidden="1" customWidth="1"/>
    <col min="18" max="18" width="21.33203125" style="82" hidden="1" customWidth="1"/>
    <col min="19" max="19" width="8.6640625" style="82" hidden="1" customWidth="1"/>
    <col min="20" max="20" width="22.1640625" style="82" hidden="1" customWidth="1"/>
    <col min="21" max="21" width="20.1640625" style="82" hidden="1" customWidth="1"/>
    <col min="22" max="23" width="5.5" style="82" hidden="1" customWidth="1"/>
    <col min="24" max="24" width="21" style="82" hidden="1" customWidth="1"/>
    <col min="25" max="25" width="20.83203125" style="73" hidden="1" customWidth="1"/>
    <col min="26" max="26" width="16.6640625" style="73" hidden="1" customWidth="1"/>
    <col min="27" max="27" width="21.1640625" style="73" hidden="1" customWidth="1"/>
    <col min="28" max="28" width="18" style="73" hidden="1" customWidth="1"/>
    <col min="29" max="29" width="7.5" style="82" hidden="1" customWidth="1"/>
    <col min="30" max="30" width="21" style="82" hidden="1" customWidth="1"/>
    <col min="31" max="31" width="18.1640625" style="82" hidden="1" customWidth="1"/>
    <col min="32" max="32" width="25" style="82" hidden="1" customWidth="1"/>
    <col min="33" max="33" width="20.83203125" style="82" hidden="1" customWidth="1"/>
    <col min="34" max="34" width="6.5" style="82" hidden="1" customWidth="1"/>
    <col min="35" max="35" width="24.6640625" style="82" hidden="1" customWidth="1"/>
    <col min="36" max="36" width="11.1640625" style="82" hidden="1" customWidth="1"/>
    <col min="37" max="37" width="11.5" style="82" hidden="1" customWidth="1"/>
    <col min="38" max="38" width="23.5" style="82" hidden="1" customWidth="1"/>
    <col min="39" max="39" width="18" style="82" hidden="1" customWidth="1"/>
    <col min="40" max="40" width="5.33203125" style="82" hidden="1" customWidth="1"/>
    <col min="41" max="41" width="21" style="82" hidden="1" customWidth="1"/>
    <col min="42" max="42" width="18.1640625" style="82" hidden="1" customWidth="1"/>
    <col min="43" max="43" width="25" style="82" hidden="1" customWidth="1"/>
    <col min="44" max="44" width="20.83203125" style="82" hidden="1" customWidth="1"/>
    <col min="45" max="45" width="2.83203125" style="82" hidden="1" customWidth="1"/>
    <col min="46" max="46" width="2.83203125" style="79" hidden="1" customWidth="1"/>
    <col min="47" max="47" width="2.83203125" style="86" customWidth="1"/>
    <col min="48" max="48" width="24.83203125" style="80" customWidth="1"/>
    <col min="49" max="49" width="2.1640625" style="80" customWidth="1"/>
    <col min="50" max="50" width="27.83203125" style="80" customWidth="1"/>
    <col min="51" max="51" width="1.83203125" style="80" customWidth="1"/>
    <col min="52" max="52" width="30.83203125" style="80" customWidth="1"/>
    <col min="53" max="53" width="2.83203125" style="80" customWidth="1"/>
    <col min="54" max="54" width="11.5" style="81"/>
    <col min="55" max="58" width="11.5" style="98"/>
    <col min="59" max="16384" width="11.5" style="82"/>
  </cols>
  <sheetData>
    <row r="1" spans="1:59" ht="15" customHeight="1" thickBot="1">
      <c r="BB1" s="532"/>
      <c r="BG1" s="533"/>
    </row>
    <row r="2" spans="1:59" ht="45" customHeight="1" thickBot="1">
      <c r="B2" s="239" t="s">
        <v>220</v>
      </c>
      <c r="M2" s="1138" t="s">
        <v>1690</v>
      </c>
      <c r="N2" s="1139"/>
      <c r="O2" s="1139"/>
      <c r="P2" s="1139"/>
      <c r="Q2" s="1139"/>
      <c r="R2" s="1139"/>
      <c r="S2" s="1139"/>
      <c r="T2" s="1139"/>
      <c r="U2" s="1140"/>
      <c r="X2" s="1141" t="s">
        <v>1484</v>
      </c>
      <c r="Y2" s="1142"/>
      <c r="Z2" s="1142"/>
      <c r="AA2" s="1142"/>
      <c r="AB2" s="1142"/>
      <c r="AC2" s="1142"/>
      <c r="AD2" s="1142"/>
      <c r="AE2" s="1142"/>
      <c r="AF2" s="1142"/>
      <c r="AG2" s="1142"/>
      <c r="AH2" s="1142"/>
      <c r="AI2" s="1142"/>
      <c r="AJ2" s="1142"/>
      <c r="AK2" s="1142"/>
      <c r="AL2" s="1142"/>
      <c r="AM2" s="1142"/>
      <c r="AN2" s="1142"/>
      <c r="AO2" s="1142"/>
      <c r="AP2" s="1142"/>
      <c r="AQ2" s="1142"/>
      <c r="AR2" s="1143"/>
      <c r="AS2" s="91"/>
      <c r="AT2" s="194"/>
      <c r="AU2" s="382"/>
      <c r="AV2" s="1136" t="s">
        <v>1481</v>
      </c>
      <c r="AW2" s="1137"/>
      <c r="AX2" s="195">
        <f>AR4</f>
        <v>0</v>
      </c>
      <c r="AZ2" s="357"/>
      <c r="BA2" s="297"/>
      <c r="BB2" s="534"/>
      <c r="BC2" s="200"/>
      <c r="BD2" s="197" t="str">
        <f>IF(AV4=" ",0,AV4)</f>
        <v>FALTAN DATOS</v>
      </c>
      <c r="BE2" s="198" t="e">
        <f>1-BD2</f>
        <v>#VALUE!</v>
      </c>
      <c r="BG2" s="533"/>
    </row>
    <row r="3" spans="1:59" ht="6" customHeight="1" thickBot="1">
      <c r="AV3" s="110"/>
      <c r="AW3" s="110"/>
      <c r="AX3" s="110"/>
      <c r="AZ3" s="358"/>
      <c r="BB3" s="532"/>
      <c r="BD3" s="198">
        <f>AG4</f>
        <v>0</v>
      </c>
      <c r="BG3" s="533"/>
    </row>
    <row r="4" spans="1:59" s="73" customFormat="1" ht="15" customHeight="1" thickBot="1">
      <c r="A4" s="228"/>
      <c r="B4" s="814" t="s">
        <v>9</v>
      </c>
      <c r="C4" s="811">
        <f>DATOS!C11</f>
        <v>0</v>
      </c>
      <c r="D4" s="811" t="s">
        <v>208</v>
      </c>
      <c r="E4" s="814">
        <f>VLOOKUP(C4,CLIMA,5,FALSE)</f>
        <v>0</v>
      </c>
      <c r="F4" s="814"/>
      <c r="G4" s="270" t="s">
        <v>563</v>
      </c>
      <c r="H4" s="251">
        <f>DATOS!C29</f>
        <v>0</v>
      </c>
      <c r="I4" s="251" t="s">
        <v>758</v>
      </c>
      <c r="J4" s="251">
        <f>VLOOKUP($C$4,CLIMA,13,FALSE)</f>
        <v>0</v>
      </c>
      <c r="K4" s="307"/>
      <c r="L4" s="248"/>
      <c r="M4" s="1127" t="s">
        <v>9</v>
      </c>
      <c r="N4" s="1158">
        <f>C4</f>
        <v>0</v>
      </c>
      <c r="O4" s="1158" t="s">
        <v>208</v>
      </c>
      <c r="P4" s="1127">
        <f>E4</f>
        <v>0</v>
      </c>
      <c r="Q4" s="1127"/>
      <c r="R4" s="301" t="s">
        <v>563</v>
      </c>
      <c r="S4" s="125">
        <f>H4</f>
        <v>0</v>
      </c>
      <c r="T4" s="125" t="s">
        <v>758</v>
      </c>
      <c r="U4" s="125">
        <f>J4</f>
        <v>0</v>
      </c>
      <c r="X4" s="1156" t="s">
        <v>779</v>
      </c>
      <c r="Y4" s="1156"/>
      <c r="Z4" s="1156"/>
      <c r="AA4" s="1156"/>
      <c r="AB4" s="1156"/>
      <c r="AC4" s="1156"/>
      <c r="AD4" s="1156"/>
      <c r="AE4" s="1156"/>
      <c r="AF4" s="1150" t="s">
        <v>1446</v>
      </c>
      <c r="AG4" s="1151">
        <f>IF(W9=0,0,AF14+AG23)</f>
        <v>0</v>
      </c>
      <c r="AH4" s="93"/>
      <c r="AI4" s="1156" t="s">
        <v>1129</v>
      </c>
      <c r="AJ4" s="1156"/>
      <c r="AK4" s="1156"/>
      <c r="AL4" s="1156"/>
      <c r="AM4" s="1156"/>
      <c r="AN4" s="1156"/>
      <c r="AO4" s="1156"/>
      <c r="AP4" s="1156"/>
      <c r="AQ4" s="1150" t="s">
        <v>1446</v>
      </c>
      <c r="AR4" s="1151">
        <f>IF((AQ14+AR23-M62-M63)&lt;0,0,AQ14+AR23-M62-M63)</f>
        <v>0</v>
      </c>
      <c r="AS4" s="93"/>
      <c r="AT4" s="194"/>
      <c r="AU4" s="382"/>
      <c r="AV4" s="1144" t="str">
        <f>IF(AV7=1,BASE!GS34,BASE!GV46)</f>
        <v>FALTAN DATOS</v>
      </c>
      <c r="AW4" s="1145"/>
      <c r="AX4" s="1146"/>
      <c r="AY4" s="80"/>
      <c r="AZ4" s="358"/>
      <c r="BA4" s="297"/>
      <c r="BB4" s="534"/>
      <c r="BC4" s="200"/>
      <c r="BD4" s="200"/>
      <c r="BE4" s="200"/>
      <c r="BF4" s="200"/>
      <c r="BG4" s="535"/>
    </row>
    <row r="5" spans="1:59" s="73" customFormat="1" ht="15" customHeight="1" thickBot="1">
      <c r="A5" s="228"/>
      <c r="B5" s="814"/>
      <c r="C5" s="811"/>
      <c r="D5" s="811"/>
      <c r="E5" s="814"/>
      <c r="F5" s="814"/>
      <c r="G5" s="270" t="s">
        <v>564</v>
      </c>
      <c r="H5" s="251">
        <f>H4*0.1</f>
        <v>0</v>
      </c>
      <c r="I5" s="251" t="s">
        <v>1691</v>
      </c>
      <c r="J5" s="251">
        <f>VLOOKUP($C$4,CLIMA,14,FALSE)</f>
        <v>0</v>
      </c>
      <c r="K5" s="307"/>
      <c r="L5" s="248"/>
      <c r="M5" s="1127"/>
      <c r="N5" s="1158"/>
      <c r="O5" s="1158"/>
      <c r="P5" s="1127"/>
      <c r="Q5" s="1127"/>
      <c r="R5" s="301" t="s">
        <v>564</v>
      </c>
      <c r="S5" s="125">
        <f>H5</f>
        <v>0</v>
      </c>
      <c r="T5" s="125" t="s">
        <v>1691</v>
      </c>
      <c r="U5" s="125">
        <f>J5</f>
        <v>0</v>
      </c>
      <c r="X5" s="1156"/>
      <c r="Y5" s="1156"/>
      <c r="Z5" s="1156"/>
      <c r="AA5" s="1156"/>
      <c r="AB5" s="1156"/>
      <c r="AC5" s="1156"/>
      <c r="AD5" s="1156"/>
      <c r="AE5" s="1156"/>
      <c r="AF5" s="1150"/>
      <c r="AG5" s="1152"/>
      <c r="AH5" s="93"/>
      <c r="AI5" s="1156"/>
      <c r="AJ5" s="1156"/>
      <c r="AK5" s="1156"/>
      <c r="AL5" s="1156"/>
      <c r="AM5" s="1156"/>
      <c r="AN5" s="1156"/>
      <c r="AO5" s="1156"/>
      <c r="AP5" s="1156"/>
      <c r="AQ5" s="1150"/>
      <c r="AR5" s="1152"/>
      <c r="AS5" s="93"/>
      <c r="AT5" s="194"/>
      <c r="AU5" s="382"/>
      <c r="AV5" s="1147"/>
      <c r="AW5" s="1148"/>
      <c r="AX5" s="1149"/>
      <c r="AY5" s="80"/>
      <c r="AZ5" s="359"/>
      <c r="BA5" s="297"/>
      <c r="BB5" s="534"/>
      <c r="BC5" s="200"/>
      <c r="BD5" s="200"/>
      <c r="BE5" s="200"/>
      <c r="BF5" s="200"/>
      <c r="BG5" s="535"/>
    </row>
    <row r="6" spans="1:59" ht="6" customHeight="1" thickBot="1">
      <c r="B6" s="256"/>
      <c r="C6" s="256"/>
      <c r="D6" s="307"/>
      <c r="E6" s="307"/>
      <c r="F6" s="307"/>
      <c r="G6" s="256"/>
      <c r="H6" s="256"/>
      <c r="I6" s="256"/>
      <c r="J6" s="256"/>
      <c r="K6" s="256"/>
      <c r="L6" s="221"/>
      <c r="M6" s="91"/>
      <c r="N6" s="91"/>
      <c r="O6" s="93"/>
      <c r="P6" s="93"/>
      <c r="Q6" s="93"/>
      <c r="R6" s="91"/>
      <c r="S6" s="91"/>
      <c r="T6" s="91"/>
      <c r="U6" s="91"/>
      <c r="AJ6" s="73"/>
      <c r="AK6" s="73"/>
      <c r="AL6" s="73"/>
      <c r="AM6" s="73"/>
    </row>
    <row r="7" spans="1:59" s="85" customFormat="1" ht="30" customHeight="1" thickBot="1">
      <c r="A7" s="239"/>
      <c r="B7" s="774" t="s">
        <v>663</v>
      </c>
      <c r="C7" s="774"/>
      <c r="D7" s="774"/>
      <c r="E7" s="774"/>
      <c r="F7" s="774"/>
      <c r="G7" s="774"/>
      <c r="H7" s="774"/>
      <c r="I7" s="774"/>
      <c r="J7" s="774"/>
      <c r="K7" s="252"/>
      <c r="L7" s="249"/>
      <c r="M7" s="1155" t="s">
        <v>663</v>
      </c>
      <c r="N7" s="1155"/>
      <c r="O7" s="1155"/>
      <c r="P7" s="1155"/>
      <c r="Q7" s="1155"/>
      <c r="R7" s="1155"/>
      <c r="S7" s="1155"/>
      <c r="T7" s="1155"/>
      <c r="U7" s="1155"/>
      <c r="X7" s="1155" t="s">
        <v>663</v>
      </c>
      <c r="Y7" s="1155"/>
      <c r="Z7" s="1155"/>
      <c r="AA7" s="1155"/>
      <c r="AB7" s="1155"/>
      <c r="AC7" s="1155"/>
      <c r="AD7" s="1155"/>
      <c r="AE7" s="1155"/>
      <c r="AF7" s="1155"/>
      <c r="AG7" s="1155"/>
      <c r="AH7" s="1155"/>
      <c r="AI7" s="1155"/>
      <c r="AJ7" s="1155"/>
      <c r="AK7" s="1155"/>
      <c r="AL7" s="1155"/>
      <c r="AM7" s="1155"/>
      <c r="AN7" s="1155"/>
      <c r="AO7" s="1155"/>
      <c r="AP7" s="1155"/>
      <c r="AQ7" s="1155"/>
      <c r="AR7" s="1155"/>
      <c r="AS7" s="89"/>
      <c r="AT7" s="201"/>
      <c r="AU7" s="87"/>
      <c r="AV7" s="786">
        <f>IF(AQ14&gt;AF14,1,0)</f>
        <v>0</v>
      </c>
      <c r="AW7" s="786"/>
      <c r="AX7" s="786"/>
      <c r="AY7" s="786"/>
      <c r="AZ7" s="786"/>
      <c r="BA7" s="202"/>
      <c r="BB7" s="203"/>
      <c r="BC7" s="204"/>
      <c r="BD7" s="204"/>
      <c r="BE7" s="204"/>
      <c r="BF7" s="204"/>
    </row>
    <row r="8" spans="1:59" ht="6" customHeight="1" thickBot="1">
      <c r="B8" s="236"/>
      <c r="C8" s="236"/>
      <c r="D8" s="257"/>
      <c r="E8" s="257"/>
      <c r="F8" s="257"/>
      <c r="G8" s="236"/>
      <c r="H8" s="236"/>
      <c r="I8" s="236"/>
      <c r="J8" s="236"/>
      <c r="K8" s="256"/>
      <c r="L8" s="221"/>
      <c r="M8" s="91"/>
      <c r="N8" s="91"/>
      <c r="O8" s="93"/>
      <c r="P8" s="93"/>
      <c r="Q8" s="93"/>
      <c r="R8" s="91"/>
      <c r="S8" s="91"/>
      <c r="T8" s="91"/>
      <c r="U8" s="91"/>
      <c r="AJ8" s="73"/>
      <c r="AK8" s="73"/>
      <c r="AL8" s="73"/>
      <c r="AM8" s="73"/>
      <c r="AV8" s="373"/>
      <c r="AW8" s="374"/>
      <c r="AX8" s="377"/>
      <c r="AY8" s="205"/>
      <c r="AZ8" s="1160" t="s">
        <v>2040</v>
      </c>
    </row>
    <row r="9" spans="1:59" ht="15" customHeight="1" thickBot="1">
      <c r="B9" s="236"/>
      <c r="C9" s="236"/>
      <c r="D9" s="799" t="s">
        <v>565</v>
      </c>
      <c r="E9" s="799"/>
      <c r="F9" s="257"/>
      <c r="G9" s="236"/>
      <c r="H9" s="236"/>
      <c r="I9" s="799" t="s">
        <v>565</v>
      </c>
      <c r="J9" s="799"/>
      <c r="K9" s="256"/>
      <c r="L9" s="221"/>
      <c r="M9" s="91"/>
      <c r="N9" s="91"/>
      <c r="O9" s="1127" t="s">
        <v>565</v>
      </c>
      <c r="P9" s="1127"/>
      <c r="Q9" s="93"/>
      <c r="R9" s="91"/>
      <c r="S9" s="91"/>
      <c r="T9" s="1127" t="s">
        <v>565</v>
      </c>
      <c r="U9" s="1127"/>
      <c r="V9" s="463">
        <f>IF((I11+J11)=0,0,1)</f>
        <v>0</v>
      </c>
      <c r="W9" s="1079">
        <f>IF(AVERAGE(V9:V15)=1,1,0)</f>
        <v>0</v>
      </c>
      <c r="X9" s="322"/>
      <c r="Y9" s="299" t="s">
        <v>802</v>
      </c>
      <c r="Z9" s="299" t="s">
        <v>803</v>
      </c>
      <c r="AA9" s="299" t="s">
        <v>804</v>
      </c>
      <c r="AB9" s="299" t="s">
        <v>818</v>
      </c>
      <c r="AD9" s="322"/>
      <c r="AE9" s="299" t="s">
        <v>802</v>
      </c>
      <c r="AF9" s="299" t="s">
        <v>803</v>
      </c>
      <c r="AG9" s="299" t="s">
        <v>804</v>
      </c>
      <c r="AI9" s="322"/>
      <c r="AJ9" s="299" t="s">
        <v>802</v>
      </c>
      <c r="AK9" s="299" t="s">
        <v>803</v>
      </c>
      <c r="AL9" s="299" t="s">
        <v>804</v>
      </c>
      <c r="AM9" s="299" t="s">
        <v>818</v>
      </c>
      <c r="AO9" s="322"/>
      <c r="AP9" s="299" t="s">
        <v>802</v>
      </c>
      <c r="AQ9" s="299" t="s">
        <v>803</v>
      </c>
      <c r="AR9" s="299" t="s">
        <v>804</v>
      </c>
      <c r="AU9" s="86">
        <f t="shared" ref="AU9:AU14" si="0">IF(D10&lt;=O10,0,1)</f>
        <v>0</v>
      </c>
      <c r="AV9" s="379" t="s">
        <v>1413</v>
      </c>
      <c r="AW9" s="112"/>
      <c r="AX9" s="380" t="str">
        <f>IF(D10=0,"Ingresar Caudales",REPT("|",AL10/($AP$14)*100))</f>
        <v>Ingresar Caudales</v>
      </c>
      <c r="AY9" s="205"/>
      <c r="AZ9" s="1160"/>
    </row>
    <row r="10" spans="1:59" ht="15" customHeight="1" thickBot="1">
      <c r="B10" s="782" t="s">
        <v>665</v>
      </c>
      <c r="C10" s="782"/>
      <c r="D10" s="779"/>
      <c r="E10" s="779"/>
      <c r="F10" s="360"/>
      <c r="G10" s="236"/>
      <c r="H10" s="236"/>
      <c r="I10" s="272" t="s">
        <v>704</v>
      </c>
      <c r="J10" s="272" t="s">
        <v>705</v>
      </c>
      <c r="K10" s="256"/>
      <c r="L10" s="221"/>
      <c r="M10" s="1126" t="s">
        <v>665</v>
      </c>
      <c r="N10" s="1126"/>
      <c r="O10" s="1159">
        <f>'BASE DE DATOS'!GQ35</f>
        <v>9</v>
      </c>
      <c r="P10" s="1159"/>
      <c r="Q10" s="214"/>
      <c r="R10" s="91"/>
      <c r="S10" s="91"/>
      <c r="T10" s="301" t="s">
        <v>704</v>
      </c>
      <c r="U10" s="301" t="s">
        <v>705</v>
      </c>
      <c r="V10" s="463">
        <f>IF(D10=0,0,1)</f>
        <v>0</v>
      </c>
      <c r="W10" s="1080"/>
      <c r="X10" s="361" t="s">
        <v>796</v>
      </c>
      <c r="Y10" s="124">
        <v>1</v>
      </c>
      <c r="Z10" s="124">
        <v>0</v>
      </c>
      <c r="AA10" s="300">
        <f>(((Y10*$S$4)+(Z10*$S$5))*O10)*365</f>
        <v>0</v>
      </c>
      <c r="AB10" s="300">
        <f>((O10*((Y10*$S$4)+(Z10*$S$5))*365)/60)</f>
        <v>0</v>
      </c>
      <c r="AD10" s="362" t="s">
        <v>805</v>
      </c>
      <c r="AE10" s="124">
        <v>2</v>
      </c>
      <c r="AF10" s="124">
        <v>0</v>
      </c>
      <c r="AG10" s="300">
        <f>(((AE10*$S$4)+(AF10*$S$5))*T11)*365</f>
        <v>0</v>
      </c>
      <c r="AI10" s="361" t="s">
        <v>796</v>
      </c>
      <c r="AJ10" s="299">
        <f t="shared" ref="AJ10:AK15" si="1">Y10</f>
        <v>1</v>
      </c>
      <c r="AK10" s="299">
        <f t="shared" si="1"/>
        <v>0</v>
      </c>
      <c r="AL10" s="300">
        <f t="shared" ref="AL10:AL14" si="2">(((AJ10*$S$4)+(AK10*$S$5))*D10)*365</f>
        <v>0</v>
      </c>
      <c r="AM10" s="300">
        <f>((D10*((Y10*$S$4)+(Z10*$S$5))*365)/60)</f>
        <v>0</v>
      </c>
      <c r="AO10" s="362" t="s">
        <v>805</v>
      </c>
      <c r="AP10" s="299">
        <f>AE10</f>
        <v>2</v>
      </c>
      <c r="AQ10" s="299">
        <f>AF10</f>
        <v>0</v>
      </c>
      <c r="AR10" s="300">
        <f>((((AP10*$S$4)+(AQ10*$S$5))*I11)*365)</f>
        <v>0</v>
      </c>
      <c r="AU10" s="86">
        <f t="shared" si="0"/>
        <v>0</v>
      </c>
      <c r="AV10" s="379" t="s">
        <v>1692</v>
      </c>
      <c r="AW10" s="112"/>
      <c r="AX10" s="380" t="str">
        <f>IF(D11=0,"Ingresar Caudales",REPT("|",AL11/($AP$14)*100))</f>
        <v>Ingresar Caudales</v>
      </c>
      <c r="AY10" s="205"/>
      <c r="AZ10" s="1160"/>
    </row>
    <row r="11" spans="1:59" ht="15" customHeight="1" thickBot="1">
      <c r="B11" s="782" t="s">
        <v>666</v>
      </c>
      <c r="C11" s="782"/>
      <c r="D11" s="779"/>
      <c r="E11" s="779"/>
      <c r="F11" s="360"/>
      <c r="G11" s="788" t="s">
        <v>664</v>
      </c>
      <c r="H11" s="788"/>
      <c r="I11" s="779"/>
      <c r="J11" s="779"/>
      <c r="K11" s="256"/>
      <c r="L11" s="221"/>
      <c r="M11" s="1126" t="s">
        <v>666</v>
      </c>
      <c r="N11" s="1126"/>
      <c r="O11" s="1159">
        <f>'BASE DE DATOS'!GQ36</f>
        <v>9</v>
      </c>
      <c r="P11" s="1159"/>
      <c r="Q11" s="214"/>
      <c r="R11" s="1161" t="s">
        <v>664</v>
      </c>
      <c r="S11" s="1161"/>
      <c r="T11" s="1159">
        <f>'BASE DE DATOS'!GQ41</f>
        <v>6</v>
      </c>
      <c r="U11" s="1159">
        <f>'BASE DE DATOS'!GQ42</f>
        <v>3</v>
      </c>
      <c r="V11" s="463">
        <f t="shared" ref="V11:V12" si="3">IF(D11=0,0,1)</f>
        <v>0</v>
      </c>
      <c r="W11" s="1080"/>
      <c r="X11" s="361" t="s">
        <v>797</v>
      </c>
      <c r="Y11" s="124">
        <v>4</v>
      </c>
      <c r="Z11" s="124">
        <v>0</v>
      </c>
      <c r="AA11" s="300">
        <f>(((Y11*$S$4)+(Z11*$S$5))*O11)*365</f>
        <v>0</v>
      </c>
      <c r="AB11" s="300">
        <f t="shared" ref="AB11:AB15" si="4">((O11*((Y11*$S$4)+(Z11*$S$5))*365)/60)</f>
        <v>0</v>
      </c>
      <c r="AD11" s="362" t="s">
        <v>806</v>
      </c>
      <c r="AE11" s="124">
        <v>3</v>
      </c>
      <c r="AF11" s="124">
        <v>0.5</v>
      </c>
      <c r="AG11" s="300">
        <f>(((AE11*$S$4)+(AF11*$S$5))*U11)*365</f>
        <v>0</v>
      </c>
      <c r="AI11" s="361" t="s">
        <v>797</v>
      </c>
      <c r="AJ11" s="299">
        <f t="shared" si="1"/>
        <v>4</v>
      </c>
      <c r="AK11" s="299">
        <f t="shared" si="1"/>
        <v>0</v>
      </c>
      <c r="AL11" s="300">
        <f t="shared" si="2"/>
        <v>0</v>
      </c>
      <c r="AM11" s="300">
        <f t="shared" ref="AM11:AM15" si="5">((D11*((Y11*$S$4)+(Z11*$S$5))*365)/60)</f>
        <v>0</v>
      </c>
      <c r="AO11" s="362" t="s">
        <v>806</v>
      </c>
      <c r="AP11" s="299">
        <f>AE11</f>
        <v>3</v>
      </c>
      <c r="AQ11" s="299">
        <f>AF11</f>
        <v>0.5</v>
      </c>
      <c r="AR11" s="300">
        <f>(((AP11*$S$4)+(AQ11*$S$5))*J11)*365</f>
        <v>0</v>
      </c>
      <c r="AU11" s="86">
        <f t="shared" si="0"/>
        <v>0</v>
      </c>
      <c r="AV11" s="379" t="s">
        <v>1693</v>
      </c>
      <c r="AW11" s="112"/>
      <c r="AX11" s="380" t="str">
        <f>IF(D12=0,"Ingresar Caudales",REPT("|",AL12/($AP$14)*100))</f>
        <v>Ingresar Caudales</v>
      </c>
      <c r="AY11" s="205"/>
      <c r="AZ11" s="1160"/>
    </row>
    <row r="12" spans="1:59" ht="15" customHeight="1" thickBot="1">
      <c r="B12" s="782" t="s">
        <v>667</v>
      </c>
      <c r="C12" s="782"/>
      <c r="D12" s="779"/>
      <c r="E12" s="779"/>
      <c r="F12" s="360"/>
      <c r="G12" s="788"/>
      <c r="H12" s="788"/>
      <c r="I12" s="779"/>
      <c r="J12" s="779"/>
      <c r="K12" s="256"/>
      <c r="L12" s="221"/>
      <c r="M12" s="1126" t="s">
        <v>667</v>
      </c>
      <c r="N12" s="1126"/>
      <c r="O12" s="1159">
        <f>'BASE DE DATOS'!GQ37</f>
        <v>9</v>
      </c>
      <c r="P12" s="1159"/>
      <c r="Q12" s="214"/>
      <c r="R12" s="1161"/>
      <c r="S12" s="1161"/>
      <c r="T12" s="1159"/>
      <c r="U12" s="1159"/>
      <c r="V12" s="463">
        <f t="shared" si="3"/>
        <v>0</v>
      </c>
      <c r="W12" s="1080"/>
      <c r="X12" s="361" t="s">
        <v>798</v>
      </c>
      <c r="Y12" s="124">
        <v>4</v>
      </c>
      <c r="Z12" s="124">
        <v>0.5</v>
      </c>
      <c r="AA12" s="300">
        <f>(((Y12*$S$4)+(Z12*$S$5))*O12)*365</f>
        <v>0</v>
      </c>
      <c r="AB12" s="300">
        <f t="shared" si="4"/>
        <v>0</v>
      </c>
      <c r="AI12" s="361" t="s">
        <v>798</v>
      </c>
      <c r="AJ12" s="299">
        <f t="shared" si="1"/>
        <v>4</v>
      </c>
      <c r="AK12" s="299">
        <f t="shared" si="1"/>
        <v>0.5</v>
      </c>
      <c r="AL12" s="300">
        <f t="shared" si="2"/>
        <v>0</v>
      </c>
      <c r="AM12" s="300">
        <f t="shared" si="5"/>
        <v>0</v>
      </c>
      <c r="AU12" s="86">
        <f t="shared" si="0"/>
        <v>0</v>
      </c>
      <c r="AV12" s="379" t="s">
        <v>1673</v>
      </c>
      <c r="AW12" s="112"/>
      <c r="AX12" s="517" t="str">
        <f>IF(D13=0,"-",REPT("|",AL13/($AP$14)*100))</f>
        <v>-</v>
      </c>
      <c r="AY12" s="205"/>
      <c r="AZ12" s="1160"/>
    </row>
    <row r="13" spans="1:59" ht="15" customHeight="1" thickBot="1">
      <c r="B13" s="782" t="s">
        <v>668</v>
      </c>
      <c r="C13" s="782"/>
      <c r="D13" s="779"/>
      <c r="E13" s="779"/>
      <c r="F13" s="360"/>
      <c r="G13" s="236"/>
      <c r="H13" s="236"/>
      <c r="I13" s="236"/>
      <c r="J13" s="236"/>
      <c r="K13" s="256"/>
      <c r="L13" s="221"/>
      <c r="M13" s="1126" t="s">
        <v>668</v>
      </c>
      <c r="N13" s="1126"/>
      <c r="O13" s="1159">
        <f>'BASE DE DATOS'!GQ38</f>
        <v>9</v>
      </c>
      <c r="P13" s="1159"/>
      <c r="Q13" s="214"/>
      <c r="R13" s="91"/>
      <c r="S13" s="91"/>
      <c r="U13" s="91"/>
      <c r="V13" s="463">
        <v>1</v>
      </c>
      <c r="W13" s="1080"/>
      <c r="X13" s="361" t="s">
        <v>799</v>
      </c>
      <c r="Y13" s="124">
        <f>IF(D13=0,0,2)</f>
        <v>0</v>
      </c>
      <c r="Z13" s="124">
        <v>0</v>
      </c>
      <c r="AA13" s="300">
        <f>(((Y13*$S$4)+(Z13*$S$5))*O13)*365</f>
        <v>0</v>
      </c>
      <c r="AB13" s="300">
        <f t="shared" si="4"/>
        <v>0</v>
      </c>
      <c r="AD13" s="85"/>
      <c r="AE13" s="363" t="s">
        <v>808</v>
      </c>
      <c r="AF13" s="298" t="s">
        <v>759</v>
      </c>
      <c r="AG13" s="299" t="s">
        <v>1302</v>
      </c>
      <c r="AI13" s="361" t="s">
        <v>799</v>
      </c>
      <c r="AJ13" s="299">
        <f t="shared" si="1"/>
        <v>0</v>
      </c>
      <c r="AK13" s="299">
        <f t="shared" si="1"/>
        <v>0</v>
      </c>
      <c r="AL13" s="300">
        <f t="shared" si="2"/>
        <v>0</v>
      </c>
      <c r="AM13" s="300">
        <f t="shared" si="5"/>
        <v>0</v>
      </c>
      <c r="AO13" s="85"/>
      <c r="AP13" s="363" t="s">
        <v>808</v>
      </c>
      <c r="AQ13" s="298" t="s">
        <v>759</v>
      </c>
      <c r="AR13" s="299" t="s">
        <v>1302</v>
      </c>
      <c r="AU13" s="86">
        <f t="shared" si="0"/>
        <v>0</v>
      </c>
      <c r="AV13" s="379" t="s">
        <v>1674</v>
      </c>
      <c r="AW13" s="112"/>
      <c r="AX13" s="517" t="str">
        <f>IF(D14=0,"-",REPT("|",AL14/($AP$14)*100))</f>
        <v>-</v>
      </c>
      <c r="AY13" s="205"/>
      <c r="AZ13" s="1160"/>
    </row>
    <row r="14" spans="1:59" ht="15" customHeight="1" thickBot="1">
      <c r="B14" s="782" t="s">
        <v>669</v>
      </c>
      <c r="C14" s="782"/>
      <c r="D14" s="779"/>
      <c r="E14" s="779"/>
      <c r="F14" s="360"/>
      <c r="G14" s="236"/>
      <c r="H14" s="236"/>
      <c r="I14" s="236"/>
      <c r="J14" s="236"/>
      <c r="K14" s="256"/>
      <c r="L14" s="221"/>
      <c r="M14" s="1126" t="s">
        <v>669</v>
      </c>
      <c r="N14" s="1126"/>
      <c r="O14" s="1159">
        <f>'BASE DE DATOS'!GQ39</f>
        <v>11</v>
      </c>
      <c r="P14" s="1159"/>
      <c r="Q14" s="214"/>
      <c r="R14" s="91"/>
      <c r="S14" s="91"/>
      <c r="T14" s="91"/>
      <c r="U14" s="91"/>
      <c r="V14" s="463">
        <v>1</v>
      </c>
      <c r="W14" s="1080"/>
      <c r="X14" s="361" t="s">
        <v>800</v>
      </c>
      <c r="Y14" s="124">
        <f>IF(D14=0,0,0.5)</f>
        <v>0</v>
      </c>
      <c r="Z14" s="124">
        <v>0</v>
      </c>
      <c r="AA14" s="300">
        <f t="shared" ref="AA14" si="6">(((Y14*$S$4)+(Z14*$S$5))*O14)*365</f>
        <v>0</v>
      </c>
      <c r="AB14" s="300">
        <v>0</v>
      </c>
      <c r="AD14" s="1153" t="s">
        <v>807</v>
      </c>
      <c r="AE14" s="1154">
        <f>SUM(AA10:AA15)+SUM(AG10:AG11)</f>
        <v>0</v>
      </c>
      <c r="AF14" s="1084">
        <f>AE14*0.001</f>
        <v>0</v>
      </c>
      <c r="AG14" s="1157">
        <f>SUM(AB10:AB15)*0.6-200</f>
        <v>-200</v>
      </c>
      <c r="AI14" s="361" t="s">
        <v>800</v>
      </c>
      <c r="AJ14" s="299">
        <f t="shared" si="1"/>
        <v>0</v>
      </c>
      <c r="AK14" s="299">
        <f t="shared" si="1"/>
        <v>0</v>
      </c>
      <c r="AL14" s="300">
        <f t="shared" si="2"/>
        <v>0</v>
      </c>
      <c r="AM14" s="300">
        <v>0</v>
      </c>
      <c r="AO14" s="1153" t="s">
        <v>807</v>
      </c>
      <c r="AP14" s="1154">
        <f>SUM(AL10:AL15)+SUM(AR10:AR11)</f>
        <v>0</v>
      </c>
      <c r="AQ14" s="1084">
        <f>(AP14*0.001)-AP69-AP70-AP71</f>
        <v>0</v>
      </c>
      <c r="AR14" s="1157">
        <f>SUM(AM10:AM15)*0.6-(ENERGÍA!L250)</f>
        <v>0</v>
      </c>
      <c r="AU14" s="86">
        <f t="shared" si="0"/>
        <v>0</v>
      </c>
      <c r="AV14" s="379" t="s">
        <v>1414</v>
      </c>
      <c r="AW14" s="112"/>
      <c r="AX14" s="380" t="str">
        <f>IF(DATOS!G59="No","-",IF(D15=0,"Ingresar Caudales",REPT("|",AL15/($AP$14)*100)))</f>
        <v>-</v>
      </c>
      <c r="AY14" s="205"/>
      <c r="AZ14" s="1160"/>
    </row>
    <row r="15" spans="1:59" ht="15" customHeight="1" thickBot="1">
      <c r="B15" s="782" t="s">
        <v>670</v>
      </c>
      <c r="C15" s="782"/>
      <c r="D15" s="779"/>
      <c r="E15" s="779"/>
      <c r="F15" s="360"/>
      <c r="G15" s="236"/>
      <c r="H15" s="236"/>
      <c r="I15" s="236"/>
      <c r="J15" s="236"/>
      <c r="K15" s="256"/>
      <c r="L15" s="221"/>
      <c r="M15" s="1126" t="s">
        <v>670</v>
      </c>
      <c r="N15" s="1126"/>
      <c r="O15" s="1159">
        <f>'BASE DE DATOS'!GQ40</f>
        <v>100</v>
      </c>
      <c r="P15" s="1159"/>
      <c r="Q15" s="214"/>
      <c r="R15" s="91"/>
      <c r="S15" s="91"/>
      <c r="T15" s="91"/>
      <c r="U15" s="91"/>
      <c r="V15" s="463">
        <f>IF(DATOS!G59="No",1,IF(D15=0,0,1))</f>
        <v>1</v>
      </c>
      <c r="W15" s="1081"/>
      <c r="X15" s="361" t="s">
        <v>801</v>
      </c>
      <c r="Y15" s="124">
        <v>1</v>
      </c>
      <c r="Z15" s="124">
        <v>0</v>
      </c>
      <c r="AA15" s="300">
        <f>((Y15*$S$4)+(Z15*$S$5))*O15*365</f>
        <v>0</v>
      </c>
      <c r="AB15" s="300">
        <f t="shared" si="4"/>
        <v>0</v>
      </c>
      <c r="AD15" s="1153"/>
      <c r="AE15" s="1154"/>
      <c r="AF15" s="1084"/>
      <c r="AG15" s="1156"/>
      <c r="AI15" s="361" t="s">
        <v>801</v>
      </c>
      <c r="AJ15" s="299">
        <f t="shared" si="1"/>
        <v>1</v>
      </c>
      <c r="AK15" s="299">
        <f t="shared" si="1"/>
        <v>0</v>
      </c>
      <c r="AL15" s="300">
        <f>IF(DATOS!G59="No",AA15,((((AJ15*$S$4)+(AK15*$S$5))*D15)*365))</f>
        <v>0</v>
      </c>
      <c r="AM15" s="300">
        <f t="shared" si="5"/>
        <v>0</v>
      </c>
      <c r="AO15" s="1153"/>
      <c r="AP15" s="1154"/>
      <c r="AQ15" s="1084"/>
      <c r="AR15" s="1156"/>
      <c r="AV15" s="379" t="s">
        <v>1454</v>
      </c>
      <c r="AW15" s="112"/>
      <c r="AX15" s="380" t="str">
        <f>IF(I11=0,"Ingresar Caudales",REPT("|",(AR10+AR11)/($AP$14)*100))</f>
        <v>Ingresar Caudales</v>
      </c>
      <c r="AY15" s="205"/>
      <c r="AZ15" s="1160"/>
    </row>
    <row r="16" spans="1:59" ht="6" customHeight="1" thickBot="1">
      <c r="B16" s="256"/>
      <c r="C16" s="256"/>
      <c r="D16" s="307"/>
      <c r="E16" s="307"/>
      <c r="F16" s="307"/>
      <c r="G16" s="256"/>
      <c r="H16" s="256"/>
      <c r="I16" s="256"/>
      <c r="J16" s="256"/>
      <c r="K16" s="252"/>
      <c r="L16" s="221"/>
      <c r="M16" s="218"/>
      <c r="N16" s="218"/>
      <c r="O16" s="199"/>
      <c r="P16" s="199"/>
      <c r="Q16" s="199"/>
      <c r="R16" s="218"/>
      <c r="S16" s="218"/>
      <c r="T16" s="218"/>
      <c r="U16" s="218"/>
      <c r="V16" s="85"/>
      <c r="AV16" s="375"/>
      <c r="AW16" s="376"/>
      <c r="AX16" s="378"/>
      <c r="AY16" s="205"/>
      <c r="AZ16" s="1160"/>
    </row>
    <row r="17" spans="1:58" s="85" customFormat="1" ht="30" customHeight="1" thickBot="1">
      <c r="A17" s="239"/>
      <c r="B17" s="774" t="s">
        <v>711</v>
      </c>
      <c r="C17" s="774"/>
      <c r="D17" s="774"/>
      <c r="E17" s="774"/>
      <c r="F17" s="774"/>
      <c r="G17" s="774"/>
      <c r="H17" s="774"/>
      <c r="I17" s="774"/>
      <c r="J17" s="774"/>
      <c r="K17" s="252"/>
      <c r="L17" s="249"/>
      <c r="M17" s="1155" t="s">
        <v>711</v>
      </c>
      <c r="N17" s="1155"/>
      <c r="O17" s="1155"/>
      <c r="P17" s="1155"/>
      <c r="Q17" s="1155"/>
      <c r="R17" s="1155"/>
      <c r="S17" s="1155"/>
      <c r="T17" s="1155"/>
      <c r="U17" s="1155"/>
      <c r="X17" s="1155" t="s">
        <v>711</v>
      </c>
      <c r="Y17" s="1155"/>
      <c r="Z17" s="1155"/>
      <c r="AA17" s="1155"/>
      <c r="AB17" s="1155"/>
      <c r="AC17" s="1155"/>
      <c r="AD17" s="1155"/>
      <c r="AE17" s="1155"/>
      <c r="AF17" s="1155"/>
      <c r="AG17" s="1155"/>
      <c r="AH17" s="1155"/>
      <c r="AI17" s="1155"/>
      <c r="AJ17" s="1155"/>
      <c r="AK17" s="1155"/>
      <c r="AL17" s="1155"/>
      <c r="AM17" s="1155"/>
      <c r="AN17" s="1155"/>
      <c r="AO17" s="1155"/>
      <c r="AP17" s="1155"/>
      <c r="AQ17" s="1155"/>
      <c r="AR17" s="1155"/>
      <c r="AS17" s="89"/>
      <c r="AT17" s="201"/>
      <c r="AU17" s="87"/>
      <c r="AV17" s="205"/>
      <c r="AW17" s="205"/>
      <c r="AX17" s="205"/>
      <c r="AY17" s="205"/>
      <c r="AZ17" s="206"/>
      <c r="BA17" s="205"/>
      <c r="BB17" s="203"/>
      <c r="BC17" s="204"/>
      <c r="BD17" s="204"/>
      <c r="BE17" s="204"/>
      <c r="BF17" s="204"/>
    </row>
    <row r="18" spans="1:58" ht="6" customHeight="1" thickBot="1">
      <c r="B18" s="236"/>
      <c r="C18" s="236"/>
      <c r="D18" s="257"/>
      <c r="E18" s="257"/>
      <c r="F18" s="257"/>
      <c r="G18" s="236"/>
      <c r="H18" s="236"/>
      <c r="I18" s="236"/>
      <c r="J18" s="236"/>
      <c r="K18" s="256"/>
      <c r="L18" s="221"/>
      <c r="M18" s="91"/>
      <c r="N18" s="91"/>
      <c r="O18" s="93"/>
      <c r="P18" s="93"/>
      <c r="Q18" s="93"/>
      <c r="R18" s="91"/>
      <c r="S18" s="91"/>
      <c r="T18" s="91"/>
      <c r="U18" s="91"/>
      <c r="AV18" s="86"/>
      <c r="AW18" s="86"/>
      <c r="AX18" s="86"/>
      <c r="AY18" s="86"/>
      <c r="AZ18" s="207"/>
      <c r="BA18" s="86"/>
    </row>
    <row r="19" spans="1:58" ht="15" customHeight="1" thickBot="1">
      <c r="B19" s="782" t="s">
        <v>712</v>
      </c>
      <c r="C19" s="782"/>
      <c r="D19" s="802">
        <f>DATOS!G37</f>
        <v>0</v>
      </c>
      <c r="E19" s="802"/>
      <c r="F19" s="257"/>
      <c r="K19" s="256"/>
      <c r="L19" s="221"/>
      <c r="M19" s="1122" t="s">
        <v>712</v>
      </c>
      <c r="N19" s="1123"/>
      <c r="O19" s="1124">
        <f>D19</f>
        <v>0</v>
      </c>
      <c r="P19" s="1125"/>
      <c r="Q19" s="93"/>
      <c r="X19" s="1101" t="s">
        <v>1675</v>
      </c>
      <c r="Y19" s="1102"/>
      <c r="Z19" s="1103"/>
      <c r="AA19" s="299">
        <f>VLOOKUP(N4,CLIMA,25)</f>
        <v>0</v>
      </c>
      <c r="AB19" s="299" t="s">
        <v>1385</v>
      </c>
      <c r="AU19" s="86">
        <f>IF(D19=0,0,IF(D19&gt;F28,1,IF(D19&lt;F28,1,0)))</f>
        <v>0</v>
      </c>
      <c r="AV19" s="786" t="s">
        <v>1676</v>
      </c>
      <c r="AW19" s="786"/>
      <c r="AX19" s="786"/>
      <c r="AY19" s="786"/>
      <c r="AZ19" s="786"/>
      <c r="BA19" s="86"/>
    </row>
    <row r="20" spans="1:58" ht="15" customHeight="1" thickBot="1">
      <c r="B20" s="782" t="s">
        <v>713</v>
      </c>
      <c r="C20" s="782"/>
      <c r="D20" s="775"/>
      <c r="E20" s="775"/>
      <c r="F20" s="227"/>
      <c r="G20" s="801" t="s">
        <v>1364</v>
      </c>
      <c r="H20" s="801"/>
      <c r="I20" s="801"/>
      <c r="J20" s="315"/>
      <c r="K20" s="256"/>
      <c r="M20" s="1126" t="s">
        <v>713</v>
      </c>
      <c r="N20" s="1126"/>
      <c r="O20" s="1127" t="s">
        <v>716</v>
      </c>
      <c r="P20" s="1127"/>
      <c r="Q20" s="82"/>
      <c r="R20" s="1128" t="s">
        <v>1364</v>
      </c>
      <c r="S20" s="1128"/>
      <c r="T20" s="1128"/>
      <c r="U20" s="299" t="s">
        <v>7</v>
      </c>
      <c r="AV20" s="225"/>
      <c r="AW20" s="86"/>
      <c r="AX20" s="86"/>
      <c r="AY20" s="86"/>
      <c r="AZ20" s="207"/>
      <c r="BA20" s="86"/>
    </row>
    <row r="21" spans="1:58" ht="6" customHeight="1" thickBot="1">
      <c r="D21" s="227"/>
      <c r="E21" s="227"/>
      <c r="F21" s="227"/>
      <c r="O21" s="82"/>
      <c r="P21" s="82"/>
      <c r="Q21" s="82"/>
      <c r="AV21" s="86"/>
      <c r="AW21" s="86"/>
      <c r="AX21" s="86"/>
      <c r="AY21" s="86"/>
      <c r="AZ21" s="86"/>
      <c r="BA21" s="86"/>
    </row>
    <row r="22" spans="1:58" s="208" customFormat="1" ht="30" customHeight="1" thickBot="1">
      <c r="A22" s="253"/>
      <c r="B22" s="1134" t="s">
        <v>1365</v>
      </c>
      <c r="C22" s="1134"/>
      <c r="D22" s="1134"/>
      <c r="E22" s="1134"/>
      <c r="F22" s="1134" t="s">
        <v>776</v>
      </c>
      <c r="G22" s="1134"/>
      <c r="H22" s="303" t="s">
        <v>1366</v>
      </c>
      <c r="I22" s="304" t="s">
        <v>1368</v>
      </c>
      <c r="J22" s="304" t="s">
        <v>1367</v>
      </c>
      <c r="K22" s="253"/>
      <c r="L22" s="306"/>
      <c r="M22" s="1129" t="s">
        <v>1365</v>
      </c>
      <c r="N22" s="1130"/>
      <c r="O22" s="1130"/>
      <c r="P22" s="1131"/>
      <c r="Q22" s="1129" t="s">
        <v>776</v>
      </c>
      <c r="R22" s="1131"/>
      <c r="S22" s="296" t="s">
        <v>1366</v>
      </c>
      <c r="T22" s="302" t="s">
        <v>1368</v>
      </c>
      <c r="U22" s="302" t="s">
        <v>1367</v>
      </c>
      <c r="X22" s="74" t="s">
        <v>1376</v>
      </c>
      <c r="Y22" s="74" t="s">
        <v>1377</v>
      </c>
      <c r="Z22" s="74" t="s">
        <v>1378</v>
      </c>
      <c r="AA22" s="74" t="s">
        <v>1379</v>
      </c>
      <c r="AB22" s="74" t="s">
        <v>1380</v>
      </c>
      <c r="AC22" s="74" t="s">
        <v>1381</v>
      </c>
      <c r="AD22" s="74" t="s">
        <v>1382</v>
      </c>
      <c r="AE22" s="74" t="s">
        <v>1384</v>
      </c>
      <c r="AF22" s="74" t="s">
        <v>1678</v>
      </c>
      <c r="AG22" s="298" t="s">
        <v>759</v>
      </c>
      <c r="AI22" s="74" t="s">
        <v>1376</v>
      </c>
      <c r="AJ22" s="74" t="s">
        <v>1377</v>
      </c>
      <c r="AK22" s="74" t="s">
        <v>1378</v>
      </c>
      <c r="AL22" s="74" t="s">
        <v>1379</v>
      </c>
      <c r="AM22" s="74" t="s">
        <v>1380</v>
      </c>
      <c r="AN22" s="74" t="s">
        <v>1381</v>
      </c>
      <c r="AO22" s="74" t="s">
        <v>1382</v>
      </c>
      <c r="AP22" s="74" t="s">
        <v>1384</v>
      </c>
      <c r="AQ22" s="74" t="s">
        <v>1678</v>
      </c>
      <c r="AR22" s="298" t="s">
        <v>759</v>
      </c>
      <c r="AT22" s="305"/>
      <c r="AU22" s="383"/>
      <c r="AV22" s="274"/>
      <c r="AW22" s="274"/>
      <c r="AX22" s="274"/>
      <c r="AY22" s="274"/>
      <c r="AZ22" s="274"/>
      <c r="BA22" s="274"/>
      <c r="BB22" s="306"/>
      <c r="BC22" s="209"/>
      <c r="BD22" s="209"/>
      <c r="BE22" s="209"/>
      <c r="BF22" s="209"/>
    </row>
    <row r="23" spans="1:58" ht="15" customHeight="1" thickBot="1">
      <c r="B23" s="1082"/>
      <c r="C23" s="1082"/>
      <c r="D23" s="1082"/>
      <c r="E23" s="1082"/>
      <c r="F23" s="779">
        <v>90</v>
      </c>
      <c r="G23" s="779"/>
      <c r="H23" s="364"/>
      <c r="I23" s="364"/>
      <c r="J23" s="364"/>
      <c r="M23" s="1093">
        <f>B23</f>
        <v>0</v>
      </c>
      <c r="N23" s="1119"/>
      <c r="O23" s="1119"/>
      <c r="P23" s="1094"/>
      <c r="Q23" s="1132">
        <f>IF($D$19=0,0,F23)</f>
        <v>0</v>
      </c>
      <c r="R23" s="1133"/>
      <c r="S23" s="301">
        <f>H23</f>
        <v>0</v>
      </c>
      <c r="T23" s="301">
        <f>I23</f>
        <v>0</v>
      </c>
      <c r="U23" s="301">
        <f>J23</f>
        <v>0</v>
      </c>
      <c r="X23" s="300">
        <f>IF(Q23&gt;0,INDEX(ksm,MATCH(M23,vege,0),MATCH(S23,ks,0)),0)</f>
        <v>0</v>
      </c>
      <c r="Y23" s="300" t="e">
        <f>INDEX(kdm,MATCH(M23,vege,0),MATCH(T23,kd,0))</f>
        <v>#N/A</v>
      </c>
      <c r="Z23" s="300" t="e">
        <f>INDEX(kmcm,MATCH(M23,vege,0),MATCH(U23,kmc,0))</f>
        <v>#N/A</v>
      </c>
      <c r="AA23" s="300" t="e">
        <f>Z23*Y23*X23</f>
        <v>#N/A</v>
      </c>
      <c r="AB23" s="300">
        <f>$AA$19</f>
        <v>0</v>
      </c>
      <c r="AC23" s="300" t="e">
        <f>AA23*AB23</f>
        <v>#N/A</v>
      </c>
      <c r="AD23" s="300">
        <f>VLOOKUP($O$20,riegom,2,FALSE)</f>
        <v>0.18</v>
      </c>
      <c r="AE23" s="300">
        <f>IF($U$20="Si",0.9,1)</f>
        <v>1</v>
      </c>
      <c r="AF23" s="300">
        <f>IF(X23=0,0,(F23*AC23/AD23)*AE23*3.78541)</f>
        <v>0</v>
      </c>
      <c r="AG23" s="1084">
        <f>(SUM(AF23:AF35)*365)*0.001</f>
        <v>0</v>
      </c>
      <c r="AI23" s="300">
        <f>IF(Q23&gt;0,INDEX(ksm,MATCH(B23,vege,0),MATCH(H23,ks,0)),0)</f>
        <v>0</v>
      </c>
      <c r="AJ23" s="300" t="e">
        <f>INDEX(kdm,MATCH(B23,vege,0),MATCH(I23,kd,0))</f>
        <v>#N/A</v>
      </c>
      <c r="AK23" s="300" t="e">
        <f>INDEX(kmcm,MATCH(B23,vege,0),MATCH(J23,kmc,0))</f>
        <v>#N/A</v>
      </c>
      <c r="AL23" s="300" t="e">
        <f>AK23*AJ23*AI23</f>
        <v>#N/A</v>
      </c>
      <c r="AM23" s="300">
        <f>$AA$19</f>
        <v>0</v>
      </c>
      <c r="AN23" s="300" t="e">
        <f>AL23*AM23</f>
        <v>#N/A</v>
      </c>
      <c r="AO23" s="300" t="e">
        <f>VLOOKUP(D20,riegom,2,FALSE)</f>
        <v>#N/A</v>
      </c>
      <c r="AP23" s="300">
        <f>IF($J$20="Si",0.9,1)</f>
        <v>1</v>
      </c>
      <c r="AQ23" s="300">
        <f>IF(AI23=0,0,(Q23*AN23/AO23)*AP23*3.78541)</f>
        <v>0</v>
      </c>
      <c r="AR23" s="1084">
        <f>IF((((SUM(AQ23:AQ35)*365)*0.001)-AQ69-AQ70-AQ71)&lt;0,0,(((SUM(AQ23:AQ35)*365)*0.001)-AQ69-AQ70-AQ71))</f>
        <v>0</v>
      </c>
      <c r="AV23" s="86"/>
      <c r="AW23" s="86"/>
      <c r="AX23" s="86"/>
      <c r="AY23" s="86"/>
      <c r="AZ23" s="86"/>
      <c r="BA23" s="86"/>
    </row>
    <row r="24" spans="1:58" ht="15" customHeight="1" thickBot="1">
      <c r="B24" s="1082"/>
      <c r="C24" s="1082"/>
      <c r="D24" s="1082"/>
      <c r="E24" s="1082"/>
      <c r="F24" s="779"/>
      <c r="G24" s="779"/>
      <c r="H24" s="364"/>
      <c r="I24" s="364"/>
      <c r="J24" s="364"/>
      <c r="M24" s="1093">
        <f t="shared" ref="M24:M27" si="7">B24</f>
        <v>0</v>
      </c>
      <c r="N24" s="1119"/>
      <c r="O24" s="1119"/>
      <c r="P24" s="1094"/>
      <c r="Q24" s="1132">
        <f t="shared" ref="Q24:Q27" si="8">IF($D$19=0,0,F24)</f>
        <v>0</v>
      </c>
      <c r="R24" s="1133"/>
      <c r="S24" s="301">
        <f t="shared" ref="S24:U27" si="9">H24</f>
        <v>0</v>
      </c>
      <c r="T24" s="301">
        <f t="shared" si="9"/>
        <v>0</v>
      </c>
      <c r="U24" s="301">
        <f t="shared" si="9"/>
        <v>0</v>
      </c>
      <c r="X24" s="300">
        <f>IF(Q24&gt;0,INDEX(ksm,MATCH(M24,vege,0),MATCH(S24,ks,0)),0)</f>
        <v>0</v>
      </c>
      <c r="Y24" s="300" t="e">
        <f>INDEX(kdm,MATCH(M24,vege,0),MATCH(T24,kd,0))</f>
        <v>#N/A</v>
      </c>
      <c r="Z24" s="300" t="e">
        <f>INDEX(kmcm,MATCH(M24,vege,0),MATCH(U24,kmc,0))</f>
        <v>#N/A</v>
      </c>
      <c r="AA24" s="300" t="e">
        <f t="shared" ref="AA24:AA27" si="10">Z24*Y24*X24</f>
        <v>#N/A</v>
      </c>
      <c r="AB24" s="300">
        <f>$AA$19</f>
        <v>0</v>
      </c>
      <c r="AC24" s="300" t="e">
        <f t="shared" ref="AC24:AC27" si="11">AA24*AB24</f>
        <v>#N/A</v>
      </c>
      <c r="AD24" s="300">
        <f>AD23</f>
        <v>0.18</v>
      </c>
      <c r="AE24" s="300">
        <f t="shared" ref="AE24:AE27" si="12">IF($U$20="Si",0.9,1)</f>
        <v>1</v>
      </c>
      <c r="AF24" s="300">
        <f t="shared" ref="AF24:AF27" si="13">IF(X24=0,0,(F24*AC24/AD24)*AE24*3.78541)</f>
        <v>0</v>
      </c>
      <c r="AG24" s="1084"/>
      <c r="AI24" s="300">
        <f>IF(Q24&gt;0,INDEX(ksm,MATCH(B24,vege,0),MATCH(H24,ks,0)),0)</f>
        <v>0</v>
      </c>
      <c r="AJ24" s="300" t="e">
        <f>INDEX(kdm,MATCH(B24,vege,0),MATCH(I24,kd,0))</f>
        <v>#N/A</v>
      </c>
      <c r="AK24" s="300" t="e">
        <f>INDEX(kmcm,MATCH(B24,vege,0),MATCH(J24,kmc,0))</f>
        <v>#N/A</v>
      </c>
      <c r="AL24" s="300" t="e">
        <f t="shared" ref="AL24:AL27" si="14">AK24*AJ24*AI24</f>
        <v>#N/A</v>
      </c>
      <c r="AM24" s="300">
        <f>$AA$19</f>
        <v>0</v>
      </c>
      <c r="AN24" s="300" t="e">
        <f t="shared" ref="AN24:AN27" si="15">AL24*AM24</f>
        <v>#N/A</v>
      </c>
      <c r="AO24" s="300" t="e">
        <f>AO23</f>
        <v>#N/A</v>
      </c>
      <c r="AP24" s="300">
        <f t="shared" ref="AP24:AP27" si="16">IF($J$20="Si",0.9,1)</f>
        <v>1</v>
      </c>
      <c r="AQ24" s="300">
        <f t="shared" ref="AQ24:AQ27" si="17">IF(AI24=0,0,(Q24*AN24/AO24)*AP24*3.78541)</f>
        <v>0</v>
      </c>
      <c r="AR24" s="1084"/>
      <c r="AV24" s="86"/>
      <c r="AW24" s="86"/>
      <c r="AX24" s="86"/>
      <c r="AY24" s="86"/>
      <c r="AZ24" s="86"/>
      <c r="BA24" s="86"/>
    </row>
    <row r="25" spans="1:58" ht="15" customHeight="1" thickBot="1">
      <c r="B25" s="1082"/>
      <c r="C25" s="1082"/>
      <c r="D25" s="1082"/>
      <c r="E25" s="1082"/>
      <c r="F25" s="779"/>
      <c r="G25" s="779"/>
      <c r="H25" s="364"/>
      <c r="I25" s="364"/>
      <c r="J25" s="364"/>
      <c r="M25" s="1093">
        <f t="shared" si="7"/>
        <v>0</v>
      </c>
      <c r="N25" s="1119"/>
      <c r="O25" s="1119"/>
      <c r="P25" s="1094"/>
      <c r="Q25" s="1132">
        <f t="shared" si="8"/>
        <v>0</v>
      </c>
      <c r="R25" s="1133"/>
      <c r="S25" s="301">
        <f t="shared" si="9"/>
        <v>0</v>
      </c>
      <c r="T25" s="301">
        <f t="shared" si="9"/>
        <v>0</v>
      </c>
      <c r="U25" s="301">
        <f t="shared" si="9"/>
        <v>0</v>
      </c>
      <c r="X25" s="300">
        <f>IF(Q25&gt;0,INDEX(ksm,MATCH(M25,vege,0),MATCH(S25,ks,0)),0)</f>
        <v>0</v>
      </c>
      <c r="Y25" s="300" t="e">
        <f>INDEX(kdm,MATCH(M25,vege,0),MATCH(T25,kd,0))</f>
        <v>#N/A</v>
      </c>
      <c r="Z25" s="300" t="e">
        <f>INDEX(kmcm,MATCH(M25,vege,0),MATCH(U25,kmc,0))</f>
        <v>#N/A</v>
      </c>
      <c r="AA25" s="300" t="e">
        <f t="shared" si="10"/>
        <v>#N/A</v>
      </c>
      <c r="AB25" s="300">
        <f>$AA$19</f>
        <v>0</v>
      </c>
      <c r="AC25" s="300" t="e">
        <f t="shared" si="11"/>
        <v>#N/A</v>
      </c>
      <c r="AD25" s="300">
        <f>AD24</f>
        <v>0.18</v>
      </c>
      <c r="AE25" s="300">
        <f t="shared" si="12"/>
        <v>1</v>
      </c>
      <c r="AF25" s="300">
        <f t="shared" si="13"/>
        <v>0</v>
      </c>
      <c r="AI25" s="300">
        <f>IF(Q25&gt;0,INDEX(ksm,MATCH(B25,vege,0),MATCH(H25,ks,0)),0)</f>
        <v>0</v>
      </c>
      <c r="AJ25" s="300" t="e">
        <f>INDEX(kdm,MATCH(B25,vege,0),MATCH(I25,kd,0))</f>
        <v>#N/A</v>
      </c>
      <c r="AK25" s="300" t="e">
        <f>INDEX(kmcm,MATCH(B25,vege,0),MATCH(J25,kmc,0))</f>
        <v>#N/A</v>
      </c>
      <c r="AL25" s="300" t="e">
        <f t="shared" si="14"/>
        <v>#N/A</v>
      </c>
      <c r="AM25" s="300">
        <f>$AA$19</f>
        <v>0</v>
      </c>
      <c r="AN25" s="300" t="e">
        <f t="shared" si="15"/>
        <v>#N/A</v>
      </c>
      <c r="AO25" s="300" t="e">
        <f>AO24</f>
        <v>#N/A</v>
      </c>
      <c r="AP25" s="300">
        <f t="shared" si="16"/>
        <v>1</v>
      </c>
      <c r="AQ25" s="300">
        <f t="shared" si="17"/>
        <v>0</v>
      </c>
      <c r="AV25" s="86"/>
      <c r="AW25" s="86"/>
      <c r="AX25" s="86"/>
      <c r="AY25" s="86"/>
      <c r="AZ25" s="86"/>
      <c r="BA25" s="86"/>
    </row>
    <row r="26" spans="1:58" ht="15" customHeight="1" thickBot="1">
      <c r="B26" s="1082"/>
      <c r="C26" s="1082"/>
      <c r="D26" s="1082"/>
      <c r="E26" s="1082"/>
      <c r="F26" s="779"/>
      <c r="G26" s="779"/>
      <c r="H26" s="364"/>
      <c r="I26" s="364"/>
      <c r="J26" s="364"/>
      <c r="M26" s="1093">
        <f t="shared" si="7"/>
        <v>0</v>
      </c>
      <c r="N26" s="1119"/>
      <c r="O26" s="1119"/>
      <c r="P26" s="1094"/>
      <c r="Q26" s="1132">
        <f t="shared" si="8"/>
        <v>0</v>
      </c>
      <c r="R26" s="1133"/>
      <c r="S26" s="301">
        <f t="shared" si="9"/>
        <v>0</v>
      </c>
      <c r="T26" s="301">
        <f t="shared" si="9"/>
        <v>0</v>
      </c>
      <c r="U26" s="301">
        <f t="shared" si="9"/>
        <v>0</v>
      </c>
      <c r="X26" s="300">
        <f>IF(Q26&gt;0,INDEX(ksm,MATCH(M26,vege,0),MATCH(S26,ks,0)),0)</f>
        <v>0</v>
      </c>
      <c r="Y26" s="300" t="e">
        <f>INDEX(kdm,MATCH(M26,vege,0),MATCH(T26,kd,0))</f>
        <v>#N/A</v>
      </c>
      <c r="Z26" s="300" t="e">
        <f>INDEX(kmcm,MATCH(M26,vege,0),MATCH(U26,kmc,0))</f>
        <v>#N/A</v>
      </c>
      <c r="AA26" s="300" t="e">
        <f t="shared" si="10"/>
        <v>#N/A</v>
      </c>
      <c r="AB26" s="300">
        <f>$AA$19</f>
        <v>0</v>
      </c>
      <c r="AC26" s="300" t="e">
        <f t="shared" si="11"/>
        <v>#N/A</v>
      </c>
      <c r="AD26" s="300">
        <f>AD25</f>
        <v>0.18</v>
      </c>
      <c r="AE26" s="300">
        <f t="shared" si="12"/>
        <v>1</v>
      </c>
      <c r="AF26" s="300">
        <f t="shared" si="13"/>
        <v>0</v>
      </c>
      <c r="AI26" s="300">
        <f>IF(Q26&gt;0,INDEX(ksm,MATCH(B26,vege,0),MATCH(H26,ks,0)),0)</f>
        <v>0</v>
      </c>
      <c r="AJ26" s="300" t="e">
        <f>INDEX(kdm,MATCH(B26,vege,0),MATCH(I26,kd,0))</f>
        <v>#N/A</v>
      </c>
      <c r="AK26" s="300" t="e">
        <f>INDEX(kmcm,MATCH(B26,vege,0),MATCH(J26,kmc,0))</f>
        <v>#N/A</v>
      </c>
      <c r="AL26" s="300" t="e">
        <f t="shared" si="14"/>
        <v>#N/A</v>
      </c>
      <c r="AM26" s="300">
        <f>$AA$19</f>
        <v>0</v>
      </c>
      <c r="AN26" s="300" t="e">
        <f t="shared" si="15"/>
        <v>#N/A</v>
      </c>
      <c r="AO26" s="300" t="e">
        <f>AO25</f>
        <v>#N/A</v>
      </c>
      <c r="AP26" s="300">
        <f t="shared" si="16"/>
        <v>1</v>
      </c>
      <c r="AQ26" s="300">
        <f t="shared" si="17"/>
        <v>0</v>
      </c>
      <c r="AV26" s="86"/>
      <c r="AW26" s="86"/>
      <c r="AX26" s="86"/>
      <c r="AY26" s="86"/>
      <c r="AZ26" s="86"/>
      <c r="BA26" s="86"/>
    </row>
    <row r="27" spans="1:58" ht="15" customHeight="1" thickBot="1">
      <c r="B27" s="1082"/>
      <c r="C27" s="1082"/>
      <c r="D27" s="1082"/>
      <c r="E27" s="1082"/>
      <c r="F27" s="779"/>
      <c r="G27" s="779"/>
      <c r="H27" s="364"/>
      <c r="I27" s="364"/>
      <c r="J27" s="364"/>
      <c r="M27" s="1093">
        <f t="shared" si="7"/>
        <v>0</v>
      </c>
      <c r="N27" s="1119"/>
      <c r="O27" s="1119"/>
      <c r="P27" s="1094"/>
      <c r="Q27" s="1132">
        <f t="shared" si="8"/>
        <v>0</v>
      </c>
      <c r="R27" s="1133"/>
      <c r="S27" s="301">
        <f t="shared" si="9"/>
        <v>0</v>
      </c>
      <c r="T27" s="301">
        <f t="shared" si="9"/>
        <v>0</v>
      </c>
      <c r="U27" s="301">
        <f t="shared" si="9"/>
        <v>0</v>
      </c>
      <c r="X27" s="300">
        <f>IF(Q27&gt;0,INDEX(ksm,MATCH(M27,vege,0),MATCH(S27,ks,0)),0)</f>
        <v>0</v>
      </c>
      <c r="Y27" s="300" t="e">
        <f>INDEX(kdm,MATCH(M27,vege,0),MATCH(T27,kd,0))</f>
        <v>#N/A</v>
      </c>
      <c r="Z27" s="300" t="e">
        <f>INDEX(kmcm,MATCH(M27,vege,0),MATCH(U27,kmc,0))</f>
        <v>#N/A</v>
      </c>
      <c r="AA27" s="300" t="e">
        <f t="shared" si="10"/>
        <v>#N/A</v>
      </c>
      <c r="AB27" s="300">
        <f>$AA$19</f>
        <v>0</v>
      </c>
      <c r="AC27" s="300" t="e">
        <f t="shared" si="11"/>
        <v>#N/A</v>
      </c>
      <c r="AD27" s="300">
        <f>AD26</f>
        <v>0.18</v>
      </c>
      <c r="AE27" s="300">
        <f t="shared" si="12"/>
        <v>1</v>
      </c>
      <c r="AF27" s="300">
        <f t="shared" si="13"/>
        <v>0</v>
      </c>
      <c r="AI27" s="300">
        <f>IF(Q27&gt;0,INDEX(ksm,MATCH(B27,vege,0),MATCH(H27,ks,0)),0)</f>
        <v>0</v>
      </c>
      <c r="AJ27" s="300" t="e">
        <f>INDEX(kdm,MATCH(B27,vege,0),MATCH(I27,kd,0))</f>
        <v>#N/A</v>
      </c>
      <c r="AK27" s="300" t="e">
        <f>INDEX(kmcm,MATCH(B27,vege,0),MATCH(J27,kmc,0))</f>
        <v>#N/A</v>
      </c>
      <c r="AL27" s="300" t="e">
        <f t="shared" si="14"/>
        <v>#N/A</v>
      </c>
      <c r="AM27" s="300">
        <f>$AA$19</f>
        <v>0</v>
      </c>
      <c r="AN27" s="300" t="e">
        <f t="shared" si="15"/>
        <v>#N/A</v>
      </c>
      <c r="AO27" s="300" t="e">
        <f>AO26</f>
        <v>#N/A</v>
      </c>
      <c r="AP27" s="300">
        <f t="shared" si="16"/>
        <v>1</v>
      </c>
      <c r="AQ27" s="300">
        <f t="shared" si="17"/>
        <v>0</v>
      </c>
      <c r="AV27" s="86"/>
      <c r="AW27" s="86"/>
      <c r="AX27" s="86"/>
      <c r="AY27" s="86"/>
      <c r="AZ27" s="86"/>
      <c r="BA27" s="86"/>
    </row>
    <row r="28" spans="1:58" ht="15" customHeight="1" thickBot="1">
      <c r="D28" s="227"/>
      <c r="E28" s="227"/>
      <c r="F28" s="1135">
        <f>SUM(F23:G27)</f>
        <v>90</v>
      </c>
      <c r="G28" s="798"/>
      <c r="O28" s="82"/>
      <c r="P28" s="82"/>
      <c r="Q28" s="1132">
        <f>SUM(Q23:R27)</f>
        <v>0</v>
      </c>
      <c r="R28" s="1094"/>
      <c r="Y28" s="82"/>
      <c r="Z28" s="82"/>
      <c r="AA28" s="82"/>
      <c r="AB28" s="82"/>
      <c r="AV28" s="86"/>
      <c r="AW28" s="86"/>
      <c r="AX28" s="86"/>
      <c r="AY28" s="86"/>
      <c r="AZ28" s="86"/>
      <c r="BA28" s="86"/>
    </row>
    <row r="29" spans="1:58" ht="6" customHeight="1" thickBot="1">
      <c r="D29" s="227"/>
      <c r="E29" s="227"/>
      <c r="F29" s="227"/>
      <c r="O29" s="82"/>
      <c r="P29" s="82"/>
      <c r="Q29" s="82"/>
      <c r="Y29" s="82"/>
      <c r="Z29" s="82"/>
      <c r="AA29" s="82"/>
      <c r="AB29" s="82"/>
      <c r="AV29" s="86"/>
      <c r="AW29" s="86"/>
      <c r="AX29" s="86"/>
      <c r="AY29" s="86"/>
      <c r="AZ29" s="86"/>
      <c r="BA29" s="86"/>
    </row>
    <row r="30" spans="1:58" ht="15" customHeight="1" thickBot="1">
      <c r="M30" s="1128" t="s">
        <v>1677</v>
      </c>
      <c r="N30" s="1128"/>
      <c r="O30" s="1132">
        <f>D31</f>
        <v>0</v>
      </c>
      <c r="P30" s="1094"/>
      <c r="Q30" s="82"/>
      <c r="Y30" s="82"/>
      <c r="Z30" s="82"/>
      <c r="AA30" s="82"/>
      <c r="AB30" s="82"/>
      <c r="AV30" s="786"/>
      <c r="AW30" s="786"/>
      <c r="AX30" s="786"/>
      <c r="AY30" s="786"/>
      <c r="AZ30" s="786"/>
      <c r="BA30" s="86"/>
    </row>
    <row r="31" spans="1:58" ht="15" customHeight="1" thickBot="1">
      <c r="B31" s="801" t="s">
        <v>1677</v>
      </c>
      <c r="C31" s="801"/>
      <c r="D31" s="1135">
        <f>+DATOS!G38</f>
        <v>0</v>
      </c>
      <c r="E31" s="798"/>
      <c r="F31" s="227"/>
      <c r="M31" s="1126" t="s">
        <v>713</v>
      </c>
      <c r="N31" s="1126"/>
      <c r="O31" s="1127" t="s">
        <v>716</v>
      </c>
      <c r="P31" s="1127"/>
      <c r="Q31" s="82"/>
      <c r="R31" s="1128" t="s">
        <v>1364</v>
      </c>
      <c r="S31" s="1128"/>
      <c r="T31" s="1128"/>
      <c r="U31" s="299" t="s">
        <v>7</v>
      </c>
      <c r="Y31" s="82"/>
      <c r="Z31" s="82"/>
      <c r="AA31" s="82"/>
      <c r="AB31" s="82"/>
      <c r="AV31" s="86"/>
      <c r="AW31" s="86"/>
      <c r="AX31" s="86"/>
      <c r="AY31" s="86"/>
      <c r="AZ31" s="86"/>
      <c r="BA31" s="86"/>
    </row>
    <row r="32" spans="1:58" ht="15" customHeight="1" thickBot="1">
      <c r="B32" s="782" t="s">
        <v>713</v>
      </c>
      <c r="C32" s="782"/>
      <c r="D32" s="775"/>
      <c r="E32" s="775"/>
      <c r="F32" s="227"/>
      <c r="G32" s="801" t="s">
        <v>1364</v>
      </c>
      <c r="H32" s="801"/>
      <c r="I32" s="801"/>
      <c r="J32" s="364"/>
      <c r="O32" s="82"/>
      <c r="P32" s="82"/>
      <c r="Q32" s="82"/>
      <c r="Y32" s="82"/>
      <c r="Z32" s="82"/>
      <c r="AA32" s="82"/>
      <c r="AB32" s="82"/>
      <c r="AV32" s="86"/>
      <c r="AW32" s="86"/>
      <c r="AX32" s="86"/>
      <c r="AY32" s="86"/>
      <c r="AZ32" s="86"/>
      <c r="BA32" s="86"/>
    </row>
    <row r="33" spans="1:58" ht="6" customHeight="1" thickBot="1">
      <c r="AV33" s="86"/>
      <c r="AW33" s="86"/>
      <c r="AX33" s="86"/>
      <c r="AY33" s="86"/>
      <c r="AZ33" s="86"/>
      <c r="BA33" s="86"/>
    </row>
    <row r="34" spans="1:58" ht="15" customHeight="1" thickBot="1">
      <c r="B34" s="1121" t="s">
        <v>656</v>
      </c>
      <c r="C34" s="1121"/>
      <c r="D34" s="1121"/>
      <c r="E34" s="1121"/>
      <c r="F34" s="1121"/>
      <c r="G34" s="1121"/>
      <c r="H34" s="1121"/>
      <c r="I34" s="1082"/>
      <c r="J34" s="1082"/>
      <c r="M34" s="1129" t="s">
        <v>1365</v>
      </c>
      <c r="N34" s="1130"/>
      <c r="O34" s="1130"/>
      <c r="P34" s="1131"/>
      <c r="Q34" s="1129" t="s">
        <v>776</v>
      </c>
      <c r="R34" s="1131"/>
      <c r="S34" s="296" t="s">
        <v>1366</v>
      </c>
      <c r="T34" s="302" t="s">
        <v>1368</v>
      </c>
      <c r="U34" s="302" t="s">
        <v>1367</v>
      </c>
      <c r="X34" s="74" t="s">
        <v>1376</v>
      </c>
      <c r="Y34" s="74" t="s">
        <v>1377</v>
      </c>
      <c r="Z34" s="74" t="s">
        <v>1378</v>
      </c>
      <c r="AA34" s="74" t="s">
        <v>1379</v>
      </c>
      <c r="AB34" s="74" t="s">
        <v>1380</v>
      </c>
      <c r="AC34" s="74" t="s">
        <v>1381</v>
      </c>
      <c r="AD34" s="74" t="s">
        <v>1382</v>
      </c>
      <c r="AE34" s="74" t="s">
        <v>1384</v>
      </c>
      <c r="AF34" s="74" t="s">
        <v>1678</v>
      </c>
      <c r="AI34" s="74" t="s">
        <v>1376</v>
      </c>
      <c r="AJ34" s="74" t="s">
        <v>1377</v>
      </c>
      <c r="AK34" s="74" t="s">
        <v>1378</v>
      </c>
      <c r="AL34" s="74" t="s">
        <v>1379</v>
      </c>
      <c r="AM34" s="74" t="s">
        <v>1380</v>
      </c>
      <c r="AN34" s="74" t="s">
        <v>1381</v>
      </c>
      <c r="AO34" s="74" t="s">
        <v>1382</v>
      </c>
      <c r="AP34" s="74" t="s">
        <v>1384</v>
      </c>
      <c r="AQ34" s="74" t="s">
        <v>1678</v>
      </c>
      <c r="AV34" s="86"/>
      <c r="AW34" s="86"/>
      <c r="AX34" s="86"/>
      <c r="AY34" s="86"/>
      <c r="AZ34" s="86"/>
      <c r="BA34" s="86"/>
    </row>
    <row r="35" spans="1:58" ht="15" customHeight="1" thickBot="1">
      <c r="B35" s="1121" t="s">
        <v>1930</v>
      </c>
      <c r="C35" s="1121"/>
      <c r="D35" s="1121"/>
      <c r="E35" s="1121"/>
      <c r="F35" s="1121"/>
      <c r="G35" s="1121"/>
      <c r="H35" s="1121"/>
      <c r="I35" s="772"/>
      <c r="J35" s="772"/>
      <c r="M35" s="1093" t="str">
        <f>VLOOKUP(I35,qw,2,TRUE)</f>
        <v>Césped</v>
      </c>
      <c r="N35" s="1119"/>
      <c r="O35" s="1119"/>
      <c r="P35" s="1094"/>
      <c r="Q35" s="1132">
        <f>D31</f>
        <v>0</v>
      </c>
      <c r="R35" s="1133"/>
      <c r="S35" s="301" t="str">
        <f>IF(I34=O47,"Baja",IF(I34=O48,"Alta","Media"))</f>
        <v>Media</v>
      </c>
      <c r="T35" s="301" t="str">
        <f>IF(I34=O47,"Baja",IF(I34=O48,"Alta","Media"))</f>
        <v>Media</v>
      </c>
      <c r="U35" s="301" t="s">
        <v>753</v>
      </c>
      <c r="X35" s="300">
        <f>IF(Q35&gt;0,INDEX(ksm,MATCH(M35,vege,0),MATCH(S35,ks,0)),0)</f>
        <v>0</v>
      </c>
      <c r="Y35" s="300">
        <f>IF(I35=0,0,INDEX(kdm,MATCH(M35,vege,0),MATCH(T35,kd,0)))</f>
        <v>0</v>
      </c>
      <c r="Z35" s="300">
        <f>INDEX(kmcm,MATCH(M35,vege,0),MATCH(U35,kmc,0))</f>
        <v>1</v>
      </c>
      <c r="AA35" s="300">
        <f>Z35*Y35*X35</f>
        <v>0</v>
      </c>
      <c r="AB35" s="300">
        <f>$AA$19</f>
        <v>0</v>
      </c>
      <c r="AC35" s="300">
        <f>AA35*AB35</f>
        <v>0</v>
      </c>
      <c r="AD35" s="300">
        <f>VLOOKUP($O$31,riegom,2,FALSE)</f>
        <v>0.18</v>
      </c>
      <c r="AE35" s="300">
        <f>IF($U$31="Si",0.9,1)</f>
        <v>1</v>
      </c>
      <c r="AF35" s="300">
        <f>IF(X35=0,0,(Q35*AC35/AD35)*AE35*3.78541)</f>
        <v>0</v>
      </c>
      <c r="AI35" s="300">
        <f>X35</f>
        <v>0</v>
      </c>
      <c r="AJ35" s="300">
        <f>Y35</f>
        <v>0</v>
      </c>
      <c r="AK35" s="300">
        <f>Z35</f>
        <v>1</v>
      </c>
      <c r="AL35" s="300">
        <f>AK35*AJ35*AI35</f>
        <v>0</v>
      </c>
      <c r="AM35" s="300">
        <f>$AA$19</f>
        <v>0</v>
      </c>
      <c r="AN35" s="300">
        <f>AL35*AM35</f>
        <v>0</v>
      </c>
      <c r="AO35" s="300" t="e">
        <f>VLOOKUP(D32,riegom,2,FALSE)</f>
        <v>#N/A</v>
      </c>
      <c r="AP35" s="300">
        <f>IF($J$32="Si",0.9,1)</f>
        <v>1</v>
      </c>
      <c r="AQ35" s="300">
        <f>IF(AI35=0,0,(Q35*AN35/AO35)*AP35*3.78541)</f>
        <v>0</v>
      </c>
    </row>
    <row r="36" spans="1:58" ht="6" customHeight="1" thickBot="1">
      <c r="B36" s="236"/>
      <c r="C36" s="236"/>
      <c r="D36" s="257"/>
      <c r="E36" s="257"/>
      <c r="F36" s="257"/>
      <c r="G36" s="236"/>
      <c r="H36" s="236"/>
      <c r="I36" s="236"/>
      <c r="J36" s="236"/>
      <c r="K36" s="256"/>
      <c r="L36" s="221"/>
    </row>
    <row r="37" spans="1:58" s="85" customFormat="1" ht="30" customHeight="1" thickBot="1">
      <c r="A37" s="239"/>
      <c r="B37" s="774" t="s">
        <v>773</v>
      </c>
      <c r="C37" s="774"/>
      <c r="D37" s="774"/>
      <c r="E37" s="774"/>
      <c r="F37" s="774"/>
      <c r="G37" s="774"/>
      <c r="H37" s="774"/>
      <c r="I37" s="774"/>
      <c r="J37" s="774"/>
      <c r="K37" s="252"/>
      <c r="L37" s="249"/>
      <c r="M37" s="1155" t="s">
        <v>1679</v>
      </c>
      <c r="N37" s="1155"/>
      <c r="O37" s="1155"/>
      <c r="P37" s="1155"/>
      <c r="Q37" s="1155"/>
      <c r="R37" s="1155"/>
      <c r="S37" s="1155"/>
      <c r="T37" s="1155"/>
      <c r="U37" s="1155"/>
      <c r="X37" s="1155" t="str">
        <f>M37</f>
        <v>SISTEMAS DE CAPTACIÓN Y REUTILIZACIÓN DE AGUA</v>
      </c>
      <c r="Y37" s="1155"/>
      <c r="Z37" s="1155"/>
      <c r="AA37" s="1155"/>
      <c r="AB37" s="1155"/>
      <c r="AC37" s="1155"/>
      <c r="AD37" s="1155"/>
      <c r="AE37" s="1155"/>
      <c r="AF37" s="1155"/>
      <c r="AG37" s="1155"/>
      <c r="AH37" s="1155"/>
      <c r="AI37" s="1155"/>
      <c r="AJ37" s="1155"/>
      <c r="AK37" s="1155"/>
      <c r="AL37" s="1155"/>
      <c r="AM37" s="1155"/>
      <c r="AN37" s="1155"/>
      <c r="AO37" s="1155"/>
      <c r="AP37" s="1155"/>
      <c r="AQ37" s="1155"/>
      <c r="AR37" s="1155"/>
      <c r="AS37" s="89"/>
      <c r="AT37" s="201"/>
      <c r="AU37" s="87"/>
      <c r="AV37" s="210"/>
      <c r="AW37" s="210"/>
      <c r="AX37" s="210"/>
      <c r="AY37" s="210"/>
      <c r="AZ37" s="83"/>
      <c r="BA37" s="202"/>
      <c r="BB37" s="203"/>
      <c r="BC37" s="204"/>
      <c r="BD37" s="204"/>
      <c r="BE37" s="204"/>
      <c r="BF37" s="204"/>
    </row>
    <row r="38" spans="1:58" ht="6" customHeight="1" thickBot="1">
      <c r="B38" s="236"/>
      <c r="C38" s="236"/>
      <c r="D38" s="257"/>
      <c r="E38" s="257"/>
      <c r="F38" s="257"/>
      <c r="G38" s="236"/>
      <c r="H38" s="236"/>
      <c r="I38" s="236"/>
      <c r="J38" s="236"/>
      <c r="K38" s="252"/>
      <c r="L38" s="221"/>
      <c r="V38" s="85"/>
    </row>
    <row r="39" spans="1:58" ht="15" customHeight="1" thickBot="1">
      <c r="B39" s="782" t="s">
        <v>708</v>
      </c>
      <c r="C39" s="782"/>
      <c r="D39" s="782"/>
      <c r="E39" s="364" t="s">
        <v>7</v>
      </c>
      <c r="F39" s="257"/>
      <c r="G39" s="782" t="s">
        <v>671</v>
      </c>
      <c r="H39" s="782"/>
      <c r="I39" s="782"/>
      <c r="J39" s="320"/>
      <c r="K39" s="252"/>
      <c r="L39" s="221"/>
      <c r="M39" s="1101" t="s">
        <v>1411</v>
      </c>
      <c r="N39" s="1103"/>
      <c r="O39" s="300">
        <f>'Materiales Personalizados'!BF18</f>
        <v>0</v>
      </c>
      <c r="Q39" s="1087" t="s">
        <v>1434</v>
      </c>
      <c r="R39" s="1088"/>
      <c r="S39" s="1088"/>
      <c r="T39" s="1089"/>
      <c r="U39" s="78">
        <f>(((O39*O42)*0.264172052637296)*3.78541)*0.001</f>
        <v>0</v>
      </c>
      <c r="V39" s="85"/>
      <c r="X39" s="73"/>
      <c r="Y39" s="299" t="s">
        <v>804</v>
      </c>
      <c r="Z39" s="299" t="s">
        <v>1412</v>
      </c>
      <c r="AA39" s="299" t="s">
        <v>1415</v>
      </c>
      <c r="AC39" s="73"/>
      <c r="AD39" s="1093" t="s">
        <v>1431</v>
      </c>
      <c r="AE39" s="1119"/>
      <c r="AF39" s="1119"/>
      <c r="AG39" s="1094"/>
      <c r="AI39" s="1085" t="s">
        <v>1428</v>
      </c>
      <c r="AJ39" s="1086"/>
      <c r="AK39" s="1086"/>
      <c r="AL39" s="1086"/>
      <c r="AM39" s="1086"/>
      <c r="AN39" s="1086"/>
      <c r="AO39" s="365"/>
      <c r="AP39" s="301" t="str">
        <f>'Materiales Personalizados'!BE5</f>
        <v>N días</v>
      </c>
      <c r="AQ39" s="299" t="s">
        <v>1458</v>
      </c>
      <c r="AR39" s="366" t="s">
        <v>1429</v>
      </c>
    </row>
    <row r="40" spans="1:58" ht="15" customHeight="1" thickBot="1">
      <c r="B40" s="782" t="s">
        <v>672</v>
      </c>
      <c r="C40" s="782"/>
      <c r="D40" s="782"/>
      <c r="E40" s="319"/>
      <c r="F40" s="360"/>
      <c r="G40" s="782" t="s">
        <v>570</v>
      </c>
      <c r="H40" s="782"/>
      <c r="I40" s="782"/>
      <c r="J40" s="317"/>
      <c r="K40" s="252"/>
      <c r="L40" s="221"/>
      <c r="V40" s="85"/>
      <c r="X40" s="299" t="s">
        <v>1413</v>
      </c>
      <c r="Y40" s="300" t="b">
        <f>IF(D48="Si",AA10)</f>
        <v>0</v>
      </c>
      <c r="Z40" s="211">
        <v>0.85</v>
      </c>
      <c r="AA40" s="300">
        <f>(Y40*Z40)*0.001</f>
        <v>0</v>
      </c>
      <c r="AC40" s="73"/>
      <c r="AI40" s="199"/>
      <c r="AJ40" s="199"/>
      <c r="AK40" s="199"/>
      <c r="AL40" s="199"/>
      <c r="AM40" s="199"/>
      <c r="AN40" s="199"/>
      <c r="AO40" s="301" t="str">
        <f>'Materiales Personalizados'!BD6</f>
        <v>Enero</v>
      </c>
      <c r="AP40" s="301">
        <f>'Materiales Personalizados'!BE6</f>
        <v>31</v>
      </c>
      <c r="AQ40" s="299">
        <f>VLOOKUP($C$4,TEMPERATURASMENSUALES,2,FALSE)</f>
        <v>0</v>
      </c>
      <c r="AR40" s="212">
        <f>IF(AQ40&gt;=ENERGÍA!$AY$64,($AM$48*AP40)*0.001,IF(AQ40&gt;ENERGÍA!$AY$63,(($AM$60*AP40)*0.001)/3,($AM$60*AP40)*0.001))</f>
        <v>0</v>
      </c>
    </row>
    <row r="41" spans="1:58" ht="6" customHeight="1" thickBot="1">
      <c r="B41" s="236"/>
      <c r="C41" s="236"/>
      <c r="D41" s="257"/>
      <c r="E41" s="257"/>
      <c r="F41" s="257"/>
      <c r="G41" s="236"/>
      <c r="H41" s="236"/>
      <c r="I41" s="236"/>
      <c r="J41" s="236"/>
      <c r="K41" s="252"/>
      <c r="L41" s="221"/>
      <c r="V41" s="85"/>
      <c r="X41" s="73"/>
      <c r="Y41" s="213"/>
      <c r="Z41" s="213"/>
      <c r="AA41" s="213"/>
      <c r="AC41" s="73"/>
      <c r="AI41" s="199"/>
      <c r="AJ41" s="199"/>
      <c r="AK41" s="199"/>
      <c r="AL41" s="199"/>
      <c r="AM41" s="199"/>
      <c r="AN41" s="199"/>
      <c r="AO41" s="91"/>
      <c r="AP41" s="91"/>
      <c r="AR41" s="91"/>
    </row>
    <row r="42" spans="1:58" s="85" customFormat="1" ht="30" customHeight="1" thickBot="1">
      <c r="A42" s="239"/>
      <c r="B42" s="774" t="s">
        <v>673</v>
      </c>
      <c r="C42" s="774"/>
      <c r="D42" s="774"/>
      <c r="E42" s="774"/>
      <c r="F42" s="774"/>
      <c r="G42" s="774"/>
      <c r="H42" s="774"/>
      <c r="I42" s="774"/>
      <c r="J42" s="774"/>
      <c r="K42" s="252"/>
      <c r="L42" s="249"/>
      <c r="M42" s="1101" t="s">
        <v>671</v>
      </c>
      <c r="N42" s="1103"/>
      <c r="O42" s="300">
        <f>J39</f>
        <v>0</v>
      </c>
      <c r="P42" s="73"/>
      <c r="Q42" s="73"/>
      <c r="R42" s="82"/>
      <c r="S42" s="82"/>
      <c r="T42" s="82"/>
      <c r="U42" s="82"/>
      <c r="X42" s="299" t="s">
        <v>1680</v>
      </c>
      <c r="Y42" s="300" t="b">
        <f>IF(D49="Si",AA11)</f>
        <v>0</v>
      </c>
      <c r="Z42" s="211">
        <v>0.85</v>
      </c>
      <c r="AA42" s="300">
        <f>(Y42*Z42)*0.001</f>
        <v>0</v>
      </c>
      <c r="AC42" s="73"/>
      <c r="AD42" s="1101" t="s">
        <v>1681</v>
      </c>
      <c r="AE42" s="1102"/>
      <c r="AF42" s="1103"/>
      <c r="AG42" s="300">
        <f>DATOS!C29*20</f>
        <v>0</v>
      </c>
      <c r="AH42" s="82"/>
      <c r="AI42" s="301" t="s">
        <v>1422</v>
      </c>
      <c r="AJ42" s="125">
        <f>((0.62198*AJ46)/((AJ44*100)-AJ46))*1000</f>
        <v>14.658551600129302</v>
      </c>
      <c r="AK42" s="93"/>
      <c r="AL42" s="301" t="s">
        <v>1426</v>
      </c>
      <c r="AM42" s="301">
        <f>0.00873*1000</f>
        <v>8.73</v>
      </c>
      <c r="AN42" s="93"/>
      <c r="AO42" s="301" t="str">
        <f>'Materiales Personalizados'!BD7</f>
        <v>Febrero</v>
      </c>
      <c r="AP42" s="301">
        <f>'Materiales Personalizados'!BE7</f>
        <v>28</v>
      </c>
      <c r="AQ42" s="299">
        <f>VLOOKUP($C$4,TEMPERATURASMENSUALES,3,FALSE)</f>
        <v>0</v>
      </c>
      <c r="AR42" s="212">
        <f>IF(AQ42&gt;=ENERGÍA!$AY$64,($AM$48*AP42)*0.001,IF(AQ42&gt;ENERGÍA!$AY$63,(($AM$60*AP42)*0.001)/3,($AM$60*AP42)*0.001))</f>
        <v>0</v>
      </c>
      <c r="AS42" s="89"/>
      <c r="AT42" s="201"/>
      <c r="AU42" s="87"/>
      <c r="AV42" s="210"/>
      <c r="AW42" s="210"/>
      <c r="AX42" s="210"/>
      <c r="AY42" s="210"/>
      <c r="AZ42" s="83"/>
      <c r="BA42" s="202"/>
      <c r="BB42" s="203"/>
      <c r="BC42" s="204"/>
      <c r="BD42" s="204"/>
      <c r="BE42" s="204"/>
      <c r="BF42" s="204"/>
    </row>
    <row r="43" spans="1:58" ht="6" customHeight="1" thickBot="1">
      <c r="B43" s="236"/>
      <c r="C43" s="236"/>
      <c r="D43" s="257"/>
      <c r="E43" s="257"/>
      <c r="F43" s="257"/>
      <c r="G43" s="236"/>
      <c r="H43" s="236"/>
      <c r="I43" s="236"/>
      <c r="J43" s="236"/>
      <c r="K43" s="256"/>
      <c r="L43" s="221"/>
      <c r="X43" s="73"/>
      <c r="Y43" s="213"/>
      <c r="Z43" s="213"/>
      <c r="AA43" s="213"/>
      <c r="AC43" s="73"/>
      <c r="AG43" s="367"/>
      <c r="AI43" s="93"/>
      <c r="AJ43" s="93"/>
      <c r="AK43" s="93"/>
      <c r="AL43" s="93"/>
      <c r="AM43" s="93"/>
      <c r="AN43" s="93"/>
      <c r="AO43" s="91"/>
      <c r="AP43" s="91"/>
      <c r="AR43" s="214"/>
    </row>
    <row r="44" spans="1:58" s="208" customFormat="1" ht="30" customHeight="1" thickBot="1">
      <c r="A44" s="253"/>
      <c r="B44" s="788" t="s">
        <v>709</v>
      </c>
      <c r="C44" s="788"/>
      <c r="D44" s="775" t="s">
        <v>7</v>
      </c>
      <c r="E44" s="775"/>
      <c r="F44" s="254"/>
      <c r="G44" s="788" t="s">
        <v>1929</v>
      </c>
      <c r="H44" s="788"/>
      <c r="I44" s="788"/>
      <c r="J44" s="315"/>
      <c r="K44" s="255"/>
      <c r="L44" s="250"/>
      <c r="X44" s="299" t="s">
        <v>1682</v>
      </c>
      <c r="Y44" s="300" t="b">
        <f>IF(D50="Si",AA12)</f>
        <v>0</v>
      </c>
      <c r="Z44" s="211">
        <v>0.85</v>
      </c>
      <c r="AA44" s="300">
        <f>(Y44*Z44)*0.001</f>
        <v>0</v>
      </c>
      <c r="AC44" s="73"/>
      <c r="AD44" s="1162" t="s">
        <v>1683</v>
      </c>
      <c r="AE44" s="1163"/>
      <c r="AF44" s="1164"/>
      <c r="AG44" s="300">
        <f>(DATOS!C26/10.7639)*1.699011</f>
        <v>0</v>
      </c>
      <c r="AH44" s="82"/>
      <c r="AI44" s="301" t="s">
        <v>1684</v>
      </c>
      <c r="AJ44" s="125">
        <f>'Modelo de Radiación Solar'!BM11</f>
        <v>1013.25</v>
      </c>
      <c r="AK44" s="93"/>
      <c r="AL44" s="301" t="s">
        <v>1427</v>
      </c>
      <c r="AM44" s="125">
        <f>AJ42-AM42</f>
        <v>5.9285516001293015</v>
      </c>
      <c r="AN44" s="93"/>
      <c r="AO44" s="301" t="str">
        <f>'Materiales Personalizados'!BD8</f>
        <v>Marzo</v>
      </c>
      <c r="AP44" s="301">
        <f>'Materiales Personalizados'!BE8</f>
        <v>31</v>
      </c>
      <c r="AQ44" s="299">
        <f>VLOOKUP($C$4,TEMPERATURASMENSUALES,4,FALSE)</f>
        <v>0</v>
      </c>
      <c r="AR44" s="212">
        <f>IF(AQ44&gt;=ENERGÍA!$AY$64,($AM$48*AP44)*0.001,IF(AQ44&gt;ENERGÍA!$AY$63,(($AM$60*AP44)*0.001)/3,($AM$60*AP44)*0.001))</f>
        <v>0</v>
      </c>
      <c r="AT44" s="305"/>
      <c r="AU44" s="383"/>
      <c r="AV44" s="215"/>
      <c r="AW44" s="215"/>
      <c r="AX44" s="215"/>
      <c r="AY44" s="215"/>
      <c r="AZ44" s="215"/>
      <c r="BA44" s="215"/>
      <c r="BB44" s="306"/>
      <c r="BC44" s="209"/>
      <c r="BD44" s="209"/>
      <c r="BE44" s="209"/>
      <c r="BF44" s="209"/>
    </row>
    <row r="45" spans="1:58" ht="6" customHeight="1" thickBot="1">
      <c r="B45" s="236"/>
      <c r="C45" s="236"/>
      <c r="D45" s="236"/>
      <c r="E45" s="236"/>
      <c r="F45" s="236"/>
      <c r="G45" s="236"/>
      <c r="H45" s="236"/>
      <c r="I45" s="236"/>
      <c r="J45" s="236"/>
      <c r="K45" s="255"/>
      <c r="L45" s="221"/>
      <c r="V45" s="208"/>
      <c r="X45" s="73"/>
      <c r="Y45" s="213"/>
      <c r="Z45" s="213"/>
      <c r="AA45" s="213"/>
      <c r="AC45" s="73"/>
      <c r="AG45" s="367"/>
      <c r="AI45" s="93"/>
      <c r="AJ45" s="214"/>
      <c r="AK45" s="93"/>
      <c r="AL45" s="93"/>
      <c r="AM45" s="93"/>
      <c r="AN45" s="93"/>
      <c r="AO45" s="91"/>
      <c r="AP45" s="91"/>
      <c r="AR45" s="214"/>
    </row>
    <row r="46" spans="1:58" ht="15" customHeight="1" thickBot="1">
      <c r="B46" s="787" t="s">
        <v>710</v>
      </c>
      <c r="C46" s="787"/>
      <c r="D46" s="787"/>
      <c r="E46" s="787"/>
      <c r="F46" s="258"/>
      <c r="G46" s="782" t="s">
        <v>672</v>
      </c>
      <c r="H46" s="782"/>
      <c r="I46" s="782"/>
      <c r="J46" s="319"/>
      <c r="K46" s="255"/>
      <c r="L46" s="221"/>
      <c r="V46" s="208"/>
      <c r="X46" s="299" t="s">
        <v>1673</v>
      </c>
      <c r="Y46" s="300" t="b">
        <f>IF(D51="Si",AA13)</f>
        <v>0</v>
      </c>
      <c r="Z46" s="211">
        <v>0.85</v>
      </c>
      <c r="AA46" s="300">
        <f>(Y46*Z46)*0.001</f>
        <v>0</v>
      </c>
      <c r="AC46" s="73"/>
      <c r="AD46" s="1101" t="s">
        <v>1685</v>
      </c>
      <c r="AE46" s="1102"/>
      <c r="AF46" s="1103"/>
      <c r="AG46" s="300">
        <f>(((2.5*DATOS!C29)+(0.3*DATOS!C26)))</f>
        <v>0</v>
      </c>
      <c r="AI46" s="301" t="s">
        <v>1418</v>
      </c>
      <c r="AJ46" s="125">
        <f>VLOOKUP(AJ48,WVSP,2,TRUE)</f>
        <v>2333</v>
      </c>
      <c r="AK46" s="93"/>
      <c r="AL46" s="301" t="s">
        <v>1425</v>
      </c>
      <c r="AM46" s="125">
        <f>(AJ51*AM44)/1000</f>
        <v>0</v>
      </c>
      <c r="AN46" s="93"/>
      <c r="AO46" s="301" t="str">
        <f>'Materiales Personalizados'!BD9</f>
        <v>Abril</v>
      </c>
      <c r="AP46" s="301">
        <f>'Materiales Personalizados'!BE9</f>
        <v>30</v>
      </c>
      <c r="AQ46" s="299">
        <f>VLOOKUP($C$4,TEMPERATURASMENSUALES,5,FALSE)</f>
        <v>0</v>
      </c>
      <c r="AR46" s="212">
        <f>IF(AQ46&gt;=ENERGÍA!$AY$64,($AM$48*AP46)*0.001,IF(AQ46&gt;ENERGÍA!$AY$63,(($AM$60*AP46)*0.001)/3,($AM$60*AP46)*0.001))</f>
        <v>0</v>
      </c>
    </row>
    <row r="47" spans="1:58" ht="15" customHeight="1" thickBot="1">
      <c r="B47" s="787"/>
      <c r="C47" s="787"/>
      <c r="D47" s="787"/>
      <c r="E47" s="787"/>
      <c r="F47" s="257"/>
      <c r="G47" s="782" t="s">
        <v>570</v>
      </c>
      <c r="H47" s="782"/>
      <c r="I47" s="782"/>
      <c r="J47" s="317"/>
      <c r="K47" s="255"/>
      <c r="L47" s="221"/>
      <c r="M47" s="322" t="s">
        <v>1851</v>
      </c>
      <c r="O47" s="82" t="s">
        <v>1931</v>
      </c>
      <c r="V47" s="208"/>
      <c r="X47" s="299" t="s">
        <v>1414</v>
      </c>
      <c r="Y47" s="300"/>
      <c r="Z47" s="211"/>
      <c r="AA47" s="300"/>
      <c r="AC47" s="73"/>
      <c r="AG47" s="367"/>
      <c r="AI47" s="93"/>
      <c r="AJ47" s="93"/>
      <c r="AK47" s="93"/>
      <c r="AL47" s="93"/>
      <c r="AM47" s="93"/>
      <c r="AN47" s="93"/>
      <c r="AO47" s="301" t="str">
        <f>'Materiales Personalizados'!BD10</f>
        <v>Mayo</v>
      </c>
      <c r="AP47" s="301">
        <f>'Materiales Personalizados'!BE10</f>
        <v>31</v>
      </c>
      <c r="AQ47" s="299">
        <f>VLOOKUP($C$4,TEMPERATURASMENSUALES,6,FALSE)</f>
        <v>0</v>
      </c>
      <c r="AR47" s="212">
        <f>IF(AQ47&gt;=ENERGÍA!$AY$64,($AM$48*AP47)*0.001,IF(AQ47&gt;ENERGÍA!$AY$63,(($AM$60*AP47)*0.001)/3,($AM$60*AP47)*0.001))</f>
        <v>0</v>
      </c>
    </row>
    <row r="48" spans="1:58" ht="15" customHeight="1" thickBot="1">
      <c r="B48" s="782" t="s">
        <v>665</v>
      </c>
      <c r="C48" s="782"/>
      <c r="D48" s="775"/>
      <c r="E48" s="775"/>
      <c r="F48" s="257"/>
      <c r="G48" s="236"/>
      <c r="H48" s="236"/>
      <c r="I48" s="236"/>
      <c r="J48" s="236"/>
      <c r="K48" s="255"/>
      <c r="L48" s="221"/>
      <c r="M48" s="322" t="s">
        <v>1852</v>
      </c>
      <c r="O48" s="82" t="s">
        <v>1932</v>
      </c>
      <c r="V48" s="208"/>
      <c r="Y48" s="213"/>
      <c r="Z48" s="78" t="s">
        <v>1433</v>
      </c>
      <c r="AA48" s="78">
        <f>SUM(AA40:AA47)</f>
        <v>0</v>
      </c>
      <c r="AD48" s="1087" t="s">
        <v>1432</v>
      </c>
      <c r="AE48" s="1088"/>
      <c r="AF48" s="1089"/>
      <c r="AG48" s="78">
        <f>MAX(AG42:AG46)</f>
        <v>0</v>
      </c>
      <c r="AI48" s="301" t="s">
        <v>1419</v>
      </c>
      <c r="AJ48" s="216">
        <v>20</v>
      </c>
      <c r="AK48" s="93"/>
      <c r="AL48" s="302" t="s">
        <v>1686</v>
      </c>
      <c r="AM48" s="217">
        <f>AM46*10</f>
        <v>0</v>
      </c>
      <c r="AN48" s="93"/>
      <c r="AO48" s="301" t="str">
        <f>'Materiales Personalizados'!BD11</f>
        <v>Junio</v>
      </c>
      <c r="AP48" s="301">
        <f>'Materiales Personalizados'!BE11</f>
        <v>30</v>
      </c>
      <c r="AQ48" s="299">
        <f>VLOOKUP($C$4,TEMPERATURASMENSUALES,7,FALSE)</f>
        <v>0</v>
      </c>
      <c r="AR48" s="212">
        <f>IF(AQ48&gt;=ENERGÍA!$AY$64,($AM$48*AP48)*0.001,IF(AQ48&gt;ENERGÍA!$AY$63,(($AM$60*AP48)*0.001)/3,($AM$60*AP48)*0.001))</f>
        <v>0</v>
      </c>
    </row>
    <row r="49" spans="1:58" ht="15" customHeight="1" thickBot="1">
      <c r="B49" s="782" t="s">
        <v>666</v>
      </c>
      <c r="C49" s="782"/>
      <c r="D49" s="775"/>
      <c r="E49" s="775"/>
      <c r="F49" s="257"/>
      <c r="G49" s="236"/>
      <c r="H49" s="236"/>
      <c r="I49" s="236"/>
      <c r="J49" s="236"/>
      <c r="K49" s="255"/>
      <c r="L49" s="221"/>
      <c r="O49" s="82" t="s">
        <v>8</v>
      </c>
      <c r="V49" s="208"/>
      <c r="AG49" s="367"/>
      <c r="AI49" s="93"/>
      <c r="AJ49" s="93"/>
      <c r="AK49" s="93"/>
      <c r="AL49" s="93"/>
      <c r="AM49" s="93"/>
      <c r="AN49" s="93"/>
      <c r="AO49" s="301" t="str">
        <f>'Materiales Personalizados'!BD12</f>
        <v>Julio</v>
      </c>
      <c r="AP49" s="301">
        <f>'Materiales Personalizados'!BE12</f>
        <v>31</v>
      </c>
      <c r="AQ49" s="299">
        <f>VLOOKUP($C$4,TEMPERATURASMENSUALES,8,FALSE)</f>
        <v>0</v>
      </c>
      <c r="AR49" s="212">
        <f>IF(AQ49&gt;=ENERGÍA!$AY$64,($AM$48*AP49)*0.001,IF(AQ49&gt;ENERGÍA!$AY$63,(($AM$60*AP49)*0.001)/3,($AM$60*AP49)*0.001))</f>
        <v>0</v>
      </c>
    </row>
    <row r="50" spans="1:58" ht="15" customHeight="1" thickBot="1">
      <c r="B50" s="782" t="s">
        <v>667</v>
      </c>
      <c r="C50" s="782"/>
      <c r="D50" s="775"/>
      <c r="E50" s="775"/>
      <c r="F50" s="257"/>
      <c r="G50" s="236"/>
      <c r="H50" s="236"/>
      <c r="I50" s="236"/>
      <c r="J50" s="236"/>
      <c r="K50" s="255"/>
      <c r="L50" s="221"/>
      <c r="AI50" s="301" t="s">
        <v>1423</v>
      </c>
      <c r="AJ50" s="125">
        <v>1.2</v>
      </c>
      <c r="AK50" s="93"/>
      <c r="AL50" s="93"/>
      <c r="AM50" s="93"/>
      <c r="AN50" s="93"/>
      <c r="AO50" s="301" t="str">
        <f>'Materiales Personalizados'!BD13</f>
        <v>Agosto</v>
      </c>
      <c r="AP50" s="301">
        <f>'Materiales Personalizados'!BE13</f>
        <v>31</v>
      </c>
      <c r="AQ50" s="299">
        <f>VLOOKUP($C$4,TEMPERATURASMENSUALES,9,FALSE)</f>
        <v>0</v>
      </c>
      <c r="AR50" s="212">
        <f>IF(AQ50&gt;=ENERGÍA!$AY$64,($AM$48*AP50)*0.001,IF(AQ50&gt;ENERGÍA!$AY$63,(($AM$60*AP50)*0.001)/3,($AM$60*AP50)*0.001))</f>
        <v>0</v>
      </c>
    </row>
    <row r="51" spans="1:58" ht="15" customHeight="1" thickBot="1">
      <c r="B51" s="782" t="s">
        <v>668</v>
      </c>
      <c r="C51" s="782"/>
      <c r="D51" s="775"/>
      <c r="E51" s="775"/>
      <c r="F51" s="257"/>
      <c r="G51" s="236"/>
      <c r="H51" s="236"/>
      <c r="I51" s="236"/>
      <c r="J51" s="236"/>
      <c r="K51" s="255"/>
      <c r="L51" s="221"/>
      <c r="U51" s="299" t="s">
        <v>823</v>
      </c>
      <c r="V51" s="1093" t="s">
        <v>824</v>
      </c>
      <c r="W51" s="1094"/>
      <c r="X51" s="299" t="s">
        <v>825</v>
      </c>
      <c r="Y51" s="299" t="s">
        <v>826</v>
      </c>
      <c r="Z51" s="299" t="s">
        <v>827</v>
      </c>
      <c r="AA51" s="299" t="s">
        <v>828</v>
      </c>
      <c r="AB51" s="299" t="s">
        <v>829</v>
      </c>
      <c r="AC51" s="299" t="s">
        <v>830</v>
      </c>
      <c r="AD51" s="299" t="s">
        <v>831</v>
      </c>
      <c r="AE51" s="300" t="s">
        <v>832</v>
      </c>
      <c r="AF51" s="299" t="s">
        <v>833</v>
      </c>
      <c r="AG51" s="299" t="s">
        <v>834</v>
      </c>
      <c r="AI51" s="301" t="s">
        <v>1424</v>
      </c>
      <c r="AJ51" s="125">
        <f>AJ50*AG48</f>
        <v>0</v>
      </c>
      <c r="AK51" s="93"/>
      <c r="AL51" s="93"/>
      <c r="AM51" s="93"/>
      <c r="AN51" s="93"/>
      <c r="AO51" s="301" t="str">
        <f>'Materiales Personalizados'!BD14</f>
        <v>Septiembre</v>
      </c>
      <c r="AP51" s="301">
        <f>'Materiales Personalizados'!BE14</f>
        <v>30</v>
      </c>
      <c r="AQ51" s="299">
        <f>VLOOKUP($C$4,TEMPERATURASMENSUALES,10,FALSE)</f>
        <v>0</v>
      </c>
      <c r="AR51" s="212">
        <f>IF(AQ51&gt;=ENERGÍA!$AY$64,($AM$48*AP51)*0.001,IF(AQ51&gt;ENERGÍA!$AY$63,(($AM$60*AP51)*0.001)/3,($AM$60*AP51)*0.001))</f>
        <v>0</v>
      </c>
    </row>
    <row r="52" spans="1:58" s="218" customFormat="1" ht="6" customHeight="1" thickBot="1">
      <c r="A52" s="256"/>
      <c r="B52" s="236"/>
      <c r="C52" s="236"/>
      <c r="D52" s="257"/>
      <c r="E52" s="257"/>
      <c r="F52" s="257"/>
      <c r="G52" s="236"/>
      <c r="H52" s="236"/>
      <c r="I52" s="236"/>
      <c r="J52" s="236"/>
      <c r="K52" s="256"/>
      <c r="L52" s="221"/>
      <c r="M52" s="82"/>
      <c r="N52" s="82"/>
      <c r="O52" s="73"/>
      <c r="P52" s="73"/>
      <c r="Q52" s="73"/>
      <c r="AH52" s="82"/>
      <c r="AI52" s="199"/>
      <c r="AJ52" s="199"/>
      <c r="AK52" s="199"/>
      <c r="AL52" s="199"/>
      <c r="AM52" s="199"/>
      <c r="AN52" s="199"/>
      <c r="AO52" s="91"/>
      <c r="AP52" s="91"/>
      <c r="AR52" s="214"/>
      <c r="AT52" s="224"/>
      <c r="AU52" s="86"/>
      <c r="AV52" s="225"/>
      <c r="AW52" s="225"/>
      <c r="AX52" s="225"/>
      <c r="AY52" s="225"/>
      <c r="AZ52" s="225"/>
      <c r="BA52" s="225"/>
      <c r="BB52" s="221"/>
      <c r="BC52" s="98"/>
      <c r="BD52" s="98"/>
      <c r="BE52" s="98"/>
      <c r="BF52" s="98"/>
    </row>
    <row r="53" spans="1:58" s="218" customFormat="1" ht="30" customHeight="1" thickBot="1">
      <c r="A53" s="256"/>
      <c r="B53" s="774" t="s">
        <v>1416</v>
      </c>
      <c r="C53" s="774"/>
      <c r="D53" s="774"/>
      <c r="E53" s="774"/>
      <c r="F53" s="774"/>
      <c r="G53" s="774"/>
      <c r="H53" s="774"/>
      <c r="I53" s="774"/>
      <c r="J53" s="774"/>
      <c r="K53" s="256"/>
      <c r="L53" s="221"/>
      <c r="M53" s="82"/>
      <c r="N53" s="82"/>
      <c r="O53" s="73"/>
      <c r="P53" s="73"/>
      <c r="Q53" s="73"/>
      <c r="R53" s="1101" t="s">
        <v>1437</v>
      </c>
      <c r="S53" s="1102"/>
      <c r="T53" s="1103"/>
      <c r="U53" s="300">
        <f>((('Materiales Personalizados'!$BF$6*$O$42)*0.264172052637296)*3.78541)*0.001</f>
        <v>0</v>
      </c>
      <c r="V53" s="1104">
        <f>((('Materiales Personalizados'!$BF$7*$O$42)*0.264172052637296)*3.78541)*0.001</f>
        <v>0</v>
      </c>
      <c r="W53" s="1105"/>
      <c r="X53" s="300">
        <f>((('Materiales Personalizados'!$BF$8*$O$42)*0.264172052637296)*3.78541)*0.001</f>
        <v>0</v>
      </c>
      <c r="Y53" s="300">
        <f>((('Materiales Personalizados'!$BF$9*$O$42)*0.264172052637296)*3.78541)*0.001</f>
        <v>0</v>
      </c>
      <c r="Z53" s="300">
        <f>((('Materiales Personalizados'!$BF$10*$O$42)*0.264172052637296)*3.78541)*0.001</f>
        <v>0</v>
      </c>
      <c r="AA53" s="300">
        <f>((('Materiales Personalizados'!$BF$11*$O$42)*0.264172052637296)*3.78541)*0.001</f>
        <v>0</v>
      </c>
      <c r="AB53" s="300">
        <f>((('Materiales Personalizados'!$BF$12*$O$42)*0.264172052637296)*3.78541)*0.001</f>
        <v>0</v>
      </c>
      <c r="AC53" s="300">
        <f>((('Materiales Personalizados'!$BF$13*$O$42)*0.264172052637296)*3.78541)*0.001</f>
        <v>0</v>
      </c>
      <c r="AD53" s="300">
        <f>((('Materiales Personalizados'!$BF$14*$O$42)*0.264172052637296)*3.78541)*0.001</f>
        <v>0</v>
      </c>
      <c r="AE53" s="300">
        <f>((('Materiales Personalizados'!$BF$15*$O$42)*0.264172052637296)*3.78541)*0.001</f>
        <v>0</v>
      </c>
      <c r="AF53" s="300">
        <f>((('Materiales Personalizados'!$BF$16*$O$42)*0.264172052637296)*3.78541)*0.001</f>
        <v>0</v>
      </c>
      <c r="AG53" s="300">
        <f>((('Materiales Personalizados'!$BF$17*$O$42)*0.264172052637296)*3.78541)*0.001</f>
        <v>0</v>
      </c>
      <c r="AH53" s="82"/>
      <c r="AI53" s="1085" t="s">
        <v>1430</v>
      </c>
      <c r="AJ53" s="1086"/>
      <c r="AK53" s="1086"/>
      <c r="AL53" s="1086"/>
      <c r="AM53" s="1086"/>
      <c r="AN53" s="1086"/>
      <c r="AO53" s="301" t="str">
        <f>'Materiales Personalizados'!BD15</f>
        <v>Octubre</v>
      </c>
      <c r="AP53" s="301">
        <f>'Materiales Personalizados'!BE15</f>
        <v>31</v>
      </c>
      <c r="AQ53" s="299">
        <f>VLOOKUP($C$4,TEMPERATURASMENSUALES,11,FALSE)</f>
        <v>0</v>
      </c>
      <c r="AR53" s="212">
        <f>IF(AQ53&gt;=ENERGÍA!$AY$64,($AM$48*AP53)*0.001,IF(AQ53&gt;ENERGÍA!$AY$63,(($AM$60*AP53)*0.001)/3,($AM$60*AP53)*0.001))</f>
        <v>0</v>
      </c>
      <c r="AT53" s="224"/>
      <c r="AU53" s="86"/>
      <c r="AV53" s="86"/>
      <c r="AW53" s="86"/>
      <c r="AX53" s="86"/>
      <c r="AY53" s="86"/>
      <c r="AZ53" s="86"/>
      <c r="BA53" s="225"/>
      <c r="BB53" s="221"/>
      <c r="BC53" s="98"/>
      <c r="BD53" s="98"/>
      <c r="BE53" s="98"/>
      <c r="BF53" s="98"/>
    </row>
    <row r="54" spans="1:58" s="218" customFormat="1" ht="6" customHeight="1" thickBot="1">
      <c r="A54" s="256"/>
      <c r="B54" s="236"/>
      <c r="C54" s="236"/>
      <c r="D54" s="257"/>
      <c r="E54" s="257"/>
      <c r="F54" s="257"/>
      <c r="G54" s="236"/>
      <c r="H54" s="236"/>
      <c r="I54" s="236"/>
      <c r="J54" s="236"/>
      <c r="K54" s="256"/>
      <c r="L54" s="221"/>
      <c r="M54" s="82"/>
      <c r="O54" s="73"/>
      <c r="P54" s="73"/>
      <c r="Q54" s="73"/>
      <c r="R54" s="82"/>
      <c r="S54" s="82"/>
      <c r="V54" s="1106"/>
      <c r="W54" s="1107"/>
      <c r="X54" s="82"/>
      <c r="Y54" s="73"/>
      <c r="Z54" s="73"/>
      <c r="AA54" s="73"/>
      <c r="AB54" s="73"/>
      <c r="AC54" s="82"/>
      <c r="AD54" s="82"/>
      <c r="AE54" s="82"/>
      <c r="AF54" s="82"/>
      <c r="AG54" s="367"/>
      <c r="AH54" s="82"/>
      <c r="AI54" s="199"/>
      <c r="AJ54" s="199"/>
      <c r="AK54" s="199"/>
      <c r="AL54" s="199"/>
      <c r="AM54" s="199"/>
      <c r="AN54" s="199"/>
      <c r="AO54" s="91"/>
      <c r="AP54" s="91"/>
      <c r="AR54" s="214"/>
      <c r="AT54" s="224"/>
      <c r="AU54" s="86"/>
      <c r="AV54" s="86"/>
      <c r="AW54" s="86"/>
      <c r="AX54" s="86"/>
      <c r="AY54" s="86"/>
      <c r="AZ54" s="86"/>
      <c r="BA54" s="225"/>
      <c r="BB54" s="221"/>
      <c r="BC54" s="98"/>
      <c r="BD54" s="98"/>
      <c r="BE54" s="98"/>
      <c r="BF54" s="98"/>
    </row>
    <row r="55" spans="1:58" s="218" customFormat="1" ht="43" customHeight="1" thickBot="1">
      <c r="A55" s="256"/>
      <c r="B55" s="788" t="s">
        <v>1417</v>
      </c>
      <c r="C55" s="788"/>
      <c r="D55" s="775" t="s">
        <v>7</v>
      </c>
      <c r="E55" s="775"/>
      <c r="F55" s="254"/>
      <c r="G55" s="782" t="s">
        <v>570</v>
      </c>
      <c r="H55" s="782"/>
      <c r="I55" s="782"/>
      <c r="J55" s="317"/>
      <c r="K55" s="256"/>
      <c r="L55" s="221"/>
      <c r="N55" s="82"/>
      <c r="O55" s="73"/>
      <c r="P55" s="73"/>
      <c r="Q55" s="73"/>
      <c r="R55" s="1093" t="s">
        <v>1687</v>
      </c>
      <c r="S55" s="1119"/>
      <c r="T55" s="1094"/>
      <c r="U55" s="300">
        <f>AA48/12</f>
        <v>0</v>
      </c>
      <c r="V55" s="1104">
        <f>U55</f>
        <v>0</v>
      </c>
      <c r="W55" s="1105"/>
      <c r="X55" s="300">
        <f>V55</f>
        <v>0</v>
      </c>
      <c r="Y55" s="300">
        <f>X55</f>
        <v>0</v>
      </c>
      <c r="Z55" s="300">
        <f t="shared" ref="Z55:AG55" si="18">Y55</f>
        <v>0</v>
      </c>
      <c r="AA55" s="300">
        <f t="shared" si="18"/>
        <v>0</v>
      </c>
      <c r="AB55" s="300">
        <f t="shared" si="18"/>
        <v>0</v>
      </c>
      <c r="AC55" s="300">
        <f t="shared" si="18"/>
        <v>0</v>
      </c>
      <c r="AD55" s="300">
        <f t="shared" si="18"/>
        <v>0</v>
      </c>
      <c r="AE55" s="300">
        <f t="shared" si="18"/>
        <v>0</v>
      </c>
      <c r="AF55" s="300">
        <f t="shared" si="18"/>
        <v>0</v>
      </c>
      <c r="AG55" s="300">
        <f t="shared" si="18"/>
        <v>0</v>
      </c>
      <c r="AH55" s="82"/>
      <c r="AI55" s="301" t="s">
        <v>1427</v>
      </c>
      <c r="AJ55" s="125">
        <f>ENERGÍA!AY83</f>
        <v>9.2098978806022647</v>
      </c>
      <c r="AK55" s="199"/>
      <c r="AL55" s="301" t="s">
        <v>1423</v>
      </c>
      <c r="AM55" s="125">
        <v>1.2</v>
      </c>
      <c r="AN55" s="199"/>
      <c r="AO55" s="301" t="str">
        <f>'Materiales Personalizados'!BD16</f>
        <v>Noviembre</v>
      </c>
      <c r="AP55" s="301">
        <f>'Materiales Personalizados'!BE16</f>
        <v>30</v>
      </c>
      <c r="AQ55" s="299">
        <f>VLOOKUP($C$4,TEMPERATURASMENSUALES,12,FALSE)</f>
        <v>0</v>
      </c>
      <c r="AR55" s="212">
        <f>IF(AQ55&gt;=ENERGÍA!$AY$64,($AM$48*AP55)*0.001,IF(AQ55&gt;ENERGÍA!$AY$63,(($AM$60*AP55)*0.001)/3,($AM$60*AP55)*0.001))</f>
        <v>0</v>
      </c>
      <c r="AT55" s="224"/>
      <c r="AU55" s="86"/>
      <c r="AV55" s="790" t="s">
        <v>1688</v>
      </c>
      <c r="AW55" s="790"/>
      <c r="AX55" s="790"/>
      <c r="AY55" s="790"/>
      <c r="AZ55" s="790"/>
      <c r="BA55" s="225"/>
      <c r="BB55" s="221"/>
      <c r="BC55" s="98"/>
      <c r="BD55" s="98"/>
      <c r="BE55" s="98"/>
      <c r="BF55" s="98"/>
    </row>
    <row r="56" spans="1:58" s="218" customFormat="1" ht="6" customHeight="1" thickBot="1">
      <c r="A56" s="256"/>
      <c r="B56" s="236"/>
      <c r="C56" s="236"/>
      <c r="D56" s="257"/>
      <c r="E56" s="257"/>
      <c r="F56" s="254"/>
      <c r="G56" s="1120"/>
      <c r="H56" s="1120"/>
      <c r="I56" s="1120"/>
      <c r="J56" s="1120"/>
      <c r="K56" s="256"/>
      <c r="L56" s="221"/>
      <c r="N56" s="82"/>
      <c r="O56" s="73"/>
      <c r="P56" s="73"/>
      <c r="Q56" s="73"/>
      <c r="R56" s="82"/>
      <c r="S56" s="82"/>
      <c r="V56" s="1106"/>
      <c r="W56" s="1107"/>
      <c r="X56" s="82"/>
      <c r="Y56" s="73"/>
      <c r="Z56" s="73"/>
      <c r="AA56" s="73"/>
      <c r="AB56" s="73"/>
      <c r="AC56" s="82"/>
      <c r="AD56" s="82"/>
      <c r="AE56" s="82"/>
      <c r="AF56" s="82"/>
      <c r="AG56" s="367"/>
      <c r="AH56" s="82"/>
      <c r="AK56" s="199"/>
      <c r="AL56" s="199"/>
      <c r="AM56" s="199"/>
      <c r="AN56" s="199"/>
      <c r="AO56" s="91"/>
      <c r="AP56" s="91"/>
      <c r="AR56" s="214"/>
      <c r="AT56" s="224"/>
      <c r="AU56" s="86"/>
      <c r="AV56" s="86"/>
      <c r="AW56" s="86"/>
      <c r="AX56" s="86"/>
      <c r="AY56" s="86"/>
      <c r="AZ56" s="86"/>
      <c r="BA56" s="225"/>
      <c r="BB56" s="221"/>
      <c r="BC56" s="98"/>
      <c r="BD56" s="98"/>
      <c r="BE56" s="98"/>
      <c r="BF56" s="98"/>
    </row>
    <row r="57" spans="1:58" s="218" customFormat="1" ht="15" customHeight="1" thickBot="1">
      <c r="A57" s="256"/>
      <c r="B57" s="1083" t="s">
        <v>1929</v>
      </c>
      <c r="C57" s="1083"/>
      <c r="D57" s="1082"/>
      <c r="E57" s="1082"/>
      <c r="F57" s="254"/>
      <c r="G57" s="782" t="s">
        <v>672</v>
      </c>
      <c r="H57" s="782"/>
      <c r="I57" s="782"/>
      <c r="J57" s="319"/>
      <c r="K57" s="256"/>
      <c r="L57" s="221"/>
      <c r="N57" s="82"/>
      <c r="O57" s="73"/>
      <c r="P57" s="73"/>
      <c r="Q57" s="73"/>
      <c r="R57" s="1101" t="s">
        <v>1438</v>
      </c>
      <c r="S57" s="1102"/>
      <c r="T57" s="1103"/>
      <c r="U57" s="300">
        <f>AR40</f>
        <v>0</v>
      </c>
      <c r="V57" s="1104">
        <f>AR42</f>
        <v>0</v>
      </c>
      <c r="W57" s="1105"/>
      <c r="X57" s="300">
        <f>AR44</f>
        <v>0</v>
      </c>
      <c r="Y57" s="300">
        <f>AR46</f>
        <v>0</v>
      </c>
      <c r="Z57" s="300">
        <f>AR47</f>
        <v>0</v>
      </c>
      <c r="AA57" s="300">
        <f>AR48</f>
        <v>0</v>
      </c>
      <c r="AB57" s="300">
        <f>AR49</f>
        <v>0</v>
      </c>
      <c r="AC57" s="300">
        <f>AR50</f>
        <v>0</v>
      </c>
      <c r="AD57" s="300">
        <f>AR51</f>
        <v>0</v>
      </c>
      <c r="AE57" s="300">
        <f>AR53</f>
        <v>0</v>
      </c>
      <c r="AF57" s="300">
        <f>AR55</f>
        <v>0</v>
      </c>
      <c r="AG57" s="300">
        <f>AR57</f>
        <v>0</v>
      </c>
      <c r="AH57" s="82"/>
      <c r="AK57" s="199"/>
      <c r="AL57" s="199"/>
      <c r="AM57" s="199"/>
      <c r="AN57" s="199"/>
      <c r="AO57" s="301" t="str">
        <f>'Materiales Personalizados'!BD17</f>
        <v>Diciembre</v>
      </c>
      <c r="AP57" s="301">
        <f>'Materiales Personalizados'!BE17</f>
        <v>31</v>
      </c>
      <c r="AQ57" s="299">
        <f>VLOOKUP($C$4,TEMPERATURASMENSUALES,13,FALSE)</f>
        <v>0</v>
      </c>
      <c r="AR57" s="212">
        <f>IF(AQ57&gt;=ENERGÍA!$AY$64,($AM$48*AP57)*0.001,IF(AQ57&gt;ENERGÍA!$AY$63,(($AM$60*AP57)*0.001)/3,($AM$60*AP57)*0.001))</f>
        <v>0</v>
      </c>
      <c r="AT57" s="224"/>
      <c r="AU57" s="86"/>
      <c r="AV57" s="269">
        <f>IF(D55="Si",IF(DATOS!G52="No",1,0),2)</f>
        <v>2</v>
      </c>
      <c r="AW57" s="86"/>
      <c r="AX57" s="86"/>
      <c r="AY57" s="86"/>
      <c r="AZ57" s="86"/>
      <c r="BA57" s="225"/>
      <c r="BB57" s="221"/>
      <c r="BC57" s="98"/>
      <c r="BD57" s="98"/>
      <c r="BE57" s="98"/>
      <c r="BF57" s="98"/>
    </row>
    <row r="58" spans="1:58" s="218" customFormat="1" ht="30" customHeight="1" thickBot="1">
      <c r="A58" s="256"/>
      <c r="B58" s="1083" t="s">
        <v>1850</v>
      </c>
      <c r="C58" s="1083"/>
      <c r="D58" s="1082"/>
      <c r="E58" s="1082"/>
      <c r="F58" s="254"/>
      <c r="G58" s="254"/>
      <c r="H58" s="254"/>
      <c r="I58" s="254"/>
      <c r="J58" s="254"/>
      <c r="K58" s="256"/>
      <c r="L58" s="221"/>
      <c r="M58" s="82"/>
      <c r="N58" s="82"/>
      <c r="O58" s="73"/>
      <c r="P58" s="73"/>
      <c r="Q58" s="73"/>
      <c r="AH58" s="82"/>
      <c r="AI58" s="301" t="s">
        <v>1424</v>
      </c>
      <c r="AJ58" s="125">
        <f>AM55*AG48</f>
        <v>0</v>
      </c>
      <c r="AK58" s="199"/>
      <c r="AL58" s="301" t="s">
        <v>1425</v>
      </c>
      <c r="AM58" s="125">
        <f>(AJ55*AJ58)/1000</f>
        <v>0</v>
      </c>
      <c r="AN58" s="199"/>
      <c r="AO58" s="199"/>
      <c r="AQ58" s="219" t="s">
        <v>1433</v>
      </c>
      <c r="AR58" s="219">
        <f>SUM(AR40:AR57)</f>
        <v>0</v>
      </c>
      <c r="AT58" s="224"/>
      <c r="AU58" s="86"/>
      <c r="AV58" s="86"/>
      <c r="AW58" s="86"/>
      <c r="AX58" s="86"/>
      <c r="AY58" s="86"/>
      <c r="AZ58" s="86"/>
      <c r="BA58" s="225"/>
      <c r="BB58" s="221"/>
      <c r="BC58" s="98"/>
      <c r="BD58" s="98"/>
      <c r="BE58" s="98"/>
      <c r="BF58" s="98"/>
    </row>
    <row r="59" spans="1:58" s="218" customFormat="1" ht="6" customHeight="1" thickBot="1">
      <c r="A59" s="256"/>
      <c r="B59" s="236"/>
      <c r="C59" s="236"/>
      <c r="D59" s="257"/>
      <c r="E59" s="257"/>
      <c r="F59" s="257"/>
      <c r="G59" s="236"/>
      <c r="H59" s="236"/>
      <c r="I59" s="236"/>
      <c r="J59" s="236"/>
      <c r="K59" s="256"/>
      <c r="L59" s="221"/>
      <c r="M59" s="82"/>
      <c r="N59" s="82"/>
      <c r="O59" s="73"/>
      <c r="P59" s="73"/>
      <c r="Q59" s="73"/>
      <c r="AH59" s="82"/>
      <c r="AL59" s="91"/>
      <c r="AM59" s="91"/>
      <c r="AN59" s="199"/>
      <c r="AO59" s="199"/>
      <c r="AT59" s="224"/>
      <c r="AU59" s="86"/>
      <c r="AV59" s="86"/>
      <c r="AW59" s="86"/>
      <c r="AX59" s="86"/>
      <c r="AY59" s="86"/>
      <c r="AZ59" s="86"/>
      <c r="BA59" s="225"/>
      <c r="BB59" s="221"/>
      <c r="BC59" s="98"/>
      <c r="BD59" s="98"/>
      <c r="BE59" s="98"/>
      <c r="BF59" s="98"/>
    </row>
    <row r="60" spans="1:58" ht="30" customHeight="1" thickBot="1">
      <c r="B60" s="816" t="s">
        <v>793</v>
      </c>
      <c r="C60" s="816"/>
      <c r="D60" s="816"/>
      <c r="E60" s="816"/>
      <c r="F60" s="816"/>
      <c r="G60" s="816"/>
      <c r="H60" s="816"/>
      <c r="I60" s="816"/>
      <c r="J60" s="816"/>
      <c r="M60" s="298" t="s">
        <v>759</v>
      </c>
      <c r="R60" s="1101" t="s">
        <v>1436</v>
      </c>
      <c r="S60" s="1102"/>
      <c r="T60" s="1103"/>
      <c r="U60" s="300">
        <f>(E40*1000)*0.001</f>
        <v>0</v>
      </c>
      <c r="V60" s="1104">
        <f>U60</f>
        <v>0</v>
      </c>
      <c r="W60" s="1105"/>
      <c r="X60" s="300">
        <f>V60</f>
        <v>0</v>
      </c>
      <c r="Y60" s="300">
        <f>X60</f>
        <v>0</v>
      </c>
      <c r="Z60" s="300">
        <f t="shared" ref="Z60:AG60" si="19">Y60</f>
        <v>0</v>
      </c>
      <c r="AA60" s="300">
        <f t="shared" si="19"/>
        <v>0</v>
      </c>
      <c r="AB60" s="300">
        <f t="shared" si="19"/>
        <v>0</v>
      </c>
      <c r="AC60" s="300">
        <f t="shared" si="19"/>
        <v>0</v>
      </c>
      <c r="AD60" s="300">
        <f t="shared" si="19"/>
        <v>0</v>
      </c>
      <c r="AE60" s="300">
        <f t="shared" si="19"/>
        <v>0</v>
      </c>
      <c r="AF60" s="300">
        <f t="shared" si="19"/>
        <v>0</v>
      </c>
      <c r="AG60" s="300">
        <f t="shared" si="19"/>
        <v>0</v>
      </c>
      <c r="AI60" s="218"/>
      <c r="AJ60" s="218"/>
      <c r="AK60" s="218"/>
      <c r="AL60" s="302" t="s">
        <v>1686</v>
      </c>
      <c r="AM60" s="217">
        <f>AM58*10</f>
        <v>0</v>
      </c>
      <c r="AN60" s="218"/>
      <c r="AO60" s="224"/>
      <c r="AP60" s="218"/>
      <c r="AQ60" s="218"/>
      <c r="AR60" s="218"/>
      <c r="AV60" s="86"/>
      <c r="AW60" s="86"/>
      <c r="AX60" s="86"/>
      <c r="AY60" s="86"/>
      <c r="AZ60" s="86"/>
    </row>
    <row r="61" spans="1:58" ht="6" customHeight="1" thickBot="1">
      <c r="AI61" s="73"/>
      <c r="AJ61" s="73"/>
      <c r="AK61" s="73"/>
      <c r="AL61" s="73"/>
      <c r="AM61" s="73"/>
      <c r="AN61" s="73"/>
      <c r="AO61" s="220"/>
      <c r="AV61" s="86"/>
      <c r="AW61" s="86"/>
      <c r="AX61" s="86"/>
      <c r="AY61" s="86"/>
      <c r="AZ61" s="86"/>
    </row>
    <row r="62" spans="1:58" ht="15" customHeight="1" thickBot="1">
      <c r="B62" s="1121" t="s">
        <v>794</v>
      </c>
      <c r="C62" s="1121"/>
      <c r="D62" s="1121"/>
      <c r="E62" s="1121"/>
      <c r="F62" s="1121"/>
      <c r="G62" s="1121"/>
      <c r="H62" s="1121"/>
      <c r="I62" s="1082" t="s">
        <v>7</v>
      </c>
      <c r="J62" s="1082"/>
      <c r="M62" s="368">
        <f>IF(I62="Si",(AR23+AQ14)*0.05,0)</f>
        <v>0</v>
      </c>
      <c r="R62" s="1101" t="s">
        <v>1439</v>
      </c>
      <c r="S62" s="1102"/>
      <c r="T62" s="1103"/>
      <c r="U62" s="300">
        <f>(J46*1000)*0.001</f>
        <v>0</v>
      </c>
      <c r="V62" s="1104">
        <f>U62</f>
        <v>0</v>
      </c>
      <c r="W62" s="1105"/>
      <c r="X62" s="300">
        <f>V62</f>
        <v>0</v>
      </c>
      <c r="Y62" s="300">
        <f>X62</f>
        <v>0</v>
      </c>
      <c r="Z62" s="300">
        <f t="shared" ref="Z62:AG62" si="20">Y62</f>
        <v>0</v>
      </c>
      <c r="AA62" s="300">
        <f t="shared" si="20"/>
        <v>0</v>
      </c>
      <c r="AB62" s="300">
        <f t="shared" si="20"/>
        <v>0</v>
      </c>
      <c r="AC62" s="300">
        <f t="shared" si="20"/>
        <v>0</v>
      </c>
      <c r="AD62" s="300">
        <f t="shared" si="20"/>
        <v>0</v>
      </c>
      <c r="AE62" s="300">
        <f t="shared" si="20"/>
        <v>0</v>
      </c>
      <c r="AF62" s="300">
        <f t="shared" si="20"/>
        <v>0</v>
      </c>
      <c r="AG62" s="300">
        <f t="shared" si="20"/>
        <v>0</v>
      </c>
      <c r="AJ62" s="1108" t="s">
        <v>1435</v>
      </c>
      <c r="AK62" s="1109"/>
      <c r="AL62" s="1109"/>
      <c r="AM62" s="1109"/>
      <c r="AN62" s="1109"/>
      <c r="AO62" s="1109"/>
      <c r="AP62" s="1109"/>
      <c r="AQ62" s="1109"/>
      <c r="AR62" s="1110"/>
      <c r="AV62" s="86"/>
      <c r="AW62" s="86"/>
      <c r="AX62" s="86"/>
      <c r="AY62" s="86"/>
      <c r="AZ62" s="86"/>
    </row>
    <row r="63" spans="1:58" ht="15" customHeight="1" thickBot="1">
      <c r="B63" s="1121" t="s">
        <v>795</v>
      </c>
      <c r="C63" s="1121"/>
      <c r="D63" s="1121"/>
      <c r="E63" s="1121"/>
      <c r="F63" s="1121"/>
      <c r="G63" s="1121"/>
      <c r="H63" s="1121"/>
      <c r="I63" s="1082" t="s">
        <v>7</v>
      </c>
      <c r="J63" s="1082"/>
      <c r="M63" s="368">
        <f>IF(I63="Si",(AR23+AQ14)*0.02,0)</f>
        <v>0</v>
      </c>
      <c r="AI63" s="73"/>
      <c r="AJ63" s="1111"/>
      <c r="AK63" s="1112"/>
      <c r="AL63" s="1112"/>
      <c r="AM63" s="1112"/>
      <c r="AN63" s="1112"/>
      <c r="AO63" s="1112"/>
      <c r="AP63" s="1112"/>
      <c r="AQ63" s="1112"/>
      <c r="AR63" s="1113"/>
    </row>
    <row r="64" spans="1:58" ht="15" customHeight="1" thickBot="1">
      <c r="R64" s="1101" t="s">
        <v>1440</v>
      </c>
      <c r="S64" s="1102"/>
      <c r="T64" s="1103"/>
      <c r="U64" s="300">
        <f>(J57*1000)*0.001</f>
        <v>0</v>
      </c>
      <c r="V64" s="1104">
        <f>U64</f>
        <v>0</v>
      </c>
      <c r="W64" s="1105"/>
      <c r="X64" s="300">
        <f>V64</f>
        <v>0</v>
      </c>
      <c r="Y64" s="300">
        <f>X64</f>
        <v>0</v>
      </c>
      <c r="Z64" s="300">
        <f t="shared" ref="Z64:AG64" si="21">Y64</f>
        <v>0</v>
      </c>
      <c r="AA64" s="300">
        <f t="shared" si="21"/>
        <v>0</v>
      </c>
      <c r="AB64" s="300">
        <f t="shared" si="21"/>
        <v>0</v>
      </c>
      <c r="AC64" s="300">
        <f t="shared" si="21"/>
        <v>0</v>
      </c>
      <c r="AD64" s="300">
        <f t="shared" si="21"/>
        <v>0</v>
      </c>
      <c r="AE64" s="300">
        <f t="shared" si="21"/>
        <v>0</v>
      </c>
      <c r="AF64" s="300">
        <f t="shared" si="21"/>
        <v>0</v>
      </c>
      <c r="AG64" s="300">
        <f t="shared" si="21"/>
        <v>0</v>
      </c>
      <c r="AJ64" s="1087" t="s">
        <v>1447</v>
      </c>
      <c r="AK64" s="1088"/>
      <c r="AL64" s="1088"/>
      <c r="AM64" s="1089"/>
      <c r="AN64" s="299">
        <f>IF(E39="Si",1,0)</f>
        <v>0</v>
      </c>
      <c r="AO64" s="300">
        <f>AH67*AN64</f>
        <v>0</v>
      </c>
      <c r="AP64" s="1095" t="s">
        <v>1689</v>
      </c>
      <c r="AQ64" s="1096"/>
      <c r="AR64" s="1090">
        <f>SUM(AO64:AO66)</f>
        <v>0</v>
      </c>
    </row>
    <row r="65" spans="18:44" ht="15" customHeight="1" thickBot="1">
      <c r="AI65" s="73"/>
      <c r="AJ65" s="1087" t="s">
        <v>1448</v>
      </c>
      <c r="AK65" s="1088"/>
      <c r="AL65" s="1088"/>
      <c r="AM65" s="1089"/>
      <c r="AN65" s="299">
        <f>IF(D44="Si",1,0)</f>
        <v>0</v>
      </c>
      <c r="AO65" s="300">
        <f>AN65*AH70</f>
        <v>0</v>
      </c>
      <c r="AP65" s="1097"/>
      <c r="AQ65" s="1098"/>
      <c r="AR65" s="1091"/>
    </row>
    <row r="66" spans="18:44" ht="15" customHeight="1" thickBot="1">
      <c r="R66" s="1101" t="s">
        <v>1441</v>
      </c>
      <c r="S66" s="1102"/>
      <c r="T66" s="1103"/>
      <c r="U66" s="300" t="str">
        <f>IF($E$39="SI",IF(U53&lt;=U60,1,0),"-")</f>
        <v>-</v>
      </c>
      <c r="V66" s="1104" t="str">
        <f>IF($E$39="SI",IF(V53&lt;=V60,1,0),"-")</f>
        <v>-</v>
      </c>
      <c r="W66" s="1105"/>
      <c r="X66" s="300" t="str">
        <f>IF($E$39="SI",IF(X53&lt;=X60,1,0),"-")</f>
        <v>-</v>
      </c>
      <c r="Y66" s="300" t="str">
        <f t="shared" ref="Y66:AG66" si="22">IF($E$39="SI",IF(Y53&lt;=Y60,1,0),"-")</f>
        <v>-</v>
      </c>
      <c r="Z66" s="300" t="str">
        <f t="shared" si="22"/>
        <v>-</v>
      </c>
      <c r="AA66" s="300" t="str">
        <f t="shared" si="22"/>
        <v>-</v>
      </c>
      <c r="AB66" s="300" t="str">
        <f t="shared" si="22"/>
        <v>-</v>
      </c>
      <c r="AC66" s="300" t="str">
        <f t="shared" si="22"/>
        <v>-</v>
      </c>
      <c r="AD66" s="300" t="str">
        <f t="shared" si="22"/>
        <v>-</v>
      </c>
      <c r="AE66" s="300" t="str">
        <f t="shared" si="22"/>
        <v>-</v>
      </c>
      <c r="AF66" s="300" t="str">
        <f t="shared" si="22"/>
        <v>-</v>
      </c>
      <c r="AG66" s="300" t="str">
        <f t="shared" si="22"/>
        <v>-</v>
      </c>
      <c r="AJ66" s="1087" t="s">
        <v>1449</v>
      </c>
      <c r="AK66" s="1088"/>
      <c r="AL66" s="1088"/>
      <c r="AM66" s="1089"/>
      <c r="AN66" s="299">
        <f>IF(DATOS!G52="No",0,IF(D55="Si",1,0))</f>
        <v>0</v>
      </c>
      <c r="AO66" s="300">
        <f>AN66*AH73</f>
        <v>0</v>
      </c>
      <c r="AP66" s="1099"/>
      <c r="AQ66" s="1100"/>
      <c r="AR66" s="1092"/>
    </row>
    <row r="67" spans="18:44" ht="15" customHeight="1" thickBot="1">
      <c r="R67" s="1101" t="s">
        <v>1443</v>
      </c>
      <c r="S67" s="1102"/>
      <c r="T67" s="1103"/>
      <c r="U67" s="300" t="str">
        <f>IF(U66=1,U53,IF(U66=0,U60,"-"))</f>
        <v>-</v>
      </c>
      <c r="V67" s="1104" t="str">
        <f>IF(V66=1,V53,IF(V66=0,V60,"-"))</f>
        <v>-</v>
      </c>
      <c r="W67" s="1105"/>
      <c r="X67" s="300" t="str">
        <f t="shared" ref="X67:AG67" si="23">IF(X66=1,X53,IF(X66=0,X60,"-"))</f>
        <v>-</v>
      </c>
      <c r="Y67" s="300" t="str">
        <f t="shared" si="23"/>
        <v>-</v>
      </c>
      <c r="Z67" s="300" t="str">
        <f t="shared" si="23"/>
        <v>-</v>
      </c>
      <c r="AA67" s="300" t="str">
        <f t="shared" si="23"/>
        <v>-</v>
      </c>
      <c r="AB67" s="300" t="str">
        <f t="shared" si="23"/>
        <v>-</v>
      </c>
      <c r="AC67" s="300" t="str">
        <f t="shared" si="23"/>
        <v>-</v>
      </c>
      <c r="AD67" s="300" t="str">
        <f t="shared" si="23"/>
        <v>-</v>
      </c>
      <c r="AE67" s="300" t="str">
        <f t="shared" si="23"/>
        <v>-</v>
      </c>
      <c r="AF67" s="300" t="str">
        <f t="shared" si="23"/>
        <v>-</v>
      </c>
      <c r="AG67" s="78" t="str">
        <f t="shared" si="23"/>
        <v>-</v>
      </c>
      <c r="AH67" s="78">
        <f>SUM(U67:AG67)</f>
        <v>0</v>
      </c>
      <c r="AI67" s="73"/>
    </row>
    <row r="68" spans="18:44" ht="15" customHeight="1" thickBot="1">
      <c r="R68" s="1114"/>
      <c r="S68" s="1115"/>
      <c r="T68" s="1116"/>
      <c r="U68" s="213"/>
      <c r="V68" s="1117"/>
      <c r="W68" s="1118"/>
      <c r="X68" s="213"/>
      <c r="Y68" s="213"/>
      <c r="Z68" s="213"/>
      <c r="AA68" s="213"/>
      <c r="AB68" s="213"/>
      <c r="AC68" s="213"/>
      <c r="AD68" s="213"/>
      <c r="AE68" s="213"/>
      <c r="AF68" s="213"/>
      <c r="AG68" s="213"/>
      <c r="AN68" s="73"/>
      <c r="AO68" s="299" t="s">
        <v>1445</v>
      </c>
      <c r="AP68" s="299" t="s">
        <v>571</v>
      </c>
      <c r="AQ68" s="299" t="s">
        <v>763</v>
      </c>
    </row>
    <row r="69" spans="18:44" ht="15" customHeight="1" thickBot="1">
      <c r="R69" s="1101" t="s">
        <v>1442</v>
      </c>
      <c r="S69" s="1102"/>
      <c r="T69" s="1103"/>
      <c r="U69" s="300" t="str">
        <f>IF($D$44="Si",IF($J$44="Si",IF(U55&lt;=U62,1,0),IF(U55&lt;=(U60-U53),2,3)),"-")</f>
        <v>-</v>
      </c>
      <c r="V69" s="1104" t="str">
        <f>IF($D$44="Si",IF($J$44="Si",IF(V55&lt;=V62,1,0),IF(V55&lt;=(V60-V53),2,3)),"-")</f>
        <v>-</v>
      </c>
      <c r="W69" s="1105"/>
      <c r="X69" s="300" t="str">
        <f>IF($D$44="Si",IF($J$44="Si",IF(X55&lt;=X62,1,0),IF(X55&lt;=(X60-X53),2,3)),"-")</f>
        <v>-</v>
      </c>
      <c r="Y69" s="300" t="str">
        <f t="shared" ref="Y69:AG69" si="24">IF($D$44="Si",IF($J$44="Si",IF(Y55&lt;=Y62,1,0),IF(Y55&lt;=(Y60-Y53),2,3)),"-")</f>
        <v>-</v>
      </c>
      <c r="Z69" s="300" t="str">
        <f t="shared" si="24"/>
        <v>-</v>
      </c>
      <c r="AA69" s="300" t="str">
        <f t="shared" si="24"/>
        <v>-</v>
      </c>
      <c r="AB69" s="300" t="str">
        <f t="shared" si="24"/>
        <v>-</v>
      </c>
      <c r="AC69" s="300" t="str">
        <f t="shared" si="24"/>
        <v>-</v>
      </c>
      <c r="AD69" s="300" t="str">
        <f t="shared" si="24"/>
        <v>-</v>
      </c>
      <c r="AE69" s="300" t="str">
        <f t="shared" si="24"/>
        <v>-</v>
      </c>
      <c r="AF69" s="300" t="str">
        <f t="shared" si="24"/>
        <v>-</v>
      </c>
      <c r="AG69" s="300" t="str">
        <f t="shared" si="24"/>
        <v>-</v>
      </c>
      <c r="AJ69" s="1087" t="s">
        <v>1447</v>
      </c>
      <c r="AK69" s="1088"/>
      <c r="AL69" s="1088"/>
      <c r="AM69" s="1089"/>
      <c r="AN69" s="299">
        <f>IF(AO69='Materiales Personalizados'!$AG$51,1,IF(AO69='Materiales Personalizados'!$AG$52,2,3))</f>
        <v>3</v>
      </c>
      <c r="AO69" s="300">
        <f>J40</f>
        <v>0</v>
      </c>
      <c r="AP69" s="300">
        <f>IF(AN69=1,AO64,IF(AN69=3,AO64/2,0))</f>
        <v>0</v>
      </c>
      <c r="AQ69" s="300">
        <f>IF(AN69=2,AO64,IF(AN69=3,AO64/2,0))</f>
        <v>0</v>
      </c>
    </row>
    <row r="70" spans="18:44" ht="15" customHeight="1" thickBot="1">
      <c r="R70" s="1101" t="s">
        <v>1443</v>
      </c>
      <c r="S70" s="1102"/>
      <c r="T70" s="1103"/>
      <c r="U70" s="300">
        <f>IF((IF(U69=0,U62,IF(U69=1,U55,IF(U69=2,U55,U60-U53))))&lt;0,0,IF(U69=0,U62,IF(U69=1,U55,IF(U69=2,U55,U60-U53))))</f>
        <v>0</v>
      </c>
      <c r="V70" s="1104">
        <f>IF((IF(V69=0,V62,IF(V69=1,V55,IF(V69=2,V55,V60-V53))))&lt;0,0,IF(V69=0,V62,IF(V69=1,V55,IF(V69=2,V55,V60-V53))))</f>
        <v>0</v>
      </c>
      <c r="W70" s="1105"/>
      <c r="X70" s="300">
        <f>IF((IF(X69=0,X62,IF(X69=1,X55,IF(X69=2,X55,X60-X53))))&lt;0,0,IF(X69=0,X62,IF(X69=1,X55,IF(X69=2,X55,X60-X53))))</f>
        <v>0</v>
      </c>
      <c r="Y70" s="300">
        <f t="shared" ref="Y70:AG70" si="25">IF((IF(Y69=0,Y62,IF(Y69=1,Y55,IF(Y69=2,Y55,Y60-Y53))))&lt;0,0,IF(Y69=0,Y62,IF(Y69=1,Y55,IF(Y69=2,Y55,Y60-Y53))))</f>
        <v>0</v>
      </c>
      <c r="Z70" s="300">
        <f t="shared" si="25"/>
        <v>0</v>
      </c>
      <c r="AA70" s="300">
        <f t="shared" si="25"/>
        <v>0</v>
      </c>
      <c r="AB70" s="300">
        <f t="shared" si="25"/>
        <v>0</v>
      </c>
      <c r="AC70" s="300">
        <f t="shared" si="25"/>
        <v>0</v>
      </c>
      <c r="AD70" s="300">
        <f t="shared" si="25"/>
        <v>0</v>
      </c>
      <c r="AE70" s="300">
        <f t="shared" si="25"/>
        <v>0</v>
      </c>
      <c r="AF70" s="300">
        <f t="shared" si="25"/>
        <v>0</v>
      </c>
      <c r="AG70" s="300">
        <f t="shared" si="25"/>
        <v>0</v>
      </c>
      <c r="AH70" s="78">
        <f>SUM(U70:AG70)</f>
        <v>0</v>
      </c>
      <c r="AJ70" s="1087" t="s">
        <v>1448</v>
      </c>
      <c r="AK70" s="1088"/>
      <c r="AL70" s="1088"/>
      <c r="AM70" s="1089"/>
      <c r="AN70" s="299">
        <f>IF(AO70='Materiales Personalizados'!$AG$51,1,IF(AO70='Materiales Personalizados'!$AG$52,2,3))</f>
        <v>3</v>
      </c>
      <c r="AO70" s="300">
        <f>J47</f>
        <v>0</v>
      </c>
      <c r="AP70" s="300">
        <f>IF(AN70=1,AO65,IF(AN70=3,AO65/2,0))</f>
        <v>0</v>
      </c>
      <c r="AQ70" s="300">
        <f t="shared" ref="AQ70:AQ71" si="26">IF(AN70=2,AO65,IF(AN70=3,AO65/2,0))</f>
        <v>0</v>
      </c>
    </row>
    <row r="71" spans="18:44" ht="15" customHeight="1" thickBot="1">
      <c r="R71" s="1114"/>
      <c r="S71" s="1115"/>
      <c r="T71" s="1116"/>
      <c r="U71" s="213"/>
      <c r="V71" s="1117"/>
      <c r="W71" s="1118"/>
      <c r="X71" s="213"/>
      <c r="Y71" s="213"/>
      <c r="Z71" s="213"/>
      <c r="AA71" s="213"/>
      <c r="AB71" s="213"/>
      <c r="AC71" s="213"/>
      <c r="AD71" s="213"/>
      <c r="AE71" s="213"/>
      <c r="AF71" s="213"/>
      <c r="AG71" s="213"/>
      <c r="AJ71" s="1087" t="s">
        <v>1449</v>
      </c>
      <c r="AK71" s="1088"/>
      <c r="AL71" s="1088"/>
      <c r="AM71" s="1089"/>
      <c r="AN71" s="299">
        <f>IF(AO71='Materiales Personalizados'!$AG$51,1,IF(AO71='Materiales Personalizados'!$AG$52,2,3))</f>
        <v>3</v>
      </c>
      <c r="AO71" s="300">
        <f>J55</f>
        <v>0</v>
      </c>
      <c r="AP71" s="300">
        <f t="shared" ref="AP71" si="27">IF(AN71=1,AO66,IF(AN71=3,AO66/2,0))</f>
        <v>0</v>
      </c>
      <c r="AQ71" s="300">
        <f t="shared" si="26"/>
        <v>0</v>
      </c>
    </row>
    <row r="72" spans="18:44" ht="15" customHeight="1" thickBot="1">
      <c r="R72" s="1101" t="s">
        <v>1444</v>
      </c>
      <c r="S72" s="1102"/>
      <c r="T72" s="1103"/>
      <c r="U72" s="300" t="str">
        <f>IF($D$55="Si",IF($D$57="Si",IF($D$58=$M$47,IF(U57&lt;(U60-U53),1,2),IF(U57&lt;(U62-U55),3,4)),IF(U55&lt;U64,5,6)),"-")</f>
        <v>-</v>
      </c>
      <c r="V72" s="1104" t="str">
        <f>IF($D$44="Si",IF($J$44="Si",IF(V57&lt;=V64,1,0),IF(V57&lt;=(V60-V53),2,3)),"-")</f>
        <v>-</v>
      </c>
      <c r="W72" s="1105"/>
      <c r="X72" s="300" t="str">
        <f t="shared" ref="X72:AG72" si="28">IF($D$55="Si",IF($D$57="Si",IF(X57&lt;=X64,1,0),IF(X57&lt;=(X60-X53),2,3)),"-")</f>
        <v>-</v>
      </c>
      <c r="Y72" s="300" t="str">
        <f t="shared" si="28"/>
        <v>-</v>
      </c>
      <c r="Z72" s="300" t="str">
        <f t="shared" si="28"/>
        <v>-</v>
      </c>
      <c r="AA72" s="300" t="str">
        <f t="shared" si="28"/>
        <v>-</v>
      </c>
      <c r="AB72" s="300" t="str">
        <f t="shared" si="28"/>
        <v>-</v>
      </c>
      <c r="AC72" s="300" t="str">
        <f t="shared" si="28"/>
        <v>-</v>
      </c>
      <c r="AD72" s="300" t="str">
        <f t="shared" si="28"/>
        <v>-</v>
      </c>
      <c r="AE72" s="300" t="str">
        <f t="shared" si="28"/>
        <v>-</v>
      </c>
      <c r="AF72" s="300" t="str">
        <f t="shared" si="28"/>
        <v>-</v>
      </c>
      <c r="AG72" s="300" t="str">
        <f t="shared" si="28"/>
        <v>-</v>
      </c>
      <c r="AO72" s="79"/>
    </row>
    <row r="73" spans="18:44" ht="15" customHeight="1" thickBot="1">
      <c r="R73" s="1101" t="s">
        <v>1443</v>
      </c>
      <c r="S73" s="1102"/>
      <c r="T73" s="1103"/>
      <c r="U73" s="300">
        <f>IF(U72=1,U57,IF(U72=2,U60-U53,IF(U72=3,U57,IF(U72=4,U62-U55,IF(U72=5,U57,U64)))))</f>
        <v>0</v>
      </c>
      <c r="V73" s="1104">
        <f>IF(V72=1,V57,IF(V72=2,V60-V53,IF(V72=3,V57,IF(V72=4,V62-V55,IF(V72=5,V57,V64)))))</f>
        <v>0</v>
      </c>
      <c r="W73" s="1105"/>
      <c r="X73" s="300">
        <f>IF(X72=1,X57,IF(X72=2,X60-X53,IF(X72=3,X57,IF(X72=4,X62-X55,IF(X72=5,X57,X64)))))</f>
        <v>0</v>
      </c>
      <c r="Y73" s="300">
        <f>IF(Y72=1,Y57,IF(Y72=2,Y60-Y53,IF(Y72=3,Y57,IF(Y72=4,Y62-Y55,IF(Y72=5,Y57,Y64)))))</f>
        <v>0</v>
      </c>
      <c r="Z73" s="300">
        <f t="shared" ref="Z73:AG73" si="29">IF(Z72=1,Z57,IF(Z72=2,Z60-Z53,IF(Z72=3,Z57,IF(Z72=4,Z62-Z55,IF(Z72=5,Z57,Z64)))))</f>
        <v>0</v>
      </c>
      <c r="AA73" s="300">
        <f t="shared" si="29"/>
        <v>0</v>
      </c>
      <c r="AB73" s="300">
        <f t="shared" si="29"/>
        <v>0</v>
      </c>
      <c r="AC73" s="300">
        <f t="shared" si="29"/>
        <v>0</v>
      </c>
      <c r="AD73" s="300">
        <f t="shared" si="29"/>
        <v>0</v>
      </c>
      <c r="AE73" s="300">
        <f t="shared" si="29"/>
        <v>0</v>
      </c>
      <c r="AF73" s="300">
        <f t="shared" si="29"/>
        <v>0</v>
      </c>
      <c r="AG73" s="300">
        <f t="shared" si="29"/>
        <v>0</v>
      </c>
      <c r="AH73" s="78">
        <f>SUM(U73:AG73)</f>
        <v>0</v>
      </c>
      <c r="AO73" s="79"/>
    </row>
    <row r="74" spans="18:44" ht="15" customHeight="1" thickBot="1">
      <c r="R74" s="1114"/>
      <c r="S74" s="1115"/>
      <c r="T74" s="1116"/>
      <c r="U74" s="213"/>
      <c r="V74" s="1117"/>
      <c r="W74" s="1118"/>
      <c r="X74" s="213"/>
      <c r="Y74" s="213"/>
      <c r="Z74" s="213"/>
      <c r="AA74" s="213"/>
      <c r="AB74" s="213"/>
      <c r="AC74" s="213"/>
      <c r="AD74" s="213"/>
      <c r="AE74" s="213"/>
      <c r="AF74" s="213"/>
      <c r="AG74" s="213"/>
      <c r="AO74" s="79"/>
    </row>
    <row r="75" spans="18:44" ht="15" customHeight="1" thickBot="1">
      <c r="R75" s="1114"/>
      <c r="S75" s="1115"/>
      <c r="T75" s="1116"/>
      <c r="U75" s="213"/>
      <c r="V75" s="1117"/>
      <c r="W75" s="1118"/>
      <c r="X75" s="213"/>
      <c r="Y75" s="213"/>
      <c r="Z75" s="213"/>
      <c r="AA75" s="213"/>
      <c r="AB75" s="213"/>
      <c r="AC75" s="213"/>
      <c r="AD75" s="213"/>
      <c r="AE75" s="213"/>
      <c r="AF75" s="213"/>
      <c r="AG75" s="213"/>
      <c r="AP75" s="369"/>
      <c r="AQ75" s="369"/>
    </row>
    <row r="78" spans="18:44" ht="15" customHeight="1" thickBot="1">
      <c r="V78" s="218"/>
      <c r="W78" s="218"/>
    </row>
    <row r="85" ht="15" customHeight="1"/>
  </sheetData>
  <sheetProtection password="ACCE" sheet="1" objects="1" scenarios="1" selectLockedCells="1"/>
  <mergeCells count="220">
    <mergeCell ref="B53:J53"/>
    <mergeCell ref="B55:C55"/>
    <mergeCell ref="D55:E55"/>
    <mergeCell ref="AD39:AG39"/>
    <mergeCell ref="AD42:AF42"/>
    <mergeCell ref="AD44:AF44"/>
    <mergeCell ref="AD46:AF46"/>
    <mergeCell ref="AD48:AF48"/>
    <mergeCell ref="M42:N42"/>
    <mergeCell ref="Q39:T39"/>
    <mergeCell ref="G46:I46"/>
    <mergeCell ref="G47:I47"/>
    <mergeCell ref="G39:I39"/>
    <mergeCell ref="G40:I40"/>
    <mergeCell ref="G44:I44"/>
    <mergeCell ref="B40:D40"/>
    <mergeCell ref="B51:C51"/>
    <mergeCell ref="D48:E48"/>
    <mergeCell ref="D49:E49"/>
    <mergeCell ref="D50:E50"/>
    <mergeCell ref="D51:E51"/>
    <mergeCell ref="B49:C49"/>
    <mergeCell ref="B50:C50"/>
    <mergeCell ref="B44:C44"/>
    <mergeCell ref="M10:N10"/>
    <mergeCell ref="O10:P10"/>
    <mergeCell ref="M14:N14"/>
    <mergeCell ref="D20:E20"/>
    <mergeCell ref="O14:P14"/>
    <mergeCell ref="M15:N15"/>
    <mergeCell ref="O15:P15"/>
    <mergeCell ref="AZ8:AZ16"/>
    <mergeCell ref="M39:N39"/>
    <mergeCell ref="M31:N31"/>
    <mergeCell ref="O31:P31"/>
    <mergeCell ref="R31:T31"/>
    <mergeCell ref="M34:P34"/>
    <mergeCell ref="Q34:R34"/>
    <mergeCell ref="M35:P35"/>
    <mergeCell ref="Q35:R35"/>
    <mergeCell ref="R11:S12"/>
    <mergeCell ref="T11:T12"/>
    <mergeCell ref="B25:E25"/>
    <mergeCell ref="F25:G25"/>
    <mergeCell ref="B34:H34"/>
    <mergeCell ref="B39:D39"/>
    <mergeCell ref="AG23:AG24"/>
    <mergeCell ref="X37:AR37"/>
    <mergeCell ref="C4:C5"/>
    <mergeCell ref="D4:D5"/>
    <mergeCell ref="E4:F5"/>
    <mergeCell ref="G11:H12"/>
    <mergeCell ref="I11:I12"/>
    <mergeCell ref="B14:C14"/>
    <mergeCell ref="D14:E14"/>
    <mergeCell ref="M37:U37"/>
    <mergeCell ref="Q28:R28"/>
    <mergeCell ref="M30:N30"/>
    <mergeCell ref="O30:P30"/>
    <mergeCell ref="O4:O5"/>
    <mergeCell ref="P4:Q5"/>
    <mergeCell ref="M7:U7"/>
    <mergeCell ref="O9:P9"/>
    <mergeCell ref="T9:U9"/>
    <mergeCell ref="M17:U17"/>
    <mergeCell ref="U11:U12"/>
    <mergeCell ref="M12:N12"/>
    <mergeCell ref="O12:P12"/>
    <mergeCell ref="M13:N13"/>
    <mergeCell ref="O13:P13"/>
    <mergeCell ref="M11:N11"/>
    <mergeCell ref="O11:P11"/>
    <mergeCell ref="AV2:AW2"/>
    <mergeCell ref="M2:U2"/>
    <mergeCell ref="X2:AR2"/>
    <mergeCell ref="AV19:AZ19"/>
    <mergeCell ref="AV4:AX5"/>
    <mergeCell ref="AV7:AZ7"/>
    <mergeCell ref="AQ4:AQ5"/>
    <mergeCell ref="AR4:AR5"/>
    <mergeCell ref="AO14:AO15"/>
    <mergeCell ref="AP14:AP15"/>
    <mergeCell ref="AQ14:AQ15"/>
    <mergeCell ref="X7:AR7"/>
    <mergeCell ref="X17:AR17"/>
    <mergeCell ref="AD14:AD15"/>
    <mergeCell ref="AE14:AE15"/>
    <mergeCell ref="AF14:AF15"/>
    <mergeCell ref="AG4:AG5"/>
    <mergeCell ref="AF4:AF5"/>
    <mergeCell ref="X4:AE5"/>
    <mergeCell ref="AI4:AP5"/>
    <mergeCell ref="AR14:AR15"/>
    <mergeCell ref="AG14:AG15"/>
    <mergeCell ref="M4:M5"/>
    <mergeCell ref="N4:N5"/>
    <mergeCell ref="B7:J7"/>
    <mergeCell ref="D19:E19"/>
    <mergeCell ref="B20:C20"/>
    <mergeCell ref="B4:B5"/>
    <mergeCell ref="B15:C15"/>
    <mergeCell ref="D15:E15"/>
    <mergeCell ref="B37:J37"/>
    <mergeCell ref="B17:J17"/>
    <mergeCell ref="I9:J9"/>
    <mergeCell ref="D10:E10"/>
    <mergeCell ref="D11:E11"/>
    <mergeCell ref="D12:E12"/>
    <mergeCell ref="D13:E13"/>
    <mergeCell ref="D9:E9"/>
    <mergeCell ref="J11:J12"/>
    <mergeCell ref="B10:C10"/>
    <mergeCell ref="B11:C11"/>
    <mergeCell ref="B12:C12"/>
    <mergeCell ref="B13:C13"/>
    <mergeCell ref="D32:E32"/>
    <mergeCell ref="F23:G23"/>
    <mergeCell ref="B23:E23"/>
    <mergeCell ref="B24:E24"/>
    <mergeCell ref="F24:G24"/>
    <mergeCell ref="D44:E44"/>
    <mergeCell ref="B48:C48"/>
    <mergeCell ref="B42:J42"/>
    <mergeCell ref="B19:C19"/>
    <mergeCell ref="G32:I32"/>
    <mergeCell ref="G20:I20"/>
    <mergeCell ref="F28:G28"/>
    <mergeCell ref="B26:E26"/>
    <mergeCell ref="F26:G26"/>
    <mergeCell ref="B27:E27"/>
    <mergeCell ref="F27:G27"/>
    <mergeCell ref="B31:C31"/>
    <mergeCell ref="D31:E31"/>
    <mergeCell ref="B32:C32"/>
    <mergeCell ref="B35:H35"/>
    <mergeCell ref="I34:J34"/>
    <mergeCell ref="I35:J35"/>
    <mergeCell ref="B63:H63"/>
    <mergeCell ref="I63:J63"/>
    <mergeCell ref="X19:Z19"/>
    <mergeCell ref="M19:N19"/>
    <mergeCell ref="O19:P19"/>
    <mergeCell ref="M20:N20"/>
    <mergeCell ref="O20:P20"/>
    <mergeCell ref="R20:T20"/>
    <mergeCell ref="M22:P22"/>
    <mergeCell ref="Q22:R22"/>
    <mergeCell ref="M23:P23"/>
    <mergeCell ref="Q23:R23"/>
    <mergeCell ref="M24:P24"/>
    <mergeCell ref="Q24:R24"/>
    <mergeCell ref="M25:P25"/>
    <mergeCell ref="Q25:R25"/>
    <mergeCell ref="M26:P26"/>
    <mergeCell ref="Q26:R26"/>
    <mergeCell ref="M27:P27"/>
    <mergeCell ref="Q27:R27"/>
    <mergeCell ref="B46:E47"/>
    <mergeCell ref="F22:G22"/>
    <mergeCell ref="B22:E22"/>
    <mergeCell ref="B57:C57"/>
    <mergeCell ref="V75:W75"/>
    <mergeCell ref="R60:T60"/>
    <mergeCell ref="R55:T55"/>
    <mergeCell ref="V55:W55"/>
    <mergeCell ref="R57:T57"/>
    <mergeCell ref="R69:T69"/>
    <mergeCell ref="V69:W69"/>
    <mergeCell ref="R70:T70"/>
    <mergeCell ref="G55:I55"/>
    <mergeCell ref="R75:T75"/>
    <mergeCell ref="R74:T74"/>
    <mergeCell ref="V74:W74"/>
    <mergeCell ref="R68:T68"/>
    <mergeCell ref="V68:W68"/>
    <mergeCell ref="R67:T67"/>
    <mergeCell ref="V67:W67"/>
    <mergeCell ref="G56:J56"/>
    <mergeCell ref="G57:I57"/>
    <mergeCell ref="R73:T73"/>
    <mergeCell ref="V73:W73"/>
    <mergeCell ref="V64:W64"/>
    <mergeCell ref="B60:J60"/>
    <mergeCell ref="B62:H62"/>
    <mergeCell ref="I62:J62"/>
    <mergeCell ref="AJ69:AM69"/>
    <mergeCell ref="AJ70:AM70"/>
    <mergeCell ref="AJ71:AM71"/>
    <mergeCell ref="V70:W70"/>
    <mergeCell ref="R71:T71"/>
    <mergeCell ref="V71:W71"/>
    <mergeCell ref="R72:T72"/>
    <mergeCell ref="V72:W72"/>
    <mergeCell ref="AJ65:AM65"/>
    <mergeCell ref="R66:T66"/>
    <mergeCell ref="V66:W66"/>
    <mergeCell ref="W9:W15"/>
    <mergeCell ref="D57:E57"/>
    <mergeCell ref="B58:C58"/>
    <mergeCell ref="D58:E58"/>
    <mergeCell ref="AR23:AR24"/>
    <mergeCell ref="AV55:AZ55"/>
    <mergeCell ref="AI39:AN39"/>
    <mergeCell ref="AJ66:AM66"/>
    <mergeCell ref="AR64:AR66"/>
    <mergeCell ref="V51:W51"/>
    <mergeCell ref="AP64:AQ66"/>
    <mergeCell ref="R53:T53"/>
    <mergeCell ref="V53:W53"/>
    <mergeCell ref="V54:W54"/>
    <mergeCell ref="V60:W60"/>
    <mergeCell ref="V56:W56"/>
    <mergeCell ref="V57:W57"/>
    <mergeCell ref="AJ64:AM64"/>
    <mergeCell ref="AV30:AZ30"/>
    <mergeCell ref="AJ62:AR63"/>
    <mergeCell ref="R62:T62"/>
    <mergeCell ref="V62:W62"/>
    <mergeCell ref="R64:T64"/>
    <mergeCell ref="AI53:AN53"/>
  </mergeCells>
  <conditionalFormatting sqref="F55:J58 B56:E58">
    <cfRule type="expression" dxfId="1440" priority="18">
      <formula>$D$55="No"</formula>
    </cfRule>
  </conditionalFormatting>
  <conditionalFormatting sqref="AV55:AZ55">
    <cfRule type="expression" dxfId="1439" priority="16">
      <formula>$AV$57=1</formula>
    </cfRule>
  </conditionalFormatting>
  <conditionalFormatting sqref="B30:J35">
    <cfRule type="expression" dxfId="1438" priority="15">
      <formula>$D$31=0</formula>
    </cfRule>
  </conditionalFormatting>
  <conditionalFormatting sqref="F44:J44 B45:J45 B51:J51 B48:E51 B46 F46:J50">
    <cfRule type="expression" dxfId="1437" priority="14">
      <formula>$D$44="No"</formula>
    </cfRule>
  </conditionalFormatting>
  <conditionalFormatting sqref="G39:J40 F39 B40:F40">
    <cfRule type="expression" dxfId="1436" priority="13">
      <formula>$E$39="No"</formula>
    </cfRule>
  </conditionalFormatting>
  <conditionalFormatting sqref="AV30:AZ30">
    <cfRule type="expression" dxfId="1435" priority="12">
      <formula>$AU$30=1</formula>
    </cfRule>
  </conditionalFormatting>
  <conditionalFormatting sqref="AV19:AZ19">
    <cfRule type="expression" dxfId="1434" priority="11">
      <formula>$AU$19=1</formula>
    </cfRule>
  </conditionalFormatting>
  <conditionalFormatting sqref="B19:J28">
    <cfRule type="expression" dxfId="1433" priority="10">
      <formula>$D$19=0</formula>
    </cfRule>
  </conditionalFormatting>
  <conditionalFormatting sqref="B58">
    <cfRule type="expression" dxfId="1432" priority="8">
      <formula>$D$55="No"</formula>
    </cfRule>
  </conditionalFormatting>
  <conditionalFormatting sqref="D58">
    <cfRule type="expression" dxfId="1431" priority="6">
      <formula>$D$55="No"</formula>
    </cfRule>
  </conditionalFormatting>
  <conditionalFormatting sqref="AZ8">
    <cfRule type="expression" dxfId="1430" priority="511">
      <formula>AU9=1</formula>
    </cfRule>
  </conditionalFormatting>
  <conditionalFormatting sqref="AZ8:AZ16">
    <cfRule type="expression" dxfId="1429" priority="2">
      <formula>$AV$7=1</formula>
    </cfRule>
  </conditionalFormatting>
  <dataValidations count="7">
    <dataValidation type="list" allowBlank="1" showInputMessage="1" showErrorMessage="1" sqref="D20:E20 D32:E32" xr:uid="{00000000-0002-0000-0300-000000000000}">
      <formula1>RIEGO</formula1>
    </dataValidation>
    <dataValidation type="list" allowBlank="1" showInputMessage="1" showErrorMessage="1" sqref="E39 D57 D44 J44 J32 I62:I63 J20 D55 D48:D51" xr:uid="{00000000-0002-0000-0300-000001000000}">
      <formula1>SI_NO</formula1>
    </dataValidation>
    <dataValidation type="list" allowBlank="1" showInputMessage="1" showErrorMessage="1" sqref="J40 J47 J55" xr:uid="{00000000-0002-0000-0300-000002000000}">
      <formula1>USOS</formula1>
    </dataValidation>
    <dataValidation type="list" allowBlank="1" showInputMessage="1" showErrorMessage="1" sqref="B23:E27" xr:uid="{00000000-0002-0000-0300-000003000000}">
      <formula1>vege</formula1>
    </dataValidation>
    <dataValidation type="list" allowBlank="1" showInputMessage="1" showErrorMessage="1" sqref="H23:J27" xr:uid="{00000000-0002-0000-0300-000004000000}">
      <formula1>medias</formula1>
    </dataValidation>
    <dataValidation type="list" allowBlank="1" showInputMessage="1" showErrorMessage="1" sqref="D58:E58" xr:uid="{00000000-0002-0000-0300-000005000000}">
      <formula1>AGUASS</formula1>
    </dataValidation>
    <dataValidation type="list" allowBlank="1" showInputMessage="1" showErrorMessage="1" sqref="I34:J34" xr:uid="{00000000-0002-0000-0300-000006000000}">
      <formula1>Extensivo</formula1>
    </dataValidation>
  </dataValidations>
  <printOptions gridLines="1"/>
  <pageMargins left="0.25" right="0.25"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188" id="{5CD63B9C-039F-C74A-8ED3-49120C787563}">
            <xm:f>DATOS!$G$59="No"</xm:f>
            <x14:dxf>
              <font>
                <color theme="0" tint="-0.24994659260841701"/>
              </font>
              <fill>
                <patternFill>
                  <bgColor theme="0" tint="-4.9989318521683403E-2"/>
                </patternFill>
              </fill>
              <border>
                <left/>
                <right/>
                <top/>
                <bottom/>
              </border>
            </x14:dxf>
          </x14:cfRule>
          <xm:sqref>B15:E15</xm:sqref>
        </x14:conditionalFormatting>
        <x14:conditionalFormatting xmlns:xm="http://schemas.microsoft.com/office/excel/2006/main">
          <x14:cfRule type="expression" priority="189" id="{D1B03444-EB0A-8D4C-825E-7CA8292D316E}">
            <xm:f>DATOS!$G$52="No"</xm:f>
            <x14:dxf>
              <font>
                <color theme="0" tint="-0.24994659260841701"/>
              </font>
              <fill>
                <patternFill>
                  <bgColor theme="0" tint="-4.9989318521683403E-2"/>
                </patternFill>
              </fill>
              <border>
                <left/>
                <right/>
                <top/>
                <bottom/>
              </border>
            </x14:dxf>
          </x14:cfRule>
          <xm:sqref>B56:J58 F55:J55</xm:sqref>
        </x14:conditionalFormatting>
        <x14:conditionalFormatting xmlns:xm="http://schemas.microsoft.com/office/excel/2006/main">
          <x14:cfRule type="expression" priority="9" id="{38644907-C622-F742-8E21-6030036DA37D}">
            <xm:f>DATOS!$G$52="No"</xm:f>
            <x14:dxf>
              <font>
                <color theme="0" tint="-0.24994659260841701"/>
              </font>
              <fill>
                <patternFill>
                  <bgColor theme="0" tint="-4.9989318521683403E-2"/>
                </patternFill>
              </fill>
              <border>
                <left/>
                <right/>
                <top/>
                <bottom/>
              </border>
            </x14:dxf>
          </x14:cfRule>
          <xm:sqref>B58</xm:sqref>
        </x14:conditionalFormatting>
        <x14:conditionalFormatting xmlns:xm="http://schemas.microsoft.com/office/excel/2006/main">
          <x14:cfRule type="expression" priority="7" id="{E7615C8E-01C9-964D-8545-224DC958EB3B}">
            <xm:f>DATOS!$G$52="No"</xm:f>
            <x14:dxf>
              <font>
                <color theme="0" tint="-0.24994659260841701"/>
              </font>
              <fill>
                <patternFill>
                  <bgColor theme="0" tint="-4.9989318521683403E-2"/>
                </patternFill>
              </fill>
              <border>
                <left/>
                <right/>
                <top/>
                <bottom/>
              </border>
            </x14:dxf>
          </x14:cfRule>
          <xm:sqref>D58</xm:sqref>
        </x14:conditionalFormatting>
        <x14:conditionalFormatting xmlns:xm="http://schemas.microsoft.com/office/excel/2006/main">
          <x14:cfRule type="expression" priority="1057" id="{E15AD112-3A3E-7B4B-B8F5-C01F5B5344DB}">
            <xm:f>BASE!$GP$12=0</xm:f>
            <x14:dxf>
              <font>
                <color theme="0" tint="-4.9989318521683403E-2"/>
              </font>
              <fill>
                <patternFill>
                  <bgColor theme="0" tint="-4.9989318521683403E-2"/>
                </patternFill>
              </fill>
              <border>
                <left/>
                <right/>
                <top/>
                <bottom/>
              </border>
            </x14:dxf>
          </x14:cfRule>
          <xm:sqref>B7:J64 AU17:AZ64 AU7:AZ8 AU9:AY16</xm:sqref>
        </x14:conditionalFormatting>
        <x14:conditionalFormatting xmlns:xm="http://schemas.microsoft.com/office/excel/2006/main">
          <x14:cfRule type="expression" priority="1061" id="{2B514579-0F86-EC4A-B4A7-0C6B40DF369A}">
            <xm:f>BASE!$GQ$13=0</xm:f>
            <x14:dxf>
              <font>
                <color theme="0" tint="-4.9989318521683403E-2"/>
              </font>
              <fill>
                <patternFill>
                  <bgColor theme="0" tint="-4.9989318521683403E-2"/>
                </patternFill>
              </fill>
              <border>
                <left/>
                <right/>
                <top/>
                <bottom/>
              </border>
            </x14:dxf>
          </x14:cfRule>
          <xm:sqref>B7:J63 AU17:AZ63 AU7:AZ8 AU9:AY16</xm:sqref>
        </x14:conditionalFormatting>
        <x14:conditionalFormatting xmlns:xm="http://schemas.microsoft.com/office/excel/2006/main">
          <x14:cfRule type="expression" priority="1" id="{1CE668A9-6C26-442A-8EBB-532D308D642C}">
            <xm:f>DATOS!$F$14=1</xm:f>
            <x14:dxf>
              <font>
                <color theme="0" tint="-0.24994659260841701"/>
              </font>
              <fill>
                <patternFill>
                  <bgColor theme="0" tint="-4.9989318521683403E-2"/>
                </patternFill>
              </fill>
              <border>
                <left/>
                <right/>
                <top/>
                <bottom/>
                <vertical/>
                <horizontal/>
              </border>
            </x14:dxf>
          </x14:cfRule>
          <xm:sqref>B7:J64</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pageSetUpPr fitToPage="1"/>
  </sheetPr>
  <dimension ref="A1:BI204"/>
  <sheetViews>
    <sheetView zoomScale="60" zoomScaleNormal="60" zoomScalePageLayoutView="120" workbookViewId="0">
      <selection activeCell="H22" sqref="H22:J22"/>
    </sheetView>
  </sheetViews>
  <sheetFormatPr baseColWidth="10" defaultColWidth="10.83203125" defaultRowHeight="16"/>
  <cols>
    <col min="1" max="1" width="1.33203125" style="696" customWidth="1"/>
    <col min="2" max="4" width="1.33203125" style="458" customWidth="1"/>
    <col min="5" max="5" width="21.83203125" style="655" customWidth="1"/>
    <col min="6" max="7" width="1.33203125" style="655" customWidth="1"/>
    <col min="8" max="8" width="34.83203125" style="655" customWidth="1"/>
    <col min="9" max="9" width="11.5" style="655" customWidth="1"/>
    <col min="10" max="10" width="12.33203125" style="655" customWidth="1"/>
    <col min="11" max="13" width="1.33203125" style="655" customWidth="1"/>
    <col min="14" max="14" width="33.1640625" style="655" customWidth="1"/>
    <col min="15" max="15" width="26.83203125" style="655" customWidth="1"/>
    <col min="16" max="22" width="1.33203125" style="458" customWidth="1"/>
    <col min="23" max="23" width="20.33203125" style="706" bestFit="1" customWidth="1"/>
    <col min="24" max="24" width="20.83203125" style="706" customWidth="1"/>
    <col min="25" max="25" width="18.33203125" style="706" customWidth="1"/>
    <col min="26" max="28" width="1.33203125" style="673" customWidth="1"/>
    <col min="29" max="29" width="15.83203125" style="673" customWidth="1"/>
    <col min="30" max="30" width="20.83203125" style="673" customWidth="1"/>
    <col min="31" max="31" width="9.5" style="673" bestFit="1" customWidth="1"/>
    <col min="32" max="34" width="1.33203125" style="673" customWidth="1"/>
    <col min="35" max="35" width="12.1640625" style="673" customWidth="1"/>
    <col min="36" max="36" width="20.83203125" style="673" customWidth="1"/>
    <col min="37" max="37" width="9.5" style="673" customWidth="1"/>
    <col min="38" max="39" width="1.33203125" style="689" customWidth="1"/>
    <col min="40" max="40" width="1.33203125" style="690" customWidth="1"/>
    <col min="41" max="41" width="24" style="690" customWidth="1"/>
    <col min="42" max="45" width="10.83203125" style="690"/>
    <col min="46" max="61" width="10.83203125" style="684"/>
    <col min="62" max="16384" width="10.83203125" style="139"/>
  </cols>
  <sheetData>
    <row r="1" spans="2:61" ht="15" customHeight="1">
      <c r="AA1" s="458"/>
      <c r="AB1" s="458"/>
      <c r="AC1" s="458"/>
      <c r="AD1" s="458"/>
      <c r="AE1" s="458"/>
      <c r="AF1" s="458"/>
      <c r="AG1" s="458"/>
      <c r="AH1" s="458"/>
      <c r="AI1" s="458"/>
      <c r="AJ1" s="458"/>
      <c r="AK1" s="458"/>
      <c r="AL1" s="458"/>
      <c r="AM1" s="458"/>
      <c r="AN1" s="458"/>
      <c r="AO1" s="458"/>
      <c r="AP1" s="458"/>
      <c r="AQ1" s="458"/>
      <c r="AR1" s="458"/>
      <c r="AS1" s="458"/>
      <c r="AT1" s="458"/>
      <c r="AU1" s="458"/>
      <c r="AV1" s="458"/>
      <c r="AW1" s="458"/>
    </row>
    <row r="2" spans="2:61" ht="20" customHeight="1">
      <c r="C2" s="656"/>
      <c r="D2" s="657"/>
      <c r="E2" s="658"/>
      <c r="F2" s="658"/>
      <c r="G2" s="658"/>
      <c r="H2" s="658"/>
      <c r="I2" s="658"/>
      <c r="J2" s="658"/>
      <c r="K2" s="658"/>
      <c r="L2" s="658"/>
      <c r="M2" s="658"/>
      <c r="N2" s="658"/>
      <c r="O2" s="658"/>
      <c r="P2" s="657"/>
      <c r="Q2" s="659"/>
      <c r="T2" s="656"/>
      <c r="U2" s="657"/>
      <c r="V2" s="657"/>
      <c r="W2" s="658"/>
      <c r="X2" s="658"/>
      <c r="Y2" s="658"/>
      <c r="Z2" s="694"/>
      <c r="AA2" s="657"/>
      <c r="AB2" s="657"/>
      <c r="AC2" s="657"/>
      <c r="AD2" s="657"/>
      <c r="AE2" s="657"/>
      <c r="AF2" s="657"/>
      <c r="AG2" s="657"/>
      <c r="AH2" s="657"/>
      <c r="AI2" s="657"/>
      <c r="AJ2" s="657"/>
      <c r="AK2" s="657"/>
      <c r="AL2" s="657"/>
      <c r="AM2" s="659"/>
      <c r="AN2" s="458"/>
      <c r="AO2" s="458"/>
      <c r="AP2" s="458"/>
      <c r="AQ2" s="458"/>
      <c r="AR2" s="458"/>
      <c r="AS2" s="458"/>
      <c r="AT2" s="458"/>
      <c r="AU2" s="458"/>
      <c r="AV2" s="458"/>
      <c r="AW2" s="458"/>
    </row>
    <row r="3" spans="2:61" ht="50" customHeight="1">
      <c r="C3" s="660"/>
      <c r="D3" s="1165" t="s">
        <v>2108</v>
      </c>
      <c r="E3" s="1165"/>
      <c r="F3" s="1165"/>
      <c r="G3" s="1165"/>
      <c r="H3" s="1165"/>
      <c r="I3" s="1165"/>
      <c r="J3" s="1165"/>
      <c r="K3" s="1165"/>
      <c r="L3" s="1165"/>
      <c r="M3" s="1165"/>
      <c r="N3" s="1165"/>
      <c r="O3" s="1165"/>
      <c r="P3" s="1165"/>
      <c r="Q3" s="700"/>
      <c r="R3" s="701"/>
      <c r="S3" s="701"/>
      <c r="T3" s="702"/>
      <c r="U3" s="1165" t="s">
        <v>2108</v>
      </c>
      <c r="V3" s="1165"/>
      <c r="W3" s="1165"/>
      <c r="X3" s="1165"/>
      <c r="Y3" s="1165"/>
      <c r="Z3" s="1165"/>
      <c r="AA3" s="1165"/>
      <c r="AB3" s="1165"/>
      <c r="AC3" s="1165"/>
      <c r="AD3" s="1165"/>
      <c r="AE3" s="1165"/>
      <c r="AF3" s="1165"/>
      <c r="AG3" s="1165"/>
      <c r="AH3" s="1165"/>
      <c r="AI3" s="1165"/>
      <c r="AJ3" s="1165"/>
      <c r="AK3" s="1165"/>
      <c r="AL3" s="1165"/>
      <c r="AM3" s="661"/>
      <c r="AN3" s="458"/>
      <c r="AO3" s="458"/>
      <c r="AP3" s="458"/>
      <c r="AQ3" s="458"/>
      <c r="AR3" s="458"/>
      <c r="AS3" s="458"/>
      <c r="AT3" s="458"/>
      <c r="AU3" s="458"/>
      <c r="AV3" s="458"/>
      <c r="AW3" s="458"/>
    </row>
    <row r="4" spans="2:61" ht="6" customHeight="1">
      <c r="C4" s="660"/>
      <c r="E4" s="706"/>
      <c r="F4" s="706"/>
      <c r="G4" s="706"/>
      <c r="H4" s="706"/>
      <c r="I4" s="706"/>
      <c r="J4" s="706"/>
      <c r="K4" s="706"/>
      <c r="L4" s="706"/>
      <c r="M4" s="706"/>
      <c r="N4" s="706"/>
      <c r="O4" s="706"/>
      <c r="Q4" s="661"/>
      <c r="T4" s="660"/>
      <c r="AE4" s="458"/>
      <c r="AF4" s="458"/>
      <c r="AG4" s="458"/>
      <c r="AH4" s="458"/>
      <c r="AI4" s="458"/>
      <c r="AJ4" s="458"/>
      <c r="AK4" s="458"/>
      <c r="AL4" s="458"/>
      <c r="AM4" s="661"/>
      <c r="AN4" s="458"/>
      <c r="AO4" s="458"/>
      <c r="AP4" s="458"/>
      <c r="AQ4" s="458"/>
      <c r="AR4" s="458"/>
      <c r="AS4" s="458"/>
      <c r="AT4" s="458"/>
      <c r="AU4" s="458"/>
      <c r="AV4" s="458"/>
      <c r="AW4" s="458"/>
    </row>
    <row r="5" spans="2:61" ht="6" customHeight="1">
      <c r="C5" s="660"/>
      <c r="E5" s="706"/>
      <c r="F5" s="706"/>
      <c r="G5" s="706"/>
      <c r="H5" s="706"/>
      <c r="I5" s="706"/>
      <c r="J5" s="706"/>
      <c r="K5" s="706"/>
      <c r="L5" s="706"/>
      <c r="M5" s="706"/>
      <c r="N5" s="706"/>
      <c r="O5" s="706"/>
      <c r="Q5" s="661"/>
      <c r="T5" s="660"/>
      <c r="AE5" s="458"/>
      <c r="AF5" s="458"/>
      <c r="AG5" s="458"/>
      <c r="AH5" s="458"/>
      <c r="AI5" s="458"/>
      <c r="AJ5" s="458"/>
      <c r="AK5" s="458"/>
      <c r="AL5" s="458"/>
      <c r="AM5" s="661"/>
      <c r="AN5" s="458"/>
      <c r="AO5" s="458"/>
      <c r="AP5" s="458"/>
      <c r="AQ5" s="458"/>
      <c r="AR5" s="458"/>
      <c r="AS5" s="458"/>
      <c r="AT5" s="458"/>
      <c r="AU5" s="458"/>
      <c r="AV5" s="458"/>
      <c r="AW5" s="458"/>
    </row>
    <row r="6" spans="2:61" ht="25" customHeight="1">
      <c r="C6" s="660"/>
      <c r="D6" s="1167"/>
      <c r="E6" s="1167"/>
      <c r="F6" s="706"/>
      <c r="G6" s="710"/>
      <c r="H6" s="1173" t="s">
        <v>2109</v>
      </c>
      <c r="I6" s="1173"/>
      <c r="J6" s="1173"/>
      <c r="K6" s="710"/>
      <c r="L6" s="706"/>
      <c r="M6" s="711"/>
      <c r="N6" s="1174" t="s">
        <v>2118</v>
      </c>
      <c r="O6" s="1174"/>
      <c r="P6" s="711"/>
      <c r="Q6" s="661"/>
      <c r="T6" s="660"/>
      <c r="U6" s="1169" t="s">
        <v>2126</v>
      </c>
      <c r="V6" s="1169"/>
      <c r="W6" s="1169"/>
      <c r="X6" s="1169"/>
      <c r="Y6" s="1169"/>
      <c r="Z6" s="1169"/>
      <c r="AA6" s="685"/>
      <c r="AB6" s="1169" t="s">
        <v>2141</v>
      </c>
      <c r="AC6" s="1169"/>
      <c r="AD6" s="1169"/>
      <c r="AE6" s="1169"/>
      <c r="AF6" s="1169"/>
      <c r="AG6" s="1169"/>
      <c r="AH6" s="1169"/>
      <c r="AI6" s="1169"/>
      <c r="AJ6" s="1169"/>
      <c r="AK6" s="1169"/>
      <c r="AL6" s="1169"/>
      <c r="AM6" s="661"/>
      <c r="AN6" s="458"/>
      <c r="AO6" s="458"/>
      <c r="AP6" s="458"/>
      <c r="AQ6" s="458"/>
      <c r="AR6" s="458"/>
      <c r="AS6" s="458"/>
      <c r="AT6" s="458"/>
      <c r="AU6" s="458"/>
      <c r="AV6" s="458"/>
      <c r="AW6" s="458"/>
    </row>
    <row r="7" spans="2:61" ht="6" customHeight="1">
      <c r="C7" s="660"/>
      <c r="D7" s="1167"/>
      <c r="E7" s="1167"/>
      <c r="F7" s="706"/>
      <c r="G7" s="706"/>
      <c r="H7" s="706"/>
      <c r="I7" s="706"/>
      <c r="J7" s="706"/>
      <c r="K7" s="706"/>
      <c r="L7" s="706"/>
      <c r="M7" s="706"/>
      <c r="N7" s="706"/>
      <c r="O7" s="706"/>
      <c r="Q7" s="661"/>
      <c r="T7" s="660"/>
      <c r="Z7" s="705"/>
      <c r="AA7" s="705"/>
      <c r="AB7" s="705"/>
      <c r="AC7" s="705"/>
      <c r="AD7" s="705"/>
      <c r="AE7" s="458"/>
      <c r="AF7" s="458"/>
      <c r="AG7" s="458"/>
      <c r="AH7" s="458"/>
      <c r="AI7" s="458"/>
      <c r="AJ7" s="458"/>
      <c r="AK7" s="458"/>
      <c r="AL7" s="458"/>
      <c r="AM7" s="661"/>
      <c r="AN7" s="458"/>
      <c r="AO7" s="458"/>
      <c r="AP7" s="458"/>
      <c r="AQ7" s="458"/>
      <c r="AR7" s="458"/>
      <c r="AS7" s="458"/>
      <c r="AT7" s="458"/>
      <c r="AU7" s="458"/>
      <c r="AV7" s="458"/>
      <c r="AW7" s="458"/>
    </row>
    <row r="8" spans="2:61" s="687" customFormat="1" ht="20" customHeight="1">
      <c r="B8" s="662"/>
      <c r="C8" s="663"/>
      <c r="D8" s="1167"/>
      <c r="E8" s="1167"/>
      <c r="F8" s="706"/>
      <c r="G8" s="706"/>
      <c r="H8" s="681" t="s">
        <v>2110</v>
      </c>
      <c r="I8" s="1166" t="str">
        <f>IF(BASE!GU33=0,BASE!GS33,IF(BASE!GU36=1,BASE!GS36,IF(BASE!GU34=0,BASE!GS34,BASE!GS35)))</f>
        <v>FALTAN DATOS</v>
      </c>
      <c r="J8" s="1166"/>
      <c r="K8" s="706"/>
      <c r="L8" s="706"/>
      <c r="M8" s="706"/>
      <c r="N8" s="706" t="s">
        <v>2119</v>
      </c>
      <c r="O8" s="703">
        <f>DATOS!C6</f>
        <v>0</v>
      </c>
      <c r="P8" s="662"/>
      <c r="Q8" s="664"/>
      <c r="R8" s="662"/>
      <c r="S8" s="662"/>
      <c r="T8" s="663"/>
      <c r="U8" s="1168" t="s">
        <v>2127</v>
      </c>
      <c r="V8" s="1168"/>
      <c r="W8" s="1168"/>
      <c r="X8" s="1168"/>
      <c r="Y8" s="1168"/>
      <c r="Z8" s="1168"/>
      <c r="AA8" s="1168"/>
      <c r="AB8" s="1168"/>
      <c r="AC8" s="1168"/>
      <c r="AD8" s="1168"/>
      <c r="AE8" s="1168"/>
      <c r="AF8" s="1168"/>
      <c r="AG8" s="1168"/>
      <c r="AH8" s="1168"/>
      <c r="AI8" s="1168"/>
      <c r="AJ8" s="1168"/>
      <c r="AK8" s="1168"/>
      <c r="AL8" s="1168"/>
      <c r="AM8" s="661"/>
      <c r="AN8" s="458"/>
      <c r="AO8" s="458"/>
      <c r="AP8" s="458"/>
      <c r="AQ8" s="458"/>
      <c r="AR8" s="458"/>
      <c r="AS8" s="458"/>
      <c r="AT8" s="458"/>
      <c r="AU8" s="458"/>
      <c r="AV8" s="458"/>
      <c r="AW8" s="458"/>
      <c r="AX8" s="665"/>
      <c r="AY8" s="665"/>
      <c r="AZ8" s="665"/>
      <c r="BA8" s="665"/>
      <c r="BB8" s="665"/>
      <c r="BC8" s="665"/>
      <c r="BD8" s="665"/>
      <c r="BE8" s="665"/>
      <c r="BF8" s="665"/>
      <c r="BG8" s="665"/>
      <c r="BH8" s="665"/>
      <c r="BI8" s="665"/>
    </row>
    <row r="9" spans="2:61" ht="6" customHeight="1">
      <c r="C9" s="660"/>
      <c r="D9" s="1167"/>
      <c r="E9" s="1167"/>
      <c r="F9" s="706"/>
      <c r="G9" s="706"/>
      <c r="H9" s="706"/>
      <c r="I9" s="706"/>
      <c r="J9" s="706"/>
      <c r="K9" s="706"/>
      <c r="L9" s="706"/>
      <c r="M9" s="706"/>
      <c r="N9" s="706"/>
      <c r="O9" s="706"/>
      <c r="Q9" s="661"/>
      <c r="T9" s="660"/>
      <c r="Z9" s="705"/>
      <c r="AA9" s="705"/>
      <c r="AB9" s="705"/>
      <c r="AC9" s="705"/>
      <c r="AD9" s="705"/>
      <c r="AE9" s="458"/>
      <c r="AF9" s="458"/>
      <c r="AG9" s="458"/>
      <c r="AH9" s="458"/>
      <c r="AI9" s="458"/>
      <c r="AJ9" s="458"/>
      <c r="AK9" s="458"/>
      <c r="AL9" s="458"/>
      <c r="AM9" s="661"/>
      <c r="AN9" s="458"/>
      <c r="AO9" s="458"/>
      <c r="AP9" s="458"/>
      <c r="AQ9" s="458"/>
      <c r="AR9" s="458"/>
      <c r="AS9" s="458"/>
      <c r="AT9" s="458"/>
      <c r="AU9" s="458"/>
      <c r="AV9" s="458"/>
      <c r="AW9" s="458"/>
    </row>
    <row r="10" spans="2:61" ht="20" customHeight="1">
      <c r="C10" s="660"/>
      <c r="D10" s="1167"/>
      <c r="E10" s="1167"/>
      <c r="F10" s="706"/>
      <c r="G10" s="706"/>
      <c r="H10" s="706" t="s">
        <v>2111</v>
      </c>
      <c r="I10" s="682">
        <f>IF(BASE!GQ13=0,0,ENERGÍA!AY4)</f>
        <v>0</v>
      </c>
      <c r="J10" s="683" t="s">
        <v>755</v>
      </c>
      <c r="K10" s="706"/>
      <c r="L10" s="706"/>
      <c r="M10" s="706"/>
      <c r="N10" s="706" t="s">
        <v>2120</v>
      </c>
      <c r="O10" s="703">
        <f>DATOS!C24</f>
        <v>0</v>
      </c>
      <c r="Q10" s="661"/>
      <c r="T10" s="660"/>
      <c r="Z10" s="705"/>
      <c r="AA10" s="705"/>
      <c r="AB10" s="1167"/>
      <c r="AC10" s="1167"/>
      <c r="AD10" s="1167"/>
      <c r="AE10" s="1167"/>
      <c r="AF10" s="1167"/>
      <c r="AG10" s="1167"/>
      <c r="AH10" s="1167"/>
      <c r="AI10" s="1167"/>
      <c r="AJ10" s="1167"/>
      <c r="AK10" s="1167"/>
      <c r="AL10" s="1167"/>
      <c r="AM10" s="661"/>
      <c r="AN10" s="458"/>
      <c r="AO10" s="458"/>
      <c r="AP10" s="458"/>
      <c r="AQ10" s="458"/>
      <c r="AR10" s="458"/>
      <c r="AS10" s="458"/>
      <c r="AT10" s="458"/>
      <c r="AU10" s="458"/>
      <c r="AV10" s="458"/>
      <c r="AW10" s="458"/>
    </row>
    <row r="11" spans="2:61" ht="6" customHeight="1">
      <c r="C11" s="660"/>
      <c r="D11" s="1167"/>
      <c r="E11" s="1167"/>
      <c r="F11" s="706"/>
      <c r="G11" s="706"/>
      <c r="H11" s="706"/>
      <c r="I11" s="706"/>
      <c r="J11" s="706"/>
      <c r="K11" s="706"/>
      <c r="L11" s="706"/>
      <c r="M11" s="706"/>
      <c r="N11" s="706"/>
      <c r="O11" s="706"/>
      <c r="Q11" s="661"/>
      <c r="T11" s="660"/>
      <c r="Z11" s="705"/>
      <c r="AA11" s="705"/>
      <c r="AB11" s="1167"/>
      <c r="AC11" s="1167"/>
      <c r="AD11" s="1167"/>
      <c r="AE11" s="1167"/>
      <c r="AF11" s="1167"/>
      <c r="AG11" s="1167"/>
      <c r="AH11" s="1167"/>
      <c r="AI11" s="1167"/>
      <c r="AJ11" s="1167"/>
      <c r="AK11" s="1167"/>
      <c r="AL11" s="1167"/>
      <c r="AM11" s="661"/>
      <c r="AN11" s="458"/>
      <c r="AO11" s="458"/>
      <c r="AP11" s="458"/>
      <c r="AQ11" s="458"/>
      <c r="AR11" s="458"/>
      <c r="AS11" s="458"/>
      <c r="AT11" s="458"/>
      <c r="AU11" s="458"/>
      <c r="AV11" s="458"/>
      <c r="AW11" s="458"/>
    </row>
    <row r="12" spans="2:61" ht="20" customHeight="1">
      <c r="C12" s="660"/>
      <c r="D12" s="1167"/>
      <c r="E12" s="1167"/>
      <c r="F12" s="706"/>
      <c r="G12" s="706"/>
      <c r="H12" s="706" t="s">
        <v>2112</v>
      </c>
      <c r="I12" s="682">
        <f>IF(BASE!GQ13=0,0,AGUA!AR4)</f>
        <v>0</v>
      </c>
      <c r="J12" s="683" t="s">
        <v>759</v>
      </c>
      <c r="K12" s="706"/>
      <c r="L12" s="706"/>
      <c r="M12" s="706"/>
      <c r="N12" s="706" t="s">
        <v>2137</v>
      </c>
      <c r="O12" s="703">
        <f>DATOS!G24</f>
        <v>0</v>
      </c>
      <c r="Q12" s="661"/>
      <c r="T12" s="660"/>
      <c r="W12" s="707" t="str">
        <f>BASE!GQ56</f>
        <v>Calefacción</v>
      </c>
      <c r="X12" s="713" t="e">
        <f>BASE!GT56</f>
        <v>#DIV/0!</v>
      </c>
      <c r="Y12" s="707" t="s">
        <v>755</v>
      </c>
      <c r="Z12" s="705"/>
      <c r="AA12" s="705"/>
      <c r="AB12" s="1167"/>
      <c r="AC12" s="1167"/>
      <c r="AD12" s="1167"/>
      <c r="AE12" s="1167"/>
      <c r="AF12" s="1167"/>
      <c r="AG12" s="1167"/>
      <c r="AH12" s="1167"/>
      <c r="AI12" s="1167"/>
      <c r="AJ12" s="1167"/>
      <c r="AK12" s="1167"/>
      <c r="AL12" s="1167"/>
      <c r="AM12" s="661"/>
      <c r="AN12" s="458"/>
      <c r="AO12" s="458"/>
      <c r="AP12" s="458"/>
      <c r="AQ12" s="458"/>
      <c r="AR12" s="458"/>
      <c r="AS12" s="458"/>
      <c r="AT12" s="458"/>
      <c r="AU12" s="458"/>
      <c r="AV12" s="458"/>
      <c r="AW12" s="458"/>
    </row>
    <row r="13" spans="2:61" ht="6" customHeight="1">
      <c r="C13" s="660"/>
      <c r="D13" s="1167"/>
      <c r="E13" s="1167"/>
      <c r="F13" s="706"/>
      <c r="G13" s="706"/>
      <c r="H13" s="706"/>
      <c r="I13" s="706"/>
      <c r="J13" s="706"/>
      <c r="K13" s="706"/>
      <c r="L13" s="706"/>
      <c r="M13" s="706"/>
      <c r="N13" s="706"/>
      <c r="O13" s="706"/>
      <c r="Q13" s="661"/>
      <c r="T13" s="660"/>
      <c r="W13" s="707"/>
      <c r="X13" s="707"/>
      <c r="Y13" s="707"/>
      <c r="Z13" s="705"/>
      <c r="AA13" s="705"/>
      <c r="AB13" s="1167"/>
      <c r="AC13" s="1167"/>
      <c r="AD13" s="1167"/>
      <c r="AE13" s="1167"/>
      <c r="AF13" s="1167"/>
      <c r="AG13" s="1167"/>
      <c r="AH13" s="1167"/>
      <c r="AI13" s="1167"/>
      <c r="AJ13" s="1167"/>
      <c r="AK13" s="1167"/>
      <c r="AL13" s="1167"/>
      <c r="AM13" s="661"/>
      <c r="AN13" s="458"/>
      <c r="AO13" s="458"/>
      <c r="AP13" s="458"/>
      <c r="AQ13" s="458"/>
      <c r="AR13" s="458"/>
      <c r="AS13" s="458"/>
      <c r="AT13" s="458"/>
      <c r="AU13" s="458"/>
      <c r="AV13" s="458"/>
      <c r="AW13" s="458"/>
    </row>
    <row r="14" spans="2:61" ht="20" customHeight="1">
      <c r="C14" s="660"/>
      <c r="D14" s="1167"/>
      <c r="E14" s="1167"/>
      <c r="F14" s="706"/>
      <c r="G14" s="706"/>
      <c r="H14" s="706" t="s">
        <v>2094</v>
      </c>
      <c r="I14" s="682">
        <f>IF(BASE!GQ13=0,0,BASE!GO47)</f>
        <v>0</v>
      </c>
      <c r="J14" s="683" t="s">
        <v>1450</v>
      </c>
      <c r="K14" s="706"/>
      <c r="L14" s="706"/>
      <c r="M14" s="706"/>
      <c r="N14" s="458" t="s">
        <v>2121</v>
      </c>
      <c r="O14" s="723">
        <f>DATOS!C14</f>
        <v>0</v>
      </c>
      <c r="Q14" s="661"/>
      <c r="T14" s="660"/>
      <c r="W14" s="402" t="str">
        <f>BASE!GQ57</f>
        <v>Refrigeración</v>
      </c>
      <c r="X14" s="718" t="e">
        <f>BASE!GT57</f>
        <v>#DIV/0!</v>
      </c>
      <c r="Y14" s="402" t="s">
        <v>755</v>
      </c>
      <c r="Z14" s="705"/>
      <c r="AA14" s="705"/>
      <c r="AB14" s="1167"/>
      <c r="AC14" s="1167"/>
      <c r="AD14" s="1167"/>
      <c r="AE14" s="1167"/>
      <c r="AF14" s="1167"/>
      <c r="AG14" s="1167"/>
      <c r="AH14" s="1167"/>
      <c r="AI14" s="1167"/>
      <c r="AJ14" s="1167"/>
      <c r="AK14" s="1167"/>
      <c r="AL14" s="1167"/>
      <c r="AM14" s="661"/>
      <c r="AN14" s="458"/>
      <c r="AO14" s="458"/>
      <c r="AP14" s="458"/>
      <c r="AQ14" s="458"/>
      <c r="AR14" s="458"/>
      <c r="AS14" s="458"/>
      <c r="AT14" s="458"/>
      <c r="AU14" s="458"/>
      <c r="AV14" s="458"/>
      <c r="AW14" s="458"/>
    </row>
    <row r="15" spans="2:61" ht="6" customHeight="1">
      <c r="C15" s="660"/>
      <c r="D15" s="1167"/>
      <c r="E15" s="1167"/>
      <c r="F15" s="706"/>
      <c r="G15" s="706"/>
      <c r="H15" s="706"/>
      <c r="I15" s="706"/>
      <c r="J15" s="706"/>
      <c r="K15" s="706"/>
      <c r="L15" s="706"/>
      <c r="M15" s="706"/>
      <c r="N15" s="458"/>
      <c r="O15" s="458"/>
      <c r="Q15" s="661"/>
      <c r="T15" s="660"/>
      <c r="W15" s="402"/>
      <c r="X15" s="722"/>
      <c r="Y15" s="402"/>
      <c r="Z15" s="705"/>
      <c r="AA15" s="705"/>
      <c r="AB15" s="1167"/>
      <c r="AC15" s="1167"/>
      <c r="AD15" s="1167"/>
      <c r="AE15" s="1167"/>
      <c r="AF15" s="1167"/>
      <c r="AG15" s="1167"/>
      <c r="AH15" s="1167"/>
      <c r="AI15" s="1167"/>
      <c r="AJ15" s="1167"/>
      <c r="AK15" s="1167"/>
      <c r="AL15" s="1167"/>
      <c r="AM15" s="661"/>
      <c r="AN15" s="458"/>
      <c r="AO15" s="458"/>
      <c r="AP15" s="458"/>
      <c r="AQ15" s="458"/>
      <c r="AR15" s="458"/>
      <c r="AS15" s="458"/>
      <c r="AT15" s="458"/>
      <c r="AU15" s="458"/>
      <c r="AV15" s="458"/>
      <c r="AW15" s="458"/>
    </row>
    <row r="16" spans="2:61" ht="20" customHeight="1">
      <c r="C16" s="660"/>
      <c r="H16" s="655" t="s">
        <v>2145</v>
      </c>
      <c r="I16" s="724" t="str">
        <f>BASE!GR50</f>
        <v>FALTAN DATOS</v>
      </c>
      <c r="J16" s="683"/>
      <c r="L16" s="706"/>
      <c r="M16" s="706"/>
      <c r="N16" s="706" t="s">
        <v>2125</v>
      </c>
      <c r="O16" s="703">
        <f>DATOS!C11</f>
        <v>0</v>
      </c>
      <c r="Q16" s="661"/>
      <c r="T16" s="660"/>
      <c r="W16" s="707" t="str">
        <f>BASE!GQ58</f>
        <v>Iluminación</v>
      </c>
      <c r="X16" s="713">
        <f>BASE!GT58</f>
        <v>55.844999999999999</v>
      </c>
      <c r="Y16" s="707" t="s">
        <v>755</v>
      </c>
      <c r="Z16" s="705"/>
      <c r="AA16" s="705"/>
      <c r="AB16" s="1167"/>
      <c r="AC16" s="1167"/>
      <c r="AD16" s="1167"/>
      <c r="AE16" s="1167"/>
      <c r="AF16" s="1167"/>
      <c r="AG16" s="1167"/>
      <c r="AH16" s="1167"/>
      <c r="AI16" s="1167"/>
      <c r="AJ16" s="1167"/>
      <c r="AK16" s="1167"/>
      <c r="AL16" s="1167"/>
      <c r="AM16" s="661"/>
      <c r="AN16" s="458"/>
      <c r="AO16" s="458"/>
      <c r="AP16" s="458"/>
      <c r="AQ16" s="458"/>
      <c r="AR16" s="458"/>
      <c r="AS16" s="458"/>
      <c r="AT16" s="458"/>
      <c r="AU16" s="458"/>
      <c r="AV16" s="458"/>
      <c r="AW16" s="458"/>
    </row>
    <row r="17" spans="3:49" ht="6" customHeight="1">
      <c r="C17" s="660"/>
      <c r="L17" s="706"/>
      <c r="M17" s="706"/>
      <c r="N17" s="706"/>
      <c r="O17" s="706"/>
      <c r="Q17" s="661"/>
      <c r="T17" s="660"/>
      <c r="W17" s="707"/>
      <c r="X17" s="707"/>
      <c r="Y17" s="707"/>
      <c r="Z17" s="705"/>
      <c r="AA17" s="705"/>
      <c r="AB17" s="1167"/>
      <c r="AC17" s="1167"/>
      <c r="AD17" s="1167"/>
      <c r="AE17" s="1167"/>
      <c r="AF17" s="1167"/>
      <c r="AG17" s="1167"/>
      <c r="AH17" s="1167"/>
      <c r="AI17" s="1167"/>
      <c r="AJ17" s="1167"/>
      <c r="AK17" s="1167"/>
      <c r="AL17" s="1167"/>
      <c r="AM17" s="661"/>
      <c r="AN17" s="458"/>
      <c r="AO17" s="458"/>
      <c r="AP17" s="458"/>
      <c r="AQ17" s="458"/>
      <c r="AR17" s="458"/>
      <c r="AS17" s="458"/>
      <c r="AT17" s="458"/>
      <c r="AU17" s="458"/>
      <c r="AV17" s="458"/>
      <c r="AW17" s="458"/>
    </row>
    <row r="18" spans="3:49" ht="25" customHeight="1">
      <c r="C18" s="660"/>
      <c r="D18" s="711"/>
      <c r="E18" s="1173" t="s">
        <v>2113</v>
      </c>
      <c r="F18" s="1173"/>
      <c r="G18" s="1173"/>
      <c r="H18" s="1173"/>
      <c r="I18" s="1173"/>
      <c r="J18" s="1173"/>
      <c r="K18" s="711"/>
      <c r="L18" s="706"/>
      <c r="M18" s="706"/>
      <c r="N18" s="706" t="s">
        <v>2138</v>
      </c>
      <c r="O18" s="703">
        <f>DATOS!C12</f>
        <v>0</v>
      </c>
      <c r="Q18" s="661"/>
      <c r="T18" s="660"/>
      <c r="W18" s="707" t="str">
        <f>BASE!GQ59</f>
        <v>Equipamiento</v>
      </c>
      <c r="X18" s="713">
        <f>BASE!GT59</f>
        <v>653.35</v>
      </c>
      <c r="Y18" s="707" t="s">
        <v>755</v>
      </c>
      <c r="Z18" s="705"/>
      <c r="AA18" s="705"/>
      <c r="AB18" s="1167"/>
      <c r="AC18" s="1167"/>
      <c r="AD18" s="1167"/>
      <c r="AE18" s="1167"/>
      <c r="AF18" s="1167"/>
      <c r="AG18" s="1167"/>
      <c r="AH18" s="1167"/>
      <c r="AI18" s="1167"/>
      <c r="AJ18" s="1167"/>
      <c r="AK18" s="1167"/>
      <c r="AL18" s="1167"/>
      <c r="AM18" s="661"/>
      <c r="AN18" s="458"/>
      <c r="AO18" s="458"/>
      <c r="AP18" s="458"/>
      <c r="AQ18" s="458"/>
      <c r="AR18" s="458"/>
      <c r="AS18" s="458"/>
      <c r="AT18" s="458"/>
      <c r="AU18" s="458"/>
      <c r="AV18" s="458"/>
      <c r="AW18" s="458"/>
    </row>
    <row r="19" spans="3:49" ht="6" customHeight="1">
      <c r="C19" s="660"/>
      <c r="L19" s="706"/>
      <c r="M19" s="706"/>
      <c r="N19" s="706"/>
      <c r="O19" s="706"/>
      <c r="Q19" s="661"/>
      <c r="T19" s="660"/>
      <c r="W19" s="707"/>
      <c r="X19" s="707"/>
      <c r="Y19" s="707"/>
      <c r="Z19" s="705"/>
      <c r="AA19" s="705"/>
      <c r="AB19" s="1167"/>
      <c r="AC19" s="1167"/>
      <c r="AD19" s="1167"/>
      <c r="AE19" s="1167"/>
      <c r="AF19" s="1167"/>
      <c r="AG19" s="1167"/>
      <c r="AH19" s="1167"/>
      <c r="AI19" s="1167"/>
      <c r="AJ19" s="1167"/>
      <c r="AK19" s="1167"/>
      <c r="AL19" s="1167"/>
      <c r="AM19" s="661"/>
      <c r="AN19" s="458"/>
      <c r="AO19" s="458"/>
      <c r="AP19" s="458"/>
      <c r="AQ19" s="458"/>
      <c r="AR19" s="458"/>
      <c r="AS19" s="458"/>
      <c r="AT19" s="458"/>
      <c r="AU19" s="458"/>
      <c r="AV19" s="458"/>
      <c r="AW19" s="458"/>
    </row>
    <row r="20" spans="3:49" ht="20" customHeight="1">
      <c r="C20" s="660"/>
      <c r="E20" s="706" t="s">
        <v>2114</v>
      </c>
      <c r="F20" s="706"/>
      <c r="G20" s="706"/>
      <c r="H20" s="828">
        <f>DATOS!C19</f>
        <v>0</v>
      </c>
      <c r="I20" s="828"/>
      <c r="J20" s="828"/>
      <c r="L20" s="706"/>
      <c r="M20" s="706"/>
      <c r="N20" s="706" t="s">
        <v>2124</v>
      </c>
      <c r="O20" s="703">
        <f>DATOS!C10</f>
        <v>0</v>
      </c>
      <c r="P20" s="712"/>
      <c r="Q20" s="668"/>
      <c r="T20" s="660"/>
      <c r="W20" s="707"/>
      <c r="X20" s="707"/>
      <c r="Y20" s="707"/>
      <c r="Z20" s="705"/>
      <c r="AA20" s="705"/>
      <c r="AB20" s="1167"/>
      <c r="AC20" s="1167"/>
      <c r="AD20" s="1167"/>
      <c r="AE20" s="1167"/>
      <c r="AF20" s="1167"/>
      <c r="AG20" s="1167"/>
      <c r="AH20" s="1167"/>
      <c r="AI20" s="1167"/>
      <c r="AJ20" s="1167"/>
      <c r="AK20" s="1167"/>
      <c r="AL20" s="1167"/>
      <c r="AM20" s="661"/>
      <c r="AN20" s="458"/>
      <c r="AO20" s="458"/>
      <c r="AP20" s="458"/>
      <c r="AQ20" s="458"/>
      <c r="AR20" s="458"/>
      <c r="AS20" s="458"/>
      <c r="AT20" s="458"/>
      <c r="AU20" s="458"/>
      <c r="AV20" s="458"/>
      <c r="AW20" s="458"/>
    </row>
    <row r="21" spans="3:49" ht="6" customHeight="1">
      <c r="C21" s="660"/>
      <c r="E21" s="706"/>
      <c r="F21" s="706"/>
      <c r="G21" s="706"/>
      <c r="H21" s="707"/>
      <c r="I21" s="707"/>
      <c r="J21" s="707"/>
      <c r="L21" s="706"/>
      <c r="M21" s="706"/>
      <c r="N21" s="706"/>
      <c r="O21" s="706"/>
      <c r="Q21" s="661"/>
      <c r="T21" s="660"/>
      <c r="W21" s="707"/>
      <c r="X21" s="707"/>
      <c r="Y21" s="707"/>
      <c r="Z21" s="705"/>
      <c r="AA21" s="458"/>
      <c r="AB21" s="458"/>
      <c r="AC21" s="458"/>
      <c r="AD21" s="458"/>
      <c r="AE21" s="458"/>
      <c r="AF21" s="458"/>
      <c r="AG21" s="458"/>
      <c r="AH21" s="458"/>
      <c r="AI21" s="458"/>
      <c r="AJ21" s="458"/>
      <c r="AK21" s="458"/>
      <c r="AL21" s="458"/>
      <c r="AM21" s="661"/>
      <c r="AN21" s="458"/>
      <c r="AO21" s="458"/>
      <c r="AP21" s="458"/>
      <c r="AQ21" s="458"/>
      <c r="AR21" s="458"/>
      <c r="AS21" s="458"/>
      <c r="AT21" s="458"/>
      <c r="AU21" s="458"/>
      <c r="AV21" s="458"/>
      <c r="AW21" s="458"/>
    </row>
    <row r="22" spans="3:49" ht="20" customHeight="1">
      <c r="C22" s="660"/>
      <c r="E22" s="706" t="s">
        <v>2115</v>
      </c>
      <c r="F22" s="706"/>
      <c r="G22" s="706"/>
      <c r="H22" s="828">
        <f>DATOS!C20</f>
        <v>0</v>
      </c>
      <c r="I22" s="828"/>
      <c r="J22" s="828"/>
      <c r="L22" s="706"/>
      <c r="M22" s="706"/>
      <c r="N22" s="706" t="s">
        <v>2122</v>
      </c>
      <c r="O22" s="703">
        <f>ENERGÍA!K4</f>
        <v>0</v>
      </c>
      <c r="P22" s="712"/>
      <c r="Q22" s="668"/>
      <c r="T22" s="660"/>
      <c r="U22" s="1168" t="s">
        <v>2112</v>
      </c>
      <c r="V22" s="1168"/>
      <c r="W22" s="1168"/>
      <c r="X22" s="1168"/>
      <c r="Y22" s="1168"/>
      <c r="Z22" s="1168"/>
      <c r="AA22" s="1168"/>
      <c r="AB22" s="1168"/>
      <c r="AC22" s="1168"/>
      <c r="AD22" s="1168"/>
      <c r="AE22" s="1168"/>
      <c r="AF22" s="1168"/>
      <c r="AG22" s="1168"/>
      <c r="AH22" s="1168"/>
      <c r="AI22" s="1168"/>
      <c r="AJ22" s="1168"/>
      <c r="AK22" s="1168"/>
      <c r="AL22" s="1168"/>
      <c r="AM22" s="661"/>
      <c r="AN22" s="458"/>
      <c r="AO22" s="458"/>
      <c r="AP22" s="458"/>
      <c r="AQ22" s="458"/>
      <c r="AR22" s="458"/>
      <c r="AS22" s="458"/>
      <c r="AT22" s="458"/>
      <c r="AU22" s="458"/>
      <c r="AV22" s="458"/>
      <c r="AW22" s="458"/>
    </row>
    <row r="23" spans="3:49" ht="6" customHeight="1">
      <c r="C23" s="660"/>
      <c r="D23" s="139"/>
      <c r="E23" s="139"/>
      <c r="F23" s="139"/>
      <c r="G23" s="139"/>
      <c r="H23" s="139"/>
      <c r="I23" s="139"/>
      <c r="J23" s="139"/>
      <c r="K23" s="139"/>
      <c r="L23" s="706"/>
      <c r="M23" s="706"/>
      <c r="N23" s="706"/>
      <c r="O23" s="706"/>
      <c r="Q23" s="661"/>
      <c r="T23" s="660"/>
      <c r="Z23" s="705"/>
      <c r="AA23" s="458"/>
      <c r="AB23" s="458"/>
      <c r="AC23" s="458"/>
      <c r="AD23" s="458"/>
      <c r="AE23" s="458"/>
      <c r="AF23" s="458"/>
      <c r="AG23" s="458"/>
      <c r="AH23" s="458"/>
      <c r="AI23" s="458"/>
      <c r="AJ23" s="458"/>
      <c r="AK23" s="458"/>
      <c r="AL23" s="458"/>
      <c r="AM23" s="661"/>
      <c r="AN23" s="458"/>
      <c r="AO23" s="458"/>
      <c r="AP23" s="458"/>
      <c r="AQ23" s="458"/>
      <c r="AR23" s="458"/>
      <c r="AS23" s="458"/>
      <c r="AT23" s="458"/>
      <c r="AU23" s="458"/>
      <c r="AV23" s="458"/>
      <c r="AW23" s="458"/>
    </row>
    <row r="24" spans="3:49" ht="20" customHeight="1">
      <c r="C24" s="660"/>
      <c r="E24" s="706" t="s">
        <v>2116</v>
      </c>
      <c r="F24" s="706"/>
      <c r="G24" s="706"/>
      <c r="H24" s="828">
        <f>DATOS!G20</f>
        <v>0</v>
      </c>
      <c r="I24" s="828"/>
      <c r="J24" s="828"/>
      <c r="K24" s="706"/>
      <c r="L24" s="706"/>
      <c r="M24" s="706"/>
      <c r="N24" s="706" t="s">
        <v>2123</v>
      </c>
      <c r="O24" s="703">
        <f>ENERGÍA!L4</f>
        <v>0</v>
      </c>
      <c r="P24" s="712"/>
      <c r="Q24" s="668"/>
      <c r="T24" s="660"/>
      <c r="Z24" s="705"/>
      <c r="AA24" s="458"/>
      <c r="AB24" s="1167"/>
      <c r="AC24" s="1167"/>
      <c r="AD24" s="1167"/>
      <c r="AE24" s="1167"/>
      <c r="AF24" s="1167"/>
      <c r="AG24" s="1167"/>
      <c r="AH24" s="1167"/>
      <c r="AI24" s="1167"/>
      <c r="AJ24" s="1167"/>
      <c r="AK24" s="1167"/>
      <c r="AL24" s="1167"/>
      <c r="AM24" s="661"/>
      <c r="AN24" s="458"/>
      <c r="AO24" s="458"/>
      <c r="AP24" s="458"/>
      <c r="AQ24" s="458"/>
      <c r="AR24" s="458"/>
      <c r="AS24" s="458"/>
      <c r="AT24" s="458"/>
      <c r="AU24" s="458"/>
      <c r="AV24" s="458"/>
      <c r="AW24" s="458"/>
    </row>
    <row r="25" spans="3:49" ht="6" customHeight="1">
      <c r="C25" s="660"/>
      <c r="E25" s="139"/>
      <c r="F25" s="139"/>
      <c r="G25" s="139"/>
      <c r="H25" s="139"/>
      <c r="I25" s="139"/>
      <c r="J25" s="139"/>
      <c r="K25" s="706"/>
      <c r="L25" s="706"/>
      <c r="M25" s="706"/>
      <c r="N25" s="706"/>
      <c r="O25" s="706"/>
      <c r="Q25" s="661"/>
      <c r="T25" s="660"/>
      <c r="Z25" s="705"/>
      <c r="AA25" s="458"/>
      <c r="AB25" s="1167"/>
      <c r="AC25" s="1167"/>
      <c r="AD25" s="1167"/>
      <c r="AE25" s="1167"/>
      <c r="AF25" s="1167"/>
      <c r="AG25" s="1167"/>
      <c r="AH25" s="1167"/>
      <c r="AI25" s="1167"/>
      <c r="AJ25" s="1167"/>
      <c r="AK25" s="1167"/>
      <c r="AL25" s="1167"/>
      <c r="AM25" s="661"/>
      <c r="AN25" s="458"/>
      <c r="AO25" s="458"/>
      <c r="AP25" s="458"/>
      <c r="AQ25" s="458"/>
      <c r="AR25" s="458"/>
      <c r="AS25" s="458"/>
      <c r="AT25" s="458"/>
      <c r="AU25" s="458"/>
      <c r="AV25" s="458"/>
      <c r="AW25" s="458"/>
    </row>
    <row r="26" spans="3:49" ht="25" customHeight="1">
      <c r="C26" s="660"/>
      <c r="E26" s="706" t="s">
        <v>2117</v>
      </c>
      <c r="F26" s="706"/>
      <c r="G26" s="706"/>
      <c r="H26" s="828">
        <f>DATOS!G19</f>
        <v>0</v>
      </c>
      <c r="I26" s="828"/>
      <c r="J26" s="828"/>
      <c r="K26" s="706"/>
      <c r="N26" s="655" t="s">
        <v>2144</v>
      </c>
      <c r="O26" s="717" t="str">
        <f>+DATOS!G88</f>
        <v>No</v>
      </c>
      <c r="Q26" s="661"/>
      <c r="T26" s="660"/>
      <c r="W26" s="402" t="str">
        <f>BASE!GQ62</f>
        <v>Artefactos Sanitarios</v>
      </c>
      <c r="X26" s="718">
        <f>BASE!GT62</f>
        <v>0</v>
      </c>
      <c r="Y26" s="402" t="s">
        <v>759</v>
      </c>
      <c r="Z26" s="705"/>
      <c r="AA26" s="458"/>
      <c r="AB26" s="1167"/>
      <c r="AC26" s="1167"/>
      <c r="AD26" s="1167"/>
      <c r="AE26" s="1167"/>
      <c r="AF26" s="1167"/>
      <c r="AG26" s="1167"/>
      <c r="AH26" s="1167"/>
      <c r="AI26" s="1167"/>
      <c r="AJ26" s="1167"/>
      <c r="AK26" s="1167"/>
      <c r="AL26" s="1167"/>
      <c r="AM26" s="661"/>
      <c r="AN26" s="458"/>
      <c r="AO26" s="458"/>
      <c r="AP26" s="458"/>
      <c r="AQ26" s="458"/>
      <c r="AR26" s="458"/>
      <c r="AS26" s="458"/>
      <c r="AT26" s="458"/>
      <c r="AU26" s="458"/>
      <c r="AV26" s="458"/>
      <c r="AW26" s="458"/>
    </row>
    <row r="27" spans="3:49" ht="6" customHeight="1">
      <c r="C27" s="660"/>
      <c r="E27" s="706"/>
      <c r="F27" s="706"/>
      <c r="G27" s="706"/>
      <c r="H27" s="707"/>
      <c r="I27" s="707"/>
      <c r="J27" s="707"/>
      <c r="K27" s="706"/>
      <c r="L27" s="458"/>
      <c r="M27" s="458"/>
      <c r="N27" s="458"/>
      <c r="O27" s="458"/>
      <c r="Q27" s="661"/>
      <c r="T27" s="660"/>
      <c r="W27" s="707"/>
      <c r="X27" s="707"/>
      <c r="Y27" s="707"/>
      <c r="Z27" s="705"/>
      <c r="AA27" s="458"/>
      <c r="AB27" s="1167"/>
      <c r="AC27" s="1167"/>
      <c r="AD27" s="1167"/>
      <c r="AE27" s="1167"/>
      <c r="AF27" s="1167"/>
      <c r="AG27" s="1167"/>
      <c r="AH27" s="1167"/>
      <c r="AI27" s="1167"/>
      <c r="AJ27" s="1167"/>
      <c r="AK27" s="1167"/>
      <c r="AL27" s="1167"/>
      <c r="AM27" s="661"/>
      <c r="AN27" s="458"/>
      <c r="AO27" s="458"/>
      <c r="AP27" s="458"/>
      <c r="AQ27" s="458"/>
      <c r="AR27" s="458"/>
      <c r="AS27" s="458"/>
      <c r="AT27" s="458"/>
      <c r="AU27" s="458"/>
      <c r="AV27" s="458"/>
      <c r="AW27" s="458"/>
    </row>
    <row r="28" spans="3:49" ht="6" customHeight="1">
      <c r="C28" s="660"/>
      <c r="E28" s="706"/>
      <c r="F28" s="706"/>
      <c r="G28" s="706"/>
      <c r="H28" s="707"/>
      <c r="I28" s="707"/>
      <c r="J28" s="707"/>
      <c r="K28" s="706"/>
      <c r="L28" s="458"/>
      <c r="M28" s="458"/>
      <c r="N28" s="458"/>
      <c r="O28" s="458"/>
      <c r="Q28" s="661"/>
      <c r="T28" s="660"/>
      <c r="Z28" s="705"/>
      <c r="AA28" s="458"/>
      <c r="AB28" s="1167"/>
      <c r="AC28" s="1167"/>
      <c r="AD28" s="1167"/>
      <c r="AE28" s="1167"/>
      <c r="AF28" s="1167"/>
      <c r="AG28" s="1167"/>
      <c r="AH28" s="1167"/>
      <c r="AI28" s="1167"/>
      <c r="AJ28" s="1167"/>
      <c r="AK28" s="1167"/>
      <c r="AL28" s="1167"/>
      <c r="AM28" s="661"/>
      <c r="AN28" s="458"/>
      <c r="AO28" s="458"/>
      <c r="AP28" s="458"/>
      <c r="AQ28" s="458"/>
      <c r="AR28" s="458"/>
      <c r="AS28" s="458"/>
      <c r="AT28" s="458"/>
      <c r="AU28" s="458"/>
      <c r="AV28" s="458"/>
      <c r="AW28" s="458"/>
    </row>
    <row r="29" spans="3:49" ht="15" customHeight="1">
      <c r="C29" s="660"/>
      <c r="D29" s="1169" t="s">
        <v>2129</v>
      </c>
      <c r="E29" s="1169"/>
      <c r="F29" s="1169"/>
      <c r="G29" s="1169"/>
      <c r="H29" s="1169"/>
      <c r="I29" s="1169"/>
      <c r="J29" s="1169"/>
      <c r="K29" s="1169"/>
      <c r="L29" s="1169"/>
      <c r="M29" s="1169"/>
      <c r="N29" s="1169"/>
      <c r="O29" s="1169"/>
      <c r="P29" s="1169"/>
      <c r="Q29" s="661"/>
      <c r="T29" s="660"/>
      <c r="W29" s="707" t="str">
        <f>BASE!GQ63</f>
        <v>Paisajismo</v>
      </c>
      <c r="X29" s="713">
        <f>BASE!GT63</f>
        <v>0</v>
      </c>
      <c r="Y29" s="707" t="s">
        <v>759</v>
      </c>
      <c r="Z29" s="705"/>
      <c r="AA29" s="458"/>
      <c r="AB29" s="1167"/>
      <c r="AC29" s="1167"/>
      <c r="AD29" s="1167"/>
      <c r="AE29" s="1167"/>
      <c r="AF29" s="1167"/>
      <c r="AG29" s="1167"/>
      <c r="AH29" s="1167"/>
      <c r="AI29" s="1167"/>
      <c r="AJ29" s="1167"/>
      <c r="AK29" s="1167"/>
      <c r="AL29" s="1167"/>
      <c r="AM29" s="661"/>
      <c r="AN29" s="458"/>
      <c r="AO29" s="458"/>
      <c r="AP29" s="458"/>
      <c r="AQ29" s="458"/>
      <c r="AR29" s="458"/>
      <c r="AS29" s="458"/>
      <c r="AT29" s="458"/>
      <c r="AU29" s="458"/>
      <c r="AV29" s="458"/>
      <c r="AW29" s="458"/>
    </row>
    <row r="30" spans="3:49" ht="6" customHeight="1">
      <c r="C30" s="660"/>
      <c r="Q30" s="661"/>
      <c r="T30" s="660"/>
      <c r="Z30" s="705"/>
      <c r="AA30" s="458"/>
      <c r="AB30" s="1167"/>
      <c r="AC30" s="1167"/>
      <c r="AD30" s="1167"/>
      <c r="AE30" s="1167"/>
      <c r="AF30" s="1167"/>
      <c r="AG30" s="1167"/>
      <c r="AH30" s="1167"/>
      <c r="AI30" s="1167"/>
      <c r="AJ30" s="1167"/>
      <c r="AK30" s="1167"/>
      <c r="AL30" s="1167"/>
      <c r="AM30" s="661"/>
      <c r="AN30" s="458"/>
      <c r="AO30" s="458"/>
      <c r="AP30" s="458"/>
      <c r="AQ30" s="458"/>
      <c r="AR30" s="458"/>
      <c r="AS30" s="458"/>
      <c r="AT30" s="458"/>
      <c r="AU30" s="458"/>
      <c r="AV30" s="458"/>
      <c r="AW30" s="458"/>
    </row>
    <row r="31" spans="3:49" ht="20" customHeight="1">
      <c r="C31" s="660"/>
      <c r="D31" s="139"/>
      <c r="E31" s="1170" t="s">
        <v>2139</v>
      </c>
      <c r="F31" s="1170"/>
      <c r="G31" s="1170"/>
      <c r="H31" s="1170"/>
      <c r="I31" s="1170"/>
      <c r="J31" s="1170"/>
      <c r="K31" s="1170"/>
      <c r="L31" s="1170"/>
      <c r="M31" s="1170"/>
      <c r="N31" s="1170"/>
      <c r="O31" s="1170"/>
      <c r="P31" s="139"/>
      <c r="Q31" s="661"/>
      <c r="T31" s="660"/>
      <c r="Z31" s="705"/>
      <c r="AA31" s="458"/>
      <c r="AB31" s="1167"/>
      <c r="AC31" s="1167"/>
      <c r="AD31" s="1167"/>
      <c r="AE31" s="1167"/>
      <c r="AF31" s="1167"/>
      <c r="AG31" s="1167"/>
      <c r="AH31" s="1167"/>
      <c r="AI31" s="1167"/>
      <c r="AJ31" s="1167"/>
      <c r="AK31" s="1167"/>
      <c r="AL31" s="1167"/>
      <c r="AM31" s="661"/>
      <c r="AN31" s="458"/>
      <c r="AO31" s="458"/>
      <c r="AP31" s="458"/>
      <c r="AQ31" s="458"/>
      <c r="AR31" s="458"/>
      <c r="AS31" s="458"/>
      <c r="AT31" s="458"/>
      <c r="AU31" s="458"/>
      <c r="AV31" s="458"/>
      <c r="AW31" s="458"/>
    </row>
    <row r="32" spans="3:49" ht="6" customHeight="1">
      <c r="C32" s="660"/>
      <c r="E32" s="1170"/>
      <c r="F32" s="1170"/>
      <c r="G32" s="1170"/>
      <c r="H32" s="1170"/>
      <c r="I32" s="1170"/>
      <c r="J32" s="1170"/>
      <c r="K32" s="1170"/>
      <c r="L32" s="1170"/>
      <c r="M32" s="1170"/>
      <c r="N32" s="1170"/>
      <c r="O32" s="1170"/>
      <c r="Q32" s="661"/>
      <c r="T32" s="660"/>
      <c r="Z32" s="705"/>
      <c r="AA32" s="458"/>
      <c r="AB32" s="1167"/>
      <c r="AC32" s="1167"/>
      <c r="AD32" s="1167"/>
      <c r="AE32" s="1167"/>
      <c r="AF32" s="1167"/>
      <c r="AG32" s="1167"/>
      <c r="AH32" s="1167"/>
      <c r="AI32" s="1167"/>
      <c r="AJ32" s="1167"/>
      <c r="AK32" s="1167"/>
      <c r="AL32" s="1167"/>
      <c r="AM32" s="661"/>
      <c r="AN32" s="458"/>
      <c r="AO32" s="458"/>
      <c r="AP32" s="458"/>
      <c r="AQ32" s="458"/>
      <c r="AR32" s="458"/>
      <c r="AS32" s="458"/>
      <c r="AT32" s="458"/>
      <c r="AU32" s="458"/>
      <c r="AV32" s="458"/>
      <c r="AW32" s="458"/>
    </row>
    <row r="33" spans="3:49" ht="20" customHeight="1">
      <c r="C33" s="660"/>
      <c r="E33" s="1170"/>
      <c r="F33" s="1170"/>
      <c r="G33" s="1170"/>
      <c r="H33" s="1170"/>
      <c r="I33" s="1170"/>
      <c r="J33" s="1170"/>
      <c r="K33" s="1170"/>
      <c r="L33" s="1170"/>
      <c r="M33" s="1170"/>
      <c r="N33" s="1170"/>
      <c r="O33" s="1170"/>
      <c r="Q33" s="661"/>
      <c r="T33" s="660"/>
      <c r="Z33" s="705"/>
      <c r="AA33" s="458"/>
      <c r="AB33" s="1167"/>
      <c r="AC33" s="1167"/>
      <c r="AD33" s="1167"/>
      <c r="AE33" s="1167"/>
      <c r="AF33" s="1167"/>
      <c r="AG33" s="1167"/>
      <c r="AH33" s="1167"/>
      <c r="AI33" s="1167"/>
      <c r="AJ33" s="1167"/>
      <c r="AK33" s="1167"/>
      <c r="AL33" s="1167"/>
      <c r="AM33" s="661"/>
      <c r="AN33" s="458"/>
      <c r="AO33" s="458"/>
      <c r="AP33" s="458"/>
      <c r="AQ33" s="458"/>
      <c r="AR33" s="458"/>
      <c r="AS33" s="458"/>
      <c r="AT33" s="458"/>
      <c r="AU33" s="458"/>
      <c r="AV33" s="458"/>
      <c r="AW33" s="458"/>
    </row>
    <row r="34" spans="3:49" ht="6" customHeight="1">
      <c r="C34" s="660"/>
      <c r="E34" s="1170"/>
      <c r="F34" s="1170"/>
      <c r="G34" s="1170"/>
      <c r="H34" s="1170"/>
      <c r="I34" s="1170"/>
      <c r="J34" s="1170"/>
      <c r="K34" s="1170"/>
      <c r="L34" s="1170"/>
      <c r="M34" s="1170"/>
      <c r="N34" s="1170"/>
      <c r="O34" s="1170"/>
      <c r="Q34" s="661"/>
      <c r="T34" s="660"/>
      <c r="Z34" s="705"/>
      <c r="AA34" s="458"/>
      <c r="AB34" s="1167"/>
      <c r="AC34" s="1167"/>
      <c r="AD34" s="1167"/>
      <c r="AE34" s="1167"/>
      <c r="AF34" s="1167"/>
      <c r="AG34" s="1167"/>
      <c r="AH34" s="1167"/>
      <c r="AI34" s="1167"/>
      <c r="AJ34" s="1167"/>
      <c r="AK34" s="1167"/>
      <c r="AL34" s="1167"/>
      <c r="AM34" s="661"/>
      <c r="AN34" s="458"/>
      <c r="AO34" s="458"/>
      <c r="AP34" s="458"/>
      <c r="AQ34" s="458"/>
      <c r="AR34" s="458"/>
      <c r="AS34" s="458"/>
      <c r="AT34" s="458"/>
      <c r="AU34" s="458"/>
      <c r="AV34" s="458"/>
      <c r="AW34" s="458"/>
    </row>
    <row r="35" spans="3:49" ht="20" customHeight="1">
      <c r="C35" s="660"/>
      <c r="E35" s="1170"/>
      <c r="F35" s="1170"/>
      <c r="G35" s="1170"/>
      <c r="H35" s="1170"/>
      <c r="I35" s="1170"/>
      <c r="J35" s="1170"/>
      <c r="K35" s="1170"/>
      <c r="L35" s="1170"/>
      <c r="M35" s="1170"/>
      <c r="N35" s="1170"/>
      <c r="O35" s="1170"/>
      <c r="Q35" s="661"/>
      <c r="T35" s="660"/>
      <c r="Z35" s="705"/>
      <c r="AA35" s="458"/>
      <c r="AB35" s="1167"/>
      <c r="AC35" s="1167"/>
      <c r="AD35" s="1167"/>
      <c r="AE35" s="1167"/>
      <c r="AF35" s="1167"/>
      <c r="AG35" s="1167"/>
      <c r="AH35" s="1167"/>
      <c r="AI35" s="1167"/>
      <c r="AJ35" s="1167"/>
      <c r="AK35" s="1167"/>
      <c r="AL35" s="1167"/>
      <c r="AM35" s="661"/>
      <c r="AN35" s="458"/>
      <c r="AO35" s="458"/>
      <c r="AP35" s="458"/>
      <c r="AQ35" s="458"/>
      <c r="AR35" s="458"/>
      <c r="AS35" s="458"/>
      <c r="AT35" s="458"/>
      <c r="AU35" s="458"/>
      <c r="AV35" s="458"/>
      <c r="AW35" s="458"/>
    </row>
    <row r="36" spans="3:49" ht="6" customHeight="1">
      <c r="C36" s="660"/>
      <c r="E36" s="1170"/>
      <c r="F36" s="1170"/>
      <c r="G36" s="1170"/>
      <c r="H36" s="1170"/>
      <c r="I36" s="1170"/>
      <c r="J36" s="1170"/>
      <c r="K36" s="1170"/>
      <c r="L36" s="1170"/>
      <c r="M36" s="1170"/>
      <c r="N36" s="1170"/>
      <c r="O36" s="1170"/>
      <c r="Q36" s="661"/>
      <c r="T36" s="660"/>
      <c r="Z36" s="705"/>
      <c r="AA36" s="705"/>
      <c r="AB36" s="705"/>
      <c r="AC36" s="705"/>
      <c r="AD36" s="705"/>
      <c r="AE36" s="705"/>
      <c r="AF36" s="705"/>
      <c r="AG36" s="705"/>
      <c r="AH36" s="705"/>
      <c r="AI36" s="705"/>
      <c r="AJ36" s="705"/>
      <c r="AK36" s="705"/>
      <c r="AL36" s="704"/>
      <c r="AM36" s="661"/>
      <c r="AN36" s="458"/>
      <c r="AO36" s="458"/>
      <c r="AP36" s="458"/>
      <c r="AQ36" s="458"/>
      <c r="AR36" s="458"/>
      <c r="AS36" s="458"/>
      <c r="AT36" s="458"/>
      <c r="AU36" s="458"/>
      <c r="AV36" s="458"/>
      <c r="AW36" s="458"/>
    </row>
    <row r="37" spans="3:49" ht="20" customHeight="1">
      <c r="C37" s="660"/>
      <c r="E37" s="1170"/>
      <c r="F37" s="1170"/>
      <c r="G37" s="1170"/>
      <c r="H37" s="1170"/>
      <c r="I37" s="1170"/>
      <c r="J37" s="1170"/>
      <c r="K37" s="1170"/>
      <c r="L37" s="1170"/>
      <c r="M37" s="1170"/>
      <c r="N37" s="1170"/>
      <c r="O37" s="1170"/>
      <c r="Q37" s="661"/>
      <c r="T37" s="660"/>
      <c r="U37" s="1168" t="s">
        <v>2079</v>
      </c>
      <c r="V37" s="1168"/>
      <c r="W37" s="1168"/>
      <c r="X37" s="1168"/>
      <c r="Y37" s="1168"/>
      <c r="Z37" s="1168"/>
      <c r="AA37" s="1168"/>
      <c r="AB37" s="1168"/>
      <c r="AC37" s="1168"/>
      <c r="AD37" s="1168"/>
      <c r="AE37" s="1168"/>
      <c r="AF37" s="1168"/>
      <c r="AG37" s="1168"/>
      <c r="AH37" s="1168"/>
      <c r="AI37" s="1168"/>
      <c r="AJ37" s="1168"/>
      <c r="AK37" s="1168"/>
      <c r="AL37" s="1168"/>
      <c r="AM37" s="661"/>
      <c r="AN37" s="458"/>
      <c r="AO37" s="458"/>
      <c r="AP37" s="458"/>
      <c r="AQ37" s="458"/>
      <c r="AR37" s="458"/>
      <c r="AS37" s="458"/>
      <c r="AT37" s="458"/>
      <c r="AU37" s="458"/>
      <c r="AV37" s="458"/>
      <c r="AW37" s="458"/>
    </row>
    <row r="38" spans="3:49" ht="6" customHeight="1">
      <c r="C38" s="660"/>
      <c r="E38" s="1170"/>
      <c r="F38" s="1170"/>
      <c r="G38" s="1170"/>
      <c r="H38" s="1170"/>
      <c r="I38" s="1170"/>
      <c r="J38" s="1170"/>
      <c r="K38" s="1170"/>
      <c r="L38" s="1170"/>
      <c r="M38" s="1170"/>
      <c r="N38" s="1170"/>
      <c r="O38" s="1170"/>
      <c r="Q38" s="661"/>
      <c r="T38" s="660"/>
      <c r="Z38" s="705"/>
      <c r="AA38" s="458"/>
      <c r="AB38" s="458"/>
      <c r="AC38" s="458"/>
      <c r="AD38" s="458"/>
      <c r="AE38" s="458"/>
      <c r="AF38" s="458"/>
      <c r="AG38" s="458"/>
      <c r="AH38" s="458"/>
      <c r="AI38" s="458"/>
      <c r="AJ38" s="458"/>
      <c r="AK38" s="458"/>
      <c r="AL38" s="458"/>
      <c r="AM38" s="661"/>
      <c r="AN38" s="458"/>
      <c r="AO38" s="458"/>
      <c r="AP38" s="458"/>
      <c r="AQ38" s="458"/>
      <c r="AR38" s="458"/>
      <c r="AS38" s="458"/>
      <c r="AT38" s="458"/>
      <c r="AU38" s="458"/>
      <c r="AV38" s="458"/>
      <c r="AW38" s="458"/>
    </row>
    <row r="39" spans="3:49" ht="20" customHeight="1">
      <c r="C39" s="660"/>
      <c r="E39" s="1170"/>
      <c r="F39" s="1170"/>
      <c r="G39" s="1170"/>
      <c r="H39" s="1170"/>
      <c r="I39" s="1170"/>
      <c r="J39" s="1170"/>
      <c r="K39" s="1170"/>
      <c r="L39" s="1170"/>
      <c r="M39" s="1170"/>
      <c r="N39" s="1170"/>
      <c r="O39" s="1170"/>
      <c r="Q39" s="661"/>
      <c r="T39" s="660"/>
      <c r="Z39" s="705"/>
      <c r="AA39" s="458"/>
      <c r="AB39" s="1167"/>
      <c r="AC39" s="1167"/>
      <c r="AD39" s="1167"/>
      <c r="AE39" s="1167"/>
      <c r="AF39" s="1167"/>
      <c r="AG39" s="1167"/>
      <c r="AH39" s="1167"/>
      <c r="AI39" s="1167"/>
      <c r="AJ39" s="1167"/>
      <c r="AK39" s="1167"/>
      <c r="AL39" s="1167"/>
      <c r="AM39" s="661"/>
      <c r="AN39" s="458"/>
      <c r="AO39" s="458"/>
      <c r="AP39" s="458"/>
      <c r="AQ39" s="458"/>
      <c r="AR39" s="458"/>
      <c r="AS39" s="458"/>
      <c r="AT39" s="458"/>
      <c r="AU39" s="458"/>
      <c r="AV39" s="458"/>
      <c r="AW39" s="458"/>
    </row>
    <row r="40" spans="3:49" ht="6" customHeight="1">
      <c r="C40" s="660"/>
      <c r="E40" s="1170"/>
      <c r="F40" s="1170"/>
      <c r="G40" s="1170"/>
      <c r="H40" s="1170"/>
      <c r="I40" s="1170"/>
      <c r="J40" s="1170"/>
      <c r="K40" s="1170"/>
      <c r="L40" s="1170"/>
      <c r="M40" s="1170"/>
      <c r="N40" s="1170"/>
      <c r="O40" s="1170"/>
      <c r="Q40" s="661"/>
      <c r="T40" s="660"/>
      <c r="Z40" s="705"/>
      <c r="AA40" s="458"/>
      <c r="AB40" s="1167"/>
      <c r="AC40" s="1167"/>
      <c r="AD40" s="1167"/>
      <c r="AE40" s="1167"/>
      <c r="AF40" s="1167"/>
      <c r="AG40" s="1167"/>
      <c r="AH40" s="1167"/>
      <c r="AI40" s="1167"/>
      <c r="AJ40" s="1167"/>
      <c r="AK40" s="1167"/>
      <c r="AL40" s="1167"/>
      <c r="AM40" s="661"/>
      <c r="AN40" s="458"/>
      <c r="AO40" s="458"/>
      <c r="AP40" s="458"/>
      <c r="AQ40" s="458"/>
      <c r="AR40" s="458"/>
      <c r="AS40" s="458"/>
      <c r="AT40" s="458"/>
      <c r="AU40" s="458"/>
      <c r="AV40" s="458"/>
      <c r="AW40" s="458"/>
    </row>
    <row r="41" spans="3:49" ht="20" customHeight="1">
      <c r="C41" s="660"/>
      <c r="E41" s="1170"/>
      <c r="F41" s="1170"/>
      <c r="G41" s="1170"/>
      <c r="H41" s="1170"/>
      <c r="I41" s="1170"/>
      <c r="J41" s="1170"/>
      <c r="K41" s="1170"/>
      <c r="L41" s="1170"/>
      <c r="M41" s="1170"/>
      <c r="N41" s="1170"/>
      <c r="O41" s="1170"/>
      <c r="Q41" s="661"/>
      <c r="T41" s="660"/>
      <c r="W41" s="707" t="str">
        <f>BASE!GQ67</f>
        <v>Calefacción</v>
      </c>
      <c r="X41" s="713" t="e">
        <f>BASE!GR67</f>
        <v>#DIV/0!</v>
      </c>
      <c r="Y41" s="707" t="s">
        <v>759</v>
      </c>
      <c r="Z41" s="705"/>
      <c r="AA41" s="458"/>
      <c r="AB41" s="1167"/>
      <c r="AC41" s="1167"/>
      <c r="AD41" s="1167"/>
      <c r="AE41" s="1167"/>
      <c r="AF41" s="1167"/>
      <c r="AG41" s="1167"/>
      <c r="AH41" s="1167"/>
      <c r="AI41" s="1167"/>
      <c r="AJ41" s="1167"/>
      <c r="AK41" s="1167"/>
      <c r="AL41" s="1167"/>
      <c r="AM41" s="661"/>
      <c r="AN41" s="458"/>
      <c r="AO41" s="458"/>
      <c r="AP41" s="458"/>
      <c r="AQ41" s="458"/>
      <c r="AR41" s="458"/>
      <c r="AS41" s="458"/>
      <c r="AT41" s="458"/>
      <c r="AU41" s="458"/>
      <c r="AV41" s="458"/>
      <c r="AW41" s="458"/>
    </row>
    <row r="42" spans="3:49" ht="6" customHeight="1">
      <c r="C42" s="660"/>
      <c r="E42" s="1170"/>
      <c r="F42" s="1170"/>
      <c r="G42" s="1170"/>
      <c r="H42" s="1170"/>
      <c r="I42" s="1170"/>
      <c r="J42" s="1170"/>
      <c r="K42" s="1170"/>
      <c r="L42" s="1170"/>
      <c r="M42" s="1170"/>
      <c r="N42" s="1170"/>
      <c r="O42" s="1170"/>
      <c r="Q42" s="661"/>
      <c r="T42" s="660"/>
      <c r="W42" s="707"/>
      <c r="X42" s="707"/>
      <c r="Y42" s="707"/>
      <c r="Z42" s="705"/>
      <c r="AA42" s="458"/>
      <c r="AB42" s="1167"/>
      <c r="AC42" s="1167"/>
      <c r="AD42" s="1167"/>
      <c r="AE42" s="1167"/>
      <c r="AF42" s="1167"/>
      <c r="AG42" s="1167"/>
      <c r="AH42" s="1167"/>
      <c r="AI42" s="1167"/>
      <c r="AJ42" s="1167"/>
      <c r="AK42" s="1167"/>
      <c r="AL42" s="1167"/>
      <c r="AM42" s="661"/>
      <c r="AN42" s="458"/>
      <c r="AO42" s="458"/>
      <c r="AP42" s="458"/>
      <c r="AQ42" s="458"/>
      <c r="AR42" s="458"/>
      <c r="AS42" s="458"/>
      <c r="AT42" s="458"/>
      <c r="AU42" s="458"/>
      <c r="AV42" s="458"/>
      <c r="AW42" s="458"/>
    </row>
    <row r="43" spans="3:49" ht="20" customHeight="1">
      <c r="C43" s="660"/>
      <c r="E43" s="1170"/>
      <c r="F43" s="1170"/>
      <c r="G43" s="1170"/>
      <c r="H43" s="1170"/>
      <c r="I43" s="1170"/>
      <c r="J43" s="1170"/>
      <c r="K43" s="1170"/>
      <c r="L43" s="1170"/>
      <c r="M43" s="1170"/>
      <c r="N43" s="1170"/>
      <c r="O43" s="1170"/>
      <c r="Q43" s="661"/>
      <c r="T43" s="660"/>
      <c r="W43" s="707" t="str">
        <f>BASE!GQ68</f>
        <v>Equipamiento</v>
      </c>
      <c r="X43" s="713">
        <f>BASE!GR68</f>
        <v>0</v>
      </c>
      <c r="Y43" s="707" t="s">
        <v>759</v>
      </c>
      <c r="Z43" s="705"/>
      <c r="AA43" s="458"/>
      <c r="AB43" s="1167"/>
      <c r="AC43" s="1167"/>
      <c r="AD43" s="1167"/>
      <c r="AE43" s="1167"/>
      <c r="AF43" s="1167"/>
      <c r="AG43" s="1167"/>
      <c r="AH43" s="1167"/>
      <c r="AI43" s="1167"/>
      <c r="AJ43" s="1167"/>
      <c r="AK43" s="1167"/>
      <c r="AL43" s="1167"/>
      <c r="AM43" s="661"/>
      <c r="AN43" s="458"/>
      <c r="AO43" s="458"/>
      <c r="AP43" s="458"/>
      <c r="AQ43" s="458"/>
      <c r="AR43" s="458"/>
      <c r="AS43" s="458"/>
      <c r="AT43" s="458"/>
      <c r="AU43" s="458"/>
      <c r="AV43" s="458"/>
      <c r="AW43" s="458"/>
    </row>
    <row r="44" spans="3:49" ht="6" customHeight="1">
      <c r="C44" s="660"/>
      <c r="E44" s="1170"/>
      <c r="F44" s="1170"/>
      <c r="G44" s="1170"/>
      <c r="H44" s="1170"/>
      <c r="I44" s="1170"/>
      <c r="J44" s="1170"/>
      <c r="K44" s="1170"/>
      <c r="L44" s="1170"/>
      <c r="M44" s="1170"/>
      <c r="N44" s="1170"/>
      <c r="O44" s="1170"/>
      <c r="Q44" s="661"/>
      <c r="T44" s="660"/>
      <c r="Z44" s="705"/>
      <c r="AA44" s="458"/>
      <c r="AB44" s="1167"/>
      <c r="AC44" s="1167"/>
      <c r="AD44" s="1167"/>
      <c r="AE44" s="1167"/>
      <c r="AF44" s="1167"/>
      <c r="AG44" s="1167"/>
      <c r="AH44" s="1167"/>
      <c r="AI44" s="1167"/>
      <c r="AJ44" s="1167"/>
      <c r="AK44" s="1167"/>
      <c r="AL44" s="1167"/>
      <c r="AM44" s="661"/>
      <c r="AN44" s="458"/>
      <c r="AO44" s="458"/>
      <c r="AP44" s="458"/>
      <c r="AQ44" s="458"/>
      <c r="AR44" s="458"/>
      <c r="AS44" s="458"/>
      <c r="AT44" s="458"/>
      <c r="AU44" s="458"/>
      <c r="AV44" s="458"/>
      <c r="AW44" s="458"/>
    </row>
    <row r="45" spans="3:49" ht="20" customHeight="1">
      <c r="C45" s="660"/>
      <c r="E45" s="1170"/>
      <c r="F45" s="1170"/>
      <c r="G45" s="1170"/>
      <c r="H45" s="1170"/>
      <c r="I45" s="1170"/>
      <c r="J45" s="1170"/>
      <c r="K45" s="1170"/>
      <c r="L45" s="1170"/>
      <c r="M45" s="1170"/>
      <c r="N45" s="1170"/>
      <c r="O45" s="1170"/>
      <c r="Q45" s="661"/>
      <c r="T45" s="660"/>
      <c r="Z45" s="705"/>
      <c r="AA45" s="458"/>
      <c r="AB45" s="1167"/>
      <c r="AC45" s="1167"/>
      <c r="AD45" s="1167"/>
      <c r="AE45" s="1167"/>
      <c r="AF45" s="1167"/>
      <c r="AG45" s="1167"/>
      <c r="AH45" s="1167"/>
      <c r="AI45" s="1167"/>
      <c r="AJ45" s="1167"/>
      <c r="AK45" s="1167"/>
      <c r="AL45" s="1167"/>
      <c r="AM45" s="661"/>
      <c r="AN45" s="458"/>
      <c r="AO45" s="458"/>
      <c r="AP45" s="458"/>
      <c r="AQ45" s="458"/>
      <c r="AR45" s="458"/>
      <c r="AS45" s="458"/>
      <c r="AT45" s="458"/>
      <c r="AU45" s="458"/>
      <c r="AV45" s="458"/>
      <c r="AW45" s="458"/>
    </row>
    <row r="46" spans="3:49" ht="6" customHeight="1">
      <c r="C46" s="660"/>
      <c r="E46" s="1170"/>
      <c r="F46" s="1170"/>
      <c r="G46" s="1170"/>
      <c r="H46" s="1170"/>
      <c r="I46" s="1170"/>
      <c r="J46" s="1170"/>
      <c r="K46" s="1170"/>
      <c r="L46" s="1170"/>
      <c r="M46" s="1170"/>
      <c r="N46" s="1170"/>
      <c r="O46" s="1170"/>
      <c r="Q46" s="661"/>
      <c r="T46" s="660"/>
      <c r="Z46" s="705"/>
      <c r="AA46" s="458"/>
      <c r="AB46" s="1167"/>
      <c r="AC46" s="1167"/>
      <c r="AD46" s="1167"/>
      <c r="AE46" s="1167"/>
      <c r="AF46" s="1167"/>
      <c r="AG46" s="1167"/>
      <c r="AH46" s="1167"/>
      <c r="AI46" s="1167"/>
      <c r="AJ46" s="1167"/>
      <c r="AK46" s="1167"/>
      <c r="AL46" s="1167"/>
      <c r="AM46" s="661"/>
      <c r="AN46" s="458"/>
      <c r="AO46" s="458"/>
      <c r="AP46" s="458"/>
      <c r="AQ46" s="458"/>
      <c r="AR46" s="458"/>
      <c r="AS46" s="458"/>
      <c r="AT46" s="458"/>
      <c r="AU46" s="458"/>
      <c r="AV46" s="458"/>
      <c r="AW46" s="458"/>
    </row>
    <row r="47" spans="3:49" ht="20" customHeight="1">
      <c r="C47" s="660"/>
      <c r="E47" s="1170"/>
      <c r="F47" s="1170"/>
      <c r="G47" s="1170"/>
      <c r="H47" s="1170"/>
      <c r="I47" s="1170"/>
      <c r="J47" s="1170"/>
      <c r="K47" s="1170"/>
      <c r="L47" s="1170"/>
      <c r="M47" s="1170"/>
      <c r="N47" s="1170"/>
      <c r="O47" s="1170"/>
      <c r="Q47" s="661"/>
      <c r="T47" s="660"/>
      <c r="Z47" s="705"/>
      <c r="AA47" s="458"/>
      <c r="AB47" s="1167"/>
      <c r="AC47" s="1167"/>
      <c r="AD47" s="1167"/>
      <c r="AE47" s="1167"/>
      <c r="AF47" s="1167"/>
      <c r="AG47" s="1167"/>
      <c r="AH47" s="1167"/>
      <c r="AI47" s="1167"/>
      <c r="AJ47" s="1167"/>
      <c r="AK47" s="1167"/>
      <c r="AL47" s="1167"/>
      <c r="AM47" s="661"/>
      <c r="AN47" s="458"/>
      <c r="AO47" s="458"/>
      <c r="AP47" s="458"/>
      <c r="AQ47" s="458"/>
      <c r="AR47" s="458"/>
      <c r="AS47" s="458"/>
      <c r="AT47" s="458"/>
      <c r="AU47" s="458"/>
      <c r="AV47" s="458"/>
      <c r="AW47" s="458"/>
    </row>
    <row r="48" spans="3:49" ht="6" customHeight="1">
      <c r="C48" s="660"/>
      <c r="E48" s="1170"/>
      <c r="F48" s="1170"/>
      <c r="G48" s="1170"/>
      <c r="H48" s="1170"/>
      <c r="I48" s="1170"/>
      <c r="J48" s="1170"/>
      <c r="K48" s="1170"/>
      <c r="L48" s="1170"/>
      <c r="M48" s="1170"/>
      <c r="N48" s="1170"/>
      <c r="O48" s="1170"/>
      <c r="Q48" s="661"/>
      <c r="T48" s="660"/>
      <c r="Z48" s="705"/>
      <c r="AA48" s="458"/>
      <c r="AB48" s="1167"/>
      <c r="AC48" s="1167"/>
      <c r="AD48" s="1167"/>
      <c r="AE48" s="1167"/>
      <c r="AF48" s="1167"/>
      <c r="AG48" s="1167"/>
      <c r="AH48" s="1167"/>
      <c r="AI48" s="1167"/>
      <c r="AJ48" s="1167"/>
      <c r="AK48" s="1167"/>
      <c r="AL48" s="1167"/>
      <c r="AM48" s="661"/>
      <c r="AN48" s="458"/>
      <c r="AO48" s="458"/>
      <c r="AP48" s="458"/>
      <c r="AQ48" s="458"/>
      <c r="AR48" s="458"/>
      <c r="AS48" s="458"/>
      <c r="AT48" s="458"/>
      <c r="AU48" s="458"/>
      <c r="AV48" s="458"/>
      <c r="AW48" s="458"/>
    </row>
    <row r="49" spans="3:49" ht="20" customHeight="1">
      <c r="C49" s="660"/>
      <c r="E49" s="1170"/>
      <c r="F49" s="1170"/>
      <c r="G49" s="1170"/>
      <c r="H49" s="1170"/>
      <c r="I49" s="1170"/>
      <c r="J49" s="1170"/>
      <c r="K49" s="1170"/>
      <c r="L49" s="1170"/>
      <c r="M49" s="1170"/>
      <c r="N49" s="1170"/>
      <c r="O49" s="1170"/>
      <c r="Q49" s="661"/>
      <c r="T49" s="660"/>
      <c r="Z49" s="705"/>
      <c r="AA49" s="458"/>
      <c r="AB49" s="1167"/>
      <c r="AC49" s="1167"/>
      <c r="AD49" s="1167"/>
      <c r="AE49" s="1167"/>
      <c r="AF49" s="1167"/>
      <c r="AG49" s="1167"/>
      <c r="AH49" s="1167"/>
      <c r="AI49" s="1167"/>
      <c r="AJ49" s="1167"/>
      <c r="AK49" s="1167"/>
      <c r="AL49" s="1167"/>
      <c r="AM49" s="661"/>
      <c r="AN49" s="458"/>
      <c r="AO49" s="458"/>
      <c r="AP49" s="458"/>
      <c r="AQ49" s="458"/>
      <c r="AR49" s="458"/>
      <c r="AS49" s="458"/>
      <c r="AT49" s="458"/>
      <c r="AU49" s="458"/>
      <c r="AV49" s="458"/>
      <c r="AW49" s="458"/>
    </row>
    <row r="50" spans="3:49" ht="6" customHeight="1">
      <c r="C50" s="660"/>
      <c r="E50" s="1170"/>
      <c r="F50" s="1170"/>
      <c r="G50" s="1170"/>
      <c r="H50" s="1170"/>
      <c r="I50" s="1170"/>
      <c r="J50" s="1170"/>
      <c r="K50" s="1170"/>
      <c r="L50" s="1170"/>
      <c r="M50" s="1170"/>
      <c r="N50" s="1170"/>
      <c r="O50" s="1170"/>
      <c r="Q50" s="661"/>
      <c r="T50" s="660"/>
      <c r="Z50" s="705"/>
      <c r="AA50" s="458"/>
      <c r="AB50" s="1167"/>
      <c r="AC50" s="1167"/>
      <c r="AD50" s="1167"/>
      <c r="AE50" s="1167"/>
      <c r="AF50" s="1167"/>
      <c r="AG50" s="1167"/>
      <c r="AH50" s="1167"/>
      <c r="AI50" s="1167"/>
      <c r="AJ50" s="1167"/>
      <c r="AK50" s="1167"/>
      <c r="AL50" s="1167"/>
      <c r="AM50" s="661"/>
      <c r="AN50" s="458"/>
      <c r="AO50" s="458"/>
      <c r="AP50" s="458"/>
      <c r="AQ50" s="458"/>
      <c r="AR50" s="458"/>
      <c r="AS50" s="458"/>
      <c r="AT50" s="458"/>
      <c r="AU50" s="458"/>
      <c r="AV50" s="458"/>
      <c r="AW50" s="458"/>
    </row>
    <row r="51" spans="3:49" ht="20" customHeight="1">
      <c r="C51" s="660"/>
      <c r="E51" s="1170"/>
      <c r="F51" s="1170"/>
      <c r="G51" s="1170"/>
      <c r="H51" s="1170"/>
      <c r="I51" s="1170"/>
      <c r="J51" s="1170"/>
      <c r="K51" s="1170"/>
      <c r="L51" s="1170"/>
      <c r="M51" s="1170"/>
      <c r="N51" s="1170"/>
      <c r="O51" s="1170"/>
      <c r="Q51" s="661"/>
      <c r="T51" s="660"/>
      <c r="Z51" s="705"/>
      <c r="AA51" s="458"/>
      <c r="AB51" s="1167"/>
      <c r="AC51" s="1167"/>
      <c r="AD51" s="1167"/>
      <c r="AE51" s="1167"/>
      <c r="AF51" s="1167"/>
      <c r="AG51" s="1167"/>
      <c r="AH51" s="1167"/>
      <c r="AI51" s="1167"/>
      <c r="AJ51" s="1167"/>
      <c r="AK51" s="1167"/>
      <c r="AL51" s="1167"/>
      <c r="AM51" s="661"/>
      <c r="AN51" s="458"/>
      <c r="AO51" s="458"/>
      <c r="AP51" s="458"/>
      <c r="AQ51" s="458"/>
      <c r="AR51" s="458"/>
      <c r="AS51" s="458"/>
      <c r="AT51" s="458"/>
      <c r="AU51" s="458"/>
      <c r="AV51" s="458"/>
      <c r="AW51" s="458"/>
    </row>
    <row r="52" spans="3:49" ht="6" customHeight="1">
      <c r="C52" s="660"/>
      <c r="E52" s="1170"/>
      <c r="F52" s="1170"/>
      <c r="G52" s="1170"/>
      <c r="H52" s="1170"/>
      <c r="I52" s="1170"/>
      <c r="J52" s="1170"/>
      <c r="K52" s="1170"/>
      <c r="L52" s="1170"/>
      <c r="M52" s="1170"/>
      <c r="N52" s="1170"/>
      <c r="O52" s="1170"/>
      <c r="Q52" s="661"/>
      <c r="T52" s="660"/>
      <c r="U52" s="139"/>
      <c r="V52" s="139"/>
      <c r="W52" s="714"/>
      <c r="X52" s="714"/>
      <c r="Y52" s="714"/>
      <c r="Z52" s="139"/>
      <c r="AA52" s="139"/>
      <c r="AB52" s="139"/>
      <c r="AC52" s="139"/>
      <c r="AD52" s="139"/>
      <c r="AE52" s="139"/>
      <c r="AF52" s="139"/>
      <c r="AG52" s="139"/>
      <c r="AH52" s="139"/>
      <c r="AI52" s="139"/>
      <c r="AJ52" s="139"/>
      <c r="AK52" s="139"/>
      <c r="AL52" s="139"/>
      <c r="AM52" s="661"/>
      <c r="AN52" s="458"/>
      <c r="AO52" s="458"/>
      <c r="AP52" s="458"/>
      <c r="AQ52" s="458"/>
      <c r="AR52" s="458"/>
      <c r="AS52" s="458"/>
      <c r="AT52" s="458"/>
      <c r="AU52" s="458"/>
      <c r="AV52" s="458"/>
      <c r="AW52" s="458"/>
    </row>
    <row r="53" spans="3:49" ht="20" customHeight="1">
      <c r="C53" s="660"/>
      <c r="E53" s="1180" t="s">
        <v>2140</v>
      </c>
      <c r="F53" s="1180"/>
      <c r="G53" s="1180"/>
      <c r="H53" s="1180"/>
      <c r="I53" s="1180"/>
      <c r="J53" s="1180"/>
      <c r="K53" s="1180"/>
      <c r="L53" s="1180"/>
      <c r="M53" s="1180"/>
      <c r="N53" s="1180"/>
      <c r="O53" s="1180"/>
      <c r="P53" s="1180"/>
      <c r="Q53" s="661"/>
      <c r="T53" s="660"/>
      <c r="U53" s="1168" t="s">
        <v>2094</v>
      </c>
      <c r="V53" s="1168"/>
      <c r="W53" s="1168"/>
      <c r="X53" s="1168"/>
      <c r="Y53" s="1168"/>
      <c r="Z53" s="1168"/>
      <c r="AA53" s="1168"/>
      <c r="AB53" s="1168"/>
      <c r="AC53" s="1168"/>
      <c r="AD53" s="1168"/>
      <c r="AE53" s="1168"/>
      <c r="AF53" s="1168"/>
      <c r="AG53" s="1168"/>
      <c r="AH53" s="1168"/>
      <c r="AI53" s="1168"/>
      <c r="AJ53" s="1168"/>
      <c r="AK53" s="1168"/>
      <c r="AL53" s="1168"/>
      <c r="AM53" s="661"/>
      <c r="AN53" s="458"/>
      <c r="AO53" s="458"/>
      <c r="AP53" s="458"/>
      <c r="AQ53" s="458"/>
      <c r="AR53" s="458"/>
      <c r="AS53" s="458"/>
      <c r="AT53" s="458"/>
      <c r="AU53" s="458"/>
      <c r="AV53" s="458"/>
      <c r="AW53" s="458"/>
    </row>
    <row r="54" spans="3:49" ht="6" customHeight="1">
      <c r="C54" s="660"/>
      <c r="E54" s="1180"/>
      <c r="F54" s="1180"/>
      <c r="G54" s="1180"/>
      <c r="H54" s="1180"/>
      <c r="I54" s="1180"/>
      <c r="J54" s="1180"/>
      <c r="K54" s="1180"/>
      <c r="L54" s="1180"/>
      <c r="M54" s="1180"/>
      <c r="N54" s="1180"/>
      <c r="O54" s="1180"/>
      <c r="P54" s="1180"/>
      <c r="Q54" s="661"/>
      <c r="T54" s="660"/>
      <c r="Z54" s="458"/>
      <c r="AA54" s="458"/>
      <c r="AB54" s="458"/>
      <c r="AC54" s="458"/>
      <c r="AD54" s="458"/>
      <c r="AE54" s="458"/>
      <c r="AF54" s="458"/>
      <c r="AG54" s="458"/>
      <c r="AH54" s="458"/>
      <c r="AI54" s="458"/>
      <c r="AJ54" s="458"/>
      <c r="AK54" s="458"/>
      <c r="AL54" s="458"/>
      <c r="AM54" s="661"/>
      <c r="AN54" s="458"/>
      <c r="AO54" s="458"/>
      <c r="AP54" s="458"/>
      <c r="AQ54" s="458"/>
      <c r="AR54" s="458"/>
      <c r="AS54" s="458"/>
      <c r="AT54" s="458"/>
      <c r="AU54" s="458"/>
      <c r="AV54" s="458"/>
      <c r="AW54" s="458"/>
    </row>
    <row r="55" spans="3:49" ht="20" customHeight="1">
      <c r="C55" s="660"/>
      <c r="E55" s="1180"/>
      <c r="F55" s="1180"/>
      <c r="G55" s="1180"/>
      <c r="H55" s="1180"/>
      <c r="I55" s="1180"/>
      <c r="J55" s="1180"/>
      <c r="K55" s="1180"/>
      <c r="L55" s="1180"/>
      <c r="M55" s="1180"/>
      <c r="N55" s="1180"/>
      <c r="O55" s="1180"/>
      <c r="P55" s="1180"/>
      <c r="Q55" s="661"/>
      <c r="T55" s="660"/>
      <c r="Z55" s="458"/>
      <c r="AA55" s="458"/>
      <c r="AB55" s="1167"/>
      <c r="AC55" s="1167"/>
      <c r="AD55" s="1167"/>
      <c r="AE55" s="1167"/>
      <c r="AF55" s="1167"/>
      <c r="AG55" s="1167"/>
      <c r="AH55" s="1167"/>
      <c r="AI55" s="1167"/>
      <c r="AJ55" s="1167"/>
      <c r="AK55" s="1167"/>
      <c r="AL55" s="1167"/>
      <c r="AM55" s="661"/>
      <c r="AN55" s="458"/>
      <c r="AO55" s="458"/>
      <c r="AP55" s="458"/>
      <c r="AQ55" s="458"/>
      <c r="AR55" s="458"/>
      <c r="AS55" s="458"/>
      <c r="AT55" s="458"/>
      <c r="AU55" s="458"/>
      <c r="AV55" s="458"/>
      <c r="AW55" s="458"/>
    </row>
    <row r="56" spans="3:49" ht="6" customHeight="1">
      <c r="C56" s="660"/>
      <c r="E56" s="1180"/>
      <c r="F56" s="1180"/>
      <c r="G56" s="1180"/>
      <c r="H56" s="1180"/>
      <c r="I56" s="1180"/>
      <c r="J56" s="1180"/>
      <c r="K56" s="1180"/>
      <c r="L56" s="1180"/>
      <c r="M56" s="1180"/>
      <c r="N56" s="1180"/>
      <c r="O56" s="1180"/>
      <c r="P56" s="1180"/>
      <c r="Q56" s="661"/>
      <c r="T56" s="660"/>
      <c r="Z56" s="458"/>
      <c r="AA56" s="458"/>
      <c r="AB56" s="1167"/>
      <c r="AC56" s="1167"/>
      <c r="AD56" s="1167"/>
      <c r="AE56" s="1167"/>
      <c r="AF56" s="1167"/>
      <c r="AG56" s="1167"/>
      <c r="AH56" s="1167"/>
      <c r="AI56" s="1167"/>
      <c r="AJ56" s="1167"/>
      <c r="AK56" s="1167"/>
      <c r="AL56" s="1167"/>
      <c r="AM56" s="661"/>
      <c r="AN56" s="458"/>
      <c r="AO56" s="458"/>
      <c r="AP56" s="458"/>
      <c r="AQ56" s="458"/>
      <c r="AR56" s="458"/>
      <c r="AS56" s="458"/>
      <c r="AT56" s="458"/>
      <c r="AU56" s="458"/>
      <c r="AV56" s="458"/>
      <c r="AW56" s="458"/>
    </row>
    <row r="57" spans="3:49" ht="20" customHeight="1">
      <c r="C57" s="660"/>
      <c r="E57" s="1180"/>
      <c r="F57" s="1180"/>
      <c r="G57" s="1180"/>
      <c r="H57" s="1180"/>
      <c r="I57" s="1180"/>
      <c r="J57" s="1180"/>
      <c r="K57" s="1180"/>
      <c r="L57" s="1180"/>
      <c r="M57" s="1180"/>
      <c r="N57" s="1180"/>
      <c r="O57" s="1180"/>
      <c r="P57" s="1180"/>
      <c r="Q57" s="661"/>
      <c r="T57" s="660"/>
      <c r="W57" s="707" t="str">
        <f>BASE!GQ70</f>
        <v>Sitio</v>
      </c>
      <c r="X57" s="713">
        <f>BASE!GT70</f>
        <v>0</v>
      </c>
      <c r="Y57" s="707" t="s">
        <v>1450</v>
      </c>
      <c r="Z57" s="458"/>
      <c r="AA57" s="458"/>
      <c r="AB57" s="1167"/>
      <c r="AC57" s="1167"/>
      <c r="AD57" s="1167"/>
      <c r="AE57" s="1167"/>
      <c r="AF57" s="1167"/>
      <c r="AG57" s="1167"/>
      <c r="AH57" s="1167"/>
      <c r="AI57" s="1167"/>
      <c r="AJ57" s="1167"/>
      <c r="AK57" s="1167"/>
      <c r="AL57" s="1167"/>
      <c r="AM57" s="661"/>
      <c r="AN57" s="458"/>
      <c r="AO57" s="458"/>
      <c r="AP57" s="458"/>
      <c r="AQ57" s="458"/>
      <c r="AR57" s="458"/>
      <c r="AS57" s="458"/>
      <c r="AT57" s="458"/>
      <c r="AU57" s="458"/>
      <c r="AV57" s="458"/>
      <c r="AW57" s="458"/>
    </row>
    <row r="58" spans="3:49" ht="6" customHeight="1">
      <c r="C58" s="660"/>
      <c r="E58" s="1180"/>
      <c r="F58" s="1180"/>
      <c r="G58" s="1180"/>
      <c r="H58" s="1180"/>
      <c r="I58" s="1180"/>
      <c r="J58" s="1180"/>
      <c r="K58" s="1180"/>
      <c r="L58" s="1180"/>
      <c r="M58" s="1180"/>
      <c r="N58" s="1180"/>
      <c r="O58" s="1180"/>
      <c r="P58" s="1180"/>
      <c r="Q58" s="661"/>
      <c r="T58" s="660"/>
      <c r="W58" s="707"/>
      <c r="X58" s="707"/>
      <c r="Y58" s="707"/>
      <c r="Z58" s="458"/>
      <c r="AA58" s="458"/>
      <c r="AB58" s="1167"/>
      <c r="AC58" s="1167"/>
      <c r="AD58" s="1167"/>
      <c r="AE58" s="1167"/>
      <c r="AF58" s="1167"/>
      <c r="AG58" s="1167"/>
      <c r="AH58" s="1167"/>
      <c r="AI58" s="1167"/>
      <c r="AJ58" s="1167"/>
      <c r="AK58" s="1167"/>
      <c r="AL58" s="1167"/>
      <c r="AM58" s="661"/>
      <c r="AN58" s="458"/>
      <c r="AO58" s="458"/>
      <c r="AP58" s="458"/>
      <c r="AQ58" s="458"/>
      <c r="AR58" s="458"/>
      <c r="AS58" s="458"/>
      <c r="AT58" s="458"/>
      <c r="AU58" s="458"/>
      <c r="AV58" s="458"/>
      <c r="AW58" s="458"/>
    </row>
    <row r="59" spans="3:49" ht="20" customHeight="1">
      <c r="C59" s="660"/>
      <c r="E59" s="1180"/>
      <c r="F59" s="1180"/>
      <c r="G59" s="1180"/>
      <c r="H59" s="1180"/>
      <c r="I59" s="1180"/>
      <c r="J59" s="1180"/>
      <c r="K59" s="1180"/>
      <c r="L59" s="1180"/>
      <c r="M59" s="1180"/>
      <c r="N59" s="1180"/>
      <c r="O59" s="1180"/>
      <c r="P59" s="1180"/>
      <c r="Q59" s="661"/>
      <c r="T59" s="660"/>
      <c r="W59" s="707" t="str">
        <f>BASE!GQ71</f>
        <v>Energia</v>
      </c>
      <c r="X59" s="713">
        <f>BASE!GT71</f>
        <v>0</v>
      </c>
      <c r="Y59" s="707" t="s">
        <v>1450</v>
      </c>
      <c r="Z59" s="458"/>
      <c r="AA59" s="458"/>
      <c r="AB59" s="1167"/>
      <c r="AC59" s="1167"/>
      <c r="AD59" s="1167"/>
      <c r="AE59" s="1167"/>
      <c r="AF59" s="1167"/>
      <c r="AG59" s="1167"/>
      <c r="AH59" s="1167"/>
      <c r="AI59" s="1167"/>
      <c r="AJ59" s="1167"/>
      <c r="AK59" s="1167"/>
      <c r="AL59" s="1167"/>
      <c r="AM59" s="661"/>
      <c r="AN59" s="458"/>
      <c r="AO59" s="458"/>
      <c r="AP59" s="458"/>
      <c r="AQ59" s="458"/>
      <c r="AR59" s="458"/>
      <c r="AS59" s="458"/>
      <c r="AT59" s="458"/>
      <c r="AU59" s="458"/>
      <c r="AV59" s="458"/>
      <c r="AW59" s="458"/>
    </row>
    <row r="60" spans="3:49" ht="6" customHeight="1">
      <c r="C60" s="660"/>
      <c r="E60" s="1180"/>
      <c r="F60" s="1180"/>
      <c r="G60" s="1180"/>
      <c r="H60" s="1180"/>
      <c r="I60" s="1180"/>
      <c r="J60" s="1180"/>
      <c r="K60" s="1180"/>
      <c r="L60" s="1180"/>
      <c r="M60" s="1180"/>
      <c r="N60" s="1180"/>
      <c r="O60" s="1180"/>
      <c r="P60" s="1180"/>
      <c r="Q60" s="661"/>
      <c r="T60" s="660"/>
      <c r="W60" s="707"/>
      <c r="X60" s="713"/>
      <c r="Y60" s="707"/>
      <c r="Z60" s="458"/>
      <c r="AA60" s="458"/>
      <c r="AB60" s="1167"/>
      <c r="AC60" s="1167"/>
      <c r="AD60" s="1167"/>
      <c r="AE60" s="1167"/>
      <c r="AF60" s="1167"/>
      <c r="AG60" s="1167"/>
      <c r="AH60" s="1167"/>
      <c r="AI60" s="1167"/>
      <c r="AJ60" s="1167"/>
      <c r="AK60" s="1167"/>
      <c r="AL60" s="1167"/>
      <c r="AM60" s="661"/>
      <c r="AN60" s="458"/>
      <c r="AO60" s="458"/>
      <c r="AP60" s="458"/>
      <c r="AQ60" s="458"/>
      <c r="AR60" s="458"/>
      <c r="AS60" s="458"/>
      <c r="AT60" s="458"/>
      <c r="AU60" s="458"/>
      <c r="AV60" s="458"/>
      <c r="AW60" s="458"/>
    </row>
    <row r="61" spans="3:49" ht="20" customHeight="1">
      <c r="C61" s="660"/>
      <c r="E61" s="1180"/>
      <c r="F61" s="1180"/>
      <c r="G61" s="1180"/>
      <c r="H61" s="1180"/>
      <c r="I61" s="1180"/>
      <c r="J61" s="1180"/>
      <c r="K61" s="1180"/>
      <c r="L61" s="1180"/>
      <c r="M61" s="1180"/>
      <c r="N61" s="1180"/>
      <c r="O61" s="1180"/>
      <c r="P61" s="1180"/>
      <c r="Q61" s="661"/>
      <c r="T61" s="660"/>
      <c r="W61" s="707" t="str">
        <f>BASE!GQ72</f>
        <v>Gas</v>
      </c>
      <c r="X61" s="713">
        <f>BASE!GT72</f>
        <v>0</v>
      </c>
      <c r="Y61" s="707" t="s">
        <v>1450</v>
      </c>
      <c r="Z61" s="458"/>
      <c r="AA61" s="458"/>
      <c r="AB61" s="1167"/>
      <c r="AC61" s="1167"/>
      <c r="AD61" s="1167"/>
      <c r="AE61" s="1167"/>
      <c r="AF61" s="1167"/>
      <c r="AG61" s="1167"/>
      <c r="AH61" s="1167"/>
      <c r="AI61" s="1167"/>
      <c r="AJ61" s="1167"/>
      <c r="AK61" s="1167"/>
      <c r="AL61" s="1167"/>
      <c r="AM61" s="661"/>
      <c r="AN61" s="458"/>
      <c r="AO61" s="458"/>
      <c r="AP61" s="458"/>
      <c r="AQ61" s="458"/>
      <c r="AR61" s="458"/>
      <c r="AS61" s="458"/>
      <c r="AT61" s="458"/>
      <c r="AU61" s="458"/>
      <c r="AV61" s="458"/>
      <c r="AW61" s="458"/>
    </row>
    <row r="62" spans="3:49" ht="6" customHeight="1">
      <c r="C62" s="660"/>
      <c r="E62" s="1180"/>
      <c r="F62" s="1180"/>
      <c r="G62" s="1180"/>
      <c r="H62" s="1180"/>
      <c r="I62" s="1180"/>
      <c r="J62" s="1180"/>
      <c r="K62" s="1180"/>
      <c r="L62" s="1180"/>
      <c r="M62" s="1180"/>
      <c r="N62" s="1180"/>
      <c r="O62" s="1180"/>
      <c r="P62" s="1180"/>
      <c r="Q62" s="661"/>
      <c r="T62" s="660"/>
      <c r="W62" s="707"/>
      <c r="X62" s="713"/>
      <c r="Y62" s="707"/>
      <c r="Z62" s="458"/>
      <c r="AA62" s="458"/>
      <c r="AB62" s="1167"/>
      <c r="AC62" s="1167"/>
      <c r="AD62" s="1167"/>
      <c r="AE62" s="1167"/>
      <c r="AF62" s="1167"/>
      <c r="AG62" s="1167"/>
      <c r="AH62" s="1167"/>
      <c r="AI62" s="1167"/>
      <c r="AJ62" s="1167"/>
      <c r="AK62" s="1167"/>
      <c r="AL62" s="1167"/>
      <c r="AM62" s="661"/>
      <c r="AN62" s="458"/>
      <c r="AO62" s="458"/>
      <c r="AP62" s="458"/>
      <c r="AQ62" s="458"/>
      <c r="AR62" s="458"/>
      <c r="AS62" s="458"/>
      <c r="AT62" s="458"/>
      <c r="AU62" s="458"/>
      <c r="AV62" s="458"/>
      <c r="AW62" s="458"/>
    </row>
    <row r="63" spans="3:49" ht="20" customHeight="1">
      <c r="C63" s="660"/>
      <c r="E63" s="1180"/>
      <c r="F63" s="1180"/>
      <c r="G63" s="1180"/>
      <c r="H63" s="1180"/>
      <c r="I63" s="1180"/>
      <c r="J63" s="1180"/>
      <c r="K63" s="1180"/>
      <c r="L63" s="1180"/>
      <c r="M63" s="1180"/>
      <c r="N63" s="1180"/>
      <c r="O63" s="1180"/>
      <c r="P63" s="1180"/>
      <c r="Q63" s="661"/>
      <c r="T63" s="660"/>
      <c r="Z63" s="458"/>
      <c r="AA63" s="458"/>
      <c r="AB63" s="1167"/>
      <c r="AC63" s="1167"/>
      <c r="AD63" s="1167"/>
      <c r="AE63" s="1167"/>
      <c r="AF63" s="1167"/>
      <c r="AG63" s="1167"/>
      <c r="AH63" s="1167"/>
      <c r="AI63" s="1167"/>
      <c r="AJ63" s="1167"/>
      <c r="AK63" s="1167"/>
      <c r="AL63" s="1167"/>
      <c r="AM63" s="661"/>
      <c r="AN63" s="458"/>
      <c r="AO63" s="458"/>
      <c r="AP63" s="458"/>
      <c r="AQ63" s="458"/>
      <c r="AR63" s="458"/>
      <c r="AS63" s="458"/>
      <c r="AT63" s="458"/>
      <c r="AU63" s="458"/>
      <c r="AV63" s="458"/>
      <c r="AW63" s="458"/>
    </row>
    <row r="64" spans="3:49" ht="6" customHeight="1">
      <c r="C64" s="660"/>
      <c r="E64" s="1180"/>
      <c r="F64" s="1180"/>
      <c r="G64" s="1180"/>
      <c r="H64" s="1180"/>
      <c r="I64" s="1180"/>
      <c r="J64" s="1180"/>
      <c r="K64" s="1180"/>
      <c r="L64" s="1180"/>
      <c r="M64" s="1180"/>
      <c r="N64" s="1180"/>
      <c r="O64" s="1180"/>
      <c r="P64" s="1180"/>
      <c r="Q64" s="661"/>
      <c r="T64" s="660"/>
      <c r="Z64" s="458"/>
      <c r="AA64" s="458"/>
      <c r="AB64" s="1167"/>
      <c r="AC64" s="1167"/>
      <c r="AD64" s="1167"/>
      <c r="AE64" s="1167"/>
      <c r="AF64" s="1167"/>
      <c r="AG64" s="1167"/>
      <c r="AH64" s="1167"/>
      <c r="AI64" s="1167"/>
      <c r="AJ64" s="1167"/>
      <c r="AK64" s="1167"/>
      <c r="AL64" s="1167"/>
      <c r="AM64" s="661"/>
      <c r="AN64" s="458"/>
      <c r="AO64" s="458"/>
      <c r="AP64" s="458"/>
      <c r="AQ64" s="458"/>
      <c r="AR64" s="458"/>
      <c r="AS64" s="458"/>
      <c r="AT64" s="458"/>
      <c r="AU64" s="458"/>
      <c r="AV64" s="458"/>
      <c r="AW64" s="458"/>
    </row>
    <row r="65" spans="2:61" ht="20" customHeight="1">
      <c r="C65" s="660"/>
      <c r="E65" s="1180"/>
      <c r="F65" s="1180"/>
      <c r="G65" s="1180"/>
      <c r="H65" s="1180"/>
      <c r="I65" s="1180"/>
      <c r="J65" s="1180"/>
      <c r="K65" s="1180"/>
      <c r="L65" s="1180"/>
      <c r="M65" s="1180"/>
      <c r="N65" s="1180"/>
      <c r="O65" s="1180"/>
      <c r="P65" s="1180"/>
      <c r="Q65" s="661"/>
      <c r="T65" s="660"/>
      <c r="Z65" s="458"/>
      <c r="AA65" s="458"/>
      <c r="AB65" s="1167"/>
      <c r="AC65" s="1167"/>
      <c r="AD65" s="1167"/>
      <c r="AE65" s="1167"/>
      <c r="AF65" s="1167"/>
      <c r="AG65" s="1167"/>
      <c r="AH65" s="1167"/>
      <c r="AI65" s="1167"/>
      <c r="AJ65" s="1167"/>
      <c r="AK65" s="1167"/>
      <c r="AL65" s="1167"/>
      <c r="AM65" s="661"/>
      <c r="AN65" s="458"/>
      <c r="AO65" s="458"/>
      <c r="AP65" s="458"/>
      <c r="AQ65" s="458"/>
      <c r="AR65" s="458"/>
      <c r="AS65" s="458"/>
      <c r="AT65" s="458"/>
      <c r="AU65" s="458"/>
      <c r="AV65" s="458"/>
      <c r="AW65" s="458"/>
    </row>
    <row r="66" spans="2:61" s="688" customFormat="1" ht="6" customHeight="1">
      <c r="B66" s="458"/>
      <c r="C66" s="660"/>
      <c r="D66" s="458"/>
      <c r="E66" s="1180"/>
      <c r="F66" s="1180"/>
      <c r="G66" s="1180"/>
      <c r="H66" s="1180"/>
      <c r="I66" s="1180"/>
      <c r="J66" s="1180"/>
      <c r="K66" s="1180"/>
      <c r="L66" s="1180"/>
      <c r="M66" s="1180"/>
      <c r="N66" s="1180"/>
      <c r="O66" s="1180"/>
      <c r="P66" s="1180"/>
      <c r="Q66" s="661"/>
      <c r="R66" s="458"/>
      <c r="S66" s="458"/>
      <c r="T66" s="660"/>
      <c r="U66" s="458"/>
      <c r="V66" s="458"/>
      <c r="W66" s="706"/>
      <c r="X66" s="706"/>
      <c r="Y66" s="706"/>
      <c r="Z66" s="458"/>
      <c r="AA66" s="458"/>
      <c r="AB66" s="1167"/>
      <c r="AC66" s="1167"/>
      <c r="AD66" s="1167"/>
      <c r="AE66" s="1167"/>
      <c r="AF66" s="1167"/>
      <c r="AG66" s="1167"/>
      <c r="AH66" s="1167"/>
      <c r="AI66" s="1167"/>
      <c r="AJ66" s="1167"/>
      <c r="AK66" s="1167"/>
      <c r="AL66" s="1167"/>
      <c r="AM66" s="661"/>
      <c r="AN66" s="458"/>
      <c r="AO66" s="458"/>
      <c r="AP66" s="458"/>
      <c r="AQ66" s="458"/>
      <c r="AR66" s="458"/>
      <c r="AS66" s="458"/>
      <c r="AT66" s="458"/>
      <c r="AU66" s="458"/>
      <c r="AV66" s="458"/>
      <c r="AW66" s="458"/>
      <c r="AX66" s="671"/>
      <c r="AY66" s="671"/>
      <c r="AZ66" s="671"/>
      <c r="BA66" s="671"/>
      <c r="BB66" s="671"/>
      <c r="BC66" s="671"/>
      <c r="BD66" s="671"/>
      <c r="BE66" s="671"/>
      <c r="BF66" s="671"/>
      <c r="BG66" s="671"/>
      <c r="BH66" s="671"/>
      <c r="BI66" s="671"/>
    </row>
    <row r="67" spans="2:61" s="688" customFormat="1" ht="20" customHeight="1">
      <c r="B67" s="458"/>
      <c r="C67" s="660"/>
      <c r="D67" s="458"/>
      <c r="E67" s="1180"/>
      <c r="F67" s="1180"/>
      <c r="G67" s="1180"/>
      <c r="H67" s="1180"/>
      <c r="I67" s="1180"/>
      <c r="J67" s="1180"/>
      <c r="K67" s="1180"/>
      <c r="L67" s="1180"/>
      <c r="M67" s="1180"/>
      <c r="N67" s="1180"/>
      <c r="O67" s="1180"/>
      <c r="P67" s="1180"/>
      <c r="Q67" s="661"/>
      <c r="R67" s="458"/>
      <c r="S67" s="458"/>
      <c r="T67" s="660"/>
      <c r="U67" s="458"/>
      <c r="V67" s="458"/>
      <c r="W67" s="706"/>
      <c r="X67" s="706"/>
      <c r="Y67" s="706"/>
      <c r="Z67" s="458"/>
      <c r="AA67" s="458"/>
      <c r="AB67" s="1167"/>
      <c r="AC67" s="1167"/>
      <c r="AD67" s="1167"/>
      <c r="AE67" s="1167"/>
      <c r="AF67" s="1167"/>
      <c r="AG67" s="1167"/>
      <c r="AH67" s="1167"/>
      <c r="AI67" s="1167"/>
      <c r="AJ67" s="1167"/>
      <c r="AK67" s="1167"/>
      <c r="AL67" s="1167"/>
      <c r="AM67" s="661"/>
      <c r="AN67" s="458"/>
      <c r="AO67" s="458"/>
      <c r="AP67" s="458"/>
      <c r="AQ67" s="458"/>
      <c r="AR67" s="458"/>
      <c r="AS67" s="458"/>
      <c r="AT67" s="458"/>
      <c r="AU67" s="458"/>
      <c r="AV67" s="458"/>
      <c r="AW67" s="458"/>
      <c r="AX67" s="671"/>
      <c r="AY67" s="671"/>
      <c r="AZ67" s="671"/>
      <c r="BA67" s="671"/>
      <c r="BB67" s="671"/>
      <c r="BC67" s="671"/>
      <c r="BD67" s="671"/>
      <c r="BE67" s="671"/>
      <c r="BF67" s="671"/>
      <c r="BG67" s="671"/>
      <c r="BH67" s="671"/>
      <c r="BI67" s="671"/>
    </row>
    <row r="68" spans="2:61" s="688" customFormat="1" ht="6" customHeight="1">
      <c r="B68" s="458"/>
      <c r="C68" s="660"/>
      <c r="D68" s="458"/>
      <c r="E68" s="1180"/>
      <c r="F68" s="1180"/>
      <c r="G68" s="1180"/>
      <c r="H68" s="1180"/>
      <c r="I68" s="1180"/>
      <c r="J68" s="1180"/>
      <c r="K68" s="1180"/>
      <c r="L68" s="1180"/>
      <c r="M68" s="1180"/>
      <c r="N68" s="1180"/>
      <c r="O68" s="1180"/>
      <c r="P68" s="1180"/>
      <c r="Q68" s="661"/>
      <c r="R68" s="458"/>
      <c r="S68" s="458"/>
      <c r="T68" s="660"/>
      <c r="W68" s="715"/>
      <c r="X68" s="715"/>
      <c r="Y68" s="715"/>
      <c r="AM68" s="661"/>
      <c r="AN68" s="458"/>
      <c r="AO68" s="458"/>
      <c r="AP68" s="458"/>
      <c r="AQ68" s="458"/>
      <c r="AR68" s="458"/>
      <c r="AS68" s="458"/>
      <c r="AT68" s="458"/>
      <c r="AU68" s="458"/>
      <c r="AV68" s="458"/>
      <c r="AW68" s="458"/>
      <c r="AX68" s="671"/>
      <c r="AY68" s="671"/>
      <c r="AZ68" s="671"/>
      <c r="BA68" s="671"/>
      <c r="BB68" s="671"/>
      <c r="BC68" s="671"/>
      <c r="BD68" s="671"/>
      <c r="BE68" s="671"/>
      <c r="BF68" s="671"/>
      <c r="BG68" s="671"/>
      <c r="BH68" s="671"/>
      <c r="BI68" s="671"/>
    </row>
    <row r="69" spans="2:61" s="688" customFormat="1" ht="20" customHeight="1">
      <c r="B69" s="458"/>
      <c r="C69" s="660"/>
      <c r="D69" s="458"/>
      <c r="E69" s="1180"/>
      <c r="F69" s="1180"/>
      <c r="G69" s="1180"/>
      <c r="H69" s="1180"/>
      <c r="I69" s="1180"/>
      <c r="J69" s="1180"/>
      <c r="K69" s="1180"/>
      <c r="L69" s="1180"/>
      <c r="M69" s="1180"/>
      <c r="N69" s="1180"/>
      <c r="O69" s="1180"/>
      <c r="P69" s="1180"/>
      <c r="Q69" s="661"/>
      <c r="R69" s="458"/>
      <c r="S69" s="458"/>
      <c r="T69" s="660"/>
      <c r="W69" s="715"/>
      <c r="X69" s="715"/>
      <c r="Y69" s="715"/>
      <c r="AM69" s="661"/>
      <c r="AN69" s="458"/>
      <c r="AO69" s="458"/>
      <c r="AP69" s="458"/>
      <c r="AQ69" s="458"/>
      <c r="AR69" s="458"/>
      <c r="AS69" s="458"/>
      <c r="AT69" s="458"/>
      <c r="AU69" s="458"/>
      <c r="AV69" s="458"/>
      <c r="AW69" s="458"/>
      <c r="AX69" s="671"/>
      <c r="AY69" s="671"/>
      <c r="AZ69" s="671"/>
      <c r="BA69" s="671"/>
      <c r="BB69" s="671"/>
      <c r="BC69" s="671"/>
      <c r="BD69" s="671"/>
      <c r="BE69" s="671"/>
      <c r="BF69" s="671"/>
      <c r="BG69" s="671"/>
      <c r="BH69" s="671"/>
      <c r="BI69" s="671"/>
    </row>
    <row r="70" spans="2:61" s="688" customFormat="1" ht="20" customHeight="1">
      <c r="B70" s="458"/>
      <c r="C70" s="660"/>
      <c r="D70" s="458"/>
      <c r="E70" s="1180"/>
      <c r="F70" s="1180"/>
      <c r="G70" s="1180"/>
      <c r="H70" s="1180"/>
      <c r="I70" s="1180"/>
      <c r="J70" s="1180"/>
      <c r="K70" s="1180"/>
      <c r="L70" s="1180"/>
      <c r="M70" s="1180"/>
      <c r="N70" s="1180"/>
      <c r="O70" s="1180"/>
      <c r="P70" s="1180"/>
      <c r="Q70" s="661"/>
      <c r="R70" s="458"/>
      <c r="S70" s="458"/>
      <c r="T70" s="660"/>
      <c r="W70" s="715"/>
      <c r="X70" s="715"/>
      <c r="Y70" s="715"/>
      <c r="AM70" s="661"/>
      <c r="AN70" s="458"/>
      <c r="AO70" s="458"/>
      <c r="AP70" s="458"/>
      <c r="AQ70" s="458"/>
      <c r="AR70" s="458"/>
      <c r="AS70" s="458"/>
      <c r="AT70" s="458"/>
      <c r="AU70" s="458"/>
      <c r="AV70" s="458"/>
      <c r="AW70" s="458"/>
      <c r="AX70" s="671"/>
      <c r="AY70" s="671"/>
      <c r="AZ70" s="671"/>
      <c r="BA70" s="671"/>
      <c r="BB70" s="671"/>
      <c r="BC70" s="671"/>
      <c r="BD70" s="671"/>
      <c r="BE70" s="671"/>
      <c r="BF70" s="671"/>
      <c r="BG70" s="671"/>
      <c r="BH70" s="671"/>
      <c r="BI70" s="671"/>
    </row>
    <row r="71" spans="2:61" s="688" customFormat="1" ht="6" customHeight="1">
      <c r="B71" s="458"/>
      <c r="C71" s="660"/>
      <c r="D71" s="458"/>
      <c r="E71" s="1180"/>
      <c r="F71" s="1180"/>
      <c r="G71" s="1180"/>
      <c r="H71" s="1180"/>
      <c r="I71" s="1180"/>
      <c r="J71" s="1180"/>
      <c r="K71" s="1180"/>
      <c r="L71" s="1180"/>
      <c r="M71" s="1180"/>
      <c r="N71" s="1180"/>
      <c r="O71" s="1180"/>
      <c r="P71" s="1180"/>
      <c r="Q71" s="661"/>
      <c r="R71" s="458"/>
      <c r="S71" s="458"/>
      <c r="T71" s="660"/>
      <c r="W71" s="715"/>
      <c r="X71" s="715"/>
      <c r="Y71" s="715"/>
      <c r="AM71" s="661"/>
      <c r="AN71" s="458"/>
      <c r="AO71" s="458"/>
      <c r="AP71" s="458"/>
      <c r="AQ71" s="458"/>
      <c r="AR71" s="458"/>
      <c r="AS71" s="458"/>
      <c r="AT71" s="458"/>
      <c r="AU71" s="458"/>
      <c r="AV71" s="458"/>
      <c r="AW71" s="458"/>
      <c r="AX71" s="671"/>
      <c r="AY71" s="671"/>
      <c r="AZ71" s="671"/>
      <c r="BA71" s="671"/>
      <c r="BB71" s="671"/>
      <c r="BC71" s="671"/>
      <c r="BD71" s="671"/>
      <c r="BE71" s="671"/>
      <c r="BF71" s="671"/>
      <c r="BG71" s="671"/>
      <c r="BH71" s="671"/>
      <c r="BI71" s="671"/>
    </row>
    <row r="72" spans="2:61" s="688" customFormat="1" ht="20" customHeight="1">
      <c r="B72" s="458"/>
      <c r="C72" s="660"/>
      <c r="D72" s="458"/>
      <c r="E72" s="1180"/>
      <c r="F72" s="1180"/>
      <c r="G72" s="1180"/>
      <c r="H72" s="1180"/>
      <c r="I72" s="1180"/>
      <c r="J72" s="1180"/>
      <c r="K72" s="1180"/>
      <c r="L72" s="1180"/>
      <c r="M72" s="1180"/>
      <c r="N72" s="1180"/>
      <c r="O72" s="1180"/>
      <c r="P72" s="1180"/>
      <c r="Q72" s="661"/>
      <c r="R72" s="458"/>
      <c r="S72" s="458"/>
      <c r="T72" s="660"/>
      <c r="U72" s="1169"/>
      <c r="V72" s="1169"/>
      <c r="W72" s="1169"/>
      <c r="X72" s="1169"/>
      <c r="Y72" s="1169"/>
      <c r="Z72" s="1169"/>
      <c r="AA72" s="1169"/>
      <c r="AB72" s="1169"/>
      <c r="AC72" s="1169"/>
      <c r="AD72" s="1169"/>
      <c r="AE72" s="1169"/>
      <c r="AF72" s="1169"/>
      <c r="AG72" s="1169"/>
      <c r="AH72" s="1169"/>
      <c r="AI72" s="1169"/>
      <c r="AJ72" s="1169"/>
      <c r="AK72" s="1169"/>
      <c r="AL72" s="1169"/>
      <c r="AM72" s="661"/>
      <c r="AN72" s="458"/>
      <c r="AO72" s="458"/>
      <c r="AP72" s="458"/>
      <c r="AQ72" s="458"/>
      <c r="AR72" s="458"/>
      <c r="AS72" s="458"/>
      <c r="AT72" s="458"/>
      <c r="AU72" s="458"/>
      <c r="AV72" s="458"/>
      <c r="AW72" s="458"/>
      <c r="AX72" s="671"/>
      <c r="AY72" s="671"/>
      <c r="AZ72" s="671"/>
      <c r="BA72" s="671"/>
      <c r="BB72" s="671"/>
      <c r="BC72" s="671"/>
      <c r="BD72" s="671"/>
      <c r="BE72" s="671"/>
      <c r="BF72" s="671"/>
      <c r="BG72" s="671"/>
      <c r="BH72" s="671"/>
      <c r="BI72" s="671"/>
    </row>
    <row r="73" spans="2:61" s="688" customFormat="1" ht="6" customHeight="1">
      <c r="B73" s="458"/>
      <c r="C73" s="660"/>
      <c r="D73" s="458"/>
      <c r="E73" s="1181" t="s">
        <v>2146</v>
      </c>
      <c r="F73" s="1181"/>
      <c r="G73" s="1181"/>
      <c r="H73" s="1181"/>
      <c r="I73" s="706"/>
      <c r="J73" s="1172" t="s">
        <v>2041</v>
      </c>
      <c r="K73" s="1172"/>
      <c r="L73" s="1172"/>
      <c r="M73" s="1172"/>
      <c r="N73" s="1172"/>
      <c r="O73" s="1172" t="s">
        <v>2042</v>
      </c>
      <c r="P73" s="458"/>
      <c r="Q73" s="661"/>
      <c r="R73" s="458"/>
      <c r="S73" s="458"/>
      <c r="T73" s="660"/>
      <c r="W73" s="715"/>
      <c r="X73" s="715"/>
      <c r="Y73" s="715"/>
      <c r="AM73" s="661"/>
      <c r="AN73" s="458"/>
      <c r="AO73" s="458"/>
      <c r="AP73" s="458"/>
      <c r="AQ73" s="458"/>
      <c r="AR73" s="458"/>
      <c r="AS73" s="458"/>
      <c r="AT73" s="458"/>
      <c r="AU73" s="458"/>
      <c r="AV73" s="458"/>
      <c r="AW73" s="458"/>
      <c r="AX73" s="671"/>
      <c r="AY73" s="671"/>
      <c r="AZ73" s="671"/>
      <c r="BA73" s="671"/>
      <c r="BB73" s="671"/>
      <c r="BC73" s="671"/>
      <c r="BD73" s="671"/>
      <c r="BE73" s="671"/>
      <c r="BF73" s="671"/>
      <c r="BG73" s="671"/>
      <c r="BH73" s="671"/>
      <c r="BI73" s="671"/>
    </row>
    <row r="74" spans="2:61" s="688" customFormat="1" ht="20" customHeight="1">
      <c r="B74" s="458"/>
      <c r="C74" s="660"/>
      <c r="D74" s="458"/>
      <c r="E74" s="1181"/>
      <c r="F74" s="1181"/>
      <c r="G74" s="1181"/>
      <c r="H74" s="1181"/>
      <c r="I74" s="706"/>
      <c r="J74" s="1172"/>
      <c r="K74" s="1172"/>
      <c r="L74" s="1172"/>
      <c r="M74" s="1172"/>
      <c r="N74" s="1172"/>
      <c r="O74" s="1172"/>
      <c r="P74" s="458"/>
      <c r="Q74" s="661"/>
      <c r="R74" s="458"/>
      <c r="S74" s="458"/>
      <c r="T74" s="660"/>
      <c r="U74" s="1178" t="s">
        <v>2131</v>
      </c>
      <c r="V74" s="1178"/>
      <c r="W74" s="1178"/>
      <c r="X74" s="1178"/>
      <c r="Y74" s="1178"/>
      <c r="Z74" s="1178"/>
      <c r="AA74" s="684"/>
      <c r="AB74" s="1178" t="s">
        <v>2132</v>
      </c>
      <c r="AC74" s="1178"/>
      <c r="AD74" s="1178"/>
      <c r="AE74" s="1178"/>
      <c r="AF74" s="1178"/>
      <c r="AG74" s="684"/>
      <c r="AH74" s="1178" t="s">
        <v>2133</v>
      </c>
      <c r="AI74" s="1178"/>
      <c r="AJ74" s="1178"/>
      <c r="AK74" s="1178"/>
      <c r="AL74" s="1178"/>
      <c r="AM74" s="661"/>
      <c r="AN74" s="458"/>
      <c r="AO74" s="458"/>
      <c r="AP74" s="458"/>
      <c r="AQ74" s="458"/>
      <c r="AR74" s="458"/>
      <c r="AS74" s="458"/>
      <c r="AT74" s="458"/>
      <c r="AU74" s="458"/>
      <c r="AV74" s="458"/>
      <c r="AW74" s="458"/>
      <c r="AX74" s="671"/>
      <c r="AY74" s="671"/>
      <c r="AZ74" s="671"/>
      <c r="BA74" s="671"/>
      <c r="BB74" s="671"/>
      <c r="BC74" s="671"/>
      <c r="BD74" s="671"/>
      <c r="BE74" s="671"/>
      <c r="BF74" s="671"/>
      <c r="BG74" s="671"/>
      <c r="BH74" s="671"/>
      <c r="BI74" s="671"/>
    </row>
    <row r="75" spans="2:61" s="688" customFormat="1" ht="6" customHeight="1">
      <c r="B75" s="458"/>
      <c r="C75" s="660"/>
      <c r="D75" s="458"/>
      <c r="E75" s="706"/>
      <c r="F75" s="706"/>
      <c r="G75" s="706"/>
      <c r="H75" s="706"/>
      <c r="I75" s="706"/>
      <c r="J75" s="706"/>
      <c r="K75" s="706"/>
      <c r="L75" s="706"/>
      <c r="M75" s="706"/>
      <c r="N75" s="706"/>
      <c r="O75" s="706"/>
      <c r="P75" s="458"/>
      <c r="Q75" s="661"/>
      <c r="R75" s="458"/>
      <c r="S75" s="458"/>
      <c r="T75" s="660"/>
      <c r="W75" s="715"/>
      <c r="X75" s="715"/>
      <c r="Y75" s="715"/>
      <c r="AM75" s="661"/>
      <c r="AN75" s="458"/>
      <c r="AO75" s="458"/>
      <c r="AP75" s="458"/>
      <c r="AQ75" s="458"/>
      <c r="AR75" s="458"/>
      <c r="AS75" s="458"/>
      <c r="AT75" s="458"/>
      <c r="AU75" s="458"/>
      <c r="AV75" s="458"/>
      <c r="AW75" s="458"/>
      <c r="AX75" s="671"/>
      <c r="AY75" s="671"/>
      <c r="AZ75" s="671"/>
      <c r="BA75" s="671"/>
      <c r="BB75" s="671"/>
      <c r="BC75" s="671"/>
      <c r="BD75" s="671"/>
      <c r="BE75" s="671"/>
      <c r="BF75" s="671"/>
      <c r="BG75" s="671"/>
      <c r="BH75" s="671"/>
      <c r="BI75" s="671"/>
    </row>
    <row r="76" spans="2:61" s="688" customFormat="1" ht="6" customHeight="1">
      <c r="B76" s="458"/>
      <c r="C76" s="660"/>
      <c r="D76" s="458"/>
      <c r="E76" s="706"/>
      <c r="F76" s="706"/>
      <c r="G76" s="706"/>
      <c r="H76" s="706"/>
      <c r="I76" s="706"/>
      <c r="J76" s="706"/>
      <c r="K76" s="706"/>
      <c r="L76" s="706"/>
      <c r="M76" s="706"/>
      <c r="N76" s="706"/>
      <c r="O76" s="706"/>
      <c r="P76" s="458"/>
      <c r="Q76" s="661"/>
      <c r="R76" s="458"/>
      <c r="S76" s="458"/>
      <c r="T76" s="660"/>
      <c r="W76" s="715"/>
      <c r="X76" s="715"/>
      <c r="Y76" s="715"/>
      <c r="AM76" s="661"/>
      <c r="AN76" s="458"/>
      <c r="AO76" s="458"/>
      <c r="AP76" s="458"/>
      <c r="AQ76" s="458"/>
      <c r="AR76" s="458"/>
      <c r="AS76" s="458"/>
      <c r="AT76" s="458"/>
      <c r="AU76" s="458"/>
      <c r="AV76" s="458"/>
      <c r="AW76" s="458"/>
      <c r="AX76" s="671"/>
      <c r="AY76" s="671"/>
      <c r="AZ76" s="671"/>
      <c r="BA76" s="671"/>
      <c r="BB76" s="671"/>
      <c r="BC76" s="671"/>
      <c r="BD76" s="671"/>
      <c r="BE76" s="671"/>
      <c r="BF76" s="671"/>
      <c r="BG76" s="671"/>
      <c r="BH76" s="671"/>
      <c r="BI76" s="671"/>
    </row>
    <row r="77" spans="2:61" s="688" customFormat="1" ht="25" customHeight="1">
      <c r="B77" s="458"/>
      <c r="C77" s="660"/>
      <c r="D77" s="1169" t="s">
        <v>2128</v>
      </c>
      <c r="E77" s="1169"/>
      <c r="F77" s="1169"/>
      <c r="G77" s="1169"/>
      <c r="H77" s="1169"/>
      <c r="I77" s="1169"/>
      <c r="J77" s="1169"/>
      <c r="K77" s="1169"/>
      <c r="L77" s="1169"/>
      <c r="M77" s="1169"/>
      <c r="N77" s="1169"/>
      <c r="O77" s="1169"/>
      <c r="P77" s="1169"/>
      <c r="Q77" s="661"/>
      <c r="R77" s="458"/>
      <c r="S77" s="458"/>
      <c r="T77" s="660"/>
      <c r="W77" s="707" t="s">
        <v>2096</v>
      </c>
      <c r="X77" s="713">
        <f>I10</f>
        <v>0</v>
      </c>
      <c r="Y77" s="707" t="str">
        <f>J10</f>
        <v>kWh/Año</v>
      </c>
      <c r="AC77" s="707" t="s">
        <v>675</v>
      </c>
      <c r="AD77" s="713">
        <f>IF(BASE!GP6=0,0,((I10-DATOS!G69)*DATOS!G70)+DATOS!G68)</f>
        <v>0</v>
      </c>
      <c r="AE77" s="707" t="s">
        <v>756</v>
      </c>
      <c r="AF77" s="715"/>
      <c r="AG77" s="715"/>
      <c r="AH77" s="715"/>
      <c r="AI77" s="707" t="s">
        <v>650</v>
      </c>
      <c r="AJ77" s="713">
        <f>ENERGÍA!AV149</f>
        <v>0</v>
      </c>
      <c r="AK77" s="707" t="s">
        <v>755</v>
      </c>
      <c r="AM77" s="661"/>
      <c r="AN77" s="458"/>
      <c r="AO77" s="458"/>
      <c r="AP77" s="458"/>
      <c r="AQ77" s="458"/>
      <c r="AR77" s="458"/>
      <c r="AS77" s="458"/>
      <c r="AT77" s="458"/>
      <c r="AU77" s="458"/>
      <c r="AV77" s="458"/>
      <c r="AW77" s="458"/>
      <c r="AX77" s="671"/>
      <c r="AY77" s="671"/>
      <c r="AZ77" s="671"/>
      <c r="BA77" s="671"/>
      <c r="BB77" s="671"/>
      <c r="BC77" s="671"/>
      <c r="BD77" s="671"/>
      <c r="BE77" s="671"/>
      <c r="BF77" s="671"/>
      <c r="BG77" s="671"/>
      <c r="BH77" s="671"/>
      <c r="BI77" s="671"/>
    </row>
    <row r="78" spans="2:61" s="688" customFormat="1" ht="6" customHeight="1">
      <c r="B78" s="458"/>
      <c r="C78" s="660"/>
      <c r="D78" s="458"/>
      <c r="E78" s="706"/>
      <c r="F78" s="706"/>
      <c r="G78" s="706"/>
      <c r="H78" s="706"/>
      <c r="I78" s="706"/>
      <c r="J78" s="706"/>
      <c r="K78" s="706"/>
      <c r="L78" s="706"/>
      <c r="M78" s="706"/>
      <c r="N78" s="706"/>
      <c r="O78" s="706"/>
      <c r="P78" s="458"/>
      <c r="Q78" s="661"/>
      <c r="R78" s="458"/>
      <c r="S78" s="458"/>
      <c r="T78" s="660"/>
      <c r="W78" s="707"/>
      <c r="X78" s="707"/>
      <c r="Y78" s="707"/>
      <c r="AC78" s="707"/>
      <c r="AD78" s="707"/>
      <c r="AE78" s="707"/>
      <c r="AF78" s="715"/>
      <c r="AG78" s="715"/>
      <c r="AH78" s="715"/>
      <c r="AI78" s="707"/>
      <c r="AJ78" s="707"/>
      <c r="AK78" s="707"/>
      <c r="AM78" s="661"/>
      <c r="AN78" s="458"/>
      <c r="AO78" s="458"/>
      <c r="AP78" s="458"/>
      <c r="AQ78" s="458"/>
      <c r="AR78" s="458"/>
      <c r="AS78" s="458"/>
      <c r="AT78" s="458"/>
      <c r="AU78" s="458"/>
      <c r="AV78" s="458"/>
      <c r="AW78" s="458"/>
      <c r="AX78" s="671"/>
      <c r="AY78" s="671"/>
      <c r="AZ78" s="671"/>
      <c r="BA78" s="671"/>
      <c r="BB78" s="671"/>
      <c r="BC78" s="671"/>
      <c r="BD78" s="671"/>
      <c r="BE78" s="671"/>
      <c r="BF78" s="671"/>
      <c r="BG78" s="671"/>
      <c r="BH78" s="671"/>
      <c r="BI78" s="671"/>
    </row>
    <row r="79" spans="2:61" s="688" customFormat="1" ht="20" customHeight="1">
      <c r="B79" s="458"/>
      <c r="C79" s="660"/>
      <c r="D79" s="458"/>
      <c r="E79" s="697" t="str">
        <f>ENERGÍA!B9</f>
        <v>Lineamiento 1: Reflectividad en el Techo</v>
      </c>
      <c r="F79" s="697"/>
      <c r="G79" s="697"/>
      <c r="H79" s="697"/>
      <c r="I79" s="698" t="e">
        <f>ENERGÍA!N9</f>
        <v>#N/A</v>
      </c>
      <c r="K79" s="697" t="str">
        <f>ENERGÍA!B16</f>
        <v>Lineamiento 7: Tipo de Ventilación</v>
      </c>
      <c r="L79" s="699"/>
      <c r="M79" s="699"/>
      <c r="N79" s="699"/>
      <c r="O79" s="698" t="e">
        <f>ENERGÍA!N16</f>
        <v>#N/A</v>
      </c>
      <c r="P79" s="458"/>
      <c r="Q79" s="661"/>
      <c r="R79" s="458"/>
      <c r="S79" s="458"/>
      <c r="T79" s="660"/>
      <c r="W79" s="707" t="s">
        <v>1560</v>
      </c>
      <c r="X79" s="713">
        <f>I12</f>
        <v>0</v>
      </c>
      <c r="Y79" s="707" t="str">
        <f>J12</f>
        <v>m3/Año</v>
      </c>
      <c r="AC79" s="707" t="s">
        <v>1560</v>
      </c>
      <c r="AD79" s="713">
        <f>IF(BASE!GQ6=0,0,(BASE!GO48*DATOS!G75)+(DATOS!G74))</f>
        <v>0</v>
      </c>
      <c r="AE79" s="707" t="s">
        <v>756</v>
      </c>
      <c r="AF79" s="715"/>
      <c r="AG79" s="715"/>
      <c r="AH79" s="715"/>
      <c r="AI79" s="707" t="s">
        <v>2095</v>
      </c>
      <c r="AJ79" s="713">
        <f>ENERGÍA!AV151</f>
        <v>0</v>
      </c>
      <c r="AK79" s="707" t="s">
        <v>755</v>
      </c>
      <c r="AM79" s="661"/>
      <c r="AN79" s="458"/>
      <c r="AO79" s="458"/>
      <c r="AP79" s="458"/>
      <c r="AQ79" s="458"/>
      <c r="AR79" s="458"/>
      <c r="AS79" s="458"/>
      <c r="AT79" s="458"/>
      <c r="AU79" s="458"/>
      <c r="AV79" s="458"/>
      <c r="AW79" s="458"/>
      <c r="AX79" s="671"/>
      <c r="AY79" s="671"/>
      <c r="AZ79" s="671"/>
      <c r="BA79" s="671"/>
      <c r="BB79" s="671"/>
      <c r="BC79" s="671"/>
      <c r="BD79" s="671"/>
      <c r="BE79" s="671"/>
      <c r="BF79" s="671"/>
      <c r="BG79" s="671"/>
      <c r="BH79" s="671"/>
      <c r="BI79" s="671"/>
    </row>
    <row r="80" spans="2:61" s="688" customFormat="1" ht="6" customHeight="1">
      <c r="B80" s="458"/>
      <c r="C80" s="660"/>
      <c r="D80" s="458"/>
      <c r="E80" s="697"/>
      <c r="F80" s="697"/>
      <c r="G80" s="697"/>
      <c r="H80" s="697"/>
      <c r="I80" s="698"/>
      <c r="K80" s="697"/>
      <c r="L80" s="699"/>
      <c r="M80" s="699"/>
      <c r="N80" s="699"/>
      <c r="O80" s="698"/>
      <c r="P80" s="458"/>
      <c r="Q80" s="661"/>
      <c r="R80" s="458"/>
      <c r="S80" s="458"/>
      <c r="T80" s="660"/>
      <c r="W80" s="707"/>
      <c r="X80" s="713"/>
      <c r="Y80" s="707"/>
      <c r="AC80" s="707"/>
      <c r="AD80" s="713"/>
      <c r="AE80" s="707"/>
      <c r="AF80" s="715"/>
      <c r="AG80" s="715"/>
      <c r="AH80" s="715"/>
      <c r="AI80" s="715"/>
      <c r="AJ80" s="715"/>
      <c r="AK80" s="715"/>
      <c r="AM80" s="661"/>
      <c r="AN80" s="458"/>
      <c r="AO80" s="458"/>
      <c r="AP80" s="458"/>
      <c r="AQ80" s="458"/>
      <c r="AR80" s="458"/>
      <c r="AS80" s="458"/>
      <c r="AT80" s="458"/>
      <c r="AU80" s="458"/>
      <c r="AV80" s="458"/>
      <c r="AW80" s="458"/>
      <c r="AX80" s="671"/>
      <c r="AY80" s="671"/>
      <c r="AZ80" s="671"/>
      <c r="BA80" s="671"/>
      <c r="BB80" s="671"/>
      <c r="BC80" s="671"/>
      <c r="BD80" s="671"/>
      <c r="BE80" s="671"/>
      <c r="BF80" s="671"/>
      <c r="BG80" s="671"/>
      <c r="BH80" s="671"/>
      <c r="BI80" s="671"/>
    </row>
    <row r="81" spans="2:61" s="688" customFormat="1" ht="20" customHeight="1">
      <c r="B81" s="458"/>
      <c r="C81" s="660"/>
      <c r="D81" s="458"/>
      <c r="E81" s="697" t="str">
        <f>ENERGÍA!B10</f>
        <v>Lineamiento 2: Reflectividad en las Paredes Ext.</v>
      </c>
      <c r="F81" s="697"/>
      <c r="G81" s="697"/>
      <c r="H81" s="697"/>
      <c r="I81" s="698" t="e">
        <f>ENERGÍA!N10</f>
        <v>#N/A</v>
      </c>
      <c r="K81" s="697" t="str">
        <f>ENERGÍA!B18</f>
        <v>Lineamiento 8: Protección Solar</v>
      </c>
      <c r="L81" s="699"/>
      <c r="M81" s="699"/>
      <c r="N81" s="699"/>
      <c r="O81" s="698" t="e">
        <f>ENERGÍA!N18</f>
        <v>#N/A</v>
      </c>
      <c r="P81" s="458"/>
      <c r="Q81" s="661"/>
      <c r="R81" s="458"/>
      <c r="S81" s="458"/>
      <c r="T81" s="660"/>
      <c r="W81" s="707" t="s">
        <v>624</v>
      </c>
      <c r="X81" s="713">
        <f>I14</f>
        <v>0</v>
      </c>
      <c r="Y81" s="707" t="str">
        <f>J14</f>
        <v>kgCO2/Año</v>
      </c>
      <c r="AC81" s="707" t="s">
        <v>624</v>
      </c>
      <c r="AD81" s="713">
        <f>IF(BASE!GR6=0,0,IF(DATOS!G79="Si",DATOS!G81+(I12*DATOS!G82),DATOS!G84))</f>
        <v>0</v>
      </c>
      <c r="AE81" s="707" t="s">
        <v>756</v>
      </c>
      <c r="AF81" s="715"/>
      <c r="AG81" s="715"/>
      <c r="AH81" s="715"/>
      <c r="AI81" s="715"/>
      <c r="AJ81" s="715"/>
      <c r="AK81" s="715"/>
      <c r="AM81" s="661"/>
      <c r="AN81" s="458"/>
      <c r="AO81" s="458"/>
      <c r="AP81" s="458"/>
      <c r="AQ81" s="458"/>
      <c r="AR81" s="458"/>
      <c r="AS81" s="458"/>
      <c r="AT81" s="458"/>
      <c r="AU81" s="458"/>
      <c r="AV81" s="458"/>
      <c r="AW81" s="458"/>
      <c r="AX81" s="671"/>
      <c r="AY81" s="671"/>
      <c r="AZ81" s="671"/>
      <c r="BA81" s="671"/>
      <c r="BB81" s="671"/>
      <c r="BC81" s="671"/>
      <c r="BD81" s="671"/>
      <c r="BE81" s="671"/>
      <c r="BF81" s="671"/>
      <c r="BG81" s="671"/>
      <c r="BH81" s="671"/>
      <c r="BI81" s="671"/>
    </row>
    <row r="82" spans="2:61" s="688" customFormat="1" ht="6" customHeight="1">
      <c r="B82" s="458"/>
      <c r="C82" s="660"/>
      <c r="D82" s="458"/>
      <c r="E82" s="697"/>
      <c r="F82" s="697"/>
      <c r="G82" s="697"/>
      <c r="H82" s="697"/>
      <c r="I82" s="698"/>
      <c r="K82" s="697"/>
      <c r="L82" s="699"/>
      <c r="M82" s="699"/>
      <c r="N82" s="699"/>
      <c r="O82" s="698"/>
      <c r="P82" s="458"/>
      <c r="Q82" s="661"/>
      <c r="R82" s="458"/>
      <c r="S82" s="458"/>
      <c r="T82" s="660"/>
      <c r="W82" s="715"/>
      <c r="X82" s="715"/>
      <c r="Y82" s="715"/>
      <c r="AC82" s="715"/>
      <c r="AD82" s="715"/>
      <c r="AE82" s="715"/>
      <c r="AF82" s="715"/>
      <c r="AG82" s="715"/>
      <c r="AH82" s="715"/>
      <c r="AI82" s="715"/>
      <c r="AJ82" s="715"/>
      <c r="AK82" s="715"/>
      <c r="AM82" s="661"/>
      <c r="AN82" s="458"/>
      <c r="AO82" s="458"/>
      <c r="AP82" s="458"/>
      <c r="AQ82" s="458"/>
      <c r="AR82" s="458"/>
      <c r="AS82" s="458"/>
      <c r="AT82" s="458"/>
      <c r="AU82" s="458"/>
      <c r="AV82" s="458"/>
      <c r="AW82" s="458"/>
      <c r="AX82" s="671"/>
      <c r="AY82" s="671"/>
      <c r="AZ82" s="671"/>
      <c r="BA82" s="671"/>
      <c r="BB82" s="671"/>
      <c r="BC82" s="671"/>
      <c r="BD82" s="671"/>
      <c r="BE82" s="671"/>
      <c r="BF82" s="671"/>
      <c r="BG82" s="671"/>
      <c r="BH82" s="671"/>
      <c r="BI82" s="671"/>
    </row>
    <row r="83" spans="2:61" s="688" customFormat="1" ht="20" customHeight="1">
      <c r="B83" s="458"/>
      <c r="C83" s="660"/>
      <c r="D83" s="458"/>
      <c r="E83" s="697" t="str">
        <f>ENERGÍA!B11</f>
        <v>Lineamiento 3: Relación Ventana-Pared</v>
      </c>
      <c r="F83" s="697"/>
      <c r="G83" s="697"/>
      <c r="H83" s="697"/>
      <c r="I83" s="698" t="e">
        <f>ENERGÍA!N11</f>
        <v>#N/A</v>
      </c>
      <c r="K83" s="697" t="str">
        <f>ENERGÍA!B21</f>
        <v>Lineamiento 9: Agrupamiento Volumétrico</v>
      </c>
      <c r="L83" s="699"/>
      <c r="M83" s="699"/>
      <c r="N83" s="699"/>
      <c r="O83" s="698" t="e">
        <f>ENERGÍA!N21</f>
        <v>#N/A</v>
      </c>
      <c r="P83" s="458"/>
      <c r="Q83" s="661"/>
      <c r="R83" s="458"/>
      <c r="S83" s="458"/>
      <c r="T83" s="660"/>
      <c r="V83" s="695"/>
      <c r="W83" s="716"/>
      <c r="X83" s="716"/>
      <c r="Y83" s="716"/>
      <c r="Z83" s="695"/>
      <c r="AA83" s="695"/>
      <c r="AB83" s="695"/>
      <c r="AC83" s="695"/>
      <c r="AD83" s="695"/>
      <c r="AE83" s="695"/>
      <c r="AF83" s="695"/>
      <c r="AG83" s="695"/>
      <c r="AH83" s="695"/>
      <c r="AI83" s="695"/>
      <c r="AJ83" s="695"/>
      <c r="AK83" s="695"/>
      <c r="AL83" s="695"/>
      <c r="AM83" s="661"/>
      <c r="AN83" s="458"/>
      <c r="AO83" s="458"/>
      <c r="AP83" s="458"/>
      <c r="AQ83" s="458"/>
      <c r="AR83" s="458"/>
      <c r="AS83" s="458"/>
      <c r="AT83" s="458"/>
      <c r="AU83" s="458"/>
      <c r="AV83" s="458"/>
      <c r="AW83" s="458"/>
      <c r="AX83" s="671"/>
      <c r="AY83" s="671"/>
      <c r="AZ83" s="671"/>
      <c r="BA83" s="671"/>
      <c r="BB83" s="671"/>
      <c r="BC83" s="671"/>
      <c r="BD83" s="671"/>
      <c r="BE83" s="671"/>
      <c r="BF83" s="671"/>
      <c r="BG83" s="671"/>
      <c r="BH83" s="671"/>
      <c r="BI83" s="671"/>
    </row>
    <row r="84" spans="2:61" s="688" customFormat="1" ht="6" customHeight="1">
      <c r="B84" s="458"/>
      <c r="C84" s="660"/>
      <c r="D84" s="458"/>
      <c r="E84" s="697"/>
      <c r="F84" s="697"/>
      <c r="G84" s="697"/>
      <c r="H84" s="697"/>
      <c r="I84" s="698"/>
      <c r="K84" s="697"/>
      <c r="L84" s="699"/>
      <c r="M84" s="699"/>
      <c r="N84" s="699"/>
      <c r="O84" s="698"/>
      <c r="P84" s="458"/>
      <c r="Q84" s="661"/>
      <c r="R84" s="458"/>
      <c r="S84" s="458"/>
      <c r="T84" s="660"/>
      <c r="W84" s="715"/>
      <c r="X84" s="715"/>
      <c r="Y84" s="715"/>
      <c r="AM84" s="661"/>
      <c r="AN84" s="458"/>
      <c r="AO84" s="458"/>
      <c r="AP84" s="458"/>
      <c r="AQ84" s="458"/>
      <c r="AR84" s="458"/>
      <c r="AS84" s="458"/>
      <c r="AT84" s="458"/>
      <c r="AU84" s="458"/>
      <c r="AV84" s="458"/>
      <c r="AW84" s="458"/>
      <c r="AX84" s="671"/>
      <c r="AY84" s="671"/>
      <c r="AZ84" s="671"/>
      <c r="BA84" s="671"/>
      <c r="BB84" s="671"/>
      <c r="BC84" s="671"/>
      <c r="BD84" s="671"/>
      <c r="BE84" s="671"/>
      <c r="BF84" s="671"/>
      <c r="BG84" s="671"/>
      <c r="BH84" s="671"/>
      <c r="BI84" s="671"/>
    </row>
    <row r="85" spans="2:61" s="688" customFormat="1" ht="20" customHeight="1">
      <c r="B85" s="458"/>
      <c r="C85" s="660"/>
      <c r="D85" s="458"/>
      <c r="E85" s="697" t="str">
        <f>ENERGÍA!B12</f>
        <v>Lineamiento 4: Tipo de Aberturas</v>
      </c>
      <c r="F85" s="697"/>
      <c r="G85" s="697"/>
      <c r="H85" s="697"/>
      <c r="I85" s="698" t="e">
        <f>ENERGÍA!N12</f>
        <v>#N/A</v>
      </c>
      <c r="K85" s="697" t="str">
        <f>ENERGÍA!B26</f>
        <v>Lineamiento 10: Espacios Bioclimáticos</v>
      </c>
      <c r="L85" s="699"/>
      <c r="M85" s="699"/>
      <c r="N85" s="699"/>
      <c r="O85" s="698" t="e">
        <f>ENERGÍA!N26</f>
        <v>#N/A</v>
      </c>
      <c r="P85" s="458"/>
      <c r="Q85" s="661"/>
      <c r="R85" s="458"/>
      <c r="S85" s="458"/>
      <c r="T85" s="660"/>
      <c r="V85" s="1179" t="s">
        <v>2135</v>
      </c>
      <c r="W85" s="1179"/>
      <c r="X85" s="1179"/>
      <c r="Y85" s="1179"/>
      <c r="Z85" s="1179"/>
      <c r="AA85" s="1179"/>
      <c r="AB85" s="1179"/>
      <c r="AC85" s="1179"/>
      <c r="AD85" s="1179"/>
      <c r="AE85" s="1179"/>
      <c r="AF85" s="1179"/>
      <c r="AG85" s="1179"/>
      <c r="AH85" s="1179"/>
      <c r="AI85" s="1179"/>
      <c r="AJ85" s="1179"/>
      <c r="AK85" s="1179"/>
      <c r="AL85" s="1179"/>
      <c r="AM85" s="661"/>
      <c r="AN85" s="458"/>
      <c r="AO85" s="458"/>
      <c r="AP85" s="458"/>
      <c r="AQ85" s="458"/>
      <c r="AR85" s="458"/>
      <c r="AS85" s="458"/>
      <c r="AT85" s="458"/>
      <c r="AU85" s="458"/>
      <c r="AV85" s="458"/>
      <c r="AW85" s="458"/>
      <c r="AX85" s="671"/>
      <c r="AY85" s="671"/>
      <c r="AZ85" s="671"/>
      <c r="BA85" s="671"/>
      <c r="BB85" s="671"/>
      <c r="BC85" s="671"/>
      <c r="BD85" s="671"/>
      <c r="BE85" s="671"/>
      <c r="BF85" s="671"/>
      <c r="BG85" s="671"/>
      <c r="BH85" s="671"/>
      <c r="BI85" s="671"/>
    </row>
    <row r="86" spans="2:61" s="688" customFormat="1" ht="6" customHeight="1">
      <c r="B86" s="458"/>
      <c r="C86" s="660"/>
      <c r="D86" s="458"/>
      <c r="E86" s="697"/>
      <c r="F86" s="697"/>
      <c r="G86" s="697"/>
      <c r="H86" s="697"/>
      <c r="I86" s="698"/>
      <c r="K86" s="697"/>
      <c r="L86" s="699"/>
      <c r="M86" s="699"/>
      <c r="N86" s="699"/>
      <c r="O86" s="698"/>
      <c r="P86" s="458"/>
      <c r="Q86" s="661"/>
      <c r="R86" s="458"/>
      <c r="S86" s="458"/>
      <c r="T86" s="660"/>
      <c r="V86" s="725"/>
      <c r="W86" s="726"/>
      <c r="X86" s="726"/>
      <c r="Y86" s="726"/>
      <c r="Z86" s="725"/>
      <c r="AA86" s="725"/>
      <c r="AB86" s="725"/>
      <c r="AC86" s="725"/>
      <c r="AD86" s="725"/>
      <c r="AE86" s="725"/>
      <c r="AF86" s="725"/>
      <c r="AG86" s="725"/>
      <c r="AH86" s="725"/>
      <c r="AI86" s="725"/>
      <c r="AJ86" s="725"/>
      <c r="AK86" s="725"/>
      <c r="AL86" s="725"/>
      <c r="AM86" s="661"/>
      <c r="AN86" s="458"/>
      <c r="AO86" s="458"/>
      <c r="AP86" s="458"/>
      <c r="AQ86" s="458"/>
      <c r="AR86" s="458"/>
      <c r="AS86" s="458"/>
      <c r="AT86" s="458"/>
      <c r="AU86" s="458"/>
      <c r="AV86" s="458"/>
      <c r="AW86" s="458"/>
      <c r="AX86" s="671"/>
      <c r="AY86" s="671"/>
      <c r="AZ86" s="671"/>
      <c r="BA86" s="671"/>
      <c r="BB86" s="671"/>
      <c r="BC86" s="671"/>
      <c r="BD86" s="671"/>
      <c r="BE86" s="671"/>
      <c r="BF86" s="671"/>
      <c r="BG86" s="671"/>
      <c r="BH86" s="671"/>
      <c r="BI86" s="671"/>
    </row>
    <row r="87" spans="2:61" s="688" customFormat="1" ht="20" customHeight="1">
      <c r="B87" s="458"/>
      <c r="C87" s="660"/>
      <c r="D87" s="458"/>
      <c r="E87" s="697" t="str">
        <f>ENERGÍA!B13</f>
        <v>Lineamiento 5: Tipo de Aberturas (Nivel Mejorado)</v>
      </c>
      <c r="F87" s="697"/>
      <c r="G87" s="697"/>
      <c r="H87" s="697"/>
      <c r="I87" s="698" t="e">
        <f>ENERGÍA!N13</f>
        <v>#N/A</v>
      </c>
      <c r="K87" s="697" t="str">
        <f>ENERGÍA!B29</f>
        <v>Lineamiento 11: Paisajismo</v>
      </c>
      <c r="L87" s="699"/>
      <c r="M87" s="699"/>
      <c r="N87" s="699"/>
      <c r="O87" s="698" t="e">
        <f>ENERGÍA!N29</f>
        <v>#N/A</v>
      </c>
      <c r="P87" s="458"/>
      <c r="Q87" s="661"/>
      <c r="R87" s="458"/>
      <c r="S87" s="458"/>
      <c r="T87" s="660"/>
      <c r="V87" s="1179" t="s">
        <v>2136</v>
      </c>
      <c r="W87" s="1179"/>
      <c r="X87" s="1179"/>
      <c r="Y87" s="1179"/>
      <c r="Z87" s="1179"/>
      <c r="AA87" s="1179"/>
      <c r="AB87" s="1179"/>
      <c r="AC87" s="1179"/>
      <c r="AD87" s="1179"/>
      <c r="AE87" s="1179"/>
      <c r="AF87" s="1179"/>
      <c r="AG87" s="1179"/>
      <c r="AH87" s="1179"/>
      <c r="AI87" s="1179"/>
      <c r="AJ87" s="1179"/>
      <c r="AK87" s="1179"/>
      <c r="AL87" s="1179"/>
      <c r="AM87" s="661"/>
      <c r="AN87" s="458"/>
      <c r="AO87" s="458"/>
      <c r="AP87" s="458"/>
      <c r="AQ87" s="458"/>
      <c r="AR87" s="458"/>
      <c r="AS87" s="458"/>
      <c r="AT87" s="458"/>
      <c r="AU87" s="458"/>
      <c r="AV87" s="458"/>
      <c r="AW87" s="458"/>
      <c r="AX87" s="671"/>
      <c r="AY87" s="671"/>
      <c r="AZ87" s="671"/>
      <c r="BA87" s="671"/>
      <c r="BB87" s="671"/>
      <c r="BC87" s="671"/>
      <c r="BD87" s="671"/>
      <c r="BE87" s="671"/>
      <c r="BF87" s="671"/>
      <c r="BG87" s="671"/>
      <c r="BH87" s="671"/>
      <c r="BI87" s="671"/>
    </row>
    <row r="88" spans="2:61" s="688" customFormat="1" ht="6" customHeight="1">
      <c r="B88" s="458"/>
      <c r="C88" s="660"/>
      <c r="D88" s="458"/>
      <c r="E88" s="697"/>
      <c r="F88" s="697"/>
      <c r="G88" s="697"/>
      <c r="H88" s="697"/>
      <c r="I88" s="698"/>
      <c r="K88" s="697"/>
      <c r="L88" s="699"/>
      <c r="M88" s="699"/>
      <c r="N88" s="699"/>
      <c r="O88" s="698"/>
      <c r="P88" s="458"/>
      <c r="Q88" s="661"/>
      <c r="R88" s="458"/>
      <c r="S88" s="458"/>
      <c r="T88" s="660"/>
      <c r="V88" s="725"/>
      <c r="W88" s="726"/>
      <c r="X88" s="726"/>
      <c r="Y88" s="726"/>
      <c r="Z88" s="725"/>
      <c r="AA88" s="725"/>
      <c r="AB88" s="725"/>
      <c r="AC88" s="725"/>
      <c r="AD88" s="725"/>
      <c r="AE88" s="725"/>
      <c r="AF88" s="725"/>
      <c r="AG88" s="725"/>
      <c r="AH88" s="725"/>
      <c r="AI88" s="725"/>
      <c r="AJ88" s="725"/>
      <c r="AK88" s="725"/>
      <c r="AL88" s="725"/>
      <c r="AM88" s="661"/>
      <c r="AN88" s="458"/>
      <c r="AO88" s="458"/>
      <c r="AP88" s="458"/>
      <c r="AQ88" s="458"/>
      <c r="AR88" s="458"/>
      <c r="AS88" s="458"/>
      <c r="AT88" s="458"/>
      <c r="AU88" s="458"/>
      <c r="AV88" s="458"/>
      <c r="AW88" s="458"/>
      <c r="AX88" s="671"/>
      <c r="AY88" s="671"/>
      <c r="AZ88" s="671"/>
      <c r="BA88" s="671"/>
      <c r="BB88" s="671"/>
      <c r="BC88" s="671"/>
      <c r="BD88" s="671"/>
      <c r="BE88" s="671"/>
      <c r="BF88" s="671"/>
      <c r="BG88" s="671"/>
      <c r="BH88" s="671"/>
      <c r="BI88" s="671"/>
    </row>
    <row r="89" spans="2:61" s="688" customFormat="1" ht="20" customHeight="1">
      <c r="B89" s="458"/>
      <c r="C89" s="660"/>
      <c r="D89" s="458"/>
      <c r="E89" s="697" t="str">
        <f>ENERGÍA!B14</f>
        <v>Lineamiento 6: Ventilación Natural</v>
      </c>
      <c r="F89" s="697"/>
      <c r="G89" s="697"/>
      <c r="H89" s="697"/>
      <c r="I89" s="698" t="e">
        <f>ENERGÍA!N14</f>
        <v>#N/A</v>
      </c>
      <c r="K89" s="697" t="str">
        <f>ENERGÍA!B31</f>
        <v>Lineamiento 12: Inercia Térmica</v>
      </c>
      <c r="L89" s="699"/>
      <c r="M89" s="699"/>
      <c r="N89" s="699"/>
      <c r="O89" s="698" t="e">
        <f>ENERGÍA!N31</f>
        <v>#N/A</v>
      </c>
      <c r="P89" s="458"/>
      <c r="Q89" s="661"/>
      <c r="R89" s="458"/>
      <c r="S89" s="458"/>
      <c r="T89" s="660"/>
      <c r="V89" s="1179" t="s">
        <v>2134</v>
      </c>
      <c r="W89" s="1179"/>
      <c r="X89" s="1179"/>
      <c r="Y89" s="1179"/>
      <c r="Z89" s="1179"/>
      <c r="AA89" s="1179"/>
      <c r="AB89" s="1179"/>
      <c r="AC89" s="1179"/>
      <c r="AD89" s="1179"/>
      <c r="AE89" s="1179"/>
      <c r="AF89" s="1179"/>
      <c r="AG89" s="1179"/>
      <c r="AH89" s="1179"/>
      <c r="AI89" s="1179"/>
      <c r="AJ89" s="1179"/>
      <c r="AK89" s="1179"/>
      <c r="AL89" s="1179"/>
      <c r="AM89" s="661"/>
      <c r="AN89" s="458"/>
      <c r="AO89" s="458"/>
      <c r="AP89" s="458"/>
      <c r="AQ89" s="458"/>
      <c r="AR89" s="458"/>
      <c r="AS89" s="458"/>
      <c r="AT89" s="458"/>
      <c r="AU89" s="458"/>
      <c r="AV89" s="458"/>
      <c r="AW89" s="458"/>
      <c r="AX89" s="671"/>
      <c r="AY89" s="671"/>
      <c r="AZ89" s="671"/>
      <c r="BA89" s="671"/>
      <c r="BB89" s="671"/>
      <c r="BC89" s="671"/>
      <c r="BD89" s="671"/>
      <c r="BE89" s="671"/>
      <c r="BF89" s="671"/>
      <c r="BG89" s="671"/>
      <c r="BH89" s="671"/>
      <c r="BI89" s="671"/>
    </row>
    <row r="90" spans="2:61" s="688" customFormat="1" ht="6" customHeight="1">
      <c r="B90" s="458"/>
      <c r="C90" s="660"/>
      <c r="D90" s="458"/>
      <c r="E90" s="706"/>
      <c r="F90" s="706"/>
      <c r="G90" s="706"/>
      <c r="H90" s="706"/>
      <c r="I90" s="705"/>
      <c r="J90" s="705"/>
      <c r="K90" s="706"/>
      <c r="L90" s="706"/>
      <c r="M90" s="706"/>
      <c r="N90" s="706"/>
      <c r="O90" s="706"/>
      <c r="P90" s="458"/>
      <c r="Q90" s="661"/>
      <c r="R90" s="458"/>
      <c r="S90" s="458"/>
      <c r="T90" s="660"/>
      <c r="W90" s="715"/>
      <c r="X90" s="715"/>
      <c r="Y90" s="715"/>
      <c r="AM90" s="661"/>
      <c r="AN90" s="458"/>
      <c r="AO90" s="458"/>
      <c r="AP90" s="458"/>
      <c r="AQ90" s="458"/>
      <c r="AR90" s="458"/>
      <c r="AS90" s="458"/>
      <c r="AT90" s="458"/>
      <c r="AU90" s="458"/>
      <c r="AV90" s="458"/>
      <c r="AW90" s="458"/>
      <c r="AX90" s="671"/>
      <c r="AY90" s="671"/>
      <c r="AZ90" s="671"/>
      <c r="BA90" s="671"/>
      <c r="BB90" s="671"/>
      <c r="BC90" s="671"/>
      <c r="BD90" s="671"/>
      <c r="BE90" s="671"/>
      <c r="BF90" s="671"/>
      <c r="BG90" s="671"/>
      <c r="BH90" s="671"/>
      <c r="BI90" s="671"/>
    </row>
    <row r="91" spans="2:61" s="688" customFormat="1" ht="6" customHeight="1">
      <c r="B91" s="458"/>
      <c r="C91" s="660"/>
      <c r="D91" s="458"/>
      <c r="E91" s="709"/>
      <c r="F91" s="709"/>
      <c r="G91" s="709"/>
      <c r="H91" s="709"/>
      <c r="I91" s="708"/>
      <c r="J91" s="708"/>
      <c r="K91" s="709"/>
      <c r="L91" s="709"/>
      <c r="M91" s="709"/>
      <c r="N91" s="709"/>
      <c r="O91" s="709"/>
      <c r="P91" s="458"/>
      <c r="Q91" s="661"/>
      <c r="R91" s="458"/>
      <c r="S91" s="458"/>
      <c r="T91" s="660"/>
      <c r="W91" s="715"/>
      <c r="X91" s="715"/>
      <c r="Y91" s="715"/>
      <c r="AM91" s="661"/>
      <c r="AN91" s="458"/>
      <c r="AO91" s="458"/>
      <c r="AP91" s="458"/>
      <c r="AQ91" s="458"/>
      <c r="AR91" s="458"/>
      <c r="AS91" s="458"/>
      <c r="AT91" s="458"/>
      <c r="AU91" s="458"/>
      <c r="AV91" s="458"/>
      <c r="AW91" s="458"/>
      <c r="AX91" s="671"/>
      <c r="AY91" s="671"/>
      <c r="AZ91" s="671"/>
      <c r="BA91" s="671"/>
      <c r="BB91" s="671"/>
      <c r="BC91" s="671"/>
      <c r="BD91" s="671"/>
      <c r="BE91" s="671"/>
      <c r="BF91" s="671"/>
      <c r="BG91" s="671"/>
      <c r="BH91" s="671"/>
      <c r="BI91" s="671"/>
    </row>
    <row r="92" spans="2:61" s="688" customFormat="1" ht="25" customHeight="1">
      <c r="B92" s="458"/>
      <c r="C92" s="660"/>
      <c r="D92" s="719"/>
      <c r="E92" s="1176" t="s">
        <v>2061</v>
      </c>
      <c r="F92" s="1176"/>
      <c r="G92" s="1176"/>
      <c r="H92" s="1176"/>
      <c r="I92" s="1176"/>
      <c r="J92" s="720"/>
      <c r="K92" s="719"/>
      <c r="L92" s="719"/>
      <c r="M92" s="719"/>
      <c r="N92" s="719"/>
      <c r="O92" s="1171">
        <v>1</v>
      </c>
      <c r="P92" s="719"/>
      <c r="Q92" s="661"/>
      <c r="R92" s="458"/>
      <c r="S92" s="458"/>
      <c r="T92" s="660"/>
      <c r="U92" s="720"/>
      <c r="V92" s="1177" t="s">
        <v>2061</v>
      </c>
      <c r="W92" s="1177"/>
      <c r="X92" s="1177"/>
      <c r="Y92" s="1177"/>
      <c r="Z92" s="1177"/>
      <c r="AA92" s="1177"/>
      <c r="AB92" s="1177"/>
      <c r="AC92" s="1177"/>
      <c r="AD92" s="720"/>
      <c r="AE92" s="720"/>
      <c r="AF92" s="720"/>
      <c r="AG92" s="720"/>
      <c r="AH92" s="720"/>
      <c r="AI92" s="720"/>
      <c r="AJ92" s="720"/>
      <c r="AK92" s="1171">
        <v>2</v>
      </c>
      <c r="AL92" s="721"/>
      <c r="AM92" s="661"/>
      <c r="AN92" s="458"/>
      <c r="AO92" s="458"/>
      <c r="AP92" s="458"/>
      <c r="AQ92" s="458"/>
      <c r="AR92" s="458"/>
      <c r="AS92" s="458"/>
      <c r="AT92" s="458"/>
      <c r="AU92" s="458"/>
      <c r="AV92" s="458"/>
      <c r="AW92" s="458"/>
      <c r="AX92" s="671"/>
      <c r="AY92" s="671"/>
      <c r="AZ92" s="671"/>
      <c r="BA92" s="671"/>
      <c r="BB92" s="671"/>
      <c r="BC92" s="671"/>
      <c r="BD92" s="671"/>
      <c r="BE92" s="671"/>
      <c r="BF92" s="671"/>
      <c r="BG92" s="671"/>
      <c r="BH92" s="671"/>
      <c r="BI92" s="671"/>
    </row>
    <row r="93" spans="2:61" s="688" customFormat="1" ht="25" customHeight="1">
      <c r="B93" s="458"/>
      <c r="C93" s="660"/>
      <c r="D93" s="719"/>
      <c r="E93" s="1176"/>
      <c r="F93" s="1176"/>
      <c r="G93" s="1176"/>
      <c r="H93" s="1176"/>
      <c r="I93" s="1176"/>
      <c r="J93" s="720"/>
      <c r="K93" s="719"/>
      <c r="L93" s="719"/>
      <c r="M93" s="719"/>
      <c r="N93" s="719"/>
      <c r="O93" s="1171"/>
      <c r="P93" s="719"/>
      <c r="Q93" s="661"/>
      <c r="R93" s="458"/>
      <c r="S93" s="458"/>
      <c r="T93" s="660"/>
      <c r="U93" s="720"/>
      <c r="V93" s="1177"/>
      <c r="W93" s="1177"/>
      <c r="X93" s="1177"/>
      <c r="Y93" s="1177"/>
      <c r="Z93" s="1177"/>
      <c r="AA93" s="1177"/>
      <c r="AB93" s="1177"/>
      <c r="AC93" s="1177"/>
      <c r="AD93" s="720"/>
      <c r="AE93" s="720"/>
      <c r="AF93" s="720"/>
      <c r="AG93" s="720"/>
      <c r="AH93" s="720"/>
      <c r="AI93" s="720"/>
      <c r="AJ93" s="720"/>
      <c r="AK93" s="1171"/>
      <c r="AL93" s="721"/>
      <c r="AM93" s="661"/>
      <c r="AN93" s="458"/>
      <c r="AO93" s="458"/>
      <c r="AP93" s="458"/>
      <c r="AQ93" s="458"/>
      <c r="AR93" s="458"/>
      <c r="AS93" s="458"/>
      <c r="AT93" s="458"/>
      <c r="AU93" s="458"/>
      <c r="AV93" s="458"/>
      <c r="AW93" s="458"/>
      <c r="AX93" s="671"/>
      <c r="AY93" s="671"/>
      <c r="AZ93" s="671"/>
      <c r="BA93" s="671"/>
      <c r="BB93" s="671"/>
      <c r="BC93" s="671"/>
      <c r="BD93" s="671"/>
      <c r="BE93" s="671"/>
      <c r="BF93" s="671"/>
      <c r="BG93" s="671"/>
      <c r="BH93" s="671"/>
      <c r="BI93" s="671"/>
    </row>
    <row r="94" spans="2:61" s="688" customFormat="1" ht="25" customHeight="1">
      <c r="B94" s="458"/>
      <c r="C94" s="660"/>
      <c r="D94" s="719"/>
      <c r="E94" s="1176"/>
      <c r="F94" s="1176"/>
      <c r="G94" s="1176"/>
      <c r="H94" s="1176"/>
      <c r="I94" s="1176"/>
      <c r="J94" s="720"/>
      <c r="K94" s="719"/>
      <c r="L94" s="719"/>
      <c r="M94" s="719"/>
      <c r="N94" s="719"/>
      <c r="O94" s="1171"/>
      <c r="P94" s="719"/>
      <c r="Q94" s="661"/>
      <c r="R94" s="458"/>
      <c r="S94" s="458"/>
      <c r="T94" s="660"/>
      <c r="U94" s="720"/>
      <c r="V94" s="1177"/>
      <c r="W94" s="1177"/>
      <c r="X94" s="1177"/>
      <c r="Y94" s="1177"/>
      <c r="Z94" s="1177"/>
      <c r="AA94" s="1177"/>
      <c r="AB94" s="1177"/>
      <c r="AC94" s="1177"/>
      <c r="AD94" s="720"/>
      <c r="AE94" s="720"/>
      <c r="AF94" s="720"/>
      <c r="AG94" s="720"/>
      <c r="AH94" s="720"/>
      <c r="AI94" s="720"/>
      <c r="AJ94" s="720"/>
      <c r="AK94" s="1171"/>
      <c r="AL94" s="721"/>
      <c r="AM94" s="661"/>
      <c r="AN94" s="458"/>
      <c r="AO94" s="458"/>
      <c r="AP94" s="458"/>
      <c r="AQ94" s="458"/>
      <c r="AR94" s="458"/>
      <c r="AS94" s="458"/>
      <c r="AT94" s="458"/>
      <c r="AU94" s="458"/>
      <c r="AV94" s="458"/>
      <c r="AW94" s="458"/>
      <c r="AX94" s="671"/>
      <c r="AY94" s="671"/>
      <c r="AZ94" s="671"/>
      <c r="BA94" s="671"/>
      <c r="BB94" s="671"/>
      <c r="BC94" s="671"/>
      <c r="BD94" s="671"/>
      <c r="BE94" s="671"/>
      <c r="BF94" s="671"/>
      <c r="BG94" s="671"/>
      <c r="BH94" s="671"/>
      <c r="BI94" s="671"/>
    </row>
    <row r="95" spans="2:61" s="688" customFormat="1" ht="6" customHeight="1">
      <c r="B95" s="458"/>
      <c r="C95" s="660"/>
      <c r="D95" s="719"/>
      <c r="E95" s="1176"/>
      <c r="F95" s="1176"/>
      <c r="G95" s="1176"/>
      <c r="H95" s="1176"/>
      <c r="I95" s="1176"/>
      <c r="J95" s="720"/>
      <c r="K95" s="719"/>
      <c r="L95" s="719"/>
      <c r="M95" s="719"/>
      <c r="N95" s="719"/>
      <c r="O95" s="719"/>
      <c r="P95" s="719"/>
      <c r="Q95" s="661"/>
      <c r="R95" s="458"/>
      <c r="S95" s="458"/>
      <c r="T95" s="660"/>
      <c r="U95" s="720"/>
      <c r="V95" s="1177"/>
      <c r="W95" s="1177"/>
      <c r="X95" s="1177"/>
      <c r="Y95" s="1177"/>
      <c r="Z95" s="1177"/>
      <c r="AA95" s="1177"/>
      <c r="AB95" s="1177"/>
      <c r="AC95" s="1177"/>
      <c r="AD95" s="720"/>
      <c r="AE95" s="720"/>
      <c r="AF95" s="720"/>
      <c r="AG95" s="720"/>
      <c r="AH95" s="720"/>
      <c r="AI95" s="720"/>
      <c r="AJ95" s="720"/>
      <c r="AK95" s="720"/>
      <c r="AL95" s="721"/>
      <c r="AM95" s="661"/>
      <c r="AN95" s="458"/>
      <c r="AO95" s="458"/>
      <c r="AP95" s="458"/>
      <c r="AQ95" s="458"/>
      <c r="AR95" s="458"/>
      <c r="AS95" s="458"/>
      <c r="AT95" s="458"/>
      <c r="AU95" s="458"/>
      <c r="AV95" s="458"/>
      <c r="AW95" s="458"/>
      <c r="AX95" s="671"/>
      <c r="AY95" s="671"/>
      <c r="AZ95" s="671"/>
      <c r="BA95" s="671"/>
      <c r="BB95" s="671"/>
      <c r="BC95" s="671"/>
      <c r="BD95" s="671"/>
      <c r="BE95" s="671"/>
      <c r="BF95" s="671"/>
      <c r="BG95" s="671"/>
      <c r="BH95" s="671"/>
      <c r="BI95" s="671"/>
    </row>
    <row r="96" spans="2:61" s="688" customFormat="1" ht="20" customHeight="1">
      <c r="B96" s="458"/>
      <c r="C96" s="669"/>
      <c r="D96" s="672"/>
      <c r="E96" s="672"/>
      <c r="F96" s="672"/>
      <c r="G96" s="672"/>
      <c r="H96" s="672"/>
      <c r="I96" s="672"/>
      <c r="J96" s="672"/>
      <c r="K96" s="672"/>
      <c r="L96" s="672"/>
      <c r="M96" s="672"/>
      <c r="N96" s="672"/>
      <c r="O96" s="672"/>
      <c r="P96" s="672"/>
      <c r="Q96" s="670"/>
      <c r="R96" s="458"/>
      <c r="S96" s="458"/>
      <c r="T96" s="669"/>
      <c r="U96" s="686"/>
      <c r="V96" s="686"/>
      <c r="W96" s="666"/>
      <c r="X96" s="666"/>
      <c r="Y96" s="666"/>
      <c r="Z96" s="686"/>
      <c r="AA96" s="686"/>
      <c r="AB96" s="686"/>
      <c r="AC96" s="686"/>
      <c r="AD96" s="686"/>
      <c r="AE96" s="686"/>
      <c r="AF96" s="686"/>
      <c r="AG96" s="686"/>
      <c r="AH96" s="686"/>
      <c r="AI96" s="686"/>
      <c r="AJ96" s="686"/>
      <c r="AK96" s="686"/>
      <c r="AL96" s="686"/>
      <c r="AM96" s="670"/>
      <c r="AN96" s="458"/>
      <c r="AO96" s="458"/>
      <c r="AP96" s="458"/>
      <c r="AQ96" s="458"/>
      <c r="AR96" s="458"/>
      <c r="AS96" s="458"/>
      <c r="AT96" s="458"/>
      <c r="AU96" s="458"/>
      <c r="AV96" s="458"/>
      <c r="AW96" s="458"/>
      <c r="AX96" s="671"/>
      <c r="AY96" s="671"/>
      <c r="AZ96" s="671"/>
      <c r="BA96" s="671"/>
      <c r="BB96" s="671"/>
      <c r="BC96" s="671"/>
      <c r="BD96" s="671"/>
      <c r="BE96" s="671"/>
      <c r="BF96" s="671"/>
      <c r="BG96" s="671"/>
      <c r="BH96" s="671"/>
      <c r="BI96" s="671"/>
    </row>
    <row r="97" spans="2:61" s="688" customFormat="1">
      <c r="B97" s="458"/>
      <c r="C97" s="458"/>
      <c r="D97" s="458"/>
      <c r="E97" s="655"/>
      <c r="F97" s="655"/>
      <c r="G97" s="655"/>
      <c r="H97" s="655"/>
      <c r="I97" s="655"/>
      <c r="J97" s="655"/>
      <c r="K97" s="655"/>
      <c r="L97" s="655"/>
      <c r="M97" s="655"/>
      <c r="N97" s="655"/>
      <c r="O97" s="655"/>
      <c r="P97" s="458"/>
      <c r="Q97" s="458"/>
      <c r="R97" s="458"/>
      <c r="S97" s="458"/>
      <c r="T97" s="458"/>
      <c r="W97" s="715"/>
      <c r="X97" s="715"/>
      <c r="Y97" s="715"/>
      <c r="AM97" s="458"/>
      <c r="AN97" s="458"/>
      <c r="AO97" s="458"/>
      <c r="AP97" s="458"/>
      <c r="AQ97" s="458"/>
      <c r="AR97" s="458"/>
      <c r="AS97" s="458"/>
      <c r="AT97" s="458"/>
      <c r="AU97" s="458"/>
      <c r="AV97" s="458"/>
      <c r="AW97" s="458"/>
      <c r="AX97" s="671"/>
      <c r="AY97" s="671"/>
      <c r="AZ97" s="671"/>
      <c r="BA97" s="671"/>
      <c r="BB97" s="671"/>
      <c r="BC97" s="671"/>
      <c r="BD97" s="671"/>
      <c r="BE97" s="671"/>
      <c r="BF97" s="671"/>
      <c r="BG97" s="671"/>
      <c r="BH97" s="671"/>
      <c r="BI97" s="671"/>
    </row>
    <row r="98" spans="2:61" s="688" customFormat="1" ht="18">
      <c r="B98" s="458"/>
      <c r="C98" s="458"/>
      <c r="D98" s="458"/>
      <c r="P98" s="662"/>
      <c r="Q98" s="662"/>
      <c r="R98" s="662"/>
      <c r="S98" s="662"/>
      <c r="T98" s="662"/>
      <c r="W98" s="715"/>
      <c r="X98" s="715"/>
      <c r="Y98" s="715"/>
      <c r="AM98" s="458"/>
      <c r="AN98" s="458"/>
      <c r="AO98" s="458"/>
      <c r="AP98" s="458"/>
      <c r="AQ98" s="458"/>
      <c r="AR98" s="458"/>
      <c r="AS98" s="458"/>
      <c r="AT98" s="458"/>
      <c r="AU98" s="458"/>
      <c r="AV98" s="458"/>
      <c r="AW98" s="458"/>
      <c r="AX98" s="671"/>
      <c r="AY98" s="671"/>
      <c r="AZ98" s="671"/>
      <c r="BA98" s="671"/>
      <c r="BB98" s="671"/>
      <c r="BC98" s="671"/>
      <c r="BD98" s="671"/>
      <c r="BE98" s="671"/>
      <c r="BF98" s="671"/>
      <c r="BG98" s="671"/>
      <c r="BH98" s="671"/>
      <c r="BI98" s="671"/>
    </row>
    <row r="99" spans="2:61" s="688" customFormat="1">
      <c r="B99" s="458"/>
      <c r="C99" s="458"/>
      <c r="D99" s="458"/>
      <c r="P99" s="458"/>
      <c r="Q99" s="458"/>
      <c r="R99" s="458"/>
      <c r="S99" s="458"/>
      <c r="T99" s="458"/>
      <c r="W99" s="715"/>
      <c r="X99" s="715"/>
      <c r="Y99" s="715"/>
      <c r="AM99" s="458"/>
      <c r="AN99" s="458"/>
      <c r="AO99" s="458"/>
      <c r="AP99" s="458"/>
      <c r="AQ99" s="458"/>
      <c r="AR99" s="458"/>
      <c r="AS99" s="458"/>
      <c r="AT99" s="458"/>
      <c r="AU99" s="458"/>
      <c r="AV99" s="458"/>
      <c r="AW99" s="458"/>
      <c r="AX99" s="671"/>
      <c r="AY99" s="671"/>
      <c r="AZ99" s="671"/>
      <c r="BA99" s="671"/>
      <c r="BB99" s="671"/>
      <c r="BC99" s="671"/>
      <c r="BD99" s="671"/>
      <c r="BE99" s="671"/>
      <c r="BF99" s="671"/>
      <c r="BG99" s="671"/>
      <c r="BH99" s="671"/>
      <c r="BI99" s="671"/>
    </row>
    <row r="100" spans="2:61" s="688" customFormat="1">
      <c r="B100" s="458"/>
      <c r="C100" s="458"/>
      <c r="D100" s="458"/>
      <c r="P100" s="458"/>
      <c r="Q100" s="458"/>
      <c r="R100" s="458"/>
      <c r="S100" s="458"/>
      <c r="T100" s="458"/>
      <c r="W100" s="715"/>
      <c r="X100" s="715"/>
      <c r="Y100" s="715"/>
      <c r="AM100" s="458"/>
      <c r="AN100" s="458"/>
      <c r="AO100" s="458"/>
      <c r="AP100" s="458"/>
      <c r="AQ100" s="458"/>
      <c r="AR100" s="458"/>
      <c r="AS100" s="458"/>
      <c r="AT100" s="458"/>
      <c r="AU100" s="458"/>
      <c r="AV100" s="458"/>
      <c r="AW100" s="458"/>
      <c r="AX100" s="671"/>
      <c r="AY100" s="671"/>
      <c r="AZ100" s="671"/>
      <c r="BA100" s="671"/>
      <c r="BB100" s="671"/>
      <c r="BC100" s="671"/>
      <c r="BD100" s="671"/>
      <c r="BE100" s="671"/>
      <c r="BF100" s="671"/>
      <c r="BG100" s="671"/>
      <c r="BH100" s="671"/>
      <c r="BI100" s="671"/>
    </row>
    <row r="101" spans="2:61" s="688" customFormat="1">
      <c r="B101" s="458"/>
      <c r="C101" s="458"/>
      <c r="D101" s="458"/>
      <c r="P101" s="458"/>
      <c r="Q101" s="458"/>
      <c r="R101" s="458"/>
      <c r="S101" s="458"/>
      <c r="T101" s="458"/>
      <c r="W101" s="715"/>
      <c r="X101" s="715"/>
      <c r="Y101" s="715"/>
      <c r="AM101" s="458"/>
      <c r="AN101" s="458"/>
      <c r="AO101" s="458"/>
      <c r="AP101" s="458"/>
      <c r="AQ101" s="458"/>
      <c r="AR101" s="458"/>
      <c r="AS101" s="458"/>
      <c r="AT101" s="458"/>
      <c r="AU101" s="458"/>
      <c r="AV101" s="458"/>
      <c r="AW101" s="458"/>
      <c r="AX101" s="671"/>
      <c r="AY101" s="671"/>
      <c r="AZ101" s="671"/>
      <c r="BA101" s="671"/>
      <c r="BB101" s="671"/>
      <c r="BC101" s="671"/>
      <c r="BD101" s="671"/>
      <c r="BE101" s="671"/>
      <c r="BF101" s="671"/>
      <c r="BG101" s="671"/>
      <c r="BH101" s="671"/>
      <c r="BI101" s="671"/>
    </row>
    <row r="102" spans="2:61" s="688" customFormat="1">
      <c r="B102" s="458"/>
      <c r="C102" s="458"/>
      <c r="D102" s="458"/>
      <c r="P102" s="458"/>
      <c r="Q102" s="458"/>
      <c r="R102" s="458"/>
      <c r="S102" s="458"/>
      <c r="T102" s="458"/>
      <c r="W102" s="715"/>
      <c r="X102" s="715"/>
      <c r="Y102" s="715"/>
      <c r="AM102" s="458"/>
      <c r="AN102" s="458"/>
      <c r="AO102" s="458"/>
      <c r="AP102" s="458"/>
      <c r="AQ102" s="458"/>
      <c r="AR102" s="458"/>
      <c r="AS102" s="458"/>
      <c r="AT102" s="458"/>
      <c r="AU102" s="458"/>
      <c r="AV102" s="458"/>
      <c r="AW102" s="458"/>
      <c r="AX102" s="671"/>
      <c r="AY102" s="671"/>
      <c r="AZ102" s="671"/>
      <c r="BA102" s="671"/>
      <c r="BB102" s="671"/>
      <c r="BC102" s="671"/>
      <c r="BD102" s="671"/>
      <c r="BE102" s="671"/>
      <c r="BF102" s="671"/>
      <c r="BG102" s="671"/>
      <c r="BH102" s="671"/>
      <c r="BI102" s="671"/>
    </row>
    <row r="103" spans="2:61" s="688" customFormat="1" ht="16" customHeight="1">
      <c r="B103" s="458"/>
      <c r="C103" s="458"/>
      <c r="D103" s="458"/>
      <c r="P103" s="458"/>
      <c r="Q103" s="458"/>
      <c r="R103" s="458"/>
      <c r="S103" s="458"/>
      <c r="T103" s="458"/>
      <c r="W103" s="715"/>
      <c r="X103" s="715"/>
      <c r="Y103" s="715"/>
      <c r="AM103" s="458"/>
      <c r="AN103" s="458"/>
      <c r="AO103" s="458"/>
      <c r="AP103" s="458"/>
      <c r="AQ103" s="458"/>
      <c r="AR103" s="458"/>
      <c r="AS103" s="458"/>
      <c r="AT103" s="458"/>
      <c r="AU103" s="458"/>
      <c r="AV103" s="458"/>
      <c r="AW103" s="458"/>
      <c r="AX103" s="671"/>
      <c r="AY103" s="671"/>
      <c r="AZ103" s="671"/>
      <c r="BA103" s="671"/>
      <c r="BB103" s="671"/>
      <c r="BC103" s="671"/>
      <c r="BD103" s="671"/>
      <c r="BE103" s="671"/>
      <c r="BF103" s="671"/>
      <c r="BG103" s="671"/>
      <c r="BH103" s="671"/>
      <c r="BI103" s="671"/>
    </row>
    <row r="104" spans="2:61" s="688" customFormat="1">
      <c r="B104" s="458"/>
      <c r="C104" s="458"/>
      <c r="D104" s="458"/>
      <c r="P104" s="458"/>
      <c r="Q104" s="458"/>
      <c r="R104" s="458"/>
      <c r="S104" s="458"/>
      <c r="T104" s="458"/>
      <c r="W104" s="715"/>
      <c r="X104" s="715"/>
      <c r="Y104" s="715"/>
      <c r="AM104" s="458"/>
      <c r="AN104" s="458"/>
      <c r="AO104" s="458"/>
      <c r="AP104" s="458"/>
      <c r="AQ104" s="458"/>
      <c r="AR104" s="458"/>
      <c r="AS104" s="458"/>
      <c r="AT104" s="458"/>
      <c r="AU104" s="458"/>
      <c r="AV104" s="458"/>
      <c r="AW104" s="458"/>
      <c r="AX104" s="671"/>
      <c r="AY104" s="671"/>
      <c r="AZ104" s="671"/>
      <c r="BA104" s="671"/>
      <c r="BB104" s="671"/>
      <c r="BC104" s="671"/>
      <c r="BD104" s="671"/>
      <c r="BE104" s="671"/>
      <c r="BF104" s="671"/>
      <c r="BG104" s="671"/>
      <c r="BH104" s="671"/>
      <c r="BI104" s="671"/>
    </row>
    <row r="105" spans="2:61" s="688" customFormat="1">
      <c r="B105" s="458"/>
      <c r="C105" s="458"/>
      <c r="D105" s="458"/>
      <c r="P105" s="458"/>
      <c r="Q105" s="458"/>
      <c r="R105" s="458"/>
      <c r="S105" s="458"/>
      <c r="T105" s="458"/>
      <c r="W105" s="715"/>
      <c r="X105" s="715"/>
      <c r="Y105" s="715"/>
      <c r="AM105" s="458"/>
      <c r="AN105" s="458"/>
      <c r="AO105" s="458"/>
      <c r="AP105" s="458"/>
      <c r="AQ105" s="458"/>
      <c r="AR105" s="458"/>
      <c r="AS105" s="458"/>
      <c r="AT105" s="458"/>
      <c r="AU105" s="458"/>
      <c r="AV105" s="458"/>
      <c r="AW105" s="458"/>
      <c r="AX105" s="671"/>
      <c r="AY105" s="671"/>
      <c r="AZ105" s="671"/>
      <c r="BA105" s="671"/>
      <c r="BB105" s="671"/>
      <c r="BC105" s="671"/>
      <c r="BD105" s="671"/>
      <c r="BE105" s="671"/>
      <c r="BF105" s="671"/>
      <c r="BG105" s="671"/>
      <c r="BH105" s="671"/>
      <c r="BI105" s="671"/>
    </row>
    <row r="106" spans="2:61" s="688" customFormat="1">
      <c r="B106" s="458"/>
      <c r="C106" s="458"/>
      <c r="D106" s="458"/>
      <c r="P106" s="458"/>
      <c r="Q106" s="458"/>
      <c r="R106" s="458"/>
      <c r="S106" s="458"/>
      <c r="T106" s="458"/>
      <c r="W106" s="715"/>
      <c r="X106" s="715"/>
      <c r="Y106" s="715"/>
      <c r="AM106" s="458"/>
      <c r="AN106" s="458"/>
      <c r="AO106" s="458"/>
      <c r="AP106" s="458"/>
      <c r="AQ106" s="458"/>
      <c r="AR106" s="458"/>
      <c r="AS106" s="458"/>
      <c r="AT106" s="458"/>
      <c r="AU106" s="458"/>
      <c r="AV106" s="458"/>
      <c r="AW106" s="458"/>
      <c r="AX106" s="671"/>
      <c r="AY106" s="671"/>
      <c r="AZ106" s="671"/>
      <c r="BA106" s="671"/>
      <c r="BB106" s="671"/>
      <c r="BC106" s="671"/>
      <c r="BD106" s="671"/>
      <c r="BE106" s="671"/>
      <c r="BF106" s="671"/>
      <c r="BG106" s="671"/>
      <c r="BH106" s="671"/>
      <c r="BI106" s="671"/>
    </row>
    <row r="107" spans="2:61" s="688" customFormat="1">
      <c r="B107" s="458"/>
      <c r="C107" s="458"/>
      <c r="D107" s="458"/>
      <c r="P107" s="458"/>
      <c r="Q107" s="458"/>
      <c r="R107" s="458"/>
      <c r="S107" s="458"/>
      <c r="T107" s="458"/>
      <c r="W107" s="715"/>
      <c r="X107" s="715"/>
      <c r="Y107" s="715"/>
      <c r="AM107" s="458"/>
      <c r="AN107" s="458"/>
      <c r="AO107" s="458"/>
      <c r="AP107" s="458"/>
      <c r="AQ107" s="458"/>
      <c r="AR107" s="458"/>
      <c r="AS107" s="458"/>
      <c r="AT107" s="458"/>
      <c r="AU107" s="458"/>
      <c r="AV107" s="458"/>
      <c r="AW107" s="458"/>
      <c r="AX107" s="671"/>
      <c r="AY107" s="671"/>
      <c r="AZ107" s="671"/>
      <c r="BA107" s="671"/>
      <c r="BB107" s="671"/>
      <c r="BC107" s="671"/>
      <c r="BD107" s="671"/>
      <c r="BE107" s="671"/>
      <c r="BF107" s="671"/>
      <c r="BG107" s="671"/>
      <c r="BH107" s="671"/>
      <c r="BI107" s="671"/>
    </row>
    <row r="108" spans="2:61" s="688" customFormat="1">
      <c r="B108" s="458"/>
      <c r="C108" s="458"/>
      <c r="D108" s="458"/>
      <c r="P108" s="458"/>
      <c r="Q108" s="458"/>
      <c r="R108" s="458"/>
      <c r="S108" s="458"/>
      <c r="T108" s="458"/>
      <c r="W108" s="715"/>
      <c r="X108" s="715"/>
      <c r="Y108" s="715"/>
      <c r="AM108" s="458"/>
      <c r="AN108" s="458"/>
      <c r="AO108" s="458"/>
      <c r="AP108" s="458"/>
      <c r="AQ108" s="458"/>
      <c r="AR108" s="458"/>
      <c r="AS108" s="458"/>
      <c r="AT108" s="458"/>
      <c r="AU108" s="458"/>
      <c r="AV108" s="458"/>
      <c r="AW108" s="458"/>
      <c r="AX108" s="671"/>
      <c r="AY108" s="671"/>
      <c r="AZ108" s="671"/>
      <c r="BA108" s="671"/>
      <c r="BB108" s="671"/>
      <c r="BC108" s="671"/>
      <c r="BD108" s="671"/>
      <c r="BE108" s="671"/>
      <c r="BF108" s="671"/>
      <c r="BG108" s="671"/>
      <c r="BH108" s="671"/>
      <c r="BI108" s="671"/>
    </row>
    <row r="109" spans="2:61" s="688" customFormat="1">
      <c r="B109" s="458"/>
      <c r="C109" s="458"/>
      <c r="D109" s="458"/>
      <c r="P109" s="458"/>
      <c r="Q109" s="458"/>
      <c r="R109" s="458"/>
      <c r="S109" s="458"/>
      <c r="T109" s="458"/>
      <c r="W109" s="715"/>
      <c r="X109" s="715"/>
      <c r="Y109" s="715"/>
      <c r="AM109" s="458"/>
      <c r="AN109" s="458"/>
      <c r="AO109" s="458"/>
      <c r="AP109" s="458"/>
      <c r="AQ109" s="458"/>
      <c r="AR109" s="458"/>
      <c r="AS109" s="458"/>
      <c r="AT109" s="458"/>
      <c r="AU109" s="458"/>
      <c r="AV109" s="458"/>
      <c r="AW109" s="458"/>
      <c r="AX109" s="671"/>
      <c r="AY109" s="671"/>
      <c r="AZ109" s="671"/>
      <c r="BA109" s="671"/>
      <c r="BB109" s="671"/>
      <c r="BC109" s="671"/>
      <c r="BD109" s="671"/>
      <c r="BE109" s="671"/>
      <c r="BF109" s="671"/>
      <c r="BG109" s="671"/>
      <c r="BH109" s="671"/>
      <c r="BI109" s="671"/>
    </row>
    <row r="110" spans="2:61" s="688" customFormat="1">
      <c r="B110" s="458"/>
      <c r="C110" s="458"/>
      <c r="D110" s="458"/>
      <c r="P110" s="458"/>
      <c r="Q110" s="458"/>
      <c r="R110" s="458"/>
      <c r="S110" s="458"/>
      <c r="T110" s="458"/>
      <c r="W110" s="715"/>
      <c r="X110" s="715"/>
      <c r="Y110" s="715"/>
      <c r="AM110" s="458"/>
      <c r="AN110" s="458"/>
      <c r="AO110" s="458"/>
      <c r="AP110" s="458"/>
      <c r="AQ110" s="458"/>
      <c r="AR110" s="458"/>
      <c r="AS110" s="458"/>
      <c r="AT110" s="458"/>
      <c r="AU110" s="458"/>
      <c r="AV110" s="458"/>
      <c r="AW110" s="458"/>
      <c r="AX110" s="671"/>
      <c r="AY110" s="671"/>
      <c r="AZ110" s="671"/>
      <c r="BA110" s="671"/>
      <c r="BB110" s="671"/>
      <c r="BC110" s="671"/>
      <c r="BD110" s="671"/>
      <c r="BE110" s="671"/>
      <c r="BF110" s="671"/>
      <c r="BG110" s="671"/>
      <c r="BH110" s="671"/>
      <c r="BI110" s="671"/>
    </row>
    <row r="111" spans="2:61" s="688" customFormat="1">
      <c r="B111" s="458"/>
      <c r="C111" s="458"/>
      <c r="D111" s="458"/>
      <c r="P111" s="458"/>
      <c r="Q111" s="458"/>
      <c r="R111" s="458"/>
      <c r="S111" s="458"/>
      <c r="T111" s="458"/>
      <c r="W111" s="715"/>
      <c r="X111" s="715"/>
      <c r="Y111" s="715"/>
      <c r="AM111" s="458"/>
      <c r="AN111" s="458"/>
      <c r="AO111" s="458"/>
      <c r="AP111" s="458"/>
      <c r="AQ111" s="458"/>
      <c r="AR111" s="458"/>
      <c r="AS111" s="458"/>
      <c r="AT111" s="458"/>
      <c r="AU111" s="458"/>
      <c r="AV111" s="458"/>
      <c r="AW111" s="458"/>
      <c r="AX111" s="671"/>
      <c r="AY111" s="671"/>
      <c r="AZ111" s="671"/>
      <c r="BA111" s="671"/>
      <c r="BB111" s="671"/>
      <c r="BC111" s="671"/>
      <c r="BD111" s="671"/>
      <c r="BE111" s="671"/>
      <c r="BF111" s="671"/>
      <c r="BG111" s="671"/>
      <c r="BH111" s="671"/>
      <c r="BI111" s="671"/>
    </row>
    <row r="112" spans="2:61" s="688" customFormat="1">
      <c r="B112" s="458"/>
      <c r="C112" s="458"/>
      <c r="D112" s="458"/>
      <c r="P112" s="458"/>
      <c r="Q112" s="458"/>
      <c r="R112" s="458"/>
      <c r="S112" s="458"/>
      <c r="T112" s="458"/>
      <c r="W112" s="715"/>
      <c r="X112" s="715"/>
      <c r="Y112" s="715"/>
      <c r="AM112" s="458"/>
      <c r="AN112" s="458"/>
      <c r="AO112" s="458"/>
      <c r="AP112" s="458"/>
      <c r="AQ112" s="458"/>
      <c r="AR112" s="458"/>
      <c r="AS112" s="458"/>
      <c r="AT112" s="458"/>
      <c r="AU112" s="458"/>
      <c r="AV112" s="458"/>
      <c r="AW112" s="458"/>
      <c r="AX112" s="671"/>
      <c r="AY112" s="671"/>
      <c r="AZ112" s="671"/>
      <c r="BA112" s="671"/>
      <c r="BB112" s="671"/>
      <c r="BC112" s="671"/>
      <c r="BD112" s="671"/>
      <c r="BE112" s="671"/>
      <c r="BF112" s="671"/>
      <c r="BG112" s="671"/>
      <c r="BH112" s="671"/>
      <c r="BI112" s="671"/>
    </row>
    <row r="113" spans="2:61" s="688" customFormat="1">
      <c r="B113" s="458"/>
      <c r="C113" s="458"/>
      <c r="D113" s="458"/>
      <c r="P113" s="458"/>
      <c r="Q113" s="458"/>
      <c r="R113" s="458"/>
      <c r="S113" s="458"/>
      <c r="T113" s="458"/>
      <c r="W113" s="715"/>
      <c r="X113" s="715"/>
      <c r="Y113" s="715"/>
      <c r="AM113" s="458"/>
      <c r="AN113" s="458"/>
      <c r="AO113" s="458"/>
      <c r="AP113" s="458"/>
      <c r="AQ113" s="458"/>
      <c r="AR113" s="458"/>
      <c r="AS113" s="458"/>
      <c r="AT113" s="458"/>
      <c r="AU113" s="458"/>
      <c r="AV113" s="458"/>
      <c r="AW113" s="458"/>
      <c r="AX113" s="671"/>
      <c r="AY113" s="671"/>
      <c r="AZ113" s="671"/>
      <c r="BA113" s="671"/>
      <c r="BB113" s="671"/>
      <c r="BC113" s="671"/>
      <c r="BD113" s="671"/>
      <c r="BE113" s="671"/>
      <c r="BF113" s="671"/>
      <c r="BG113" s="671"/>
      <c r="BH113" s="671"/>
      <c r="BI113" s="671"/>
    </row>
    <row r="114" spans="2:61" s="688" customFormat="1">
      <c r="B114" s="458"/>
      <c r="C114" s="458"/>
      <c r="D114" s="458"/>
      <c r="P114" s="458"/>
      <c r="Q114" s="458"/>
      <c r="R114" s="458"/>
      <c r="S114" s="458"/>
      <c r="T114" s="458"/>
      <c r="W114" s="715"/>
      <c r="X114" s="715"/>
      <c r="Y114" s="715"/>
      <c r="AM114" s="458"/>
      <c r="AN114" s="458"/>
      <c r="AO114" s="458"/>
      <c r="AP114" s="458"/>
      <c r="AQ114" s="458"/>
      <c r="AR114" s="458"/>
      <c r="AS114" s="458"/>
      <c r="AT114" s="458"/>
      <c r="AU114" s="458"/>
      <c r="AV114" s="458"/>
      <c r="AW114" s="458"/>
      <c r="AX114" s="671"/>
      <c r="AY114" s="671"/>
      <c r="AZ114" s="671"/>
      <c r="BA114" s="671"/>
      <c r="BB114" s="671"/>
      <c r="BC114" s="671"/>
      <c r="BD114" s="671"/>
      <c r="BE114" s="671"/>
      <c r="BF114" s="671"/>
      <c r="BG114" s="671"/>
      <c r="BH114" s="671"/>
      <c r="BI114" s="671"/>
    </row>
    <row r="115" spans="2:61" s="688" customFormat="1">
      <c r="B115" s="458"/>
      <c r="C115" s="458"/>
      <c r="D115" s="458"/>
      <c r="P115" s="458"/>
      <c r="Q115" s="458"/>
      <c r="R115" s="458"/>
      <c r="S115" s="458"/>
      <c r="T115" s="458"/>
      <c r="W115" s="715"/>
      <c r="X115" s="715"/>
      <c r="Y115" s="715"/>
      <c r="AM115" s="458"/>
      <c r="AN115" s="458"/>
      <c r="AO115" s="458"/>
      <c r="AP115" s="458"/>
      <c r="AQ115" s="458"/>
      <c r="AR115" s="458"/>
      <c r="AS115" s="458"/>
      <c r="AT115" s="458"/>
      <c r="AU115" s="458"/>
      <c r="AV115" s="458"/>
      <c r="AW115" s="458"/>
      <c r="AX115" s="671"/>
      <c r="AY115" s="671"/>
      <c r="AZ115" s="671"/>
      <c r="BA115" s="671"/>
      <c r="BB115" s="671"/>
      <c r="BC115" s="671"/>
      <c r="BD115" s="671"/>
      <c r="BE115" s="671"/>
      <c r="BF115" s="671"/>
      <c r="BG115" s="671"/>
      <c r="BH115" s="671"/>
      <c r="BI115" s="671"/>
    </row>
    <row r="116" spans="2:61" s="688" customFormat="1">
      <c r="B116" s="458"/>
      <c r="C116" s="458"/>
      <c r="D116" s="458"/>
      <c r="P116" s="458"/>
      <c r="Q116" s="458"/>
      <c r="R116" s="458"/>
      <c r="S116" s="458"/>
      <c r="T116" s="458"/>
      <c r="W116" s="715"/>
      <c r="X116" s="715"/>
      <c r="Y116" s="715"/>
      <c r="AM116" s="458"/>
      <c r="AN116" s="458"/>
      <c r="AO116" s="458"/>
      <c r="AP116" s="458"/>
      <c r="AQ116" s="458"/>
      <c r="AR116" s="458"/>
      <c r="AS116" s="458"/>
      <c r="AT116" s="458"/>
      <c r="AU116" s="458"/>
      <c r="AV116" s="458"/>
      <c r="AW116" s="458"/>
      <c r="AX116" s="671"/>
      <c r="AY116" s="671"/>
      <c r="AZ116" s="671"/>
      <c r="BA116" s="671"/>
      <c r="BB116" s="671"/>
      <c r="BC116" s="671"/>
      <c r="BD116" s="671"/>
      <c r="BE116" s="671"/>
      <c r="BF116" s="671"/>
      <c r="BG116" s="671"/>
      <c r="BH116" s="671"/>
      <c r="BI116" s="671"/>
    </row>
    <row r="117" spans="2:61" s="688" customFormat="1">
      <c r="B117" s="458"/>
      <c r="C117" s="458"/>
      <c r="D117" s="458"/>
      <c r="P117" s="458"/>
      <c r="Q117" s="458"/>
      <c r="R117" s="458"/>
      <c r="S117" s="458"/>
      <c r="T117" s="458"/>
      <c r="W117" s="715"/>
      <c r="X117" s="715"/>
      <c r="Y117" s="715"/>
      <c r="AM117" s="458"/>
      <c r="AN117" s="458"/>
      <c r="AO117" s="458"/>
      <c r="AP117" s="458"/>
      <c r="AQ117" s="458"/>
      <c r="AR117" s="458"/>
      <c r="AS117" s="458"/>
      <c r="AT117" s="458"/>
      <c r="AU117" s="458"/>
      <c r="AV117" s="458"/>
      <c r="AW117" s="458"/>
      <c r="AX117" s="671"/>
      <c r="AY117" s="671"/>
      <c r="AZ117" s="671"/>
      <c r="BA117" s="671"/>
      <c r="BB117" s="671"/>
      <c r="BC117" s="671"/>
      <c r="BD117" s="671"/>
      <c r="BE117" s="671"/>
      <c r="BF117" s="671"/>
      <c r="BG117" s="671"/>
      <c r="BH117" s="671"/>
      <c r="BI117" s="671"/>
    </row>
    <row r="118" spans="2:61" s="688" customFormat="1" ht="16" customHeight="1">
      <c r="B118" s="458"/>
      <c r="C118" s="458"/>
      <c r="D118" s="458"/>
      <c r="E118" s="655"/>
      <c r="F118" s="655"/>
      <c r="G118" s="655"/>
      <c r="H118" s="655"/>
      <c r="I118" s="655"/>
      <c r="J118" s="655"/>
      <c r="K118" s="655"/>
      <c r="L118" s="655"/>
      <c r="M118" s="655"/>
      <c r="N118" s="655"/>
      <c r="O118" s="655"/>
      <c r="P118" s="458"/>
      <c r="Q118" s="458"/>
      <c r="R118" s="458"/>
      <c r="S118" s="458"/>
      <c r="T118" s="458"/>
      <c r="W118" s="715"/>
      <c r="X118" s="715"/>
      <c r="Y118" s="715"/>
      <c r="AM118" s="458"/>
      <c r="AN118" s="458"/>
      <c r="AO118" s="458"/>
      <c r="AP118" s="458"/>
      <c r="AQ118" s="458"/>
      <c r="AR118" s="458"/>
      <c r="AS118" s="458"/>
      <c r="AT118" s="458"/>
      <c r="AU118" s="458"/>
      <c r="AV118" s="458"/>
      <c r="AW118" s="458"/>
      <c r="AX118" s="671"/>
      <c r="AY118" s="671"/>
      <c r="AZ118" s="671"/>
      <c r="BA118" s="671"/>
      <c r="BB118" s="671"/>
      <c r="BC118" s="671"/>
      <c r="BD118" s="671"/>
      <c r="BE118" s="671"/>
      <c r="BF118" s="671"/>
      <c r="BG118" s="671"/>
      <c r="BH118" s="671"/>
      <c r="BI118" s="671"/>
    </row>
    <row r="119" spans="2:61" s="688" customFormat="1">
      <c r="B119" s="458"/>
      <c r="C119" s="458"/>
      <c r="D119" s="458"/>
      <c r="E119" s="655"/>
      <c r="F119" s="655"/>
      <c r="G119" s="655"/>
      <c r="H119" s="655"/>
      <c r="I119" s="655"/>
      <c r="J119" s="655"/>
      <c r="K119" s="655"/>
      <c r="L119" s="655"/>
      <c r="M119" s="655"/>
      <c r="N119" s="655"/>
      <c r="O119" s="655"/>
      <c r="P119" s="458"/>
      <c r="Q119" s="458"/>
      <c r="R119" s="458"/>
      <c r="S119" s="458"/>
      <c r="T119" s="458"/>
      <c r="W119" s="715"/>
      <c r="X119" s="715"/>
      <c r="Y119" s="715"/>
      <c r="AM119" s="458"/>
      <c r="AN119" s="458"/>
      <c r="AO119" s="458"/>
      <c r="AP119" s="458"/>
      <c r="AQ119" s="458"/>
      <c r="AR119" s="458"/>
      <c r="AS119" s="458"/>
      <c r="AT119" s="458"/>
      <c r="AU119" s="458"/>
      <c r="AV119" s="458"/>
      <c r="AW119" s="458"/>
      <c r="AX119" s="671"/>
      <c r="AY119" s="671"/>
      <c r="AZ119" s="671"/>
      <c r="BA119" s="671"/>
      <c r="BB119" s="671"/>
      <c r="BC119" s="671"/>
      <c r="BD119" s="671"/>
      <c r="BE119" s="671"/>
      <c r="BF119" s="671"/>
      <c r="BG119" s="671"/>
      <c r="BH119" s="671"/>
      <c r="BI119" s="671"/>
    </row>
    <row r="120" spans="2:61" s="688" customFormat="1">
      <c r="B120" s="458"/>
      <c r="C120" s="458"/>
      <c r="D120" s="458"/>
      <c r="E120" s="655"/>
      <c r="F120" s="655"/>
      <c r="G120" s="655"/>
      <c r="H120" s="655"/>
      <c r="I120" s="655"/>
      <c r="J120" s="655"/>
      <c r="K120" s="655"/>
      <c r="L120" s="655"/>
      <c r="M120" s="655"/>
      <c r="N120" s="655"/>
      <c r="O120" s="655"/>
      <c r="P120" s="458"/>
      <c r="Q120" s="458"/>
      <c r="R120" s="458"/>
      <c r="S120" s="458"/>
      <c r="T120" s="458"/>
      <c r="W120" s="715"/>
      <c r="X120" s="715"/>
      <c r="Y120" s="715"/>
      <c r="AM120" s="458"/>
      <c r="AN120" s="458"/>
      <c r="AO120" s="458"/>
      <c r="AP120" s="458"/>
      <c r="AQ120" s="458"/>
      <c r="AR120" s="458"/>
      <c r="AS120" s="458"/>
      <c r="AT120" s="458"/>
      <c r="AU120" s="458"/>
      <c r="AV120" s="458"/>
      <c r="AW120" s="458"/>
      <c r="AX120" s="671"/>
      <c r="AY120" s="671"/>
      <c r="AZ120" s="671"/>
      <c r="BA120" s="671"/>
      <c r="BB120" s="671"/>
      <c r="BC120" s="671"/>
      <c r="BD120" s="671"/>
      <c r="BE120" s="671"/>
      <c r="BF120" s="671"/>
      <c r="BG120" s="671"/>
      <c r="BH120" s="671"/>
      <c r="BI120" s="671"/>
    </row>
    <row r="121" spans="2:61" s="688" customFormat="1">
      <c r="B121" s="458"/>
      <c r="C121" s="458"/>
      <c r="D121" s="458"/>
      <c r="E121" s="655"/>
      <c r="F121" s="655"/>
      <c r="G121" s="655"/>
      <c r="H121" s="655"/>
      <c r="I121" s="655"/>
      <c r="J121" s="655"/>
      <c r="K121" s="655"/>
      <c r="L121" s="655"/>
      <c r="M121" s="655"/>
      <c r="N121" s="655"/>
      <c r="O121" s="655"/>
      <c r="P121" s="458"/>
      <c r="Q121" s="458"/>
      <c r="R121" s="458"/>
      <c r="S121" s="458"/>
      <c r="T121" s="458"/>
      <c r="W121" s="715"/>
      <c r="X121" s="715"/>
      <c r="Y121" s="715"/>
      <c r="AM121" s="458"/>
      <c r="AN121" s="458"/>
      <c r="AO121" s="458"/>
      <c r="AP121" s="458"/>
      <c r="AQ121" s="458"/>
      <c r="AR121" s="458"/>
      <c r="AS121" s="458"/>
      <c r="AT121" s="458"/>
      <c r="AU121" s="458"/>
      <c r="AV121" s="458"/>
      <c r="AW121" s="458"/>
      <c r="AX121" s="671"/>
      <c r="AY121" s="671"/>
      <c r="AZ121" s="671"/>
      <c r="BA121" s="671"/>
      <c r="BB121" s="671"/>
      <c r="BC121" s="671"/>
      <c r="BD121" s="671"/>
      <c r="BE121" s="671"/>
      <c r="BF121" s="671"/>
      <c r="BG121" s="671"/>
      <c r="BH121" s="671"/>
      <c r="BI121" s="671"/>
    </row>
    <row r="122" spans="2:61" s="688" customFormat="1">
      <c r="B122" s="458"/>
      <c r="C122" s="458"/>
      <c r="D122" s="458"/>
      <c r="E122" s="655"/>
      <c r="F122" s="655"/>
      <c r="G122" s="655"/>
      <c r="H122" s="655"/>
      <c r="I122" s="655"/>
      <c r="J122" s="655"/>
      <c r="K122" s="655"/>
      <c r="L122" s="655"/>
      <c r="M122" s="655"/>
      <c r="N122" s="655"/>
      <c r="O122" s="655"/>
      <c r="P122" s="458"/>
      <c r="Q122" s="458"/>
      <c r="R122" s="458"/>
      <c r="S122" s="458"/>
      <c r="T122" s="458"/>
      <c r="W122" s="715"/>
      <c r="X122" s="715"/>
      <c r="Y122" s="715"/>
      <c r="AM122" s="458"/>
      <c r="AN122" s="458"/>
      <c r="AO122" s="458"/>
      <c r="AP122" s="458"/>
      <c r="AQ122" s="458"/>
      <c r="AR122" s="458"/>
      <c r="AS122" s="458"/>
      <c r="AT122" s="458"/>
      <c r="AU122" s="458"/>
      <c r="AV122" s="458"/>
      <c r="AW122" s="458"/>
      <c r="AX122" s="671"/>
      <c r="AY122" s="671"/>
      <c r="AZ122" s="671"/>
      <c r="BA122" s="671"/>
      <c r="BB122" s="671"/>
      <c r="BC122" s="671"/>
      <c r="BD122" s="671"/>
      <c r="BE122" s="671"/>
      <c r="BF122" s="671"/>
      <c r="BG122" s="671"/>
      <c r="BH122" s="671"/>
      <c r="BI122" s="671"/>
    </row>
    <row r="123" spans="2:61" s="688" customFormat="1">
      <c r="B123" s="458"/>
      <c r="C123" s="458"/>
      <c r="D123" s="458"/>
      <c r="E123" s="655"/>
      <c r="F123" s="655"/>
      <c r="G123" s="655"/>
      <c r="H123" s="655"/>
      <c r="I123" s="655"/>
      <c r="J123" s="655"/>
      <c r="K123" s="655"/>
      <c r="L123" s="655"/>
      <c r="M123" s="655"/>
      <c r="N123" s="655"/>
      <c r="O123" s="655"/>
      <c r="P123" s="458"/>
      <c r="Q123" s="458"/>
      <c r="R123" s="458"/>
      <c r="S123" s="458"/>
      <c r="T123" s="458"/>
      <c r="W123" s="715"/>
      <c r="X123" s="715"/>
      <c r="Y123" s="715"/>
      <c r="AM123" s="458"/>
      <c r="AN123" s="458"/>
      <c r="AO123" s="458"/>
      <c r="AP123" s="458"/>
      <c r="AQ123" s="458"/>
      <c r="AR123" s="458"/>
      <c r="AS123" s="458"/>
      <c r="AT123" s="458"/>
      <c r="AU123" s="458"/>
      <c r="AV123" s="458"/>
      <c r="AW123" s="458"/>
      <c r="AX123" s="671"/>
      <c r="AY123" s="671"/>
      <c r="AZ123" s="671"/>
      <c r="BA123" s="671"/>
      <c r="BB123" s="671"/>
      <c r="BC123" s="671"/>
      <c r="BD123" s="671"/>
      <c r="BE123" s="671"/>
      <c r="BF123" s="671"/>
      <c r="BG123" s="671"/>
      <c r="BH123" s="671"/>
      <c r="BI123" s="671"/>
    </row>
    <row r="124" spans="2:61" s="688" customFormat="1">
      <c r="B124" s="458"/>
      <c r="C124" s="458"/>
      <c r="D124" s="458"/>
      <c r="E124" s="655"/>
      <c r="F124" s="655"/>
      <c r="G124" s="655"/>
      <c r="H124" s="655"/>
      <c r="I124" s="655"/>
      <c r="J124" s="655"/>
      <c r="K124" s="655"/>
      <c r="L124" s="655"/>
      <c r="M124" s="655"/>
      <c r="N124" s="655"/>
      <c r="O124" s="655"/>
      <c r="P124" s="458"/>
      <c r="Q124" s="458"/>
      <c r="R124" s="458"/>
      <c r="S124" s="458"/>
      <c r="T124" s="458"/>
      <c r="W124" s="715"/>
      <c r="X124" s="715"/>
      <c r="Y124" s="715"/>
      <c r="AM124" s="458"/>
      <c r="AN124" s="458"/>
      <c r="AO124" s="458"/>
      <c r="AP124" s="458"/>
      <c r="AQ124" s="458"/>
      <c r="AR124" s="458"/>
      <c r="AS124" s="458"/>
      <c r="AT124" s="458"/>
      <c r="AU124" s="458"/>
      <c r="AV124" s="458"/>
      <c r="AW124" s="458"/>
      <c r="AX124" s="671"/>
      <c r="AY124" s="671"/>
      <c r="AZ124" s="671"/>
      <c r="BA124" s="671"/>
      <c r="BB124" s="671"/>
      <c r="BC124" s="671"/>
      <c r="BD124" s="671"/>
      <c r="BE124" s="671"/>
      <c r="BF124" s="671"/>
      <c r="BG124" s="671"/>
      <c r="BH124" s="671"/>
      <c r="BI124" s="671"/>
    </row>
    <row r="125" spans="2:61" s="688" customFormat="1">
      <c r="B125" s="458"/>
      <c r="C125" s="458"/>
      <c r="D125" s="458"/>
      <c r="E125" s="655"/>
      <c r="F125" s="655"/>
      <c r="G125" s="655"/>
      <c r="H125" s="655"/>
      <c r="I125" s="655"/>
      <c r="J125" s="655"/>
      <c r="K125" s="655"/>
      <c r="L125" s="655"/>
      <c r="M125" s="655"/>
      <c r="N125" s="655"/>
      <c r="O125" s="655"/>
      <c r="P125" s="458"/>
      <c r="Q125" s="458"/>
      <c r="R125" s="458"/>
      <c r="S125" s="458"/>
      <c r="T125" s="458"/>
      <c r="W125" s="715"/>
      <c r="X125" s="715"/>
      <c r="Y125" s="715"/>
      <c r="AM125" s="458"/>
      <c r="AN125" s="458"/>
      <c r="AO125" s="458"/>
      <c r="AP125" s="458"/>
      <c r="AQ125" s="458"/>
      <c r="AR125" s="458"/>
      <c r="AS125" s="458"/>
      <c r="AT125" s="458"/>
      <c r="AU125" s="458"/>
      <c r="AV125" s="458"/>
      <c r="AW125" s="458"/>
      <c r="AX125" s="671"/>
      <c r="AY125" s="671"/>
      <c r="AZ125" s="671"/>
      <c r="BA125" s="671"/>
      <c r="BB125" s="671"/>
      <c r="BC125" s="671"/>
      <c r="BD125" s="671"/>
      <c r="BE125" s="671"/>
      <c r="BF125" s="671"/>
      <c r="BG125" s="671"/>
      <c r="BH125" s="671"/>
      <c r="BI125" s="671"/>
    </row>
    <row r="126" spans="2:61" s="688" customFormat="1">
      <c r="B126" s="458"/>
      <c r="C126" s="458"/>
      <c r="D126" s="458"/>
      <c r="E126" s="655"/>
      <c r="F126" s="655"/>
      <c r="G126" s="655"/>
      <c r="H126" s="655"/>
      <c r="I126" s="655"/>
      <c r="J126" s="655"/>
      <c r="K126" s="655"/>
      <c r="L126" s="655"/>
      <c r="M126" s="655"/>
      <c r="N126" s="655"/>
      <c r="O126" s="655"/>
      <c r="P126" s="458"/>
      <c r="Q126" s="458"/>
      <c r="R126" s="458"/>
      <c r="S126" s="458"/>
      <c r="T126" s="458"/>
      <c r="W126" s="715"/>
      <c r="X126" s="715"/>
      <c r="Y126" s="715"/>
      <c r="AM126" s="458"/>
      <c r="AN126" s="458"/>
      <c r="AO126" s="458"/>
      <c r="AP126" s="458"/>
      <c r="AQ126" s="458"/>
      <c r="AR126" s="458"/>
      <c r="AS126" s="458"/>
      <c r="AT126" s="458"/>
      <c r="AU126" s="458"/>
      <c r="AV126" s="458"/>
      <c r="AW126" s="458"/>
      <c r="AX126" s="671"/>
      <c r="AY126" s="671"/>
      <c r="AZ126" s="671"/>
      <c r="BA126" s="671"/>
      <c r="BB126" s="671"/>
      <c r="BC126" s="671"/>
      <c r="BD126" s="671"/>
      <c r="BE126" s="671"/>
      <c r="BF126" s="671"/>
      <c r="BG126" s="671"/>
      <c r="BH126" s="671"/>
      <c r="BI126" s="671"/>
    </row>
    <row r="127" spans="2:61" s="688" customFormat="1">
      <c r="B127" s="458"/>
      <c r="C127" s="458"/>
      <c r="D127" s="458"/>
      <c r="E127" s="655"/>
      <c r="F127" s="655"/>
      <c r="G127" s="655"/>
      <c r="H127" s="655"/>
      <c r="I127" s="655"/>
      <c r="J127" s="655"/>
      <c r="K127" s="655"/>
      <c r="L127" s="655"/>
      <c r="M127" s="655"/>
      <c r="N127" s="655"/>
      <c r="O127" s="655"/>
      <c r="P127" s="458"/>
      <c r="Q127" s="458"/>
      <c r="R127" s="458"/>
      <c r="S127" s="458"/>
      <c r="T127" s="458"/>
      <c r="W127" s="715"/>
      <c r="X127" s="715"/>
      <c r="Y127" s="715"/>
      <c r="AM127" s="458"/>
      <c r="AN127" s="458"/>
      <c r="AO127" s="458"/>
      <c r="AP127" s="458"/>
      <c r="AQ127" s="458"/>
      <c r="AR127" s="458"/>
      <c r="AS127" s="458"/>
      <c r="AT127" s="458"/>
      <c r="AU127" s="458"/>
      <c r="AV127" s="458"/>
      <c r="AW127" s="458"/>
      <c r="AX127" s="671"/>
      <c r="AY127" s="671"/>
      <c r="AZ127" s="671"/>
      <c r="BA127" s="671"/>
      <c r="BB127" s="671"/>
      <c r="BC127" s="671"/>
      <c r="BD127" s="671"/>
      <c r="BE127" s="671"/>
      <c r="BF127" s="671"/>
      <c r="BG127" s="671"/>
      <c r="BH127" s="671"/>
      <c r="BI127" s="671"/>
    </row>
    <row r="128" spans="2:61" s="688" customFormat="1">
      <c r="B128" s="458"/>
      <c r="C128" s="458"/>
      <c r="D128" s="458"/>
      <c r="E128" s="655"/>
      <c r="F128" s="655"/>
      <c r="G128" s="655"/>
      <c r="H128" s="655"/>
      <c r="I128" s="655"/>
      <c r="J128" s="655"/>
      <c r="K128" s="655"/>
      <c r="L128" s="655"/>
      <c r="M128" s="655"/>
      <c r="N128" s="655"/>
      <c r="O128" s="655"/>
      <c r="P128" s="458"/>
      <c r="Q128" s="458"/>
      <c r="R128" s="458"/>
      <c r="S128" s="458"/>
      <c r="T128" s="458"/>
      <c r="W128" s="715"/>
      <c r="X128" s="715"/>
      <c r="Y128" s="715"/>
      <c r="AM128" s="458"/>
      <c r="AN128" s="458"/>
      <c r="AO128" s="458"/>
      <c r="AP128" s="458"/>
      <c r="AQ128" s="458"/>
      <c r="AR128" s="458"/>
      <c r="AS128" s="458"/>
      <c r="AT128" s="458"/>
      <c r="AU128" s="458"/>
      <c r="AV128" s="458"/>
      <c r="AW128" s="458"/>
      <c r="AX128" s="671"/>
      <c r="AY128" s="671"/>
      <c r="AZ128" s="671"/>
      <c r="BA128" s="671"/>
      <c r="BB128" s="671"/>
      <c r="BC128" s="671"/>
      <c r="BD128" s="671"/>
      <c r="BE128" s="671"/>
      <c r="BF128" s="671"/>
      <c r="BG128" s="671"/>
      <c r="BH128" s="671"/>
      <c r="BI128" s="671"/>
    </row>
    <row r="129" spans="2:61" s="688" customFormat="1">
      <c r="B129" s="458"/>
      <c r="C129" s="458"/>
      <c r="D129" s="458"/>
      <c r="E129" s="655"/>
      <c r="F129" s="655"/>
      <c r="G129" s="655"/>
      <c r="H129" s="655"/>
      <c r="I129" s="655"/>
      <c r="J129" s="655"/>
      <c r="K129" s="655"/>
      <c r="L129" s="655"/>
      <c r="M129" s="655"/>
      <c r="N129" s="655"/>
      <c r="O129" s="655"/>
      <c r="P129" s="458"/>
      <c r="Q129" s="458"/>
      <c r="R129" s="458"/>
      <c r="S129" s="458"/>
      <c r="T129" s="458"/>
      <c r="W129" s="715"/>
      <c r="X129" s="715"/>
      <c r="Y129" s="715"/>
      <c r="AM129" s="458"/>
      <c r="AN129" s="458"/>
      <c r="AO129" s="458"/>
      <c r="AP129" s="458"/>
      <c r="AQ129" s="458"/>
      <c r="AR129" s="458"/>
      <c r="AS129" s="458"/>
      <c r="AT129" s="458"/>
      <c r="AU129" s="458"/>
      <c r="AV129" s="458"/>
      <c r="AW129" s="458"/>
      <c r="AX129" s="671"/>
      <c r="AY129" s="671"/>
      <c r="AZ129" s="671"/>
      <c r="BA129" s="671"/>
      <c r="BB129" s="671"/>
      <c r="BC129" s="671"/>
      <c r="BD129" s="671"/>
      <c r="BE129" s="671"/>
      <c r="BF129" s="671"/>
      <c r="BG129" s="671"/>
      <c r="BH129" s="671"/>
      <c r="BI129" s="671"/>
    </row>
    <row r="130" spans="2:61" s="688" customFormat="1">
      <c r="B130" s="458"/>
      <c r="C130" s="458"/>
      <c r="D130" s="458"/>
      <c r="E130" s="655"/>
      <c r="F130" s="655"/>
      <c r="G130" s="655"/>
      <c r="H130" s="655"/>
      <c r="I130" s="655"/>
      <c r="J130" s="655"/>
      <c r="K130" s="655"/>
      <c r="L130" s="655"/>
      <c r="M130" s="655"/>
      <c r="N130" s="655"/>
      <c r="O130" s="655"/>
      <c r="P130" s="458"/>
      <c r="Q130" s="458"/>
      <c r="R130" s="458"/>
      <c r="S130" s="458"/>
      <c r="T130" s="458"/>
      <c r="W130" s="715"/>
      <c r="X130" s="715"/>
      <c r="Y130" s="715"/>
      <c r="AM130" s="458"/>
      <c r="AN130" s="458"/>
      <c r="AO130" s="458"/>
      <c r="AP130" s="458"/>
      <c r="AQ130" s="458"/>
      <c r="AR130" s="458"/>
      <c r="AS130" s="458"/>
      <c r="AT130" s="458"/>
      <c r="AU130" s="458"/>
      <c r="AV130" s="458"/>
      <c r="AW130" s="458"/>
      <c r="AX130" s="671"/>
      <c r="AY130" s="671"/>
      <c r="AZ130" s="671"/>
      <c r="BA130" s="671"/>
      <c r="BB130" s="671"/>
      <c r="BC130" s="671"/>
      <c r="BD130" s="671"/>
      <c r="BE130" s="671"/>
      <c r="BF130" s="671"/>
      <c r="BG130" s="671"/>
      <c r="BH130" s="671"/>
      <c r="BI130" s="671"/>
    </row>
    <row r="131" spans="2:61" s="688" customFormat="1">
      <c r="B131" s="458"/>
      <c r="C131" s="458"/>
      <c r="D131" s="458"/>
      <c r="E131" s="655"/>
      <c r="F131" s="655"/>
      <c r="G131" s="655"/>
      <c r="H131" s="655"/>
      <c r="I131" s="655"/>
      <c r="J131" s="655"/>
      <c r="K131" s="655"/>
      <c r="L131" s="655"/>
      <c r="M131" s="655"/>
      <c r="N131" s="655"/>
      <c r="O131" s="655"/>
      <c r="P131" s="458"/>
      <c r="Q131" s="458"/>
      <c r="R131" s="458"/>
      <c r="S131" s="458"/>
      <c r="T131" s="458"/>
      <c r="W131" s="715"/>
      <c r="X131" s="715"/>
      <c r="Y131" s="715"/>
      <c r="AM131" s="458"/>
      <c r="AN131" s="458"/>
      <c r="AO131" s="458"/>
      <c r="AP131" s="458"/>
      <c r="AQ131" s="458"/>
      <c r="AR131" s="458"/>
      <c r="AS131" s="458"/>
      <c r="AT131" s="458"/>
      <c r="AU131" s="458"/>
      <c r="AV131" s="458"/>
      <c r="AW131" s="458"/>
      <c r="AX131" s="671"/>
      <c r="AY131" s="671"/>
      <c r="AZ131" s="671"/>
      <c r="BA131" s="671"/>
      <c r="BB131" s="671"/>
      <c r="BC131" s="671"/>
      <c r="BD131" s="671"/>
      <c r="BE131" s="671"/>
      <c r="BF131" s="671"/>
      <c r="BG131" s="671"/>
      <c r="BH131" s="671"/>
      <c r="BI131" s="671"/>
    </row>
    <row r="132" spans="2:61" s="688" customFormat="1">
      <c r="B132" s="458"/>
      <c r="C132" s="458"/>
      <c r="D132" s="458"/>
      <c r="E132" s="655"/>
      <c r="F132" s="655"/>
      <c r="G132" s="655"/>
      <c r="H132" s="655"/>
      <c r="I132" s="655"/>
      <c r="J132" s="655"/>
      <c r="K132" s="655"/>
      <c r="L132" s="655"/>
      <c r="M132" s="655"/>
      <c r="N132" s="655"/>
      <c r="O132" s="655"/>
      <c r="P132" s="458"/>
      <c r="Q132" s="458"/>
      <c r="R132" s="458"/>
      <c r="S132" s="458"/>
      <c r="T132" s="458"/>
      <c r="U132" s="458"/>
      <c r="V132" s="458"/>
      <c r="W132" s="706"/>
      <c r="X132" s="706"/>
      <c r="Y132" s="706"/>
      <c r="Z132" s="673"/>
      <c r="AA132" s="673"/>
      <c r="AB132" s="673"/>
      <c r="AC132" s="673"/>
      <c r="AD132" s="673"/>
      <c r="AE132" s="673"/>
      <c r="AF132" s="673"/>
      <c r="AG132" s="673"/>
      <c r="AH132" s="673"/>
      <c r="AI132" s="673"/>
      <c r="AJ132" s="673"/>
      <c r="AK132" s="673"/>
      <c r="AL132" s="689"/>
      <c r="AM132" s="458"/>
      <c r="AN132" s="458"/>
      <c r="AO132" s="458"/>
      <c r="AP132" s="458"/>
      <c r="AQ132" s="458"/>
      <c r="AR132" s="458"/>
      <c r="AS132" s="458"/>
      <c r="AT132" s="458"/>
      <c r="AU132" s="458"/>
      <c r="AV132" s="458"/>
      <c r="AW132" s="458"/>
      <c r="AX132" s="671"/>
      <c r="AY132" s="671"/>
      <c r="AZ132" s="671"/>
      <c r="BA132" s="671"/>
      <c r="BB132" s="671"/>
      <c r="BC132" s="671"/>
      <c r="BD132" s="671"/>
      <c r="BE132" s="671"/>
      <c r="BF132" s="671"/>
      <c r="BG132" s="671"/>
      <c r="BH132" s="671"/>
      <c r="BI132" s="671"/>
    </row>
    <row r="133" spans="2:61" s="688" customFormat="1">
      <c r="B133" s="458"/>
      <c r="C133" s="458"/>
      <c r="D133" s="458"/>
      <c r="E133" s="655"/>
      <c r="F133" s="655"/>
      <c r="G133" s="655"/>
      <c r="H133" s="655"/>
      <c r="I133" s="655"/>
      <c r="J133" s="655"/>
      <c r="K133" s="655"/>
      <c r="L133" s="655"/>
      <c r="M133" s="655"/>
      <c r="N133" s="655"/>
      <c r="O133" s="655"/>
      <c r="P133" s="458"/>
      <c r="Q133" s="458"/>
      <c r="R133" s="458"/>
      <c r="S133" s="458"/>
      <c r="T133" s="458"/>
      <c r="W133" s="715"/>
      <c r="X133" s="715"/>
      <c r="Y133" s="715"/>
      <c r="AM133" s="458"/>
      <c r="AN133" s="458"/>
      <c r="AO133" s="458"/>
      <c r="AP133" s="458"/>
      <c r="AQ133" s="458"/>
      <c r="AR133" s="458"/>
      <c r="AS133" s="458"/>
      <c r="AT133" s="458"/>
      <c r="AU133" s="458"/>
      <c r="AV133" s="458"/>
      <c r="AW133" s="458"/>
      <c r="AX133" s="671"/>
      <c r="AY133" s="671"/>
      <c r="AZ133" s="671"/>
      <c r="BA133" s="671"/>
      <c r="BB133" s="671"/>
      <c r="BC133" s="671"/>
      <c r="BD133" s="671"/>
      <c r="BE133" s="671"/>
      <c r="BF133" s="671"/>
      <c r="BG133" s="671"/>
      <c r="BH133" s="671"/>
      <c r="BI133" s="671"/>
    </row>
    <row r="134" spans="2:61" ht="6" customHeight="1">
      <c r="U134" s="139"/>
      <c r="V134" s="139"/>
      <c r="W134" s="714"/>
      <c r="X134" s="714"/>
      <c r="Y134" s="714"/>
      <c r="Z134" s="139"/>
      <c r="AA134" s="139"/>
      <c r="AB134" s="139"/>
      <c r="AC134" s="139"/>
      <c r="AD134" s="139"/>
      <c r="AE134" s="139"/>
      <c r="AF134" s="139"/>
      <c r="AG134" s="139"/>
      <c r="AH134" s="139"/>
      <c r="AI134" s="139"/>
      <c r="AJ134" s="139"/>
      <c r="AK134" s="139"/>
      <c r="AL134" s="139"/>
      <c r="AM134" s="458"/>
      <c r="AN134" s="458"/>
      <c r="AO134" s="458"/>
      <c r="AP134" s="458"/>
      <c r="AQ134" s="458"/>
      <c r="AR134" s="458"/>
      <c r="AS134" s="458"/>
      <c r="AT134" s="458"/>
      <c r="AU134" s="458"/>
      <c r="AV134" s="458"/>
      <c r="AW134" s="458"/>
    </row>
    <row r="135" spans="2:61">
      <c r="U135" s="139"/>
      <c r="V135" s="139"/>
      <c r="W135" s="714"/>
      <c r="X135" s="714"/>
      <c r="Y135" s="714"/>
      <c r="Z135" s="139"/>
      <c r="AA135" s="139"/>
      <c r="AB135" s="139"/>
      <c r="AC135" s="139"/>
      <c r="AD135" s="139"/>
      <c r="AE135" s="139"/>
      <c r="AF135" s="139"/>
      <c r="AG135" s="139"/>
      <c r="AH135" s="139"/>
      <c r="AI135" s="139"/>
      <c r="AJ135" s="139"/>
      <c r="AK135" s="139"/>
      <c r="AL135" s="139"/>
      <c r="AM135" s="458"/>
      <c r="AN135" s="458"/>
      <c r="AO135" s="458"/>
      <c r="AP135" s="458"/>
      <c r="AQ135" s="458"/>
      <c r="AR135" s="458"/>
      <c r="AS135" s="458"/>
      <c r="AT135" s="458"/>
      <c r="AU135" s="458"/>
      <c r="AV135" s="458"/>
      <c r="AW135" s="458"/>
    </row>
    <row r="136" spans="2:61" ht="6" customHeight="1">
      <c r="U136" s="139"/>
      <c r="V136" s="139"/>
      <c r="W136" s="714"/>
      <c r="X136" s="714"/>
      <c r="Y136" s="714"/>
      <c r="Z136" s="139"/>
      <c r="AA136" s="139"/>
      <c r="AB136" s="139"/>
      <c r="AC136" s="139"/>
      <c r="AD136" s="139"/>
      <c r="AE136" s="139"/>
      <c r="AF136" s="139"/>
      <c r="AG136" s="139"/>
      <c r="AH136" s="139"/>
      <c r="AI136" s="139"/>
      <c r="AJ136" s="139"/>
      <c r="AK136" s="139"/>
      <c r="AL136" s="139"/>
      <c r="AN136" s="691"/>
      <c r="AP136" s="692"/>
      <c r="AQ136" s="693"/>
      <c r="AR136" s="693"/>
      <c r="AS136" s="693"/>
      <c r="AT136" s="673"/>
      <c r="AU136" s="458"/>
    </row>
    <row r="137" spans="2:61">
      <c r="U137" s="139"/>
      <c r="V137" s="139"/>
      <c r="W137" s="714"/>
      <c r="X137" s="714"/>
      <c r="Y137" s="714"/>
      <c r="Z137" s="139"/>
      <c r="AA137" s="139"/>
      <c r="AB137" s="139"/>
      <c r="AC137" s="139"/>
      <c r="AD137" s="139"/>
      <c r="AE137" s="139"/>
      <c r="AF137" s="139"/>
      <c r="AG137" s="139"/>
      <c r="AH137" s="139"/>
      <c r="AI137" s="139"/>
      <c r="AJ137" s="139"/>
      <c r="AK137" s="139"/>
      <c r="AL137" s="139"/>
      <c r="AN137" s="691"/>
      <c r="AP137" s="692"/>
      <c r="AQ137" s="693"/>
      <c r="AR137" s="693"/>
      <c r="AS137" s="693"/>
      <c r="AT137" s="673"/>
      <c r="AU137" s="458"/>
    </row>
    <row r="138" spans="2:61">
      <c r="U138" s="139"/>
      <c r="V138" s="139"/>
      <c r="W138" s="714"/>
      <c r="X138" s="714"/>
      <c r="Y138" s="714"/>
      <c r="Z138" s="139"/>
      <c r="AA138" s="139"/>
      <c r="AB138" s="139"/>
      <c r="AC138" s="139"/>
      <c r="AD138" s="139"/>
      <c r="AE138" s="139"/>
      <c r="AF138" s="139"/>
      <c r="AG138" s="139"/>
      <c r="AH138" s="139"/>
      <c r="AI138" s="139"/>
      <c r="AJ138" s="139"/>
      <c r="AK138" s="139"/>
      <c r="AL138" s="139"/>
      <c r="AT138" s="458"/>
      <c r="AU138" s="458"/>
    </row>
    <row r="139" spans="2:61">
      <c r="U139" s="139"/>
      <c r="V139" s="139"/>
      <c r="W139" s="714"/>
      <c r="X139" s="714"/>
      <c r="Y139" s="714"/>
      <c r="Z139" s="139"/>
      <c r="AA139" s="139"/>
      <c r="AB139" s="139"/>
      <c r="AC139" s="139"/>
      <c r="AD139" s="139"/>
      <c r="AE139" s="139"/>
      <c r="AF139" s="139"/>
      <c r="AG139" s="139"/>
      <c r="AH139" s="139"/>
      <c r="AI139" s="139"/>
      <c r="AJ139" s="139"/>
      <c r="AK139" s="139"/>
      <c r="AL139" s="139"/>
      <c r="AT139" s="458"/>
      <c r="AU139" s="458"/>
    </row>
    <row r="140" spans="2:61">
      <c r="U140" s="139"/>
      <c r="V140" s="139"/>
      <c r="W140" s="714"/>
      <c r="X140" s="714"/>
      <c r="Y140" s="714"/>
      <c r="Z140" s="139"/>
      <c r="AA140" s="139"/>
      <c r="AB140" s="139"/>
      <c r="AC140" s="139"/>
      <c r="AD140" s="139"/>
      <c r="AE140" s="139"/>
      <c r="AF140" s="139"/>
      <c r="AG140" s="139"/>
      <c r="AH140" s="139"/>
      <c r="AI140" s="139"/>
      <c r="AJ140" s="139"/>
      <c r="AK140" s="139"/>
      <c r="AL140" s="139"/>
      <c r="AT140" s="458"/>
      <c r="AU140" s="458"/>
    </row>
    <row r="141" spans="2:61">
      <c r="U141" s="139"/>
      <c r="V141" s="139"/>
      <c r="W141" s="714"/>
      <c r="X141" s="714"/>
      <c r="Y141" s="714"/>
      <c r="Z141" s="139"/>
      <c r="AA141" s="139"/>
      <c r="AB141" s="139"/>
      <c r="AC141" s="139"/>
      <c r="AD141" s="139"/>
      <c r="AE141" s="139"/>
      <c r="AF141" s="139"/>
      <c r="AG141" s="139"/>
      <c r="AH141" s="139"/>
      <c r="AI141" s="139"/>
      <c r="AJ141" s="139"/>
      <c r="AK141" s="139"/>
      <c r="AL141" s="139"/>
      <c r="AT141" s="458"/>
      <c r="AU141" s="458"/>
    </row>
    <row r="142" spans="2:61">
      <c r="U142" s="139"/>
      <c r="V142" s="139"/>
      <c r="W142" s="714"/>
      <c r="X142" s="714"/>
      <c r="Y142" s="714"/>
      <c r="Z142" s="139"/>
      <c r="AA142" s="139"/>
      <c r="AB142" s="139"/>
      <c r="AC142" s="139"/>
      <c r="AD142" s="139"/>
      <c r="AE142" s="139"/>
      <c r="AF142" s="139"/>
      <c r="AG142" s="139"/>
      <c r="AH142" s="139"/>
      <c r="AI142" s="139"/>
      <c r="AJ142" s="139"/>
      <c r="AK142" s="139"/>
      <c r="AL142" s="139"/>
      <c r="AN142" s="689"/>
      <c r="AO142" s="1175"/>
      <c r="AP142" s="1175"/>
      <c r="AQ142" s="1175"/>
      <c r="AR142" s="1175"/>
    </row>
    <row r="143" spans="2:61">
      <c r="U143" s="139"/>
      <c r="V143" s="139"/>
      <c r="W143" s="714"/>
      <c r="X143" s="714"/>
      <c r="Y143" s="714"/>
      <c r="Z143" s="139"/>
      <c r="AA143" s="139"/>
      <c r="AB143" s="139"/>
      <c r="AC143" s="139"/>
      <c r="AD143" s="139"/>
      <c r="AE143" s="139"/>
      <c r="AF143" s="139"/>
      <c r="AG143" s="139"/>
      <c r="AH143" s="139"/>
      <c r="AI143" s="139"/>
      <c r="AJ143" s="139"/>
      <c r="AK143" s="139"/>
      <c r="AL143" s="139"/>
      <c r="AN143" s="689"/>
      <c r="AO143" s="1175"/>
      <c r="AP143" s="1175"/>
      <c r="AQ143" s="1175"/>
      <c r="AR143" s="1175"/>
    </row>
    <row r="144" spans="2:61">
      <c r="U144" s="139"/>
      <c r="V144" s="139"/>
      <c r="W144" s="714"/>
      <c r="X144" s="714"/>
      <c r="Y144" s="714"/>
      <c r="Z144" s="139"/>
      <c r="AA144" s="139"/>
      <c r="AB144" s="139"/>
      <c r="AC144" s="139"/>
      <c r="AD144" s="139"/>
      <c r="AE144" s="139"/>
      <c r="AF144" s="139"/>
      <c r="AG144" s="139"/>
      <c r="AH144" s="139"/>
      <c r="AI144" s="139"/>
      <c r="AJ144" s="139"/>
      <c r="AK144" s="139"/>
      <c r="AL144" s="139"/>
      <c r="AN144" s="689"/>
      <c r="AO144" s="1175"/>
      <c r="AP144" s="1175"/>
      <c r="AQ144" s="1175"/>
      <c r="AR144" s="1175"/>
    </row>
    <row r="145" spans="11:44">
      <c r="U145" s="139"/>
      <c r="V145" s="139"/>
      <c r="W145" s="714"/>
      <c r="X145" s="714"/>
      <c r="Y145" s="714"/>
      <c r="Z145" s="139"/>
      <c r="AA145" s="139"/>
      <c r="AB145" s="139"/>
      <c r="AC145" s="139"/>
      <c r="AD145" s="139"/>
      <c r="AE145" s="139"/>
      <c r="AF145" s="139"/>
      <c r="AG145" s="139"/>
      <c r="AH145" s="139"/>
      <c r="AI145" s="139"/>
      <c r="AJ145" s="139"/>
      <c r="AK145" s="139"/>
      <c r="AL145" s="139"/>
      <c r="AN145" s="689"/>
      <c r="AO145" s="1175"/>
      <c r="AP145" s="1175"/>
      <c r="AQ145" s="1175"/>
      <c r="AR145" s="1175"/>
    </row>
    <row r="146" spans="11:44">
      <c r="U146" s="139"/>
      <c r="V146" s="139"/>
      <c r="W146" s="714"/>
      <c r="X146" s="714"/>
      <c r="Y146" s="714"/>
      <c r="Z146" s="139"/>
      <c r="AA146" s="139"/>
      <c r="AB146" s="139"/>
      <c r="AC146" s="139"/>
      <c r="AD146" s="139"/>
      <c r="AE146" s="139"/>
      <c r="AF146" s="139"/>
      <c r="AG146" s="139"/>
      <c r="AH146" s="139"/>
      <c r="AI146" s="139"/>
      <c r="AJ146" s="139"/>
      <c r="AK146" s="139"/>
      <c r="AL146" s="139"/>
      <c r="AN146" s="689"/>
      <c r="AO146" s="1175"/>
      <c r="AP146" s="1175"/>
      <c r="AQ146" s="1175"/>
      <c r="AR146" s="1175"/>
    </row>
    <row r="147" spans="11:44">
      <c r="U147" s="139"/>
      <c r="V147" s="139"/>
      <c r="W147" s="714"/>
      <c r="X147" s="714"/>
      <c r="Y147" s="714"/>
      <c r="Z147" s="139"/>
      <c r="AA147" s="139"/>
      <c r="AB147" s="139"/>
      <c r="AC147" s="139"/>
      <c r="AD147" s="139"/>
      <c r="AE147" s="139"/>
      <c r="AF147" s="139"/>
      <c r="AG147" s="139"/>
      <c r="AH147" s="139"/>
      <c r="AI147" s="139"/>
      <c r="AJ147" s="139"/>
      <c r="AK147" s="139"/>
      <c r="AL147" s="139"/>
      <c r="AN147" s="689"/>
      <c r="AO147" s="1175"/>
      <c r="AP147" s="1175"/>
      <c r="AQ147" s="1175"/>
      <c r="AR147" s="1175"/>
    </row>
    <row r="148" spans="11:44">
      <c r="U148" s="139"/>
      <c r="V148" s="139"/>
      <c r="W148" s="714"/>
      <c r="X148" s="714"/>
      <c r="Y148" s="714"/>
      <c r="Z148" s="139"/>
      <c r="AA148" s="139"/>
      <c r="AB148" s="139"/>
      <c r="AC148" s="139"/>
      <c r="AD148" s="139"/>
      <c r="AE148" s="139"/>
      <c r="AF148" s="139"/>
      <c r="AG148" s="139"/>
      <c r="AH148" s="139"/>
      <c r="AI148" s="139"/>
      <c r="AJ148" s="139"/>
      <c r="AK148" s="139"/>
      <c r="AL148" s="139"/>
      <c r="AN148" s="689"/>
      <c r="AO148" s="1175"/>
      <c r="AP148" s="1175"/>
      <c r="AQ148" s="1175"/>
      <c r="AR148" s="1175"/>
    </row>
    <row r="149" spans="11:44">
      <c r="U149" s="139"/>
      <c r="V149" s="139"/>
      <c r="W149" s="714"/>
      <c r="X149" s="714"/>
      <c r="Y149" s="714"/>
      <c r="Z149" s="139"/>
      <c r="AA149" s="139"/>
      <c r="AB149" s="139"/>
      <c r="AC149" s="139"/>
      <c r="AD149" s="139"/>
      <c r="AE149" s="139"/>
      <c r="AF149" s="139"/>
      <c r="AG149" s="139"/>
      <c r="AH149" s="139"/>
      <c r="AI149" s="139"/>
      <c r="AJ149" s="139"/>
      <c r="AK149" s="139"/>
      <c r="AL149" s="139"/>
      <c r="AN149" s="689"/>
      <c r="AO149" s="1175"/>
      <c r="AP149" s="1175"/>
      <c r="AQ149" s="1175"/>
      <c r="AR149" s="1175"/>
    </row>
    <row r="150" spans="11:44">
      <c r="U150" s="139"/>
      <c r="V150" s="139"/>
      <c r="W150" s="714"/>
      <c r="X150" s="714"/>
      <c r="Y150" s="714"/>
      <c r="Z150" s="139"/>
      <c r="AA150" s="139"/>
      <c r="AB150" s="139"/>
      <c r="AC150" s="139"/>
      <c r="AD150" s="139"/>
      <c r="AE150" s="139"/>
      <c r="AF150" s="139"/>
      <c r="AG150" s="139"/>
      <c r="AH150" s="139"/>
      <c r="AI150" s="139"/>
      <c r="AJ150" s="139"/>
      <c r="AK150" s="139"/>
      <c r="AL150" s="139"/>
      <c r="AN150" s="689"/>
      <c r="AO150" s="1175"/>
      <c r="AP150" s="1175"/>
      <c r="AQ150" s="1175"/>
      <c r="AR150" s="1175"/>
    </row>
    <row r="151" spans="11:44">
      <c r="U151" s="688"/>
      <c r="V151" s="688"/>
      <c r="W151" s="715"/>
      <c r="X151" s="715"/>
      <c r="Y151" s="715"/>
      <c r="Z151" s="688"/>
      <c r="AA151" s="688"/>
      <c r="AB151" s="688"/>
      <c r="AC151" s="688"/>
      <c r="AD151" s="688"/>
      <c r="AE151" s="688"/>
      <c r="AF151" s="688"/>
      <c r="AG151" s="688"/>
      <c r="AH151" s="688"/>
      <c r="AI151" s="688"/>
      <c r="AJ151" s="688"/>
      <c r="AK151" s="688"/>
      <c r="AL151" s="688"/>
      <c r="AN151" s="689"/>
      <c r="AO151" s="1175"/>
      <c r="AP151" s="1175"/>
      <c r="AQ151" s="1175"/>
      <c r="AR151" s="1175"/>
    </row>
    <row r="152" spans="11:44">
      <c r="U152" s="139"/>
      <c r="V152" s="139"/>
      <c r="W152" s="714"/>
      <c r="X152" s="714"/>
      <c r="Y152" s="714"/>
      <c r="Z152" s="139"/>
      <c r="AA152" s="139"/>
      <c r="AB152" s="139"/>
      <c r="AC152" s="139"/>
      <c r="AD152" s="139"/>
      <c r="AE152" s="139"/>
      <c r="AF152" s="139"/>
      <c r="AG152" s="139"/>
      <c r="AH152" s="139"/>
      <c r="AI152" s="139"/>
      <c r="AJ152" s="139"/>
      <c r="AK152" s="139"/>
      <c r="AL152" s="139"/>
      <c r="AN152" s="689"/>
      <c r="AO152" s="1175"/>
      <c r="AP152" s="1175"/>
      <c r="AQ152" s="1175"/>
      <c r="AR152" s="1175"/>
    </row>
    <row r="153" spans="11:44">
      <c r="K153" s="674"/>
      <c r="L153" s="674"/>
      <c r="M153" s="674"/>
      <c r="U153" s="139"/>
      <c r="V153" s="139"/>
      <c r="W153" s="714"/>
      <c r="X153" s="714"/>
      <c r="Y153" s="714"/>
      <c r="Z153" s="139"/>
      <c r="AA153" s="139"/>
      <c r="AB153" s="139"/>
      <c r="AC153" s="139"/>
      <c r="AD153" s="139"/>
      <c r="AE153" s="139"/>
      <c r="AF153" s="139"/>
      <c r="AG153" s="139"/>
      <c r="AH153" s="139"/>
      <c r="AI153" s="139"/>
      <c r="AJ153" s="139"/>
      <c r="AK153" s="139"/>
      <c r="AL153" s="139"/>
      <c r="AN153" s="689"/>
      <c r="AO153" s="1175"/>
      <c r="AP153" s="1175"/>
      <c r="AQ153" s="1175"/>
      <c r="AR153" s="1175"/>
    </row>
    <row r="154" spans="11:44">
      <c r="P154" s="673"/>
      <c r="Q154" s="673"/>
      <c r="U154" s="139"/>
      <c r="V154" s="139"/>
      <c r="W154" s="714"/>
      <c r="X154" s="714"/>
      <c r="Y154" s="714"/>
      <c r="Z154" s="139"/>
      <c r="AA154" s="139"/>
      <c r="AB154" s="139"/>
      <c r="AC154" s="139"/>
      <c r="AD154" s="139"/>
      <c r="AE154" s="139"/>
      <c r="AF154" s="139"/>
      <c r="AG154" s="139"/>
      <c r="AH154" s="139"/>
      <c r="AI154" s="139"/>
      <c r="AJ154" s="139"/>
      <c r="AK154" s="139"/>
      <c r="AL154" s="139"/>
      <c r="AN154" s="689"/>
      <c r="AO154" s="1175"/>
      <c r="AP154" s="1175"/>
      <c r="AQ154" s="1175"/>
      <c r="AR154" s="1175"/>
    </row>
    <row r="155" spans="11:44">
      <c r="P155" s="673"/>
      <c r="Q155" s="673"/>
      <c r="U155" s="688"/>
      <c r="V155" s="688"/>
      <c r="W155" s="715"/>
      <c r="X155" s="715"/>
      <c r="Y155" s="715"/>
      <c r="Z155" s="688"/>
      <c r="AA155" s="688"/>
      <c r="AB155" s="688"/>
      <c r="AC155" s="688"/>
      <c r="AD155" s="688"/>
      <c r="AE155" s="688"/>
      <c r="AF155" s="688"/>
      <c r="AG155" s="688"/>
      <c r="AH155" s="688"/>
      <c r="AI155" s="688"/>
      <c r="AJ155" s="688"/>
      <c r="AK155" s="688"/>
      <c r="AL155" s="688"/>
      <c r="AN155" s="689"/>
      <c r="AO155" s="1175"/>
      <c r="AP155" s="1175"/>
      <c r="AQ155" s="1175"/>
      <c r="AR155" s="1175"/>
    </row>
    <row r="156" spans="11:44">
      <c r="L156" s="675"/>
      <c r="M156" s="675"/>
      <c r="R156" s="676"/>
      <c r="S156" s="676"/>
      <c r="T156" s="676"/>
      <c r="U156" s="688"/>
      <c r="V156" s="688"/>
      <c r="W156" s="715"/>
      <c r="X156" s="715"/>
      <c r="Y156" s="715"/>
      <c r="Z156" s="688"/>
      <c r="AA156" s="688"/>
      <c r="AB156" s="688"/>
      <c r="AC156" s="688"/>
      <c r="AD156" s="688"/>
      <c r="AE156" s="688"/>
      <c r="AF156" s="688"/>
      <c r="AG156" s="688"/>
      <c r="AH156" s="688"/>
      <c r="AI156" s="688"/>
      <c r="AJ156" s="688"/>
      <c r="AK156" s="688"/>
      <c r="AL156" s="688"/>
      <c r="AN156" s="689"/>
      <c r="AO156" s="1175"/>
      <c r="AP156" s="1175"/>
      <c r="AQ156" s="1175"/>
      <c r="AR156" s="1175"/>
    </row>
    <row r="157" spans="11:44">
      <c r="L157" s="675"/>
      <c r="M157" s="675"/>
      <c r="R157" s="676"/>
      <c r="S157" s="676"/>
      <c r="T157" s="676"/>
      <c r="U157" s="688"/>
      <c r="V157" s="688"/>
      <c r="W157" s="715"/>
      <c r="X157" s="715"/>
      <c r="Y157" s="715"/>
      <c r="Z157" s="688"/>
      <c r="AA157" s="688"/>
      <c r="AB157" s="688"/>
      <c r="AC157" s="139"/>
      <c r="AD157" s="139"/>
      <c r="AE157" s="139"/>
      <c r="AF157" s="688"/>
      <c r="AG157" s="688"/>
      <c r="AH157" s="688"/>
      <c r="AI157" s="688"/>
      <c r="AJ157" s="688"/>
      <c r="AK157" s="688"/>
      <c r="AL157" s="688"/>
    </row>
    <row r="158" spans="11:44">
      <c r="L158" s="675"/>
      <c r="M158" s="675"/>
      <c r="R158" s="676"/>
      <c r="S158" s="676"/>
      <c r="T158" s="676"/>
      <c r="U158" s="688"/>
      <c r="V158" s="688"/>
      <c r="W158" s="714"/>
      <c r="X158" s="714"/>
      <c r="Y158" s="714"/>
      <c r="Z158" s="688"/>
      <c r="AA158" s="688"/>
      <c r="AB158" s="688"/>
      <c r="AC158" s="139"/>
      <c r="AD158" s="139"/>
      <c r="AE158" s="139"/>
      <c r="AF158" s="402"/>
      <c r="AG158" s="688"/>
      <c r="AH158" s="688"/>
      <c r="AI158" s="139"/>
      <c r="AJ158" s="139"/>
      <c r="AK158" s="139"/>
      <c r="AL158" s="688"/>
    </row>
    <row r="159" spans="11:44">
      <c r="U159" s="688"/>
      <c r="V159" s="688"/>
      <c r="W159" s="714"/>
      <c r="X159" s="714"/>
      <c r="Y159" s="714"/>
      <c r="Z159" s="688"/>
      <c r="AA159" s="688"/>
      <c r="AB159" s="688"/>
      <c r="AC159" s="139"/>
      <c r="AD159" s="139"/>
      <c r="AE159" s="139"/>
      <c r="AF159" s="402"/>
      <c r="AG159" s="688"/>
      <c r="AH159" s="688"/>
      <c r="AI159" s="139"/>
      <c r="AJ159" s="139"/>
      <c r="AK159" s="139"/>
      <c r="AL159" s="688"/>
    </row>
    <row r="160" spans="11:44">
      <c r="K160" s="675"/>
      <c r="P160" s="677"/>
      <c r="Q160" s="676"/>
      <c r="R160" s="678"/>
      <c r="S160" s="678"/>
      <c r="U160" s="688"/>
      <c r="V160" s="688"/>
      <c r="W160" s="714"/>
      <c r="X160" s="714"/>
      <c r="Y160" s="714"/>
      <c r="Z160" s="688"/>
      <c r="AA160" s="688"/>
      <c r="AB160" s="688"/>
      <c r="AC160" s="139"/>
      <c r="AD160" s="139"/>
      <c r="AE160" s="139"/>
      <c r="AF160" s="667"/>
      <c r="AG160" s="688"/>
      <c r="AH160" s="688"/>
      <c r="AI160" s="139"/>
      <c r="AJ160" s="139"/>
      <c r="AK160" s="139"/>
      <c r="AL160" s="688"/>
    </row>
    <row r="161" spans="3:38">
      <c r="U161" s="688"/>
      <c r="V161" s="688"/>
      <c r="W161" s="714"/>
      <c r="X161" s="714"/>
      <c r="Y161" s="714"/>
      <c r="Z161" s="688"/>
      <c r="AA161" s="688"/>
      <c r="AB161" s="688"/>
      <c r="AC161" s="139"/>
      <c r="AD161" s="139"/>
      <c r="AE161" s="139"/>
      <c r="AF161" s="402"/>
      <c r="AG161" s="688"/>
      <c r="AH161" s="688"/>
      <c r="AI161" s="688"/>
      <c r="AJ161" s="688"/>
      <c r="AK161" s="688"/>
      <c r="AL161" s="688"/>
    </row>
    <row r="162" spans="3:38">
      <c r="K162" s="675"/>
      <c r="P162" s="677"/>
      <c r="U162" s="688"/>
      <c r="V162" s="688"/>
      <c r="W162" s="714"/>
      <c r="X162" s="714"/>
      <c r="Y162" s="714"/>
      <c r="Z162" s="688"/>
      <c r="AA162" s="688"/>
      <c r="AB162" s="688"/>
      <c r="AC162" s="688"/>
      <c r="AD162" s="688"/>
      <c r="AE162" s="688"/>
      <c r="AF162" s="402"/>
      <c r="AG162" s="688"/>
      <c r="AH162" s="688"/>
      <c r="AI162" s="688"/>
      <c r="AJ162" s="688"/>
      <c r="AK162" s="688"/>
      <c r="AL162" s="688"/>
    </row>
    <row r="163" spans="3:38">
      <c r="H163" s="679"/>
      <c r="U163" s="688"/>
      <c r="V163" s="688"/>
      <c r="W163" s="715"/>
      <c r="X163" s="715"/>
      <c r="Y163" s="715"/>
      <c r="Z163" s="688"/>
      <c r="AA163" s="688"/>
      <c r="AB163" s="688"/>
      <c r="AC163" s="139"/>
      <c r="AD163" s="139"/>
      <c r="AE163" s="139"/>
      <c r="AF163" s="688"/>
      <c r="AG163" s="688"/>
      <c r="AH163" s="688"/>
      <c r="AI163" s="688"/>
      <c r="AJ163" s="688"/>
      <c r="AK163" s="688"/>
      <c r="AL163" s="688"/>
    </row>
    <row r="164" spans="3:38">
      <c r="H164" s="679"/>
      <c r="J164" s="675"/>
      <c r="K164" s="675"/>
      <c r="U164" s="688"/>
      <c r="V164" s="688"/>
      <c r="W164" s="715"/>
      <c r="X164" s="715"/>
      <c r="Y164" s="715"/>
      <c r="Z164" s="688"/>
      <c r="AA164" s="688"/>
      <c r="AB164" s="688"/>
      <c r="AC164" s="688"/>
      <c r="AD164" s="688"/>
      <c r="AE164" s="688"/>
      <c r="AF164" s="688"/>
      <c r="AG164" s="688"/>
      <c r="AH164" s="688"/>
      <c r="AI164" s="688"/>
      <c r="AJ164" s="688"/>
      <c r="AK164" s="688"/>
      <c r="AL164" s="688"/>
    </row>
    <row r="165" spans="3:38">
      <c r="H165" s="679"/>
      <c r="J165" s="675"/>
      <c r="K165" s="675"/>
      <c r="Z165" s="458"/>
      <c r="AA165" s="458"/>
      <c r="AB165" s="458"/>
      <c r="AC165" s="458"/>
      <c r="AD165" s="458"/>
      <c r="AE165" s="458"/>
      <c r="AF165" s="458"/>
      <c r="AG165" s="458"/>
      <c r="AH165" s="458"/>
      <c r="AI165" s="458"/>
      <c r="AJ165" s="458"/>
      <c r="AK165" s="458"/>
      <c r="AL165" s="458"/>
    </row>
    <row r="166" spans="3:38">
      <c r="H166" s="679"/>
      <c r="Z166" s="458"/>
    </row>
    <row r="167" spans="3:38">
      <c r="H167" s="679"/>
      <c r="V167" s="673"/>
      <c r="Z167" s="458"/>
    </row>
    <row r="168" spans="3:38">
      <c r="C168" s="673"/>
      <c r="D168" s="680"/>
      <c r="E168" s="679"/>
      <c r="F168" s="679"/>
      <c r="G168" s="679"/>
      <c r="H168" s="679"/>
      <c r="V168" s="673"/>
      <c r="Z168" s="458"/>
    </row>
    <row r="169" spans="3:38">
      <c r="C169" s="673"/>
      <c r="D169" s="680"/>
      <c r="E169" s="679"/>
      <c r="F169" s="679"/>
      <c r="G169" s="679"/>
      <c r="H169" s="679"/>
      <c r="V169" s="673"/>
      <c r="Z169" s="458"/>
    </row>
    <row r="170" spans="3:38">
      <c r="H170" s="679"/>
      <c r="V170" s="673"/>
      <c r="Z170" s="458"/>
    </row>
    <row r="171" spans="3:38">
      <c r="H171" s="679"/>
      <c r="V171" s="673"/>
      <c r="Z171" s="458"/>
    </row>
    <row r="172" spans="3:38">
      <c r="H172" s="679"/>
      <c r="V172" s="673"/>
      <c r="Z172" s="458"/>
    </row>
    <row r="173" spans="3:38">
      <c r="H173" s="679"/>
      <c r="V173" s="673"/>
      <c r="Z173" s="458"/>
    </row>
    <row r="174" spans="3:38">
      <c r="H174" s="679"/>
      <c r="V174" s="673"/>
      <c r="Z174" s="458"/>
    </row>
    <row r="175" spans="3:38">
      <c r="H175" s="679"/>
      <c r="V175" s="673"/>
      <c r="Z175" s="458"/>
    </row>
    <row r="176" spans="3:38">
      <c r="H176" s="679"/>
      <c r="V176" s="673"/>
      <c r="Z176" s="458"/>
    </row>
    <row r="177" spans="8:26">
      <c r="H177" s="679"/>
      <c r="V177" s="673"/>
      <c r="Z177" s="458"/>
    </row>
    <row r="178" spans="8:26">
      <c r="H178" s="679"/>
      <c r="V178" s="673"/>
      <c r="Z178" s="458"/>
    </row>
    <row r="179" spans="8:26">
      <c r="H179" s="679"/>
      <c r="V179" s="673"/>
      <c r="Z179" s="458"/>
    </row>
    <row r="180" spans="8:26">
      <c r="H180" s="679"/>
      <c r="V180" s="673"/>
      <c r="Z180" s="458"/>
    </row>
    <row r="181" spans="8:26">
      <c r="H181" s="679"/>
      <c r="V181" s="673"/>
      <c r="Z181" s="458"/>
    </row>
    <row r="182" spans="8:26">
      <c r="H182" s="679"/>
      <c r="V182" s="673"/>
      <c r="Z182" s="458"/>
    </row>
    <row r="183" spans="8:26">
      <c r="H183" s="679"/>
      <c r="V183" s="673"/>
      <c r="Z183" s="458"/>
    </row>
    <row r="184" spans="8:26">
      <c r="H184" s="679"/>
      <c r="V184" s="673"/>
      <c r="Z184" s="458"/>
    </row>
    <row r="185" spans="8:26">
      <c r="H185" s="679"/>
      <c r="V185" s="673"/>
      <c r="Z185" s="458"/>
    </row>
    <row r="186" spans="8:26">
      <c r="H186" s="679"/>
      <c r="V186" s="673"/>
      <c r="Z186" s="458"/>
    </row>
    <row r="187" spans="8:26">
      <c r="H187" s="679"/>
      <c r="V187" s="673"/>
      <c r="Z187" s="458"/>
    </row>
    <row r="188" spans="8:26">
      <c r="H188" s="679"/>
      <c r="V188" s="673"/>
      <c r="Z188" s="458"/>
    </row>
    <row r="189" spans="8:26">
      <c r="H189" s="679"/>
      <c r="V189" s="673"/>
      <c r="Z189" s="458"/>
    </row>
    <row r="190" spans="8:26">
      <c r="H190" s="679"/>
      <c r="V190" s="673"/>
      <c r="Z190" s="458"/>
    </row>
    <row r="191" spans="8:26">
      <c r="H191" s="679"/>
      <c r="V191" s="673"/>
      <c r="Z191" s="458"/>
    </row>
    <row r="192" spans="8:26">
      <c r="H192" s="679"/>
      <c r="V192" s="673"/>
      <c r="Z192" s="458"/>
    </row>
    <row r="193" spans="1:26">
      <c r="H193" s="679"/>
      <c r="V193" s="673"/>
      <c r="Z193" s="458"/>
    </row>
    <row r="194" spans="1:26">
      <c r="H194" s="679"/>
      <c r="V194" s="673"/>
      <c r="Z194" s="458"/>
    </row>
    <row r="195" spans="1:26">
      <c r="V195" s="673"/>
      <c r="Z195" s="458"/>
    </row>
    <row r="196" spans="1:26">
      <c r="V196" s="673"/>
      <c r="Z196" s="458"/>
    </row>
    <row r="197" spans="1:26">
      <c r="V197" s="673"/>
      <c r="Z197" s="458"/>
    </row>
    <row r="198" spans="1:26">
      <c r="V198" s="673"/>
      <c r="Z198" s="458"/>
    </row>
    <row r="199" spans="1:26">
      <c r="C199" s="673"/>
      <c r="D199" s="673"/>
      <c r="V199" s="673"/>
      <c r="Z199" s="458"/>
    </row>
    <row r="200" spans="1:26">
      <c r="C200" s="673"/>
      <c r="D200" s="673"/>
      <c r="V200" s="673"/>
      <c r="Z200" s="458"/>
    </row>
    <row r="201" spans="1:26">
      <c r="C201" s="673"/>
      <c r="D201" s="673"/>
      <c r="V201" s="673"/>
      <c r="Z201" s="458"/>
    </row>
    <row r="202" spans="1:26">
      <c r="V202" s="673"/>
      <c r="Z202" s="458"/>
    </row>
    <row r="203" spans="1:26">
      <c r="A203" s="648"/>
      <c r="B203" s="673"/>
      <c r="C203" s="673"/>
      <c r="D203" s="673"/>
      <c r="Z203" s="458"/>
    </row>
    <row r="204" spans="1:26">
      <c r="A204" s="648"/>
      <c r="B204" s="673"/>
      <c r="C204" s="673"/>
      <c r="D204" s="673"/>
      <c r="Z204" s="458"/>
    </row>
  </sheetData>
  <sheetProtection password="F605" sheet="1" objects="1" scenarios="1" selectLockedCells="1" selectUnlockedCells="1"/>
  <mergeCells count="40">
    <mergeCell ref="AO142:AR156"/>
    <mergeCell ref="D29:P29"/>
    <mergeCell ref="E92:I95"/>
    <mergeCell ref="V92:AC95"/>
    <mergeCell ref="AB39:AL51"/>
    <mergeCell ref="D77:P77"/>
    <mergeCell ref="U74:Z74"/>
    <mergeCell ref="AB74:AF74"/>
    <mergeCell ref="AH74:AL74"/>
    <mergeCell ref="V89:AL89"/>
    <mergeCell ref="V87:AL87"/>
    <mergeCell ref="V85:AL85"/>
    <mergeCell ref="E53:P72"/>
    <mergeCell ref="E73:H74"/>
    <mergeCell ref="J73:N74"/>
    <mergeCell ref="H24:J24"/>
    <mergeCell ref="H26:J26"/>
    <mergeCell ref="E31:O52"/>
    <mergeCell ref="AB6:AL6"/>
    <mergeCell ref="O92:O94"/>
    <mergeCell ref="AK92:AK94"/>
    <mergeCell ref="O73:O74"/>
    <mergeCell ref="H6:J6"/>
    <mergeCell ref="D6:E15"/>
    <mergeCell ref="N6:O6"/>
    <mergeCell ref="H20:J20"/>
    <mergeCell ref="H22:J22"/>
    <mergeCell ref="E18:J18"/>
    <mergeCell ref="U72:AL72"/>
    <mergeCell ref="U8:AL8"/>
    <mergeCell ref="U6:Z6"/>
    <mergeCell ref="U53:AL53"/>
    <mergeCell ref="AB55:AL67"/>
    <mergeCell ref="AB24:AL35"/>
    <mergeCell ref="U37:AL37"/>
    <mergeCell ref="D3:P3"/>
    <mergeCell ref="I8:J8"/>
    <mergeCell ref="U3:AL3"/>
    <mergeCell ref="AB10:AL20"/>
    <mergeCell ref="U22:AL22"/>
  </mergeCells>
  <conditionalFormatting sqref="E79:E89 K79:K89">
    <cfRule type="expression" dxfId="1421" priority="1073">
      <formula>I79=5</formula>
    </cfRule>
  </conditionalFormatting>
  <conditionalFormatting sqref="I79:I89">
    <cfRule type="iconSet" priority="3">
      <iconSet iconSet="3Symbols2" showValue="0">
        <cfvo type="percent" val="0"/>
        <cfvo type="percent" val="33"/>
        <cfvo type="percent" val="67"/>
      </iconSet>
    </cfRule>
  </conditionalFormatting>
  <conditionalFormatting sqref="O79:O89">
    <cfRule type="iconSet" priority="2">
      <iconSet iconSet="3Symbols2" showValue="0">
        <cfvo type="percent" val="0"/>
        <cfvo type="percent" val="33"/>
        <cfvo type="percent" val="67"/>
      </iconSet>
    </cfRule>
  </conditionalFormatting>
  <hyperlinks>
    <hyperlink ref="E92" r:id="rId1" xr:uid="{00000000-0004-0000-0400-000000000000}"/>
    <hyperlink ref="V92" r:id="rId2" xr:uid="{00000000-0004-0000-0400-000001000000}"/>
  </hyperlinks>
  <pageMargins left="0.7" right="0.7" top="0.75" bottom="0.75" header="0.3" footer="0.3"/>
  <pageSetup paperSize="8" scale="57" orientation="landscape" horizontalDpi="0" verticalDpi="0"/>
  <drawing r:id="rId3"/>
  <extLst>
    <ext xmlns:x14="http://schemas.microsoft.com/office/spreadsheetml/2009/9/main" uri="{78C0D931-6437-407d-A8EE-F0AAD7539E65}">
      <x14:conditionalFormattings>
        <x14:conditionalFormatting xmlns:xm="http://schemas.microsoft.com/office/excel/2006/main">
          <x14:cfRule type="expression" priority="1" id="{25DED15A-8CC4-46B0-A3BB-55EFD306996F}">
            <xm:f>DATOS!$F$14=1</xm:f>
            <x14:dxf>
              <font>
                <color theme="0" tint="-0.24994659260841701"/>
              </font>
              <fill>
                <patternFill>
                  <bgColor theme="0" tint="-4.9989318521683403E-2"/>
                </patternFill>
              </fill>
              <border>
                <left/>
                <right/>
                <top/>
                <bottom/>
                <vertical/>
                <horizontal/>
              </border>
            </x14:dxf>
          </x14:cfRule>
          <xm:sqref>C2:AL96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sheetPr>
  <dimension ref="A1:CP722"/>
  <sheetViews>
    <sheetView zoomScale="84" zoomScaleNormal="67" workbookViewId="0">
      <pane ySplit="4" topLeftCell="A83" activePane="bottomLeft" state="frozen"/>
      <selection pane="bottomLeft" activeCell="B76" sqref="B76:D81"/>
    </sheetView>
  </sheetViews>
  <sheetFormatPr baseColWidth="10" defaultColWidth="11.5" defaultRowHeight="17" thickBottom="1"/>
  <cols>
    <col min="1" max="1" width="4.5" style="260" customWidth="1"/>
    <col min="2" max="2" width="7.83203125" style="260" customWidth="1"/>
    <col min="3" max="3" width="36.1640625" style="260" customWidth="1"/>
    <col min="4" max="4" width="38.5" style="260" customWidth="1"/>
    <col min="5" max="5" width="13.5" style="260" customWidth="1"/>
    <col min="6" max="6" width="17.33203125" style="260" bestFit="1" customWidth="1"/>
    <col min="7" max="8" width="9.1640625" style="260" customWidth="1"/>
    <col min="9" max="9" width="3.6640625" style="23" customWidth="1"/>
    <col min="10" max="10" width="34.83203125" style="576" hidden="1" customWidth="1"/>
    <col min="11" max="11" width="50.5" style="576" hidden="1" customWidth="1"/>
    <col min="12" max="12" width="9.1640625" style="576" hidden="1" customWidth="1"/>
    <col min="13" max="13" width="13.6640625" style="576" hidden="1" customWidth="1"/>
    <col min="14" max="14" width="11" style="576" hidden="1" customWidth="1"/>
    <col min="15" max="15" width="18.83203125" style="576" hidden="1" customWidth="1"/>
    <col min="16" max="16" width="8.83203125" style="576" hidden="1" customWidth="1"/>
    <col min="17" max="17" width="103.6640625" style="576" hidden="1" customWidth="1"/>
    <col min="18" max="19" width="5.1640625" style="576" hidden="1" customWidth="1"/>
    <col min="20" max="20" width="2.83203125" style="576" hidden="1" customWidth="1"/>
    <col min="21" max="21" width="72.1640625" style="576" hidden="1" customWidth="1"/>
    <col min="22" max="22" width="5.1640625" style="576" hidden="1" customWidth="1"/>
    <col min="23" max="23" width="50.33203125" style="576" hidden="1" customWidth="1"/>
    <col min="24" max="24" width="6.33203125" style="576" hidden="1" customWidth="1"/>
    <col min="25" max="25" width="2.83203125" style="576" hidden="1" customWidth="1"/>
    <col min="26" max="26" width="46.5" style="576" hidden="1" customWidth="1"/>
    <col min="27" max="27" width="5.1640625" style="576" hidden="1" customWidth="1"/>
    <col min="28" max="28" width="2.83203125" style="576" hidden="1" customWidth="1"/>
    <col min="29" max="29" width="39.6640625" style="576" hidden="1" customWidth="1"/>
    <col min="30" max="31" width="5.1640625" style="576" hidden="1" customWidth="1"/>
    <col min="32" max="32" width="8.83203125" style="576" hidden="1" customWidth="1"/>
    <col min="33" max="33" width="24.1640625" style="576" hidden="1" customWidth="1"/>
    <col min="34" max="34" width="2.83203125" style="576" hidden="1" customWidth="1"/>
    <col min="35" max="35" width="18.83203125" style="576" hidden="1" customWidth="1"/>
    <col min="36" max="36" width="2.83203125" style="576" hidden="1" customWidth="1"/>
    <col min="37" max="37" width="24.5" style="576" hidden="1" customWidth="1"/>
    <col min="38" max="38" width="2.83203125" style="576" hidden="1" customWidth="1"/>
    <col min="39" max="39" width="24.1640625" style="576" hidden="1" customWidth="1"/>
    <col min="40" max="40" width="11.5" style="576" hidden="1" customWidth="1"/>
    <col min="41" max="41" width="19" style="576" hidden="1" customWidth="1"/>
    <col min="42" max="42" width="11.1640625" style="576" hidden="1" customWidth="1"/>
    <col min="43" max="43" width="17.1640625" style="576" hidden="1" customWidth="1"/>
    <col min="44" max="44" width="15.33203125" style="576" hidden="1" customWidth="1"/>
    <col min="45" max="45" width="18.6640625" style="576" hidden="1" customWidth="1"/>
    <col min="46" max="46" width="11.6640625" style="576" hidden="1" customWidth="1"/>
    <col min="47" max="47" width="13.6640625" style="576" hidden="1" customWidth="1"/>
    <col min="48" max="48" width="19" style="571" hidden="1" customWidth="1"/>
    <col min="49" max="49" width="13.6640625" style="576" hidden="1" customWidth="1"/>
    <col min="50" max="50" width="18.1640625" style="576" hidden="1" customWidth="1"/>
    <col min="51" max="51" width="13.83203125" style="576" hidden="1" customWidth="1"/>
    <col min="52" max="52" width="14.83203125" style="576" hidden="1" customWidth="1"/>
    <col min="53" max="54" width="14.6640625" style="576" hidden="1" customWidth="1"/>
    <col min="55" max="55" width="37.83203125" style="576" hidden="1" customWidth="1"/>
    <col min="56" max="59" width="12.1640625" style="576" hidden="1" customWidth="1"/>
    <col min="60" max="60" width="17.83203125" style="576" hidden="1" customWidth="1"/>
    <col min="61" max="61" width="21.6640625" style="576" hidden="1" customWidth="1"/>
    <col min="62" max="62" width="8.33203125" style="576" hidden="1" customWidth="1"/>
    <col min="63" max="63" width="10.5" style="576" hidden="1" customWidth="1"/>
    <col min="64" max="64" width="18.5" style="576" hidden="1" customWidth="1"/>
    <col min="65" max="93" width="11.5" style="576" hidden="1" customWidth="1"/>
    <col min="94" max="95" width="11.5" style="23" customWidth="1"/>
    <col min="96" max="16384" width="11.5" style="23"/>
  </cols>
  <sheetData>
    <row r="1" spans="1:94" thickBot="1">
      <c r="A1" s="259"/>
      <c r="B1" s="259"/>
      <c r="C1" s="259"/>
      <c r="D1" s="259"/>
      <c r="E1" s="259"/>
      <c r="F1" s="259"/>
      <c r="G1" s="259"/>
      <c r="H1" s="259"/>
    </row>
    <row r="2" spans="1:94" thickBot="1">
      <c r="A2" s="259"/>
      <c r="B2" s="1184" t="s">
        <v>1948</v>
      </c>
      <c r="C2" s="1184"/>
      <c r="D2" s="1184"/>
      <c r="E2" s="1184"/>
      <c r="F2" s="1184"/>
      <c r="G2" s="1184"/>
      <c r="H2" s="1184"/>
      <c r="J2" s="1186" t="s">
        <v>770</v>
      </c>
      <c r="K2" s="1186"/>
      <c r="L2" s="1186"/>
      <c r="M2" s="1186"/>
      <c r="N2" s="1186"/>
      <c r="O2" s="1186"/>
      <c r="Q2" s="1186" t="s">
        <v>771</v>
      </c>
      <c r="R2" s="1186"/>
      <c r="S2" s="1186"/>
      <c r="T2" s="1186"/>
      <c r="U2" s="1186"/>
      <c r="V2" s="1186"/>
      <c r="W2" s="1186"/>
      <c r="X2" s="1186"/>
      <c r="Y2" s="1186"/>
      <c r="Z2" s="1186"/>
      <c r="AA2" s="1186"/>
      <c r="AB2" s="1186"/>
      <c r="AC2" s="1186"/>
      <c r="AD2" s="1186"/>
      <c r="AE2" s="1186"/>
      <c r="AG2" s="1186" t="s">
        <v>769</v>
      </c>
      <c r="AH2" s="1186"/>
      <c r="AI2" s="1186"/>
      <c r="AJ2" s="1186"/>
      <c r="AK2" s="1186"/>
      <c r="AL2" s="1186"/>
      <c r="AM2" s="1186"/>
      <c r="AO2" s="1186" t="s">
        <v>1039</v>
      </c>
      <c r="AP2" s="1186"/>
      <c r="AQ2" s="1186"/>
      <c r="AR2" s="1186"/>
      <c r="AS2" s="1186"/>
      <c r="AT2" s="1186"/>
      <c r="AU2" s="1186"/>
      <c r="AV2" s="1186"/>
      <c r="AW2" s="1186"/>
      <c r="AX2" s="1186"/>
      <c r="AY2" s="1186"/>
      <c r="AZ2" s="1186"/>
      <c r="BA2" s="1186"/>
      <c r="BB2" s="1186"/>
      <c r="BC2" s="1186"/>
      <c r="BD2" s="1186"/>
      <c r="BE2" s="1186"/>
      <c r="BF2" s="1186"/>
      <c r="BG2" s="1186"/>
      <c r="BH2" s="1186"/>
      <c r="BI2" s="1186"/>
      <c r="BJ2" s="1186"/>
      <c r="BK2" s="1186"/>
      <c r="BL2" s="1186"/>
      <c r="BM2" s="1186"/>
      <c r="BN2" s="1186"/>
      <c r="BO2" s="1186"/>
      <c r="BP2" s="1186"/>
      <c r="BQ2" s="1186"/>
      <c r="BR2" s="1186"/>
      <c r="BS2" s="1186"/>
      <c r="BT2" s="1186"/>
      <c r="BU2" s="1186"/>
      <c r="BV2" s="1186"/>
      <c r="BW2" s="1186"/>
      <c r="BX2" s="1186"/>
      <c r="BY2" s="1186"/>
      <c r="BZ2" s="1186"/>
      <c r="CA2" s="1186"/>
      <c r="CB2" s="1186"/>
      <c r="CC2" s="1186"/>
      <c r="CD2" s="1186"/>
      <c r="CE2" s="1186"/>
      <c r="CF2" s="1186"/>
      <c r="CG2" s="1186"/>
    </row>
    <row r="3" spans="1:94" ht="35" thickBot="1">
      <c r="A3" s="259"/>
      <c r="B3" s="1185" t="s">
        <v>1940</v>
      </c>
      <c r="C3" s="1185"/>
      <c r="D3" s="1185"/>
      <c r="E3" s="1185"/>
      <c r="F3" s="1185"/>
      <c r="G3" s="1185"/>
      <c r="H3" s="1185"/>
      <c r="I3" s="632"/>
      <c r="J3" s="633" t="s">
        <v>257</v>
      </c>
      <c r="K3" s="574" t="s">
        <v>222</v>
      </c>
      <c r="L3" s="574" t="s">
        <v>258</v>
      </c>
      <c r="M3" s="633" t="s">
        <v>259</v>
      </c>
      <c r="N3" s="633" t="s">
        <v>260</v>
      </c>
      <c r="O3" s="633" t="s">
        <v>261</v>
      </c>
      <c r="Q3" s="1186" t="s">
        <v>217</v>
      </c>
      <c r="R3" s="1186"/>
      <c r="S3" s="1186"/>
      <c r="U3" s="1186" t="s">
        <v>635</v>
      </c>
      <c r="V3" s="1186"/>
      <c r="W3" s="1186"/>
      <c r="X3" s="1186"/>
      <c r="Z3" s="1186" t="s">
        <v>634</v>
      </c>
      <c r="AA3" s="1186"/>
      <c r="AC3" s="1186" t="s">
        <v>1059</v>
      </c>
      <c r="AD3" s="1186"/>
      <c r="AE3" s="1186"/>
      <c r="AG3" s="576" t="s">
        <v>765</v>
      </c>
      <c r="AI3" s="576" t="s">
        <v>6</v>
      </c>
      <c r="AK3" s="576" t="s">
        <v>674</v>
      </c>
      <c r="AM3" s="576" t="s">
        <v>25</v>
      </c>
      <c r="BH3" s="1186" t="s">
        <v>1624</v>
      </c>
      <c r="BI3" s="1186"/>
      <c r="BJ3" s="1186"/>
      <c r="BK3" s="1186"/>
      <c r="BL3" s="1186"/>
      <c r="BM3" s="1186"/>
      <c r="BN3" s="1186"/>
      <c r="BO3" s="1186"/>
      <c r="BP3" s="1186"/>
      <c r="BQ3" s="1186"/>
      <c r="BR3" s="1186"/>
      <c r="BS3" s="1186"/>
      <c r="BT3" s="1186"/>
      <c r="BU3" s="1186"/>
      <c r="BV3" s="1186"/>
      <c r="BW3" s="1186"/>
      <c r="BX3" s="1186"/>
      <c r="BY3" s="1186"/>
      <c r="BZ3" s="1186"/>
      <c r="CA3" s="1186"/>
      <c r="CB3" s="1186"/>
      <c r="CC3" s="1186"/>
      <c r="CD3" s="1186"/>
      <c r="CE3" s="1186"/>
      <c r="CF3" s="1186"/>
      <c r="CG3" s="1186"/>
    </row>
    <row r="4" spans="1:94" ht="15" customHeight="1" thickBot="1">
      <c r="B4" s="1185"/>
      <c r="C4" s="1185"/>
      <c r="D4" s="1185"/>
      <c r="E4" s="1185"/>
      <c r="F4" s="1185"/>
      <c r="G4" s="1185"/>
      <c r="H4" s="1185"/>
      <c r="J4" s="577" t="str">
        <f>K420</f>
        <v>Roca</v>
      </c>
      <c r="K4" s="576" t="s">
        <v>267</v>
      </c>
      <c r="L4" s="576">
        <v>2900</v>
      </c>
      <c r="M4" s="576">
        <v>2.2000000000000002</v>
      </c>
      <c r="Q4" s="574" t="s">
        <v>232</v>
      </c>
      <c r="R4" s="574" t="s">
        <v>231</v>
      </c>
      <c r="S4" s="574" t="s">
        <v>234</v>
      </c>
      <c r="U4" s="574" t="s">
        <v>241</v>
      </c>
      <c r="V4" s="574" t="s">
        <v>231</v>
      </c>
      <c r="W4" s="574" t="s">
        <v>230</v>
      </c>
      <c r="X4" s="574" t="s">
        <v>231</v>
      </c>
      <c r="Z4" s="574" t="s">
        <v>633</v>
      </c>
      <c r="AA4" s="574" t="s">
        <v>234</v>
      </c>
      <c r="AD4" s="576" t="s">
        <v>234</v>
      </c>
      <c r="AE4" s="576" t="s">
        <v>1211</v>
      </c>
      <c r="AG4" s="576" t="s">
        <v>766</v>
      </c>
      <c r="AI4" s="576" t="s">
        <v>7</v>
      </c>
      <c r="AK4" s="576" t="s">
        <v>787</v>
      </c>
      <c r="AM4" s="576" t="s">
        <v>123</v>
      </c>
      <c r="AO4" s="1186" t="s">
        <v>1239</v>
      </c>
      <c r="AP4" s="1186"/>
      <c r="AQ4" s="1186"/>
      <c r="AR4" s="1186"/>
      <c r="AS4" s="1186"/>
      <c r="AT4" s="1186"/>
      <c r="AV4" s="1188" t="s">
        <v>1042</v>
      </c>
      <c r="AW4" s="1188"/>
      <c r="AX4" s="1188"/>
      <c r="AY4" s="1188"/>
      <c r="AZ4" s="1188"/>
      <c r="BA4" s="1188"/>
      <c r="BB4" s="1188"/>
      <c r="BD4" s="1186" t="s">
        <v>1407</v>
      </c>
      <c r="BE4" s="1186"/>
      <c r="BF4" s="1186"/>
      <c r="BH4" s="634"/>
      <c r="BI4" s="634"/>
      <c r="BJ4" s="634"/>
      <c r="BK4" s="634"/>
      <c r="BL4" s="634"/>
      <c r="BM4" s="634"/>
      <c r="BN4" s="634"/>
      <c r="BO4" s="634"/>
      <c r="BP4" s="634"/>
      <c r="BQ4" s="634"/>
      <c r="BR4" s="634"/>
      <c r="BS4" s="634"/>
      <c r="BT4" s="634"/>
      <c r="BU4" s="634"/>
      <c r="BV4" s="634"/>
      <c r="BW4" s="634"/>
      <c r="BX4" s="634"/>
      <c r="CP4" s="196"/>
    </row>
    <row r="5" spans="1:94" thickBot="1">
      <c r="B5" s="259"/>
      <c r="C5" s="259"/>
      <c r="D5" s="259"/>
      <c r="E5" s="259"/>
      <c r="F5" s="259"/>
      <c r="G5" s="259"/>
      <c r="H5" s="259"/>
      <c r="K5" s="576" t="s">
        <v>266</v>
      </c>
      <c r="L5" s="576">
        <v>2700</v>
      </c>
      <c r="M5" s="576">
        <v>6</v>
      </c>
      <c r="Q5" s="576">
        <f>'BASE DE DATOS'!FQ5</f>
        <v>0</v>
      </c>
      <c r="R5" s="576">
        <f>'BASE DE DATOS'!FR5</f>
        <v>0</v>
      </c>
      <c r="S5" s="576">
        <f>'BASE DE DATOS'!FS5</f>
        <v>0</v>
      </c>
      <c r="U5" s="576">
        <f>'BASE DE DATOS'!FU5</f>
        <v>0</v>
      </c>
      <c r="V5" s="576">
        <f>'BASE DE DATOS'!FV5</f>
        <v>0</v>
      </c>
      <c r="W5" s="576">
        <f>'BASE DE DATOS'!FW5</f>
        <v>0</v>
      </c>
      <c r="X5" s="576">
        <f>'BASE DE DATOS'!FX5</f>
        <v>0</v>
      </c>
      <c r="Z5" s="576">
        <f>'BASE DE DATOS'!FZ5</f>
        <v>0</v>
      </c>
      <c r="AA5" s="576">
        <f>'BASE DE DATOS'!GA5</f>
        <v>0</v>
      </c>
      <c r="AC5" s="576" t="str">
        <f>'BASE DE DATOS'!GC5</f>
        <v>Incoloro 4mm</v>
      </c>
      <c r="AD5" s="576">
        <f>'BASE DE DATOS'!GD5</f>
        <v>6</v>
      </c>
      <c r="AE5" s="576">
        <f>'BASE DE DATOS'!GE5</f>
        <v>0.82</v>
      </c>
      <c r="AK5" s="576" t="s">
        <v>675</v>
      </c>
      <c r="AM5" s="576" t="s">
        <v>162</v>
      </c>
      <c r="AP5" s="576" t="s">
        <v>854</v>
      </c>
      <c r="AQ5" s="576" t="s">
        <v>1240</v>
      </c>
      <c r="AR5" s="576" t="s">
        <v>835</v>
      </c>
      <c r="AS5" s="576" t="s">
        <v>855</v>
      </c>
      <c r="AT5" s="576" t="s">
        <v>855</v>
      </c>
      <c r="AV5" s="1186" t="s">
        <v>746</v>
      </c>
      <c r="AW5" s="1186"/>
      <c r="AX5" s="1186"/>
      <c r="AY5" s="1186"/>
      <c r="AZ5" s="1186"/>
      <c r="BA5" s="1186"/>
      <c r="BB5" s="1186"/>
      <c r="BE5" s="576" t="str">
        <f>AQ5</f>
        <v>N días</v>
      </c>
      <c r="BF5" s="576" t="s">
        <v>1408</v>
      </c>
      <c r="BH5" s="1199" t="s">
        <v>1623</v>
      </c>
      <c r="BI5" s="1199"/>
      <c r="BJ5" s="1199"/>
      <c r="BK5" s="1199"/>
      <c r="BL5" s="1199"/>
      <c r="BM5" s="1199"/>
      <c r="BN5" s="1199"/>
      <c r="BO5" s="1199"/>
      <c r="BP5" s="635"/>
      <c r="BQ5" s="1199" t="s">
        <v>1622</v>
      </c>
      <c r="BR5" s="1199"/>
      <c r="BS5" s="1199"/>
      <c r="BT5" s="1199"/>
      <c r="BU5" s="1199"/>
      <c r="BV5" s="1199"/>
      <c r="BW5" s="1199"/>
      <c r="BX5" s="1199"/>
      <c r="BZ5" s="1199" t="s">
        <v>1626</v>
      </c>
      <c r="CA5" s="1199"/>
      <c r="CB5" s="1199"/>
      <c r="CC5" s="1199"/>
      <c r="CD5" s="1199"/>
      <c r="CE5" s="1199"/>
      <c r="CF5" s="1199"/>
      <c r="CG5" s="1199"/>
      <c r="CP5" s="196"/>
    </row>
    <row r="6" spans="1:94" thickBot="1">
      <c r="B6" s="800" t="s">
        <v>1943</v>
      </c>
      <c r="C6" s="800" t="s">
        <v>243</v>
      </c>
      <c r="D6" s="261" t="s">
        <v>243</v>
      </c>
      <c r="E6" s="800" t="s">
        <v>244</v>
      </c>
      <c r="F6" s="800"/>
      <c r="G6" s="800"/>
      <c r="H6" s="800"/>
      <c r="K6" s="576" t="s">
        <v>265</v>
      </c>
      <c r="L6" s="576">
        <v>2600</v>
      </c>
      <c r="M6" s="576">
        <v>3.4</v>
      </c>
      <c r="Q6" s="576" t="str">
        <f>'BASE DE DATOS'!FQ6</f>
        <v>Chapa s/cámara ventilada, EPS 5cm, Placa TYVEK</v>
      </c>
      <c r="R6" s="576">
        <f>'BASE DE DATOS'!FR6</f>
        <v>0.55000000000000004</v>
      </c>
      <c r="S6" s="576">
        <f>'BASE DE DATOS'!FS6</f>
        <v>0.48</v>
      </c>
      <c r="U6" s="576" t="str">
        <f>'BASE DE DATOS'!FU6</f>
        <v>Revestimiento exterior 2cm, Mampostería ladrillo común 24cm, Revestimiento interior 2cm</v>
      </c>
      <c r="V6" s="576">
        <f>'BASE DE DATOS'!FV6</f>
        <v>2.2599999999999998</v>
      </c>
      <c r="W6" s="576" t="str">
        <f>'BASE DE DATOS'!FW6</f>
        <v>Ladrillo 12cm, Cámara de aire 40mm, Ladrillo 12cm</v>
      </c>
      <c r="X6" s="576">
        <f>'BASE DE DATOS'!FX6</f>
        <v>1.65</v>
      </c>
      <c r="Z6" s="576" t="str">
        <f>'BASE DE DATOS'!FZ6</f>
        <v>Losa, Contacto con suelo, Aislación perimetral 50 mm</v>
      </c>
      <c r="AA6" s="576">
        <f>'BASE DE DATOS'!GA6</f>
        <v>1</v>
      </c>
      <c r="AC6" s="576" t="str">
        <f>'BASE DE DATOS'!GC6</f>
        <v>Incoloro 6mm</v>
      </c>
      <c r="AD6" s="576">
        <f>'BASE DE DATOS'!GD6</f>
        <v>5.82</v>
      </c>
      <c r="AE6" s="576">
        <f>'BASE DE DATOS'!GE6</f>
        <v>0.82</v>
      </c>
      <c r="AM6" s="576" t="s">
        <v>1276</v>
      </c>
      <c r="AO6" s="576" t="s">
        <v>823</v>
      </c>
      <c r="AP6" s="540">
        <f t="shared" ref="AP6:AR17" si="0">AP55</f>
        <v>0</v>
      </c>
      <c r="AQ6" s="540">
        <f t="shared" si="0"/>
        <v>31</v>
      </c>
      <c r="AR6" s="540">
        <f>AR55</f>
        <v>0</v>
      </c>
      <c r="AS6" s="540">
        <f>AP6*$AU$51</f>
        <v>0</v>
      </c>
      <c r="AT6" s="576">
        <f>AS6*AQ6*(ENERGÍA!$L$256*ENERGÍA!$C$259)/1000</f>
        <v>0</v>
      </c>
      <c r="AV6" s="576"/>
      <c r="AW6" s="1186" t="s">
        <v>737</v>
      </c>
      <c r="AX6" s="1186"/>
      <c r="AY6" s="1186" t="s">
        <v>738</v>
      </c>
      <c r="AZ6" s="1186"/>
      <c r="BA6" s="1186" t="s">
        <v>739</v>
      </c>
      <c r="BB6" s="1186"/>
      <c r="BD6" s="576" t="str">
        <f>AO6</f>
        <v>Enero</v>
      </c>
      <c r="BE6" s="576">
        <f t="shared" ref="BE6:BE17" si="1">AQ6</f>
        <v>31</v>
      </c>
      <c r="BF6" s="540">
        <f>VLOOKUP(ENERGÍA!$C$4,LLUVIA,2,FALSE)</f>
        <v>0</v>
      </c>
      <c r="BH6" s="550">
        <v>1</v>
      </c>
      <c r="BI6" s="550">
        <v>2</v>
      </c>
      <c r="BJ6" s="550">
        <v>3</v>
      </c>
      <c r="BK6" s="550">
        <v>4</v>
      </c>
      <c r="BL6" s="550">
        <v>5</v>
      </c>
      <c r="BM6" s="550">
        <v>6</v>
      </c>
      <c r="BN6" s="550">
        <v>7</v>
      </c>
      <c r="BO6" s="550">
        <v>8</v>
      </c>
      <c r="BP6" s="635"/>
      <c r="BQ6" s="550">
        <v>1</v>
      </c>
      <c r="BR6" s="550">
        <v>2</v>
      </c>
      <c r="BS6" s="550">
        <v>3</v>
      </c>
      <c r="BT6" s="550">
        <v>4</v>
      </c>
      <c r="BU6" s="550">
        <v>5</v>
      </c>
      <c r="BV6" s="550">
        <v>6</v>
      </c>
      <c r="BW6" s="550">
        <v>7</v>
      </c>
      <c r="BX6" s="550">
        <v>8</v>
      </c>
      <c r="BZ6" s="550">
        <v>1</v>
      </c>
      <c r="CA6" s="550">
        <v>2</v>
      </c>
      <c r="CB6" s="550">
        <v>3</v>
      </c>
      <c r="CC6" s="550">
        <v>4</v>
      </c>
      <c r="CD6" s="550">
        <v>5</v>
      </c>
      <c r="CE6" s="550">
        <v>6</v>
      </c>
      <c r="CF6" s="550">
        <v>7</v>
      </c>
      <c r="CG6" s="550">
        <v>8</v>
      </c>
      <c r="CP6" s="196"/>
    </row>
    <row r="7" spans="1:94" thickBot="1">
      <c r="B7" s="1196"/>
      <c r="C7" s="1196"/>
      <c r="D7" s="1196"/>
      <c r="E7" s="1192"/>
      <c r="F7" s="1192"/>
      <c r="G7" s="1192"/>
      <c r="H7" s="1192"/>
      <c r="K7" s="576" t="s">
        <v>1698</v>
      </c>
      <c r="L7" s="576">
        <v>2600</v>
      </c>
      <c r="M7" s="576">
        <v>2.6</v>
      </c>
      <c r="Q7" s="576" t="str">
        <f>'BASE DE DATOS'!FQ7</f>
        <v>Chapa, cámara de aire, 50mm aislación, cielorraso</v>
      </c>
      <c r="R7" s="576">
        <f>'BASE DE DATOS'!FR7</f>
        <v>0.54</v>
      </c>
      <c r="S7" s="576">
        <f>'BASE DE DATOS'!FS7</f>
        <v>0.47000000000000003</v>
      </c>
      <c r="U7" s="576" t="str">
        <f>'BASE DE DATOS'!FU7</f>
        <v>Bloque de hormigón 20cm visto</v>
      </c>
      <c r="V7" s="576">
        <f>'BASE DE DATOS'!FV7</f>
        <v>3.03</v>
      </c>
      <c r="W7" s="576" t="str">
        <f>'BASE DE DATOS'!FW7</f>
        <v xml:space="preserve">Bloque hueco con inserto de PEX </v>
      </c>
      <c r="X7" s="576">
        <f>'BASE DE DATOS'!FX7</f>
        <v>1.62</v>
      </c>
      <c r="Z7" s="576" t="str">
        <f>'BASE DE DATOS'!FZ7</f>
        <v>Losa, Contacto con suelo, Aislación total 50mm</v>
      </c>
      <c r="AA7" s="576">
        <f>'BASE DE DATOS'!GA7</f>
        <v>0.85</v>
      </c>
      <c r="AC7" s="576" t="str">
        <f>'BASE DE DATOS'!GC7</f>
        <v>Color Bronce 3mm</v>
      </c>
      <c r="AD7" s="576">
        <f>'BASE DE DATOS'!GD7</f>
        <v>5.82</v>
      </c>
      <c r="AE7" s="576">
        <f>'BASE DE DATOS'!GE7</f>
        <v>0.82</v>
      </c>
      <c r="AK7" s="576" t="str">
        <f>'Modelo de Radiación Solar'!Q5</f>
        <v>Norte</v>
      </c>
      <c r="AM7" s="576" t="s">
        <v>37</v>
      </c>
      <c r="AO7" s="576" t="s">
        <v>824</v>
      </c>
      <c r="AP7" s="540">
        <f t="shared" si="0"/>
        <v>0</v>
      </c>
      <c r="AQ7" s="540">
        <f t="shared" si="0"/>
        <v>28</v>
      </c>
      <c r="AR7" s="540">
        <f t="shared" si="0"/>
        <v>0</v>
      </c>
      <c r="AS7" s="540">
        <f t="shared" ref="AS7:AS17" si="2">AP7*$AU$51</f>
        <v>0</v>
      </c>
      <c r="AT7" s="576">
        <f>AS7*AQ7*(ENERGÍA!$L$256*ENERGÍA!$C$259)/1000</f>
        <v>0</v>
      </c>
      <c r="AV7" s="576" t="s">
        <v>740</v>
      </c>
      <c r="AW7" s="576" t="s">
        <v>741</v>
      </c>
      <c r="AX7" s="576" t="s">
        <v>218</v>
      </c>
      <c r="AY7" s="576" t="s">
        <v>741</v>
      </c>
      <c r="AZ7" s="576" t="s">
        <v>218</v>
      </c>
      <c r="BA7" s="576" t="s">
        <v>741</v>
      </c>
      <c r="BB7" s="576" t="s">
        <v>218</v>
      </c>
      <c r="BD7" s="576" t="str">
        <f t="shared" ref="BD7:BD17" si="3">AO7</f>
        <v>Febrero</v>
      </c>
      <c r="BE7" s="576">
        <f t="shared" si="1"/>
        <v>28</v>
      </c>
      <c r="BF7" s="540">
        <f>VLOOKUP(ENERGÍA!$C$4,LLUVIA,3,FALSE)</f>
        <v>0</v>
      </c>
      <c r="BH7" s="550" t="s">
        <v>814</v>
      </c>
      <c r="BI7" s="636">
        <v>1</v>
      </c>
      <c r="BJ7" s="636">
        <v>2</v>
      </c>
      <c r="BK7" s="636">
        <v>3</v>
      </c>
      <c r="BL7" s="636">
        <v>4</v>
      </c>
      <c r="BM7" s="636">
        <v>6</v>
      </c>
      <c r="BN7" s="636">
        <v>8</v>
      </c>
      <c r="BO7" s="636">
        <v>10</v>
      </c>
      <c r="BP7" s="635"/>
      <c r="BQ7" s="550" t="s">
        <v>814</v>
      </c>
      <c r="BR7" s="636">
        <v>1</v>
      </c>
      <c r="BS7" s="636">
        <v>2</v>
      </c>
      <c r="BT7" s="636">
        <v>3</v>
      </c>
      <c r="BU7" s="636">
        <v>4</v>
      </c>
      <c r="BV7" s="636">
        <v>6</v>
      </c>
      <c r="BW7" s="636">
        <v>8</v>
      </c>
      <c r="BX7" s="636">
        <v>10</v>
      </c>
      <c r="BZ7" s="550" t="s">
        <v>814</v>
      </c>
      <c r="CA7" s="636">
        <v>1</v>
      </c>
      <c r="CB7" s="636">
        <v>2</v>
      </c>
      <c r="CC7" s="636">
        <v>3</v>
      </c>
      <c r="CD7" s="636">
        <v>4</v>
      </c>
      <c r="CE7" s="636">
        <v>6</v>
      </c>
      <c r="CF7" s="636">
        <v>8</v>
      </c>
      <c r="CG7" s="636">
        <v>10</v>
      </c>
      <c r="CP7" s="203"/>
    </row>
    <row r="8" spans="1:94" thickBot="1">
      <c r="B8" s="1196"/>
      <c r="C8" s="1196"/>
      <c r="D8" s="1196"/>
      <c r="E8" s="1192"/>
      <c r="F8" s="1192"/>
      <c r="G8" s="1192"/>
      <c r="H8" s="1192"/>
      <c r="K8" s="576" t="s">
        <v>1700</v>
      </c>
      <c r="L8" s="576">
        <v>2600</v>
      </c>
      <c r="M8" s="576">
        <v>2.7</v>
      </c>
      <c r="Q8" s="576" t="str">
        <f>'BASE DE DATOS'!FQ8</f>
        <v>Chapa, Cámara de aire, Aislación 100mm, Cielorraso</v>
      </c>
      <c r="R8" s="576">
        <f>'BASE DE DATOS'!FR8</f>
        <v>0.3</v>
      </c>
      <c r="S8" s="576">
        <f>'BASE DE DATOS'!FS8</f>
        <v>0.22999999999999998</v>
      </c>
      <c r="U8" s="576" t="str">
        <f>'BASE DE DATOS'!FU8</f>
        <v>Bloque de hormigón mejorado 20</v>
      </c>
      <c r="V8" s="576">
        <f>'BASE DE DATOS'!FV8</f>
        <v>1.8</v>
      </c>
      <c r="W8" s="576" t="str">
        <f>'BASE DE DATOS'!FW8</f>
        <v>Bloque hueco de H° 20cm, Revocado</v>
      </c>
      <c r="X8" s="576">
        <f>'BASE DE DATOS'!FX8</f>
        <v>1.84</v>
      </c>
      <c r="Z8" s="576" t="str">
        <f>'BASE DE DATOS'!FZ8</f>
        <v>Losa, Contacto con suelo, s/Aislación</v>
      </c>
      <c r="AA8" s="576">
        <f>'BASE DE DATOS'!GA8</f>
        <v>1.28</v>
      </c>
      <c r="AC8" s="576" t="str">
        <f>'BASE DE DATOS'!GC8</f>
        <v>Color Bronce 6mm</v>
      </c>
      <c r="AD8" s="576">
        <f>'BASE DE DATOS'!GD8</f>
        <v>5.7</v>
      </c>
      <c r="AE8" s="576">
        <f>'BASE DE DATOS'!GE8</f>
        <v>0.62</v>
      </c>
      <c r="AK8" s="576" t="str">
        <f>'Modelo de Radiación Solar'!Q6</f>
        <v>Nor-noreste</v>
      </c>
      <c r="AM8" s="576" t="s">
        <v>39</v>
      </c>
      <c r="AO8" s="576" t="s">
        <v>825</v>
      </c>
      <c r="AP8" s="540">
        <f t="shared" si="0"/>
        <v>0</v>
      </c>
      <c r="AQ8" s="540">
        <f t="shared" si="0"/>
        <v>31</v>
      </c>
      <c r="AR8" s="540">
        <f t="shared" si="0"/>
        <v>0</v>
      </c>
      <c r="AS8" s="540">
        <f t="shared" si="2"/>
        <v>0</v>
      </c>
      <c r="AT8" s="576">
        <f>AS8*AQ8*(ENERGÍA!$L$256*ENERGÍA!$C$259)/1000</f>
        <v>0</v>
      </c>
      <c r="AV8" s="540">
        <v>-15</v>
      </c>
      <c r="AW8" s="540">
        <v>0.23</v>
      </c>
      <c r="AX8" s="540">
        <v>0.2</v>
      </c>
      <c r="AY8" s="540">
        <v>0.6</v>
      </c>
      <c r="AZ8" s="540">
        <v>0.52</v>
      </c>
      <c r="BA8" s="540">
        <v>1.01</v>
      </c>
      <c r="BB8" s="540">
        <v>1</v>
      </c>
      <c r="BD8" s="576" t="str">
        <f t="shared" si="3"/>
        <v>Marzo</v>
      </c>
      <c r="BE8" s="576">
        <f t="shared" si="1"/>
        <v>31</v>
      </c>
      <c r="BF8" s="540">
        <f>VLOOKUP(ENERGÍA!$C$4,LLUVIA,4,FALSE)</f>
        <v>0</v>
      </c>
      <c r="BH8" s="550">
        <v>20</v>
      </c>
      <c r="BI8" s="636">
        <v>0.48</v>
      </c>
      <c r="BJ8" s="636">
        <v>0.4</v>
      </c>
      <c r="BK8" s="636">
        <v>0.33</v>
      </c>
      <c r="BL8" s="636">
        <v>0.28999999999999998</v>
      </c>
      <c r="BM8" s="636">
        <f>BL8-0.05</f>
        <v>0.24</v>
      </c>
      <c r="BN8" s="636">
        <f>+BM8-0.04</f>
        <v>0.19999999999999998</v>
      </c>
      <c r="BO8" s="636">
        <f>+BN8-0.05</f>
        <v>0.14999999999999997</v>
      </c>
      <c r="BP8" s="635"/>
      <c r="BQ8" s="550">
        <v>20</v>
      </c>
      <c r="BR8" s="636">
        <v>0.21</v>
      </c>
      <c r="BS8" s="636">
        <v>0.18</v>
      </c>
      <c r="BT8" s="636">
        <v>0.15</v>
      </c>
      <c r="BU8" s="636">
        <v>0.13</v>
      </c>
      <c r="BV8" s="636">
        <f>BU8-0.05</f>
        <v>0.08</v>
      </c>
      <c r="BW8" s="636">
        <f>+BV8-0.04</f>
        <v>0.04</v>
      </c>
      <c r="BX8" s="636">
        <v>0</v>
      </c>
      <c r="BZ8" s="550">
        <v>20</v>
      </c>
      <c r="CA8" s="636">
        <v>0.7</v>
      </c>
      <c r="CB8" s="636">
        <v>0.57999999999999996</v>
      </c>
      <c r="CC8" s="636">
        <v>0.49</v>
      </c>
      <c r="CD8" s="636">
        <v>0.42</v>
      </c>
      <c r="CE8" s="636">
        <f>CD8-0.05</f>
        <v>0.37</v>
      </c>
      <c r="CF8" s="636">
        <f>+CE8-0.04</f>
        <v>0.33</v>
      </c>
      <c r="CG8" s="636">
        <f>+CF8-0.05</f>
        <v>0.28000000000000003</v>
      </c>
      <c r="CP8" s="196"/>
    </row>
    <row r="9" spans="1:94" ht="77" customHeight="1" thickBot="1">
      <c r="B9" s="1196"/>
      <c r="C9" s="1196"/>
      <c r="D9" s="1196"/>
      <c r="E9" s="1192"/>
      <c r="F9" s="1192"/>
      <c r="G9" s="1192"/>
      <c r="H9" s="1192"/>
      <c r="K9" s="576" t="s">
        <v>1702</v>
      </c>
      <c r="L9" s="576">
        <v>800</v>
      </c>
      <c r="M9" s="576">
        <v>0.35</v>
      </c>
      <c r="Q9" s="576" t="str">
        <f>'BASE DE DATOS'!FQ9</f>
        <v>Chapa, Cámara de aire, Aislación 150mm, Cielorraso</v>
      </c>
      <c r="R9" s="576">
        <f>'BASE DE DATOS'!FR9</f>
        <v>0.21</v>
      </c>
      <c r="S9" s="576">
        <f>'BASE DE DATOS'!FS9</f>
        <v>0.13999999999999999</v>
      </c>
      <c r="U9" s="576" t="str">
        <f>'BASE DE DATOS'!FU9</f>
        <v>Ladrillo de 12cm , Cámara de aire, Ladrillo de 12cm, Revoque interior 2cm</v>
      </c>
      <c r="V9" s="576">
        <f>'BASE DE DATOS'!FV9</f>
        <v>1.47</v>
      </c>
      <c r="W9" s="576" t="str">
        <f>'BASE DE DATOS'!FW9</f>
        <v>Ladrillo cerámico 12cm, Revocado</v>
      </c>
      <c r="X9" s="576">
        <f>'BASE DE DATOS'!FX9</f>
        <v>1.8</v>
      </c>
      <c r="Z9" s="576" t="str">
        <f>'BASE DE DATOS'!FZ9</f>
        <v>Losa, Aislación perimetral 50 mm</v>
      </c>
      <c r="AA9" s="576">
        <f>'BASE DE DATOS'!GA9</f>
        <v>0.85</v>
      </c>
      <c r="AC9" s="576" t="str">
        <f>'BASE DE DATOS'!GC9</f>
        <v>DVH Incoloro 3+12+3</v>
      </c>
      <c r="AD9" s="576">
        <f>'BASE DE DATOS'!GD9</f>
        <v>3.23</v>
      </c>
      <c r="AE9" s="576">
        <f>'BASE DE DATOS'!GE9</f>
        <v>0.62</v>
      </c>
      <c r="AG9" s="576" t="s">
        <v>676</v>
      </c>
      <c r="AI9" s="576" t="s">
        <v>679</v>
      </c>
      <c r="AK9" s="576" t="str">
        <f>'Modelo de Radiación Solar'!Q7</f>
        <v>Noreste</v>
      </c>
      <c r="AM9" s="576" t="s">
        <v>1258</v>
      </c>
      <c r="AO9" s="576" t="s">
        <v>826</v>
      </c>
      <c r="AP9" s="540">
        <f t="shared" si="0"/>
        <v>0</v>
      </c>
      <c r="AQ9" s="540">
        <f t="shared" si="0"/>
        <v>30</v>
      </c>
      <c r="AR9" s="540">
        <f t="shared" si="0"/>
        <v>0</v>
      </c>
      <c r="AS9" s="540">
        <f t="shared" si="2"/>
        <v>0</v>
      </c>
      <c r="AT9" s="576">
        <f>AS9*AQ9*(ENERGÍA!$L$256*ENERGÍA!$C$259)/1000</f>
        <v>0</v>
      </c>
      <c r="AV9" s="540">
        <v>-14</v>
      </c>
      <c r="AW9" s="540">
        <v>0.23</v>
      </c>
      <c r="AX9" s="540">
        <v>0.2</v>
      </c>
      <c r="AY9" s="540">
        <v>0.61</v>
      </c>
      <c r="AZ9" s="540">
        <v>0.53</v>
      </c>
      <c r="BA9" s="540">
        <v>1.04</v>
      </c>
      <c r="BB9" s="540">
        <v>1</v>
      </c>
      <c r="BD9" s="576" t="str">
        <f t="shared" si="3"/>
        <v>Abril</v>
      </c>
      <c r="BE9" s="576">
        <f t="shared" si="1"/>
        <v>30</v>
      </c>
      <c r="BF9" s="540">
        <f>VLOOKUP(ENERGÍA!$C$4,LLUVIA,5,FALSE)</f>
        <v>0</v>
      </c>
      <c r="BH9" s="550">
        <v>25</v>
      </c>
      <c r="BI9" s="636">
        <v>0.48</v>
      </c>
      <c r="BJ9" s="636">
        <v>0.4</v>
      </c>
      <c r="BK9" s="636">
        <v>0.33</v>
      </c>
      <c r="BL9" s="636">
        <v>0.28999999999999998</v>
      </c>
      <c r="BM9" s="636">
        <f t="shared" ref="BM9:BM19" si="4">BL9-0.05</f>
        <v>0.24</v>
      </c>
      <c r="BN9" s="636">
        <f t="shared" ref="BN9:BN19" si="5">+BM9-0.04</f>
        <v>0.19999999999999998</v>
      </c>
      <c r="BO9" s="636">
        <f t="shared" ref="BO9:BO19" si="6">+BN9-0.05</f>
        <v>0.14999999999999997</v>
      </c>
      <c r="BP9" s="635"/>
      <c r="BQ9" s="550">
        <v>25</v>
      </c>
      <c r="BR9" s="636">
        <v>0.21</v>
      </c>
      <c r="BS9" s="636">
        <v>0.18</v>
      </c>
      <c r="BT9" s="636">
        <v>0.15</v>
      </c>
      <c r="BU9" s="636">
        <v>0.13</v>
      </c>
      <c r="BV9" s="636">
        <f t="shared" ref="BV9:BV19" si="7">BU9-0.05</f>
        <v>0.08</v>
      </c>
      <c r="BW9" s="636">
        <f t="shared" ref="BW9:BW19" si="8">+BV9-0.04</f>
        <v>0.04</v>
      </c>
      <c r="BX9" s="636">
        <v>0</v>
      </c>
      <c r="BZ9" s="550">
        <v>25</v>
      </c>
      <c r="CA9" s="636">
        <v>0.7</v>
      </c>
      <c r="CB9" s="636">
        <v>0.57999999999999996</v>
      </c>
      <c r="CC9" s="636">
        <v>0.49</v>
      </c>
      <c r="CD9" s="636">
        <v>0.42</v>
      </c>
      <c r="CE9" s="636">
        <f t="shared" ref="CE9:CE19" si="9">CD9-0.05</f>
        <v>0.37</v>
      </c>
      <c r="CF9" s="636">
        <f t="shared" ref="CF9:CF19" si="10">+CE9-0.04</f>
        <v>0.33</v>
      </c>
      <c r="CG9" s="636">
        <f t="shared" ref="CG9:CG19" si="11">+CF9-0.05</f>
        <v>0.28000000000000003</v>
      </c>
      <c r="CP9" s="196"/>
    </row>
    <row r="10" spans="1:94" thickBot="1">
      <c r="B10" s="1196"/>
      <c r="C10" s="1196"/>
      <c r="D10" s="1196"/>
      <c r="E10" s="1192"/>
      <c r="F10" s="1192"/>
      <c r="G10" s="1192"/>
      <c r="H10" s="1192"/>
      <c r="K10" s="576" t="s">
        <v>1703</v>
      </c>
      <c r="L10" s="576">
        <v>1000</v>
      </c>
      <c r="M10" s="576">
        <v>0.4</v>
      </c>
      <c r="Q10" s="576" t="str">
        <f>'BASE DE DATOS'!FQ10</f>
        <v>Chapa, Cámara de aire, Aislación 150mm, Cielorraso</v>
      </c>
      <c r="R10" s="576">
        <f>'BASE DE DATOS'!FR10</f>
        <v>0.21</v>
      </c>
      <c r="S10" s="576">
        <f>'BASE DE DATOS'!FS10</f>
        <v>0.13999999999999999</v>
      </c>
      <c r="U10" s="576" t="str">
        <f>'BASE DE DATOS'!FU10</f>
        <v>Ladrillo de 15cm , Aislación de 50mm,Lladrillo de 15cm con revoque</v>
      </c>
      <c r="V10" s="576">
        <f>'BASE DE DATOS'!FV10</f>
        <v>0.38180826472039597</v>
      </c>
      <c r="W10" s="576" t="str">
        <f>'BASE DE DATOS'!FW10</f>
        <v>Ladrillo cerámico portante 12cm, Revocado</v>
      </c>
      <c r="X10" s="576">
        <f>'BASE DE DATOS'!FX10</f>
        <v>1.6</v>
      </c>
      <c r="Z10" s="576" t="str">
        <f>'BASE DE DATOS'!FZ10</f>
        <v>Losa, Aislación total 50mm</v>
      </c>
      <c r="AA10" s="576">
        <f>'BASE DE DATOS'!GA10</f>
        <v>0.65</v>
      </c>
      <c r="AC10" s="576" t="str">
        <f>'BASE DE DATOS'!GC10</f>
        <v>DVH Incoloro 6+12+6</v>
      </c>
      <c r="AD10" s="576">
        <f>'BASE DE DATOS'!GD10</f>
        <v>3.23</v>
      </c>
      <c r="AE10" s="576">
        <f>'BASE DE DATOS'!GE10</f>
        <v>0.62</v>
      </c>
      <c r="AG10" s="576" t="s">
        <v>677</v>
      </c>
      <c r="AI10" s="576" t="s">
        <v>680</v>
      </c>
      <c r="AK10" s="576" t="str">
        <f>'Modelo de Radiación Solar'!Q8</f>
        <v>Este-noreste</v>
      </c>
      <c r="AM10" s="576" t="s">
        <v>40</v>
      </c>
      <c r="AO10" s="576" t="s">
        <v>827</v>
      </c>
      <c r="AP10" s="540">
        <f t="shared" si="0"/>
        <v>0</v>
      </c>
      <c r="AQ10" s="540">
        <f t="shared" si="0"/>
        <v>31</v>
      </c>
      <c r="AR10" s="540">
        <f t="shared" si="0"/>
        <v>0</v>
      </c>
      <c r="AS10" s="540">
        <f t="shared" si="2"/>
        <v>0</v>
      </c>
      <c r="AT10" s="576">
        <f>AS10*AQ10*(ENERGÍA!$L$256*ENERGÍA!$C$259)/1000</f>
        <v>0</v>
      </c>
      <c r="AV10" s="540">
        <v>-13</v>
      </c>
      <c r="AW10" s="540">
        <v>0.24</v>
      </c>
      <c r="AX10" s="540">
        <v>0.21</v>
      </c>
      <c r="AY10" s="540">
        <v>0.63</v>
      </c>
      <c r="AZ10" s="540">
        <v>0.55000000000000004</v>
      </c>
      <c r="BA10" s="540">
        <v>1.08</v>
      </c>
      <c r="BB10" s="540">
        <v>1</v>
      </c>
      <c r="BD10" s="576" t="str">
        <f t="shared" si="3"/>
        <v>Mayo</v>
      </c>
      <c r="BE10" s="576">
        <f t="shared" si="1"/>
        <v>31</v>
      </c>
      <c r="BF10" s="540">
        <f>VLOOKUP(ENERGÍA!$C$4,LLUVIA,6,FALSE)</f>
        <v>0</v>
      </c>
      <c r="BH10" s="550">
        <v>29</v>
      </c>
      <c r="BI10" s="636">
        <v>0.48</v>
      </c>
      <c r="BJ10" s="636">
        <v>0.4</v>
      </c>
      <c r="BK10" s="636">
        <v>0.33</v>
      </c>
      <c r="BL10" s="636">
        <v>0.28999999999999998</v>
      </c>
      <c r="BM10" s="636">
        <f t="shared" si="4"/>
        <v>0.24</v>
      </c>
      <c r="BN10" s="636">
        <f t="shared" si="5"/>
        <v>0.19999999999999998</v>
      </c>
      <c r="BO10" s="636">
        <f t="shared" si="6"/>
        <v>0.14999999999999997</v>
      </c>
      <c r="BP10" s="635"/>
      <c r="BQ10" s="550">
        <v>29</v>
      </c>
      <c r="BR10" s="636">
        <v>0.21</v>
      </c>
      <c r="BS10" s="636">
        <v>0.18</v>
      </c>
      <c r="BT10" s="636">
        <v>0.15</v>
      </c>
      <c r="BU10" s="636">
        <v>0.13</v>
      </c>
      <c r="BV10" s="636">
        <f t="shared" si="7"/>
        <v>0.08</v>
      </c>
      <c r="BW10" s="636">
        <f t="shared" si="8"/>
        <v>0.04</v>
      </c>
      <c r="BX10" s="636">
        <v>0</v>
      </c>
      <c r="BZ10" s="550">
        <v>29</v>
      </c>
      <c r="CA10" s="636">
        <v>0.7</v>
      </c>
      <c r="CB10" s="636">
        <v>0.57999999999999996</v>
      </c>
      <c r="CC10" s="636">
        <v>0.49</v>
      </c>
      <c r="CD10" s="636">
        <v>0.42</v>
      </c>
      <c r="CE10" s="636">
        <f t="shared" si="9"/>
        <v>0.37</v>
      </c>
      <c r="CF10" s="636">
        <f t="shared" si="10"/>
        <v>0.33</v>
      </c>
      <c r="CG10" s="636">
        <f t="shared" si="11"/>
        <v>0.28000000000000003</v>
      </c>
      <c r="CP10" s="196"/>
    </row>
    <row r="11" spans="1:94" thickBot="1">
      <c r="B11" s="1196"/>
      <c r="C11" s="1196"/>
      <c r="D11" s="1196"/>
      <c r="E11" s="1192"/>
      <c r="F11" s="1192"/>
      <c r="G11" s="1192"/>
      <c r="H11" s="1192"/>
      <c r="K11" s="576" t="s">
        <v>1704</v>
      </c>
      <c r="L11" s="576">
        <v>1400</v>
      </c>
      <c r="M11" s="576">
        <v>0.62</v>
      </c>
      <c r="Q11" s="576" t="str">
        <f>'BASE DE DATOS'!FQ11</f>
        <v>Chapa, Cámara de aire, Aislación 200mm, Cielorraso</v>
      </c>
      <c r="R11" s="576">
        <f>'BASE DE DATOS'!FR11</f>
        <v>0.16</v>
      </c>
      <c r="S11" s="576">
        <f>'BASE DE DATOS'!FS11</f>
        <v>0.09</v>
      </c>
      <c r="U11" s="576" t="str">
        <f>'BASE DE DATOS'!FU11</f>
        <v xml:space="preserve">Ladrillo visto 12cm, Aislante 100mm, Ladrillo cerámico 8cm, Revestimiento Interior 2cm </v>
      </c>
      <c r="V11" s="576">
        <f>'BASE DE DATOS'!FV11</f>
        <v>0.28000000000000003</v>
      </c>
      <c r="W11" s="576" t="str">
        <f>'BASE DE DATOS'!FW11</f>
        <v>Ladrillo cerámicos 18cm, Revocado</v>
      </c>
      <c r="X11" s="576">
        <f>'BASE DE DATOS'!FX11</f>
        <v>1.65</v>
      </c>
      <c r="Z11" s="576" t="str">
        <f>'BASE DE DATOS'!FZ11</f>
        <v>Losa, s/Aislación</v>
      </c>
      <c r="AA11" s="576">
        <f>'BASE DE DATOS'!GA11</f>
        <v>2</v>
      </c>
      <c r="AC11" s="576" t="str">
        <f>'BASE DE DATOS'!GC11</f>
        <v>DVH Incoloro + LowE 3+12+3</v>
      </c>
      <c r="AD11" s="576">
        <f>'BASE DE DATOS'!GD11</f>
        <v>3.08</v>
      </c>
      <c r="AE11" s="576">
        <f>'BASE DE DATOS'!GE11</f>
        <v>0.62</v>
      </c>
      <c r="AG11" s="576" t="s">
        <v>678</v>
      </c>
      <c r="AI11" s="576" t="s">
        <v>1241</v>
      </c>
      <c r="AK11" s="576" t="str">
        <f>'Modelo de Radiación Solar'!Q9</f>
        <v xml:space="preserve">Este </v>
      </c>
      <c r="AM11" s="576" t="s">
        <v>141</v>
      </c>
      <c r="AO11" s="576" t="s">
        <v>828</v>
      </c>
      <c r="AP11" s="540">
        <f t="shared" si="0"/>
        <v>0</v>
      </c>
      <c r="AQ11" s="540">
        <f t="shared" si="0"/>
        <v>30</v>
      </c>
      <c r="AR11" s="540">
        <f t="shared" si="0"/>
        <v>0</v>
      </c>
      <c r="AS11" s="540">
        <f t="shared" si="2"/>
        <v>0</v>
      </c>
      <c r="AT11" s="576">
        <f>AS11*AQ11*(ENERGÍA!$L$256*ENERGÍA!$C$259)/1000</f>
        <v>0</v>
      </c>
      <c r="AV11" s="540">
        <v>-12</v>
      </c>
      <c r="AW11" s="540">
        <v>0.25</v>
      </c>
      <c r="AX11" s="540">
        <v>0.21</v>
      </c>
      <c r="AY11" s="540">
        <v>0.65</v>
      </c>
      <c r="AZ11" s="540">
        <v>0.56000000000000005</v>
      </c>
      <c r="BA11" s="540">
        <v>1.1100000000000001</v>
      </c>
      <c r="BB11" s="540">
        <v>1</v>
      </c>
      <c r="BD11" s="576" t="str">
        <f t="shared" si="3"/>
        <v>Junio</v>
      </c>
      <c r="BE11" s="576">
        <f t="shared" si="1"/>
        <v>30</v>
      </c>
      <c r="BF11" s="540">
        <f>VLOOKUP(ENERGÍA!$C$4,LLUVIA,7,FALSE)</f>
        <v>0</v>
      </c>
      <c r="BH11" s="550">
        <v>30</v>
      </c>
      <c r="BI11" s="636">
        <v>0.48</v>
      </c>
      <c r="BJ11" s="636">
        <v>0.39</v>
      </c>
      <c r="BK11" s="636">
        <v>0.32</v>
      </c>
      <c r="BL11" s="636">
        <v>0.28000000000000003</v>
      </c>
      <c r="BM11" s="636">
        <f t="shared" si="4"/>
        <v>0.23000000000000004</v>
      </c>
      <c r="BN11" s="636">
        <f t="shared" si="5"/>
        <v>0.19000000000000003</v>
      </c>
      <c r="BO11" s="636">
        <f t="shared" si="6"/>
        <v>0.14000000000000001</v>
      </c>
      <c r="BP11" s="635"/>
      <c r="BQ11" s="550">
        <v>30</v>
      </c>
      <c r="BR11" s="636">
        <v>0.22</v>
      </c>
      <c r="BS11" s="636">
        <v>0.19</v>
      </c>
      <c r="BT11" s="636">
        <v>0.16</v>
      </c>
      <c r="BU11" s="636">
        <v>0.13</v>
      </c>
      <c r="BV11" s="636">
        <f t="shared" si="7"/>
        <v>0.08</v>
      </c>
      <c r="BW11" s="636">
        <f t="shared" si="8"/>
        <v>0.04</v>
      </c>
      <c r="BX11" s="636">
        <v>0</v>
      </c>
      <c r="BZ11" s="550">
        <v>30</v>
      </c>
      <c r="CA11" s="636">
        <v>0.7</v>
      </c>
      <c r="CB11" s="636">
        <v>0.57999999999999996</v>
      </c>
      <c r="CC11" s="636">
        <v>0.48</v>
      </c>
      <c r="CD11" s="636">
        <v>0.41</v>
      </c>
      <c r="CE11" s="636">
        <f t="shared" si="9"/>
        <v>0.36</v>
      </c>
      <c r="CF11" s="636">
        <f t="shared" si="10"/>
        <v>0.32</v>
      </c>
      <c r="CG11" s="636">
        <f t="shared" si="11"/>
        <v>0.27</v>
      </c>
      <c r="CP11" s="196"/>
    </row>
    <row r="12" spans="1:94" thickBot="1">
      <c r="B12" s="1196"/>
      <c r="C12" s="1196"/>
      <c r="D12" s="1196"/>
      <c r="E12" s="1192"/>
      <c r="F12" s="1192"/>
      <c r="G12" s="1192"/>
      <c r="H12" s="1192"/>
      <c r="K12" s="576" t="s">
        <v>1705</v>
      </c>
      <c r="L12" s="576">
        <v>600</v>
      </c>
      <c r="M12" s="576">
        <v>0.24</v>
      </c>
      <c r="Q12" s="576" t="str">
        <f>'BASE DE DATOS'!FQ12</f>
        <v>Chapa, Cámara de aire, Aislación 200mm, Cielorraso</v>
      </c>
      <c r="R12" s="576">
        <f>'BASE DE DATOS'!FR12</f>
        <v>0.16</v>
      </c>
      <c r="S12" s="576">
        <f>'BASE DE DATOS'!FS12</f>
        <v>0.09</v>
      </c>
      <c r="U12" s="576" t="str">
        <f>'BASE DE DATOS'!FU12</f>
        <v xml:space="preserve">Ladrillo visto 12cm, Aislante 25mm, Ladrillo cerámico 8cm, Revestimiento Interior 2cm </v>
      </c>
      <c r="V12" s="576">
        <f>'BASE DE DATOS'!FV12</f>
        <v>0.78</v>
      </c>
      <c r="W12" s="576" t="str">
        <f>'BASE DE DATOS'!FW12</f>
        <v>Ladrillo cerámicos portante 18cm, Revocado</v>
      </c>
      <c r="X12" s="576">
        <f>'BASE DE DATOS'!FX12</f>
        <v>1.36</v>
      </c>
      <c r="Z12" s="576" t="str">
        <f>'BASE DE DATOS'!FZ12</f>
        <v>C.A.T. Nº3079 - VIDHA (Zona I a IV)</v>
      </c>
      <c r="AA12" s="576">
        <f>'BASE DE DATOS'!GA12</f>
        <v>0.75</v>
      </c>
      <c r="AC12" s="576" t="str">
        <f>'BASE DE DATOS'!GC12</f>
        <v>DVH Incoloro + LowE 6+12+6</v>
      </c>
      <c r="AD12" s="576">
        <f>'BASE DE DATOS'!GD12</f>
        <v>3.08</v>
      </c>
      <c r="AE12" s="576">
        <f>'BASE DE DATOS'!GE12</f>
        <v>0.62</v>
      </c>
      <c r="AK12" s="576" t="str">
        <f>'Modelo de Radiación Solar'!Q10</f>
        <v>Este-sudesde</v>
      </c>
      <c r="AM12" s="576" t="s">
        <v>163</v>
      </c>
      <c r="AO12" s="576" t="s">
        <v>829</v>
      </c>
      <c r="AP12" s="540">
        <f t="shared" si="0"/>
        <v>0</v>
      </c>
      <c r="AQ12" s="540">
        <f t="shared" si="0"/>
        <v>31</v>
      </c>
      <c r="AR12" s="540">
        <f t="shared" si="0"/>
        <v>0</v>
      </c>
      <c r="AS12" s="540">
        <f t="shared" si="2"/>
        <v>0</v>
      </c>
      <c r="AT12" s="576">
        <f>AS12*AQ12*(ENERGÍA!$L$256*ENERGÍA!$C$259)/1000</f>
        <v>0</v>
      </c>
      <c r="AV12" s="540">
        <v>-11</v>
      </c>
      <c r="AW12" s="540">
        <v>0.25</v>
      </c>
      <c r="AX12" s="540">
        <v>0.22</v>
      </c>
      <c r="AY12" s="540">
        <v>0.67</v>
      </c>
      <c r="AZ12" s="540">
        <v>0.57999999999999996</v>
      </c>
      <c r="BA12" s="540">
        <v>1.1499999999999999</v>
      </c>
      <c r="BB12" s="540">
        <v>1</v>
      </c>
      <c r="BD12" s="576" t="str">
        <f t="shared" si="3"/>
        <v>Julio</v>
      </c>
      <c r="BE12" s="576">
        <f t="shared" si="1"/>
        <v>31</v>
      </c>
      <c r="BF12" s="540">
        <f>VLOOKUP(ENERGÍA!$C$4,LLUVIA,8,FALSE)</f>
        <v>0</v>
      </c>
      <c r="BH12" s="550">
        <v>35</v>
      </c>
      <c r="BI12" s="636">
        <v>0.48</v>
      </c>
      <c r="BJ12" s="636">
        <v>0.39</v>
      </c>
      <c r="BK12" s="636">
        <v>0.32</v>
      </c>
      <c r="BL12" s="636">
        <v>0.28000000000000003</v>
      </c>
      <c r="BM12" s="636">
        <f t="shared" si="4"/>
        <v>0.23000000000000004</v>
      </c>
      <c r="BN12" s="636">
        <f t="shared" si="5"/>
        <v>0.19000000000000003</v>
      </c>
      <c r="BO12" s="636">
        <f t="shared" si="6"/>
        <v>0.14000000000000001</v>
      </c>
      <c r="BP12" s="635"/>
      <c r="BQ12" s="550">
        <v>35</v>
      </c>
      <c r="BR12" s="636">
        <v>0.22</v>
      </c>
      <c r="BS12" s="636">
        <v>0.19</v>
      </c>
      <c r="BT12" s="636">
        <v>0.16</v>
      </c>
      <c r="BU12" s="636">
        <v>0.13</v>
      </c>
      <c r="BV12" s="636">
        <f t="shared" si="7"/>
        <v>0.08</v>
      </c>
      <c r="BW12" s="636">
        <f t="shared" si="8"/>
        <v>0.04</v>
      </c>
      <c r="BX12" s="636">
        <v>0</v>
      </c>
      <c r="BZ12" s="550">
        <v>35</v>
      </c>
      <c r="CA12" s="636">
        <v>0.7</v>
      </c>
      <c r="CB12" s="636">
        <v>0.57999999999999996</v>
      </c>
      <c r="CC12" s="636">
        <v>0.48</v>
      </c>
      <c r="CD12" s="636">
        <v>0.41</v>
      </c>
      <c r="CE12" s="636">
        <f t="shared" si="9"/>
        <v>0.36</v>
      </c>
      <c r="CF12" s="636">
        <f t="shared" si="10"/>
        <v>0.32</v>
      </c>
      <c r="CG12" s="636">
        <f t="shared" si="11"/>
        <v>0.27</v>
      </c>
      <c r="CP12" s="196"/>
    </row>
    <row r="13" spans="1:94" ht="35" thickBot="1">
      <c r="B13" s="229" t="s">
        <v>245</v>
      </c>
      <c r="C13" s="229" t="s">
        <v>246</v>
      </c>
      <c r="D13" s="229" t="s">
        <v>222</v>
      </c>
      <c r="E13" s="229" t="s">
        <v>247</v>
      </c>
      <c r="F13" s="229" t="s">
        <v>549</v>
      </c>
      <c r="G13" s="1191" t="s">
        <v>1459</v>
      </c>
      <c r="H13" s="1191"/>
      <c r="K13" s="576" t="s">
        <v>264</v>
      </c>
      <c r="L13" s="576">
        <v>1400</v>
      </c>
      <c r="M13" s="576">
        <v>0.38</v>
      </c>
      <c r="Q13" s="576" t="str">
        <f>'BASE DE DATOS'!FQ13</f>
        <v>Chapa, Cámara de aire, Aislación 75mm, Cielorraso</v>
      </c>
      <c r="R13" s="576">
        <f>'BASE DE DATOS'!FR13</f>
        <v>0.38</v>
      </c>
      <c r="S13" s="576">
        <f>'BASE DE DATOS'!FS13</f>
        <v>0.31</v>
      </c>
      <c r="U13" s="576" t="str">
        <f>'BASE DE DATOS'!FU13</f>
        <v xml:space="preserve">Ladrillo visto 12cm, Aislante 50mm, Ladrillo cerámico 8cm, Revestimiento Interior 2cm </v>
      </c>
      <c r="V13" s="576">
        <f>'BASE DE DATOS'!FV13</f>
        <v>0.49</v>
      </c>
      <c r="W13" s="576" t="str">
        <f>'BASE DE DATOS'!FW13</f>
        <v>Ladrillo macizo 12cm, cámara de aire 40mm, Ladrillo hueco 8cm, Revoque 2</v>
      </c>
      <c r="X13" s="576">
        <f>'BASE DE DATOS'!FX13</f>
        <v>1.42</v>
      </c>
      <c r="Z13" s="576" t="str">
        <f>'BASE DE DATOS'!FZ13</f>
        <v>C.A.T. Nº3080 - NUEVA GENERACIÓN (Zona I a IV)</v>
      </c>
      <c r="AA13" s="576">
        <f>'BASE DE DATOS'!GA13</f>
        <v>0.625</v>
      </c>
      <c r="AC13" s="576" t="str">
        <f>'BASE DE DATOS'!GC13</f>
        <v>DVH Reflectivo Incoloro + LowE 6+12+6</v>
      </c>
      <c r="AD13" s="576">
        <f>'BASE DE DATOS'!GD13</f>
        <v>2.8</v>
      </c>
      <c r="AE13" s="576">
        <f>'BASE DE DATOS'!GE13</f>
        <v>0.51</v>
      </c>
      <c r="AK13" s="576" t="str">
        <f>'Modelo de Radiación Solar'!Q11</f>
        <v>Sudeste</v>
      </c>
      <c r="AM13" s="576" t="s">
        <v>41</v>
      </c>
      <c r="AO13" s="576" t="s">
        <v>830</v>
      </c>
      <c r="AP13" s="540">
        <f t="shared" si="0"/>
        <v>0</v>
      </c>
      <c r="AQ13" s="540">
        <f t="shared" si="0"/>
        <v>31</v>
      </c>
      <c r="AR13" s="540">
        <f t="shared" si="0"/>
        <v>0</v>
      </c>
      <c r="AS13" s="540">
        <f t="shared" si="2"/>
        <v>0</v>
      </c>
      <c r="AT13" s="576">
        <f>AS13*AQ13*(ENERGÍA!$L$256*ENERGÍA!$C$259)/1000</f>
        <v>0</v>
      </c>
      <c r="AV13" s="540">
        <v>-10</v>
      </c>
      <c r="AW13" s="540">
        <v>0.26</v>
      </c>
      <c r="AX13" s="540">
        <v>0.23</v>
      </c>
      <c r="AY13" s="540">
        <v>0.69</v>
      </c>
      <c r="AZ13" s="540">
        <v>0.6</v>
      </c>
      <c r="BA13" s="540">
        <v>1.19</v>
      </c>
      <c r="BB13" s="540">
        <v>1</v>
      </c>
      <c r="BD13" s="576" t="str">
        <f t="shared" si="3"/>
        <v>Agosto</v>
      </c>
      <c r="BE13" s="576">
        <f t="shared" si="1"/>
        <v>31</v>
      </c>
      <c r="BF13" s="540">
        <f>VLOOKUP(ENERGÍA!$C$4,LLUVIA,9,FALSE)</f>
        <v>0</v>
      </c>
      <c r="BH13" s="550">
        <v>39</v>
      </c>
      <c r="BI13" s="636">
        <v>0.48</v>
      </c>
      <c r="BJ13" s="636">
        <v>0.39</v>
      </c>
      <c r="BK13" s="636">
        <v>0.32</v>
      </c>
      <c r="BL13" s="636">
        <v>0.28000000000000003</v>
      </c>
      <c r="BM13" s="636">
        <f t="shared" si="4"/>
        <v>0.23000000000000004</v>
      </c>
      <c r="BN13" s="636">
        <f t="shared" si="5"/>
        <v>0.19000000000000003</v>
      </c>
      <c r="BO13" s="636">
        <f t="shared" si="6"/>
        <v>0.14000000000000001</v>
      </c>
      <c r="BP13" s="635"/>
      <c r="BQ13" s="550">
        <v>39</v>
      </c>
      <c r="BR13" s="636">
        <v>0.22</v>
      </c>
      <c r="BS13" s="636">
        <v>0.19</v>
      </c>
      <c r="BT13" s="636">
        <v>0.16</v>
      </c>
      <c r="BU13" s="636">
        <v>0.13</v>
      </c>
      <c r="BV13" s="636">
        <f t="shared" si="7"/>
        <v>0.08</v>
      </c>
      <c r="BW13" s="636">
        <f t="shared" si="8"/>
        <v>0.04</v>
      </c>
      <c r="BX13" s="636">
        <v>0</v>
      </c>
      <c r="BZ13" s="550">
        <v>39</v>
      </c>
      <c r="CA13" s="636">
        <v>0.7</v>
      </c>
      <c r="CB13" s="636">
        <v>0.57999999999999996</v>
      </c>
      <c r="CC13" s="636">
        <v>0.48</v>
      </c>
      <c r="CD13" s="636">
        <v>0.41</v>
      </c>
      <c r="CE13" s="636">
        <f t="shared" si="9"/>
        <v>0.36</v>
      </c>
      <c r="CF13" s="636">
        <f t="shared" si="10"/>
        <v>0.32</v>
      </c>
      <c r="CG13" s="636">
        <f t="shared" si="11"/>
        <v>0.27</v>
      </c>
      <c r="CP13" s="196"/>
    </row>
    <row r="14" spans="1:94" thickBot="1">
      <c r="B14" s="801" t="s">
        <v>1232</v>
      </c>
      <c r="C14" s="801"/>
      <c r="D14" s="801"/>
      <c r="E14" s="801"/>
      <c r="F14" s="801"/>
      <c r="G14" s="1135">
        <v>0.04</v>
      </c>
      <c r="H14" s="1135"/>
      <c r="K14" s="576" t="s">
        <v>263</v>
      </c>
      <c r="L14" s="576">
        <v>1200</v>
      </c>
      <c r="M14" s="576">
        <v>0.31</v>
      </c>
      <c r="Q14" s="576" t="str">
        <f>'BASE DE DATOS'!FQ14</f>
        <v>Chapa, Cámara de aire, Cielorraso</v>
      </c>
      <c r="R14" s="576">
        <f>'BASE DE DATOS'!FR14</f>
        <v>3.04</v>
      </c>
      <c r="S14" s="576">
        <f>'BASE DE DATOS'!FS14</f>
        <v>2.9699999999999998</v>
      </c>
      <c r="U14" s="576" t="str">
        <f>'BASE DE DATOS'!FU14</f>
        <v xml:space="preserve">Ladrillo visto 12cm, Cámara de aire 25mm, Ladrillo cerámico 8cm, Revestimiento Interior 2cm </v>
      </c>
      <c r="V14" s="576">
        <f>'BASE DE DATOS'!FV14</f>
        <v>1.47</v>
      </c>
      <c r="W14" s="576" t="str">
        <f>'BASE DE DATOS'!FW14</f>
        <v>Pared con 25mm de aislación</v>
      </c>
      <c r="X14" s="576">
        <f>'BASE DE DATOS'!FX14</f>
        <v>0.8</v>
      </c>
      <c r="Z14" s="576" t="str">
        <f>'BASE DE DATOS'!FZ14</f>
        <v>C.A.T. Nº3094 - VIVIENDAS NEUQUÉN (Zona I a IV)</v>
      </c>
      <c r="AA14" s="576">
        <f>'BASE DE DATOS'!GA14</f>
        <v>0.87</v>
      </c>
      <c r="AC14" s="576" t="str">
        <f>'BASE DE DATOS'!GC14</f>
        <v>DVH Reflectivo Bronce + LowE 6+12+6</v>
      </c>
      <c r="AD14" s="576">
        <f>'BASE DE DATOS'!GD14</f>
        <v>2.8</v>
      </c>
      <c r="AE14" s="576">
        <f>'BASE DE DATOS'!GE14</f>
        <v>0.51</v>
      </c>
      <c r="AG14" s="576" t="s">
        <v>681</v>
      </c>
      <c r="AI14" s="576" t="s">
        <v>683</v>
      </c>
      <c r="AK14" s="576" t="str">
        <f>'Modelo de Radiación Solar'!Q12</f>
        <v>Sur-sudeste</v>
      </c>
      <c r="AM14" s="576" t="s">
        <v>203</v>
      </c>
      <c r="AO14" s="576" t="s">
        <v>831</v>
      </c>
      <c r="AP14" s="540">
        <f t="shared" si="0"/>
        <v>0</v>
      </c>
      <c r="AQ14" s="540">
        <f t="shared" si="0"/>
        <v>30</v>
      </c>
      <c r="AR14" s="540">
        <f t="shared" si="0"/>
        <v>0</v>
      </c>
      <c r="AS14" s="540">
        <f t="shared" si="2"/>
        <v>0</v>
      </c>
      <c r="AT14" s="576">
        <f>AS14*AQ14*(ENERGÍA!$L$256*ENERGÍA!$C$259)/1000</f>
        <v>0</v>
      </c>
      <c r="AV14" s="540">
        <v>-9</v>
      </c>
      <c r="AW14" s="540">
        <v>0.27</v>
      </c>
      <c r="AX14" s="540">
        <v>0.23</v>
      </c>
      <c r="AY14" s="540">
        <v>0.72</v>
      </c>
      <c r="AZ14" s="540">
        <v>0.61</v>
      </c>
      <c r="BA14" s="540">
        <v>1.23</v>
      </c>
      <c r="BB14" s="540">
        <v>1</v>
      </c>
      <c r="BD14" s="576" t="str">
        <f t="shared" si="3"/>
        <v>Septiembre</v>
      </c>
      <c r="BE14" s="576">
        <f t="shared" si="1"/>
        <v>30</v>
      </c>
      <c r="BF14" s="540">
        <f>VLOOKUP(ENERGÍA!$C$4,LLUVIA,10,FALSE)</f>
        <v>0</v>
      </c>
      <c r="BH14" s="550">
        <v>40</v>
      </c>
      <c r="BI14" s="636">
        <v>0.44</v>
      </c>
      <c r="BJ14" s="636">
        <v>0.36</v>
      </c>
      <c r="BK14" s="636">
        <v>0.3</v>
      </c>
      <c r="BL14" s="636">
        <v>0.25</v>
      </c>
      <c r="BM14" s="636">
        <f t="shared" si="4"/>
        <v>0.2</v>
      </c>
      <c r="BN14" s="636">
        <f t="shared" si="5"/>
        <v>0.16</v>
      </c>
      <c r="BO14" s="636">
        <f t="shared" si="6"/>
        <v>0.11</v>
      </c>
      <c r="BP14" s="635"/>
      <c r="BQ14" s="550">
        <v>40</v>
      </c>
      <c r="BR14" s="636">
        <v>0.24</v>
      </c>
      <c r="BS14" s="636">
        <v>0.2</v>
      </c>
      <c r="BT14" s="636">
        <v>0.16</v>
      </c>
      <c r="BU14" s="636">
        <v>0.14000000000000001</v>
      </c>
      <c r="BV14" s="636">
        <f t="shared" si="7"/>
        <v>9.0000000000000011E-2</v>
      </c>
      <c r="BW14" s="636">
        <f t="shared" si="8"/>
        <v>5.000000000000001E-2</v>
      </c>
      <c r="BX14" s="636">
        <v>0</v>
      </c>
      <c r="BZ14" s="550">
        <v>40</v>
      </c>
      <c r="CA14" s="636">
        <v>0.68</v>
      </c>
      <c r="CB14" s="636">
        <v>0.55000000000000004</v>
      </c>
      <c r="CC14" s="636">
        <v>0.46</v>
      </c>
      <c r="CD14" s="636">
        <v>0.39</v>
      </c>
      <c r="CE14" s="636">
        <f t="shared" si="9"/>
        <v>0.34</v>
      </c>
      <c r="CF14" s="636">
        <f t="shared" si="10"/>
        <v>0.30000000000000004</v>
      </c>
      <c r="CG14" s="636">
        <f t="shared" si="11"/>
        <v>0.25000000000000006</v>
      </c>
      <c r="CP14" s="196"/>
    </row>
    <row r="15" spans="1:94" ht="15" customHeight="1" thickBot="1">
      <c r="B15" s="240">
        <v>1</v>
      </c>
      <c r="C15" s="370"/>
      <c r="D15" s="370"/>
      <c r="E15" s="371"/>
      <c r="F15" s="308">
        <f t="shared" ref="F15:F19" si="12">IFERROR(VLOOKUP($D15,Materialesm,3,FALSE),0)</f>
        <v>0</v>
      </c>
      <c r="G15" s="1191">
        <f t="shared" ref="G15:G22" si="13">IFERROR(+E15/F15,0)</f>
        <v>0</v>
      </c>
      <c r="H15" s="1191"/>
      <c r="J15" s="577" t="str">
        <f>K421</f>
        <v>Suelo</v>
      </c>
      <c r="K15" s="576" t="s">
        <v>269</v>
      </c>
      <c r="L15" s="576">
        <v>1200</v>
      </c>
      <c r="M15" s="576">
        <v>0.37</v>
      </c>
      <c r="Q15" s="576" t="str">
        <f>'BASE DE DATOS'!FQ15</f>
        <v>Chapa, Entablonada, Cámara de aire, Aislación 25mm, Cielorraso</v>
      </c>
      <c r="R15" s="576">
        <f>'BASE DE DATOS'!FR15</f>
        <v>0.92</v>
      </c>
      <c r="S15" s="576">
        <f>'BASE DE DATOS'!FS15</f>
        <v>0.85000000000000009</v>
      </c>
      <c r="U15" s="576" t="str">
        <f>'BASE DE DATOS'!FU15</f>
        <v xml:space="preserve">Machimbre, Fenólico, Cámara de aire, Aislación 100mm, Placa de yeso </v>
      </c>
      <c r="V15" s="576">
        <f>'BASE DE DATOS'!FV15</f>
        <v>1.46</v>
      </c>
      <c r="W15" s="576" t="str">
        <f>'BASE DE DATOS'!FW15</f>
        <v>Pared con 50mm de aislación</v>
      </c>
      <c r="X15" s="576">
        <f>'BASE DE DATOS'!FX15</f>
        <v>0.52</v>
      </c>
      <c r="Z15" s="576" t="str">
        <f>'BASE DE DATOS'!FZ15</f>
        <v>C.A.T. Nº3098 - DIMARBO (Zona I a IV)</v>
      </c>
      <c r="AA15" s="576">
        <f>'BASE DE DATOS'!GA15</f>
        <v>0.41</v>
      </c>
      <c r="AC15" s="576" t="str">
        <f>'BASE DE DATOS'!GC15</f>
        <v>DVH Bronce + LowE 3+12+3</v>
      </c>
      <c r="AD15" s="576">
        <f>'BASE DE DATOS'!GD15</f>
        <v>3.08</v>
      </c>
      <c r="AE15" s="576">
        <f>'BASE DE DATOS'!GE15</f>
        <v>0.62</v>
      </c>
      <c r="AG15" s="576" t="s">
        <v>682</v>
      </c>
      <c r="AI15" s="576" t="s">
        <v>684</v>
      </c>
      <c r="AK15" s="576" t="str">
        <f>'Modelo de Radiación Solar'!Q13</f>
        <v>Sur</v>
      </c>
      <c r="AM15" s="576" t="s">
        <v>74</v>
      </c>
      <c r="AO15" s="576" t="s">
        <v>832</v>
      </c>
      <c r="AP15" s="540">
        <f t="shared" si="0"/>
        <v>0</v>
      </c>
      <c r="AQ15" s="540">
        <f t="shared" si="0"/>
        <v>31</v>
      </c>
      <c r="AR15" s="540">
        <f t="shared" si="0"/>
        <v>0</v>
      </c>
      <c r="AS15" s="540">
        <f t="shared" si="2"/>
        <v>0</v>
      </c>
      <c r="AT15" s="576">
        <f>AS15*AQ15*(ENERGÍA!$L$256*ENERGÍA!$C$259)/1000</f>
        <v>0</v>
      </c>
      <c r="AV15" s="540">
        <v>-8</v>
      </c>
      <c r="AW15" s="540">
        <v>0.28000000000000003</v>
      </c>
      <c r="AX15" s="540">
        <v>0.24</v>
      </c>
      <c r="AY15" s="540">
        <v>0.74</v>
      </c>
      <c r="AZ15" s="540">
        <v>0.63</v>
      </c>
      <c r="BA15" s="540">
        <v>1.28</v>
      </c>
      <c r="BB15" s="540">
        <v>1</v>
      </c>
      <c r="BD15" s="576" t="str">
        <f t="shared" si="3"/>
        <v>Octubre</v>
      </c>
      <c r="BE15" s="576">
        <f t="shared" si="1"/>
        <v>31</v>
      </c>
      <c r="BF15" s="540">
        <f>VLOOKUP(ENERGÍA!$C$4,LLUVIA,11,FALSE)</f>
        <v>0</v>
      </c>
      <c r="BH15" s="550">
        <v>45</v>
      </c>
      <c r="BI15" s="636">
        <v>0.44</v>
      </c>
      <c r="BJ15" s="636">
        <v>0.36</v>
      </c>
      <c r="BK15" s="636">
        <v>0.3</v>
      </c>
      <c r="BL15" s="636">
        <v>0.25</v>
      </c>
      <c r="BM15" s="636">
        <f t="shared" si="4"/>
        <v>0.2</v>
      </c>
      <c r="BN15" s="636">
        <f t="shared" si="5"/>
        <v>0.16</v>
      </c>
      <c r="BO15" s="636">
        <f t="shared" si="6"/>
        <v>0.11</v>
      </c>
      <c r="BP15" s="635"/>
      <c r="BQ15" s="550">
        <v>45</v>
      </c>
      <c r="BR15" s="636">
        <v>0.24</v>
      </c>
      <c r="BS15" s="636">
        <v>0.2</v>
      </c>
      <c r="BT15" s="636">
        <v>0.16</v>
      </c>
      <c r="BU15" s="636">
        <v>0.14000000000000001</v>
      </c>
      <c r="BV15" s="636">
        <f t="shared" si="7"/>
        <v>9.0000000000000011E-2</v>
      </c>
      <c r="BW15" s="636">
        <f t="shared" si="8"/>
        <v>5.000000000000001E-2</v>
      </c>
      <c r="BX15" s="636">
        <v>0</v>
      </c>
      <c r="BZ15" s="550">
        <v>45</v>
      </c>
      <c r="CA15" s="636">
        <v>0.68</v>
      </c>
      <c r="CB15" s="636">
        <v>0.55000000000000004</v>
      </c>
      <c r="CC15" s="636">
        <v>0.46</v>
      </c>
      <c r="CD15" s="636">
        <v>0.39</v>
      </c>
      <c r="CE15" s="636">
        <f t="shared" si="9"/>
        <v>0.34</v>
      </c>
      <c r="CF15" s="636">
        <f t="shared" si="10"/>
        <v>0.30000000000000004</v>
      </c>
      <c r="CG15" s="636">
        <f t="shared" si="11"/>
        <v>0.25000000000000006</v>
      </c>
      <c r="CP15" s="196"/>
    </row>
    <row r="16" spans="1:94" ht="15" customHeight="1" thickBot="1">
      <c r="B16" s="240">
        <v>2</v>
      </c>
      <c r="C16" s="370"/>
      <c r="D16" s="370"/>
      <c r="E16" s="371"/>
      <c r="F16" s="308">
        <f t="shared" si="12"/>
        <v>0</v>
      </c>
      <c r="G16" s="1191">
        <f t="shared" si="13"/>
        <v>0</v>
      </c>
      <c r="H16" s="1191"/>
      <c r="K16" s="576" t="s">
        <v>278</v>
      </c>
      <c r="L16" s="576">
        <v>1500</v>
      </c>
      <c r="M16" s="576">
        <v>1.24</v>
      </c>
      <c r="Q16" s="576" t="str">
        <f>'BASE DE DATOS'!FQ16</f>
        <v>Cielorraso suspendido 2cm,  Cámara de aire 75mm,  Aislante 25mm, H°A° 10cm, Contrapiso 8cm, Carpeta nivelación 4cm</v>
      </c>
      <c r="R16" s="576">
        <f>'BASE DE DATOS'!FR16</f>
        <v>0.84</v>
      </c>
      <c r="S16" s="576">
        <f>'BASE DE DATOS'!FS16</f>
        <v>0.79</v>
      </c>
      <c r="U16" s="576" t="str">
        <f>'BASE DE DATOS'!FU16</f>
        <v xml:space="preserve">Machimbre, Fenólico, Cámara, Aislación 75mm, Placa de yeso </v>
      </c>
      <c r="V16" s="576">
        <f>'BASE DE DATOS'!FV16</f>
        <v>0.48</v>
      </c>
      <c r="W16" s="576" t="str">
        <f>'BASE DE DATOS'!FW16</f>
        <v>Pared con 75mm de aislación</v>
      </c>
      <c r="X16" s="576">
        <f>'BASE DE DATOS'!FX16</f>
        <v>0.39</v>
      </c>
      <c r="Z16" s="576" t="str">
        <f>'BASE DE DATOS'!FZ16</f>
        <v>C.A.T. Nº3134 - PREMOLD (Zona I a IV)</v>
      </c>
      <c r="AA16" s="576">
        <f>'BASE DE DATOS'!GA16</f>
        <v>0.91</v>
      </c>
      <c r="AC16" s="576" t="str">
        <f>'BASE DE DATOS'!GC16</f>
        <v>DVH Bronce + LowE 6+12+6</v>
      </c>
      <c r="AD16" s="576">
        <f>'BASE DE DATOS'!GD16</f>
        <v>3.08</v>
      </c>
      <c r="AE16" s="576">
        <f>'BASE DE DATOS'!GE16</f>
        <v>0.62</v>
      </c>
      <c r="AG16" s="576" t="s">
        <v>703</v>
      </c>
      <c r="AI16" s="576" t="s">
        <v>685</v>
      </c>
      <c r="AK16" s="576" t="str">
        <f>'Modelo de Radiación Solar'!Q14</f>
        <v>Sur-suroeste</v>
      </c>
      <c r="AM16" s="576" t="s">
        <v>87</v>
      </c>
      <c r="AO16" s="576" t="s">
        <v>833</v>
      </c>
      <c r="AP16" s="540">
        <f t="shared" si="0"/>
        <v>0</v>
      </c>
      <c r="AQ16" s="540">
        <f t="shared" si="0"/>
        <v>30</v>
      </c>
      <c r="AR16" s="540">
        <f t="shared" si="0"/>
        <v>0</v>
      </c>
      <c r="AS16" s="540">
        <f t="shared" si="2"/>
        <v>0</v>
      </c>
      <c r="AT16" s="576">
        <f>AS16*AQ16*(ENERGÍA!$L$256*ENERGÍA!$C$259)/1000</f>
        <v>0</v>
      </c>
      <c r="AV16" s="540">
        <v>-7</v>
      </c>
      <c r="AW16" s="540">
        <v>0.28999999999999998</v>
      </c>
      <c r="AX16" s="540">
        <v>0.25</v>
      </c>
      <c r="AY16" s="540">
        <v>0.77</v>
      </c>
      <c r="AZ16" s="540">
        <v>0.65</v>
      </c>
      <c r="BA16" s="540">
        <v>1.33</v>
      </c>
      <c r="BB16" s="540">
        <v>1</v>
      </c>
      <c r="BD16" s="576" t="str">
        <f t="shared" si="3"/>
        <v>Noviembre</v>
      </c>
      <c r="BE16" s="576">
        <f t="shared" si="1"/>
        <v>30</v>
      </c>
      <c r="BF16" s="540">
        <f>VLOOKUP(ENERGÍA!$C$4,LLUVIA,12,FALSE)</f>
        <v>0</v>
      </c>
      <c r="BH16" s="550">
        <v>49</v>
      </c>
      <c r="BI16" s="636">
        <v>0.44</v>
      </c>
      <c r="BJ16" s="636">
        <v>0.36</v>
      </c>
      <c r="BK16" s="636">
        <v>0.3</v>
      </c>
      <c r="BL16" s="636">
        <v>0.25</v>
      </c>
      <c r="BM16" s="636">
        <f t="shared" si="4"/>
        <v>0.2</v>
      </c>
      <c r="BN16" s="636">
        <f t="shared" si="5"/>
        <v>0.16</v>
      </c>
      <c r="BO16" s="636">
        <f t="shared" si="6"/>
        <v>0.11</v>
      </c>
      <c r="BP16" s="635"/>
      <c r="BQ16" s="550">
        <v>49</v>
      </c>
      <c r="BR16" s="636">
        <v>0.24</v>
      </c>
      <c r="BS16" s="636">
        <v>0.2</v>
      </c>
      <c r="BT16" s="636">
        <v>0.16</v>
      </c>
      <c r="BU16" s="636">
        <v>0.14000000000000001</v>
      </c>
      <c r="BV16" s="636">
        <f t="shared" si="7"/>
        <v>9.0000000000000011E-2</v>
      </c>
      <c r="BW16" s="636">
        <f t="shared" si="8"/>
        <v>5.000000000000001E-2</v>
      </c>
      <c r="BX16" s="636">
        <v>0</v>
      </c>
      <c r="BZ16" s="550">
        <v>49</v>
      </c>
      <c r="CA16" s="636">
        <v>0.68</v>
      </c>
      <c r="CB16" s="636">
        <v>0.55000000000000004</v>
      </c>
      <c r="CC16" s="636">
        <v>0.46</v>
      </c>
      <c r="CD16" s="636">
        <v>0.39</v>
      </c>
      <c r="CE16" s="636">
        <f t="shared" si="9"/>
        <v>0.34</v>
      </c>
      <c r="CF16" s="636">
        <f t="shared" si="10"/>
        <v>0.30000000000000004</v>
      </c>
      <c r="CG16" s="636">
        <f t="shared" si="11"/>
        <v>0.25000000000000006</v>
      </c>
      <c r="CP16" s="196"/>
    </row>
    <row r="17" spans="2:94" ht="15" customHeight="1" thickBot="1">
      <c r="B17" s="240">
        <v>3</v>
      </c>
      <c r="C17" s="370"/>
      <c r="D17" s="370"/>
      <c r="E17" s="371"/>
      <c r="F17" s="308">
        <f t="shared" si="12"/>
        <v>0</v>
      </c>
      <c r="G17" s="1191">
        <f t="shared" si="13"/>
        <v>0</v>
      </c>
      <c r="H17" s="1191"/>
      <c r="K17" s="576" t="s">
        <v>279</v>
      </c>
      <c r="L17" s="576">
        <v>1500</v>
      </c>
      <c r="M17" s="576">
        <v>1.75</v>
      </c>
      <c r="Q17" s="576" t="str">
        <f>'BASE DE DATOS'!FQ17</f>
        <v>Cielorraso suspendido 2cm, Cámara de aire 10mm, H°A° 10cm, Contrapiso 8cm, Carpeta nivelación 4cm</v>
      </c>
      <c r="R17" s="576">
        <f>'BASE DE DATOS'!FR17</f>
        <v>1.81</v>
      </c>
      <c r="S17" s="576">
        <f>'BASE DE DATOS'!FS17</f>
        <v>1.61</v>
      </c>
      <c r="U17" s="576" t="str">
        <f>'BASE DE DATOS'!FU17</f>
        <v>Madera 2cm, Aislación 100mm, Placa yeso 1cm</v>
      </c>
      <c r="V17" s="576">
        <f>'BASE DE DATOS'!FV17</f>
        <v>0.32</v>
      </c>
      <c r="W17" s="576" t="str">
        <f>'BASE DE DATOS'!FW17</f>
        <v>Revoque Exterior 2cm, Mampostería ladrillo común 24cm, Revestimiento Interior 2cm</v>
      </c>
      <c r="X17" s="576">
        <f>'BASE DE DATOS'!FX17</f>
        <v>2.2599999999999998</v>
      </c>
      <c r="Z17" s="576" t="str">
        <f>'BASE DE DATOS'!FZ17</f>
        <v>C.A.T. Nº3141 - VIVIENDA MODULAR CASSINA I (Zona I a IV)</v>
      </c>
      <c r="AA17" s="576">
        <f>'BASE DE DATOS'!GA17</f>
        <v>1.24</v>
      </c>
      <c r="AC17" s="576" t="str">
        <f>'BASE DE DATOS'!GC17</f>
        <v>DVH Incoloro 4+6+4</v>
      </c>
      <c r="AD17" s="576">
        <f>'BASE DE DATOS'!GD17</f>
        <v>3.3</v>
      </c>
      <c r="AE17" s="576">
        <f>'BASE DE DATOS'!GE17</f>
        <v>0.6</v>
      </c>
      <c r="AK17" s="576" t="str">
        <f>'Modelo de Radiación Solar'!Q15</f>
        <v>Suroeste</v>
      </c>
      <c r="AM17" s="576" t="s">
        <v>1259</v>
      </c>
      <c r="AO17" s="576" t="s">
        <v>834</v>
      </c>
      <c r="AP17" s="540">
        <f t="shared" si="0"/>
        <v>0</v>
      </c>
      <c r="AQ17" s="540">
        <f t="shared" si="0"/>
        <v>31</v>
      </c>
      <c r="AR17" s="540">
        <f t="shared" si="0"/>
        <v>0</v>
      </c>
      <c r="AS17" s="540">
        <f t="shared" si="2"/>
        <v>0</v>
      </c>
      <c r="AT17" s="576">
        <f>AS17*AQ17*(ENERGÍA!$L$256*ENERGÍA!$C$259)/1000</f>
        <v>0</v>
      </c>
      <c r="AV17" s="540">
        <v>-6</v>
      </c>
      <c r="AW17" s="540">
        <v>0.3</v>
      </c>
      <c r="AX17" s="540">
        <v>0.26</v>
      </c>
      <c r="AY17" s="540">
        <v>0.8</v>
      </c>
      <c r="AZ17" s="540">
        <v>0.67</v>
      </c>
      <c r="BA17" s="540">
        <v>1.39</v>
      </c>
      <c r="BB17" s="540">
        <v>1</v>
      </c>
      <c r="BD17" s="576" t="str">
        <f t="shared" si="3"/>
        <v>Diciembre</v>
      </c>
      <c r="BE17" s="576">
        <f t="shared" si="1"/>
        <v>31</v>
      </c>
      <c r="BF17" s="540">
        <f>VLOOKUP(ENERGÍA!$C$4,LLUVIA,13,FALSE)</f>
        <v>0</v>
      </c>
      <c r="BH17" s="550">
        <v>50</v>
      </c>
      <c r="BI17" s="636">
        <v>0.35</v>
      </c>
      <c r="BJ17" s="636">
        <v>0.25</v>
      </c>
      <c r="BK17" s="636">
        <v>0.19</v>
      </c>
      <c r="BL17" s="636">
        <v>0.15</v>
      </c>
      <c r="BM17" s="636">
        <f t="shared" si="4"/>
        <v>9.9999999999999992E-2</v>
      </c>
      <c r="BN17" s="636">
        <f t="shared" si="5"/>
        <v>5.9999999999999991E-2</v>
      </c>
      <c r="BO17" s="636">
        <f t="shared" si="6"/>
        <v>9.9999999999999881E-3</v>
      </c>
      <c r="BP17" s="635"/>
      <c r="BQ17" s="550">
        <v>50</v>
      </c>
      <c r="BR17" s="636">
        <v>0.27</v>
      </c>
      <c r="BS17" s="636">
        <v>0.2</v>
      </c>
      <c r="BT17" s="636">
        <v>0.16</v>
      </c>
      <c r="BU17" s="636">
        <v>0.13</v>
      </c>
      <c r="BV17" s="636">
        <f t="shared" si="7"/>
        <v>0.08</v>
      </c>
      <c r="BW17" s="636">
        <f t="shared" si="8"/>
        <v>0.04</v>
      </c>
      <c r="BX17" s="636">
        <v>0</v>
      </c>
      <c r="BZ17" s="550">
        <v>50</v>
      </c>
      <c r="CA17" s="636">
        <v>0.64</v>
      </c>
      <c r="CB17" s="636">
        <v>0.5</v>
      </c>
      <c r="CC17" s="636">
        <v>0.4</v>
      </c>
      <c r="CD17" s="636">
        <v>0.33</v>
      </c>
      <c r="CE17" s="636">
        <f t="shared" si="9"/>
        <v>0.28000000000000003</v>
      </c>
      <c r="CF17" s="636">
        <f t="shared" si="10"/>
        <v>0.24000000000000002</v>
      </c>
      <c r="CG17" s="636">
        <f t="shared" si="11"/>
        <v>0.19</v>
      </c>
      <c r="CP17" s="196"/>
    </row>
    <row r="18" spans="2:94" ht="15" customHeight="1" thickBot="1">
      <c r="B18" s="240">
        <v>4</v>
      </c>
      <c r="C18" s="370"/>
      <c r="D18" s="370"/>
      <c r="E18" s="371"/>
      <c r="F18" s="308">
        <f t="shared" si="12"/>
        <v>0</v>
      </c>
      <c r="G18" s="1191">
        <f t="shared" si="13"/>
        <v>0</v>
      </c>
      <c r="H18" s="1191"/>
      <c r="K18" s="576" t="s">
        <v>280</v>
      </c>
      <c r="L18" s="576">
        <v>1500</v>
      </c>
      <c r="M18" s="576">
        <v>2.44</v>
      </c>
      <c r="Q18" s="576" t="str">
        <f>'BASE DE DATOS'!FQ18</f>
        <v>Losa, Aislación 100mm, Contrapiso de leca, Terminación</v>
      </c>
      <c r="R18" s="576">
        <f>'BASE DE DATOS'!FR18</f>
        <v>0.32</v>
      </c>
      <c r="S18" s="576">
        <f>'BASE DE DATOS'!FS18</f>
        <v>0.25</v>
      </c>
      <c r="U18" s="576" t="str">
        <f>'BASE DE DATOS'!FU18</f>
        <v>Madera 2cm, Cámara de aire 10mm, Placa yeso 1cm</v>
      </c>
      <c r="V18" s="576">
        <f>'BASE DE DATOS'!FV18</f>
        <v>2.11</v>
      </c>
      <c r="W18" s="576" t="str">
        <f>'BASE DE DATOS'!FW18</f>
        <v>C.A.T. Nº3079 - VIDHA (Zona I a IV)</v>
      </c>
      <c r="X18" s="576">
        <f>'BASE DE DATOS'!FX18</f>
        <v>0.75</v>
      </c>
      <c r="Z18" s="576" t="str">
        <f>'BASE DE DATOS'!FZ18</f>
        <v>C.A.T. Nº3143 - VIPAR (Zona I a IV)</v>
      </c>
      <c r="AA18" s="576">
        <f>'BASE DE DATOS'!GA18</f>
        <v>0.90900000000000003</v>
      </c>
      <c r="AC18" s="576" t="str">
        <f>'BASE DE DATOS'!GC18</f>
        <v>DVH Incoloro 4+9+4</v>
      </c>
      <c r="AD18" s="576">
        <f>'BASE DE DATOS'!GD18</f>
        <v>3</v>
      </c>
      <c r="AE18" s="576">
        <f>'BASE DE DATOS'!GE18</f>
        <v>0.6</v>
      </c>
      <c r="AG18" s="576" t="s">
        <v>695</v>
      </c>
      <c r="AI18" s="576" t="s">
        <v>689</v>
      </c>
      <c r="AK18" s="576" t="str">
        <f>'Modelo de Radiación Solar'!Q16</f>
        <v>Oeste-suroeste</v>
      </c>
      <c r="AM18" s="576" t="s">
        <v>43</v>
      </c>
      <c r="AS18" s="574" t="s">
        <v>755</v>
      </c>
      <c r="AT18" s="574">
        <f>SUM(AT6:AT17)</f>
        <v>0</v>
      </c>
      <c r="AV18" s="540">
        <v>-5</v>
      </c>
      <c r="AW18" s="540">
        <v>0.31</v>
      </c>
      <c r="AX18" s="540">
        <v>0.27</v>
      </c>
      <c r="AY18" s="540">
        <v>0.83</v>
      </c>
      <c r="AZ18" s="540">
        <v>0.69</v>
      </c>
      <c r="BA18" s="540">
        <v>1.45</v>
      </c>
      <c r="BB18" s="540">
        <v>1</v>
      </c>
      <c r="BE18" s="576" t="s">
        <v>896</v>
      </c>
      <c r="BF18" s="540">
        <f>SUM(BF6:BF17)</f>
        <v>0</v>
      </c>
      <c r="BH18" s="550">
        <v>55</v>
      </c>
      <c r="BI18" s="636">
        <v>0.35</v>
      </c>
      <c r="BJ18" s="636">
        <v>0.25</v>
      </c>
      <c r="BK18" s="636">
        <v>0.19</v>
      </c>
      <c r="BL18" s="636">
        <v>0.15</v>
      </c>
      <c r="BM18" s="636">
        <f t="shared" si="4"/>
        <v>9.9999999999999992E-2</v>
      </c>
      <c r="BN18" s="636">
        <f t="shared" si="5"/>
        <v>5.9999999999999991E-2</v>
      </c>
      <c r="BO18" s="636">
        <f t="shared" si="6"/>
        <v>9.9999999999999881E-3</v>
      </c>
      <c r="BP18" s="635"/>
      <c r="BQ18" s="550">
        <v>55</v>
      </c>
      <c r="BR18" s="636">
        <v>0.27</v>
      </c>
      <c r="BS18" s="636">
        <v>0.2</v>
      </c>
      <c r="BT18" s="636">
        <v>0.16</v>
      </c>
      <c r="BU18" s="636">
        <v>0.13</v>
      </c>
      <c r="BV18" s="636">
        <f t="shared" si="7"/>
        <v>0.08</v>
      </c>
      <c r="BW18" s="636">
        <f t="shared" si="8"/>
        <v>0.04</v>
      </c>
      <c r="BX18" s="636">
        <v>0</v>
      </c>
      <c r="BZ18" s="550">
        <v>55</v>
      </c>
      <c r="CA18" s="636">
        <v>0.64</v>
      </c>
      <c r="CB18" s="636">
        <v>0.5</v>
      </c>
      <c r="CC18" s="636">
        <v>0.4</v>
      </c>
      <c r="CD18" s="636">
        <v>0.33</v>
      </c>
      <c r="CE18" s="636">
        <f t="shared" si="9"/>
        <v>0.28000000000000003</v>
      </c>
      <c r="CF18" s="636">
        <f t="shared" si="10"/>
        <v>0.24000000000000002</v>
      </c>
      <c r="CG18" s="636">
        <f t="shared" si="11"/>
        <v>0.19</v>
      </c>
      <c r="CP18" s="196"/>
    </row>
    <row r="19" spans="2:94" ht="15" customHeight="1" thickBot="1">
      <c r="B19" s="240">
        <v>5</v>
      </c>
      <c r="C19" s="370"/>
      <c r="D19" s="370"/>
      <c r="E19" s="371"/>
      <c r="F19" s="308">
        <f t="shared" si="12"/>
        <v>0</v>
      </c>
      <c r="G19" s="1191">
        <f t="shared" si="13"/>
        <v>0</v>
      </c>
      <c r="H19" s="1191"/>
      <c r="K19" s="576" t="s">
        <v>277</v>
      </c>
      <c r="L19" s="576">
        <v>1500</v>
      </c>
      <c r="M19" s="576">
        <v>0.31</v>
      </c>
      <c r="Q19" s="576" t="str">
        <f>'BASE DE DATOS'!FQ19</f>
        <v>Losa, Aislación 150mm, Contrapiso de leca, Terminación</v>
      </c>
      <c r="R19" s="576">
        <f>'BASE DE DATOS'!FR19</f>
        <v>0.23</v>
      </c>
      <c r="S19" s="576">
        <f>'BASE DE DATOS'!FS19</f>
        <v>0.16</v>
      </c>
      <c r="U19" s="576" t="str">
        <f>'BASE DE DATOS'!FU19</f>
        <v>Madera 2cm, Cámara de aire 50mm, Aislación 50mm, Placa yeso 1cm</v>
      </c>
      <c r="V19" s="576">
        <f>'BASE DE DATOS'!FV19</f>
        <v>0.56000000000000005</v>
      </c>
      <c r="W19" s="576" t="str">
        <f>'BASE DE DATOS'!FW19</f>
        <v>C.A.T. Nº3080 - NUEVA GENERACIÓN (Zona I a IV)</v>
      </c>
      <c r="X19" s="576">
        <f>'BASE DE DATOS'!FX19</f>
        <v>0.625</v>
      </c>
      <c r="Z19" s="576" t="str">
        <f>'BASE DE DATOS'!FZ19</f>
        <v>C.A.T. Nº3157 - THERMA HOUSE (Zona I a IV)</v>
      </c>
      <c r="AA19" s="576">
        <f>'BASE DE DATOS'!GA19</f>
        <v>0.27600000000000002</v>
      </c>
      <c r="AC19" s="576" t="str">
        <f>'BASE DE DATOS'!GC19</f>
        <v>DVH Incoloro 4+12+4</v>
      </c>
      <c r="AD19" s="576">
        <f>'BASE DE DATOS'!GD19</f>
        <v>2.9</v>
      </c>
      <c r="AE19" s="576">
        <f>'BASE DE DATOS'!GE19</f>
        <v>0.6</v>
      </c>
      <c r="AG19" s="576" t="s">
        <v>686</v>
      </c>
      <c r="AI19" s="576" t="s">
        <v>690</v>
      </c>
      <c r="AK19" s="576" t="str">
        <f>'Modelo de Radiación Solar'!Q17</f>
        <v>Oeste</v>
      </c>
      <c r="AM19" s="576" t="s">
        <v>26</v>
      </c>
      <c r="AV19" s="540">
        <v>-4</v>
      </c>
      <c r="AW19" s="540">
        <v>0.32</v>
      </c>
      <c r="AX19" s="540">
        <v>0.28000000000000003</v>
      </c>
      <c r="AY19" s="540">
        <v>0.87</v>
      </c>
      <c r="AZ19" s="540">
        <v>0.72</v>
      </c>
      <c r="BA19" s="540">
        <v>1.52</v>
      </c>
      <c r="BB19" s="540">
        <v>1</v>
      </c>
      <c r="BH19" s="550">
        <v>60</v>
      </c>
      <c r="BI19" s="636">
        <v>0.35</v>
      </c>
      <c r="BJ19" s="636">
        <v>0.25</v>
      </c>
      <c r="BK19" s="636">
        <v>0.19</v>
      </c>
      <c r="BL19" s="636">
        <v>0.15</v>
      </c>
      <c r="BM19" s="636">
        <f t="shared" si="4"/>
        <v>9.9999999999999992E-2</v>
      </c>
      <c r="BN19" s="636">
        <f t="shared" si="5"/>
        <v>5.9999999999999991E-2</v>
      </c>
      <c r="BO19" s="636">
        <f t="shared" si="6"/>
        <v>9.9999999999999881E-3</v>
      </c>
      <c r="BP19" s="635"/>
      <c r="BQ19" s="550">
        <v>60</v>
      </c>
      <c r="BR19" s="636">
        <v>0.27</v>
      </c>
      <c r="BS19" s="636">
        <v>0.2</v>
      </c>
      <c r="BT19" s="636">
        <v>0.16</v>
      </c>
      <c r="BU19" s="636">
        <v>0.13</v>
      </c>
      <c r="BV19" s="636">
        <f t="shared" si="7"/>
        <v>0.08</v>
      </c>
      <c r="BW19" s="636">
        <f t="shared" si="8"/>
        <v>0.04</v>
      </c>
      <c r="BX19" s="636">
        <v>0</v>
      </c>
      <c r="BZ19" s="550">
        <v>60</v>
      </c>
      <c r="CA19" s="636">
        <v>0.64</v>
      </c>
      <c r="CB19" s="636">
        <v>0.5</v>
      </c>
      <c r="CC19" s="636">
        <v>0.4</v>
      </c>
      <c r="CD19" s="636">
        <v>0.33</v>
      </c>
      <c r="CE19" s="636">
        <f t="shared" si="9"/>
        <v>0.28000000000000003</v>
      </c>
      <c r="CF19" s="636">
        <f t="shared" si="10"/>
        <v>0.24000000000000002</v>
      </c>
      <c r="CG19" s="636">
        <f t="shared" si="11"/>
        <v>0.19</v>
      </c>
      <c r="CP19" s="196"/>
    </row>
    <row r="20" spans="2:94" ht="15" customHeight="1" thickBot="1">
      <c r="B20" s="240">
        <v>6</v>
      </c>
      <c r="C20" s="371"/>
      <c r="D20" s="371"/>
      <c r="E20" s="371"/>
      <c r="F20" s="371"/>
      <c r="G20" s="1191">
        <f t="shared" si="13"/>
        <v>0</v>
      </c>
      <c r="H20" s="1191"/>
      <c r="K20" s="576" t="s">
        <v>274</v>
      </c>
      <c r="L20" s="576">
        <v>1500</v>
      </c>
      <c r="M20" s="576">
        <v>0.93</v>
      </c>
      <c r="Q20" s="576" t="str">
        <f>'BASE DE DATOS'!FQ20</f>
        <v>Losa, Aislación 50mm, Contrapiso de leca, Terminación</v>
      </c>
      <c r="R20" s="576">
        <f>'BASE DE DATOS'!FR20</f>
        <v>0.56999999999999995</v>
      </c>
      <c r="S20" s="576">
        <f>'BASE DE DATOS'!FS20</f>
        <v>0.49999999999999994</v>
      </c>
      <c r="U20" s="576" t="str">
        <f>'BASE DE DATOS'!FU20</f>
        <v>Madera 2cm, Cámara de aire 75mm, Aislación 25mm, Placa yeso 1cm</v>
      </c>
      <c r="V20" s="576">
        <f>'BASE DE DATOS'!FV20</f>
        <v>0.87</v>
      </c>
      <c r="W20" s="576" t="str">
        <f>'BASE DE DATOS'!FW20</f>
        <v>C.A.T. Nº3094 - VIVIENDAS NEUQUÉN (Zona I a IV)</v>
      </c>
      <c r="X20" s="576">
        <f>'BASE DE DATOS'!FX20</f>
        <v>0.87</v>
      </c>
      <c r="Z20" s="576" t="str">
        <f>'BASE DE DATOS'!FZ20</f>
        <v>C.A.T. Nº3160 - CONCREHAUS (Zona I a IV)</v>
      </c>
      <c r="AA20" s="576">
        <f>'BASE DE DATOS'!GA20</f>
        <v>0.74</v>
      </c>
      <c r="AC20" s="576" t="str">
        <f>'BASE DE DATOS'!GC20</f>
        <v>DVH Incoloro + LowE 4+6+4</v>
      </c>
      <c r="AD20" s="576">
        <f>'BASE DE DATOS'!GD20</f>
        <v>2.5</v>
      </c>
      <c r="AE20" s="576">
        <f>'BASE DE DATOS'!GE20</f>
        <v>0.4</v>
      </c>
      <c r="AG20" s="576" t="s">
        <v>687</v>
      </c>
      <c r="AI20" s="576" t="s">
        <v>691</v>
      </c>
      <c r="AK20" s="576" t="str">
        <f>'Modelo de Radiación Solar'!Q18</f>
        <v>Oeste-noroeste</v>
      </c>
      <c r="AM20" s="576" t="s">
        <v>1038</v>
      </c>
      <c r="AO20" s="1187" t="s">
        <v>1242</v>
      </c>
      <c r="AP20" s="1187"/>
      <c r="AQ20" s="574">
        <f>(AT18*AP22*AT20)*AT22</f>
        <v>0</v>
      </c>
      <c r="AR20" s="574" t="s">
        <v>755</v>
      </c>
      <c r="AS20" s="576" t="s">
        <v>886</v>
      </c>
      <c r="AT20" s="576">
        <f>IF(ENERGÍA!C257="Si",0,1)</f>
        <v>1</v>
      </c>
      <c r="AV20" s="540">
        <v>-3</v>
      </c>
      <c r="AW20" s="540">
        <v>0.33</v>
      </c>
      <c r="AX20" s="540">
        <v>0.28999999999999998</v>
      </c>
      <c r="AY20" s="540">
        <v>0.91</v>
      </c>
      <c r="AZ20" s="540">
        <v>0.74</v>
      </c>
      <c r="BA20" s="540">
        <v>1.59</v>
      </c>
      <c r="BB20" s="540">
        <v>1</v>
      </c>
      <c r="BH20" s="1199" t="s">
        <v>1623</v>
      </c>
      <c r="BI20" s="1199"/>
      <c r="BJ20" s="1199"/>
      <c r="BK20" s="1199"/>
      <c r="BL20" s="1199"/>
      <c r="BM20" s="1199"/>
      <c r="BN20" s="1199"/>
      <c r="BO20" s="1199"/>
      <c r="BP20" s="635"/>
      <c r="BQ20" s="1199" t="s">
        <v>1622</v>
      </c>
      <c r="BR20" s="1199"/>
      <c r="BS20" s="1199"/>
      <c r="BT20" s="1199"/>
      <c r="BU20" s="1199"/>
      <c r="BV20" s="1199"/>
      <c r="BW20" s="1199"/>
      <c r="BX20" s="1199"/>
      <c r="BZ20" s="1199" t="s">
        <v>1626</v>
      </c>
      <c r="CA20" s="1199"/>
      <c r="CB20" s="1199"/>
      <c r="CC20" s="1199"/>
      <c r="CD20" s="1199"/>
      <c r="CE20" s="1199"/>
      <c r="CF20" s="1199"/>
      <c r="CG20" s="1199"/>
      <c r="CP20" s="196"/>
    </row>
    <row r="21" spans="2:94" ht="15" customHeight="1" thickBot="1">
      <c r="B21" s="240">
        <v>7</v>
      </c>
      <c r="C21" s="371"/>
      <c r="D21" s="371"/>
      <c r="E21" s="371"/>
      <c r="F21" s="371"/>
      <c r="G21" s="1191">
        <f t="shared" si="13"/>
        <v>0</v>
      </c>
      <c r="H21" s="1191"/>
      <c r="K21" s="576" t="s">
        <v>273</v>
      </c>
      <c r="L21" s="576">
        <v>1500</v>
      </c>
      <c r="M21" s="576">
        <v>0.57999999999999996</v>
      </c>
      <c r="Q21" s="576" t="str">
        <f>'BASE DE DATOS'!FQ21</f>
        <v>Losa, Contrapiso de leca, Terminación</v>
      </c>
      <c r="R21" s="576">
        <f>'BASE DE DATOS'!FR21</f>
        <v>3.2</v>
      </c>
      <c r="S21" s="576">
        <f>'BASE DE DATOS'!FS21</f>
        <v>3.13</v>
      </c>
      <c r="U21" s="576" t="str">
        <f>'BASE DE DATOS'!FU21</f>
        <v>Panel de hormigón 25mm, Aislación 20mm, Panel de hormigón 25mm</v>
      </c>
      <c r="V21" s="576">
        <f>'BASE DE DATOS'!FV21</f>
        <v>1.45</v>
      </c>
      <c r="W21" s="576" t="str">
        <f>'BASE DE DATOS'!FW21</f>
        <v>C.A.T. Nº3098 - DIMARBO (Zona I a IV)</v>
      </c>
      <c r="X21" s="576">
        <f>'BASE DE DATOS'!FX21</f>
        <v>0.41</v>
      </c>
      <c r="Z21" s="576" t="str">
        <f>'BASE DE DATOS'!FZ21</f>
        <v>C.A.T. Nº3165 - LOG HOME (Zona I a IV)</v>
      </c>
      <c r="AA21" s="576">
        <f>'BASE DE DATOS'!GA21</f>
        <v>0.35</v>
      </c>
      <c r="AC21" s="576" t="str">
        <f>'BASE DE DATOS'!GC21</f>
        <v>DVH Incoloro + LowE 4+9+4</v>
      </c>
      <c r="AD21" s="576">
        <f>'BASE DE DATOS'!GD21</f>
        <v>1.8</v>
      </c>
      <c r="AE21" s="576">
        <f>'BASE DE DATOS'!GE21</f>
        <v>0.4</v>
      </c>
      <c r="AK21" s="576" t="str">
        <f>'Modelo de Radiación Solar'!Q19</f>
        <v>Noroeste</v>
      </c>
      <c r="AM21" s="576" t="s">
        <v>28</v>
      </c>
      <c r="AV21" s="540">
        <v>-2</v>
      </c>
      <c r="AW21" s="540">
        <v>0.35</v>
      </c>
      <c r="AX21" s="540">
        <v>0.3</v>
      </c>
      <c r="AY21" s="540">
        <v>0.95</v>
      </c>
      <c r="AZ21" s="540">
        <v>0.77</v>
      </c>
      <c r="BA21" s="540">
        <v>1.67</v>
      </c>
      <c r="BB21" s="540">
        <v>1</v>
      </c>
      <c r="BD21" s="1186" t="s">
        <v>1420</v>
      </c>
      <c r="BE21" s="1186"/>
      <c r="BH21" s="637" t="s">
        <v>936</v>
      </c>
      <c r="BI21" s="636">
        <v>1</v>
      </c>
      <c r="BJ21" s="636">
        <v>2</v>
      </c>
      <c r="BK21" s="636">
        <v>3</v>
      </c>
      <c r="BL21" s="636">
        <v>4</v>
      </c>
      <c r="BM21" s="636">
        <v>6</v>
      </c>
      <c r="BN21" s="636">
        <v>8</v>
      </c>
      <c r="BO21" s="636">
        <v>10</v>
      </c>
      <c r="BP21" s="635"/>
      <c r="BQ21" s="637" t="s">
        <v>936</v>
      </c>
      <c r="BR21" s="636">
        <v>1</v>
      </c>
      <c r="BS21" s="636">
        <v>2</v>
      </c>
      <c r="BT21" s="636">
        <v>3</v>
      </c>
      <c r="BU21" s="636">
        <v>4</v>
      </c>
      <c r="BV21" s="636">
        <v>6</v>
      </c>
      <c r="BW21" s="636">
        <v>8</v>
      </c>
      <c r="BX21" s="636">
        <v>10</v>
      </c>
      <c r="BZ21" s="637" t="s">
        <v>936</v>
      </c>
      <c r="CA21" s="636">
        <v>1</v>
      </c>
      <c r="CB21" s="636">
        <v>2</v>
      </c>
      <c r="CC21" s="636">
        <v>3</v>
      </c>
      <c r="CD21" s="636">
        <v>4</v>
      </c>
      <c r="CE21" s="636">
        <v>6</v>
      </c>
      <c r="CF21" s="636">
        <v>8</v>
      </c>
      <c r="CG21" s="636">
        <v>10</v>
      </c>
      <c r="CP21" s="196"/>
    </row>
    <row r="22" spans="2:94" ht="15" customHeight="1" thickBot="1">
      <c r="B22" s="240">
        <v>8</v>
      </c>
      <c r="C22" s="371"/>
      <c r="D22" s="371"/>
      <c r="E22" s="371"/>
      <c r="F22" s="371"/>
      <c r="G22" s="1191">
        <f t="shared" si="13"/>
        <v>0</v>
      </c>
      <c r="H22" s="1191"/>
      <c r="K22" s="576" t="s">
        <v>275</v>
      </c>
      <c r="L22" s="576">
        <v>1500</v>
      </c>
      <c r="M22" s="576">
        <v>1.33</v>
      </c>
      <c r="Q22" s="576" t="str">
        <f>'BASE DE DATOS'!FQ22</f>
        <v>Placa Yeso, Aislante 100mm, Techo liviano (tejas)</v>
      </c>
      <c r="R22" s="576">
        <f>'BASE DE DATOS'!FR22</f>
        <v>0.31</v>
      </c>
      <c r="S22" s="576">
        <f>'BASE DE DATOS'!FS22</f>
        <v>0.3</v>
      </c>
      <c r="U22" s="576" t="str">
        <f>'BASE DE DATOS'!FU22</f>
        <v>Rev exterior 2cm, Mampostería ladrillo común 12cm, Revestimiento Interior 2cm</v>
      </c>
      <c r="V22" s="576">
        <f>'BASE DE DATOS'!FV22</f>
        <v>3.22</v>
      </c>
      <c r="W22" s="576" t="str">
        <f>'BASE DE DATOS'!FW22</f>
        <v>C.A.T. Nº3134 - PREMOLD (Zona I a IV)</v>
      </c>
      <c r="X22" s="576">
        <f>'BASE DE DATOS'!FX22</f>
        <v>0.91</v>
      </c>
      <c r="Z22" s="576" t="str">
        <f>'BASE DE DATOS'!FZ22</f>
        <v>C.A.T. Nº3169 - VIVIENDAS PREFABRICADAS DE H.A. (Zona I a III)</v>
      </c>
      <c r="AA22" s="576">
        <f>'BASE DE DATOS'!GA22</f>
        <v>0.3</v>
      </c>
      <c r="AC22" s="576" t="str">
        <f>'BASE DE DATOS'!GC22</f>
        <v>DVH Incoloro + LowE 4+12+4</v>
      </c>
      <c r="AD22" s="576">
        <f>'BASE DE DATOS'!GD22</f>
        <v>1.7</v>
      </c>
      <c r="AE22" s="576">
        <f>'BASE DE DATOS'!GE22</f>
        <v>0.4</v>
      </c>
      <c r="AG22" s="576" t="s">
        <v>692</v>
      </c>
      <c r="AI22" s="576" t="s">
        <v>695</v>
      </c>
      <c r="AK22" s="576" t="str">
        <f>'Modelo de Radiación Solar'!Q20</f>
        <v>Nor-noroeste</v>
      </c>
      <c r="AM22" s="576" t="s">
        <v>68</v>
      </c>
      <c r="AO22" s="576" t="s">
        <v>887</v>
      </c>
      <c r="AP22" s="540">
        <f>IF(ENERGÍA!L257=0,0.92,ENERGÍA!L257)</f>
        <v>0.92</v>
      </c>
      <c r="AQ22" s="1182" t="s">
        <v>1086</v>
      </c>
      <c r="AR22" s="1182"/>
      <c r="AS22" s="1182"/>
      <c r="AT22" s="576">
        <f>IF(ENERGÍA!C256="Si",1,0)</f>
        <v>0</v>
      </c>
      <c r="AV22" s="540">
        <v>-1</v>
      </c>
      <c r="AW22" s="540">
        <v>0.36</v>
      </c>
      <c r="AX22" s="540">
        <v>0.31</v>
      </c>
      <c r="AY22" s="540">
        <v>0.99</v>
      </c>
      <c r="AZ22" s="540">
        <v>0.8</v>
      </c>
      <c r="BA22" s="540">
        <v>1.75</v>
      </c>
      <c r="BB22" s="540">
        <v>1</v>
      </c>
      <c r="BD22" s="576" t="s">
        <v>19</v>
      </c>
      <c r="BE22" s="576" t="s">
        <v>1421</v>
      </c>
      <c r="BH22" s="550" t="s">
        <v>1060</v>
      </c>
      <c r="BI22" s="636" t="e">
        <f>VLOOKUP(ENERGÍA!$F$5,'Materiales Personalizados'!$BH$8:$BO$19,2,TRUE)</f>
        <v>#N/A</v>
      </c>
      <c r="BJ22" s="636" t="e">
        <f>VLOOKUP(ENERGÍA!$F$5,'Materiales Personalizados'!$BH$8:$BO$19,3,TRUE)</f>
        <v>#N/A</v>
      </c>
      <c r="BK22" s="636" t="e">
        <f>VLOOKUP(ENERGÍA!$F$5,'Materiales Personalizados'!$BH$8:$BO$19,4,TRUE)</f>
        <v>#N/A</v>
      </c>
      <c r="BL22" s="636" t="e">
        <f>VLOOKUP(ENERGÍA!$F$5,'Materiales Personalizados'!$BH$8:$BO$19,5,TRUE)</f>
        <v>#N/A</v>
      </c>
      <c r="BM22" s="636" t="e">
        <f>VLOOKUP(ENERGÍA!$F$5,'Materiales Personalizados'!$BH$8:$BO$19,6,TRUE)</f>
        <v>#N/A</v>
      </c>
      <c r="BN22" s="636" t="e">
        <f>VLOOKUP(ENERGÍA!$F$5,'Materiales Personalizados'!$BH$8:$BO$19,7,TRUE)</f>
        <v>#N/A</v>
      </c>
      <c r="BO22" s="636" t="e">
        <f>VLOOKUP(ENERGÍA!$F$5,'Materiales Personalizados'!$BH$8:$BO$19,8,TRUE)</f>
        <v>#N/A</v>
      </c>
      <c r="BP22" s="635"/>
      <c r="BQ22" s="550" t="s">
        <v>1060</v>
      </c>
      <c r="BR22" s="636" t="e">
        <f>VLOOKUP(ENERGÍA!$F$5,'Materiales Personalizados'!$BQ$8:$BX$19,2,TRUE)</f>
        <v>#N/A</v>
      </c>
      <c r="BS22" s="636" t="e">
        <f>VLOOKUP(ENERGÍA!$F$5,'Materiales Personalizados'!$BQ$8:$BX$19,3,TRUE)</f>
        <v>#N/A</v>
      </c>
      <c r="BT22" s="636" t="e">
        <f>VLOOKUP(ENERGÍA!$F$5,'Materiales Personalizados'!$BQ$8:$BX$19,4,TRUE)</f>
        <v>#N/A</v>
      </c>
      <c r="BU22" s="636" t="e">
        <f>VLOOKUP(ENERGÍA!$F$5,'Materiales Personalizados'!$BQ$8:$BX$19,5,TRUE)</f>
        <v>#N/A</v>
      </c>
      <c r="BV22" s="636" t="e">
        <f>VLOOKUP(ENERGÍA!$F$5,'Materiales Personalizados'!$BQ$8:$BX$19,6,TRUE)</f>
        <v>#N/A</v>
      </c>
      <c r="BW22" s="636" t="e">
        <f>VLOOKUP(ENERGÍA!$F$5,'Materiales Personalizados'!$BQ$8:$BX$19,7,TRUE)</f>
        <v>#N/A</v>
      </c>
      <c r="BX22" s="636" t="e">
        <f>VLOOKUP(ENERGÍA!$F$5,'Materiales Personalizados'!$BQ$8:$BX$19,8,TRUE)</f>
        <v>#N/A</v>
      </c>
      <c r="BZ22" s="550" t="s">
        <v>1060</v>
      </c>
      <c r="CA22" s="636" t="e">
        <f>VLOOKUP(ENERGÍA!$F$5,'Materiales Personalizados'!$BZ$8:$CG$19,2,TRUE)</f>
        <v>#N/A</v>
      </c>
      <c r="CB22" s="636" t="e">
        <f>VLOOKUP(ENERGÍA!$F$5,'Materiales Personalizados'!$BZ$8:$CG$19,3,TRUE)</f>
        <v>#N/A</v>
      </c>
      <c r="CC22" s="636" t="e">
        <f>VLOOKUP(ENERGÍA!$F$5,'Materiales Personalizados'!$BZ$8:$CG$19,4,TRUE)</f>
        <v>#N/A</v>
      </c>
      <c r="CD22" s="636" t="e">
        <f>VLOOKUP(ENERGÍA!$F$5,'Materiales Personalizados'!$BZ$8:$CG$19,5,TRUE)</f>
        <v>#N/A</v>
      </c>
      <c r="CE22" s="636" t="e">
        <f>VLOOKUP(ENERGÍA!$F$5,'Materiales Personalizados'!$BZ$8:$CG$19,6,TRUE)</f>
        <v>#N/A</v>
      </c>
      <c r="CF22" s="636" t="e">
        <f>VLOOKUP(ENERGÍA!$F$5,'Materiales Personalizados'!$BZ$8:$CG$19,7,TRUE)</f>
        <v>#N/A</v>
      </c>
      <c r="CG22" s="636" t="e">
        <f>VLOOKUP(ENERGÍA!$F$5,'Materiales Personalizados'!$BZ$8:$CG$19,8,TRUE)</f>
        <v>#N/A</v>
      </c>
    </row>
    <row r="23" spans="2:94" ht="15" customHeight="1" thickBot="1">
      <c r="B23" s="240">
        <v>9</v>
      </c>
      <c r="C23" s="371"/>
      <c r="D23" s="371"/>
      <c r="E23" s="371"/>
      <c r="F23" s="371"/>
      <c r="G23" s="1191">
        <f t="shared" ref="G23:G24" si="14">IFERROR(+E23/F23,0)</f>
        <v>0</v>
      </c>
      <c r="H23" s="1191"/>
      <c r="K23" s="576" t="s">
        <v>276</v>
      </c>
      <c r="L23" s="576">
        <v>1500</v>
      </c>
      <c r="M23" s="576">
        <v>1.88</v>
      </c>
      <c r="Q23" s="576" t="str">
        <f>'BASE DE DATOS'!FQ23</f>
        <v>Placa Yeso, Aislante 10mm, Cámara de aire 90mm, Techo liviano (tejas)</v>
      </c>
      <c r="R23" s="576">
        <f>'BASE DE DATOS'!FR23</f>
        <v>1.25</v>
      </c>
      <c r="S23" s="576">
        <f>'BASE DE DATOS'!FS23</f>
        <v>1.1499999999999999</v>
      </c>
      <c r="U23" s="576" t="str">
        <f>'BASE DE DATOS'!FU23</f>
        <v>Revestimiento exterior 2cm, Ladrillo común 12cm, Aislante 20mm, Ladrillo común 12cm, Revestimiento Interior 2cm</v>
      </c>
      <c r="V23" s="576">
        <f>'BASE DE DATOS'!FV23</f>
        <v>0.9</v>
      </c>
      <c r="W23" s="576" t="str">
        <f>'BASE DE DATOS'!FW23</f>
        <v>C.A.T. Nº3141 - VIVIENDA MODULAR CASSINA I (Zona I a IV)</v>
      </c>
      <c r="X23" s="576">
        <f>'BASE DE DATOS'!FX23</f>
        <v>1.24</v>
      </c>
      <c r="Z23" s="576" t="str">
        <f>'BASE DE DATOS'!FZ23</f>
        <v>C.A.T. Nº3172 - JORGE MARTINEZ CASAS (Zona I a IV)</v>
      </c>
      <c r="AA23" s="576">
        <f>'BASE DE DATOS'!GA23</f>
        <v>0.77</v>
      </c>
      <c r="AC23" s="576">
        <f>'BASE DE DATOS'!GC23</f>
        <v>0</v>
      </c>
      <c r="AD23" s="576">
        <f>'BASE DE DATOS'!GD23</f>
        <v>0</v>
      </c>
      <c r="AE23" s="576">
        <f>'BASE DE DATOS'!GE23</f>
        <v>0</v>
      </c>
      <c r="AG23" s="576" t="s">
        <v>693</v>
      </c>
      <c r="AI23" s="576" t="s">
        <v>1243</v>
      </c>
      <c r="AM23" s="576" t="s">
        <v>70</v>
      </c>
      <c r="AV23" s="540">
        <v>0</v>
      </c>
      <c r="AW23" s="540">
        <v>0.38</v>
      </c>
      <c r="AX23" s="540">
        <v>0.32</v>
      </c>
      <c r="AY23" s="540">
        <v>1</v>
      </c>
      <c r="AZ23" s="540">
        <v>0.83</v>
      </c>
      <c r="BA23" s="540">
        <v>1.85</v>
      </c>
      <c r="BB23" s="540">
        <v>1</v>
      </c>
      <c r="BD23" s="576">
        <v>0</v>
      </c>
      <c r="BE23" s="576">
        <v>609.9</v>
      </c>
    </row>
    <row r="24" spans="2:94" ht="16" customHeight="1" thickBot="1">
      <c r="B24" s="240">
        <v>10</v>
      </c>
      <c r="C24" s="371"/>
      <c r="D24" s="371"/>
      <c r="E24" s="371"/>
      <c r="F24" s="371"/>
      <c r="G24" s="1191">
        <f t="shared" si="14"/>
        <v>0</v>
      </c>
      <c r="H24" s="1191"/>
      <c r="K24" s="576" t="s">
        <v>272</v>
      </c>
      <c r="L24" s="576">
        <v>1500</v>
      </c>
      <c r="M24" s="576">
        <v>0.3</v>
      </c>
      <c r="Q24" s="576" t="str">
        <f>'BASE DE DATOS'!FQ24</f>
        <v>Placa Yeso, Aislante 25mm, Cámara de aire 75mm, Techo liviano (tejas)</v>
      </c>
      <c r="R24" s="576">
        <f>'BASE DE DATOS'!FR24</f>
        <v>0.83</v>
      </c>
      <c r="S24" s="576">
        <f>'BASE DE DATOS'!FS24</f>
        <v>0.78</v>
      </c>
      <c r="U24" s="576" t="str">
        <f>'BASE DE DATOS'!FU24</f>
        <v>Revoque Exterior 2cm, Bloque cerámico hueco 12cm, Revestimiento Interior 2cm</v>
      </c>
      <c r="V24" s="576">
        <f>'BASE DE DATOS'!FV24</f>
        <v>1.76</v>
      </c>
      <c r="W24" s="576" t="str">
        <f>'BASE DE DATOS'!FW24</f>
        <v>C.A.T. Nº3143 - VIPAR (Zona I a IV)</v>
      </c>
      <c r="X24" s="576">
        <f>'BASE DE DATOS'!FX24</f>
        <v>0.90900000000000003</v>
      </c>
      <c r="Z24" s="576" t="str">
        <f>'BASE DE DATOS'!FZ24</f>
        <v>C.A.T. Nº3176 - CASSAFORMA (Zona I a IV)</v>
      </c>
      <c r="AA24" s="576">
        <f>'BASE DE DATOS'!GA24</f>
        <v>0.42</v>
      </c>
      <c r="AC24" s="576">
        <f>'BASE DE DATOS'!GC24</f>
        <v>0</v>
      </c>
      <c r="AD24" s="576">
        <f>'BASE DE DATOS'!GD24</f>
        <v>0</v>
      </c>
      <c r="AE24" s="576">
        <f>'BASE DE DATOS'!GE24</f>
        <v>0</v>
      </c>
      <c r="AG24" s="576" t="s">
        <v>694</v>
      </c>
      <c r="AI24" s="576" t="s">
        <v>702</v>
      </c>
      <c r="AK24" s="576" t="s">
        <v>605</v>
      </c>
      <c r="AM24" s="576" t="s">
        <v>164</v>
      </c>
      <c r="AV24" s="576"/>
      <c r="BD24" s="576">
        <v>5</v>
      </c>
      <c r="BE24" s="576">
        <v>870</v>
      </c>
      <c r="BH24" s="1200" t="s">
        <v>645</v>
      </c>
      <c r="BI24" s="1200"/>
      <c r="BJ24" s="1200"/>
      <c r="BK24" s="1200"/>
      <c r="BL24" s="1200"/>
      <c r="BM24" s="1200"/>
      <c r="BN24" s="1200"/>
      <c r="BO24" s="1200"/>
    </row>
    <row r="25" spans="2:94" ht="16" customHeight="1" thickBot="1">
      <c r="B25" s="801" t="s">
        <v>1234</v>
      </c>
      <c r="C25" s="801"/>
      <c r="D25" s="801"/>
      <c r="E25" s="801"/>
      <c r="F25" s="801"/>
      <c r="G25" s="262">
        <v>0.1</v>
      </c>
      <c r="H25" s="262">
        <v>0.17</v>
      </c>
      <c r="J25" s="577"/>
      <c r="K25" s="576" t="s">
        <v>281</v>
      </c>
      <c r="L25" s="576">
        <v>2200</v>
      </c>
      <c r="M25" s="576">
        <v>1.4</v>
      </c>
      <c r="Q25" s="576" t="str">
        <f>'BASE DE DATOS'!FQ25</f>
        <v>Placa Yeso, Aislante 50mm, cámara de aire 50mm, Techo liviano (tejas)</v>
      </c>
      <c r="R25" s="576">
        <f>'BASE DE DATOS'!FR25</f>
        <v>0.53</v>
      </c>
      <c r="S25" s="576">
        <f>'BASE DE DATOS'!FS25</f>
        <v>0.51</v>
      </c>
      <c r="U25" s="576" t="str">
        <f>'BASE DE DATOS'!FU25</f>
        <v>Revoque Exterior 2cm, Bloque cerámico hueco 18cm, Revestimiento Interior 2cm</v>
      </c>
      <c r="V25" s="576">
        <f>'BASE DE DATOS'!FV25</f>
        <v>1.39</v>
      </c>
      <c r="W25" s="576" t="str">
        <f>'BASE DE DATOS'!FW25</f>
        <v>C.A.T. Nº3157 - THERMA HOUSE (Zona I a IV)</v>
      </c>
      <c r="X25" s="576">
        <f>'BASE DE DATOS'!FX25</f>
        <v>0.27600000000000002</v>
      </c>
      <c r="Z25" s="576" t="str">
        <f>'BASE DE DATOS'!FZ25</f>
        <v>C.A.T. Nº3179 - EMHM 1+3 (Zona I a III)</v>
      </c>
      <c r="AA25" s="576">
        <f>'BASE DE DATOS'!GA25</f>
        <v>0.83</v>
      </c>
      <c r="AC25" s="576">
        <f>'BASE DE DATOS'!GC25</f>
        <v>0</v>
      </c>
      <c r="AD25" s="576">
        <f>'BASE DE DATOS'!GD25</f>
        <v>0</v>
      </c>
      <c r="AE25" s="576">
        <f>'BASE DE DATOS'!GE25</f>
        <v>0</v>
      </c>
      <c r="AK25" s="576" t="s">
        <v>606</v>
      </c>
      <c r="AM25" s="576" t="s">
        <v>189</v>
      </c>
      <c r="AV25" s="1186" t="s">
        <v>742</v>
      </c>
      <c r="AW25" s="1186"/>
      <c r="AX25" s="1186"/>
      <c r="AY25" s="1186"/>
      <c r="AZ25" s="1186"/>
      <c r="BA25" s="1186"/>
      <c r="BB25" s="1186"/>
      <c r="BD25" s="576">
        <v>10</v>
      </c>
      <c r="BE25" s="576">
        <v>1225</v>
      </c>
      <c r="BH25" s="638"/>
      <c r="BI25" s="638"/>
      <c r="BJ25" s="639"/>
      <c r="BK25" s="639"/>
      <c r="BL25" s="638"/>
      <c r="BM25" s="638"/>
      <c r="BN25" s="638"/>
      <c r="BO25" s="638"/>
    </row>
    <row r="26" spans="2:94" thickBot="1">
      <c r="B26" s="1195" t="s">
        <v>250</v>
      </c>
      <c r="C26" s="1195"/>
      <c r="D26" s="1195"/>
      <c r="E26" s="1195"/>
      <c r="F26" s="1195"/>
      <c r="G26" s="233">
        <f>SUM(G14:H24)+G25</f>
        <v>0.14000000000000001</v>
      </c>
      <c r="H26" s="233">
        <f>SUM(G14:H24)+H25</f>
        <v>0.21000000000000002</v>
      </c>
      <c r="J26" s="577"/>
      <c r="K26" s="576" t="s">
        <v>282</v>
      </c>
      <c r="L26" s="576">
        <v>2400</v>
      </c>
      <c r="M26" s="576">
        <v>2.1</v>
      </c>
      <c r="Q26" s="576" t="str">
        <f>'BASE DE DATOS'!FQ26</f>
        <v>Placa Yeso, Cámara de aire 10mm, Techo liviano (tejas)</v>
      </c>
      <c r="R26" s="576">
        <f>'BASE DE DATOS'!FR26</f>
        <v>1.9</v>
      </c>
      <c r="S26" s="576">
        <f>'BASE DE DATOS'!FS26</f>
        <v>1.68</v>
      </c>
      <c r="U26" s="576" t="str">
        <f>'BASE DE DATOS'!FU26</f>
        <v xml:space="preserve">Revoque, Bloque hormigón 20 cm, Revoque, Inserto de PEX </v>
      </c>
      <c r="V26" s="576">
        <f>'BASE DE DATOS'!FV26</f>
        <v>1.6</v>
      </c>
      <c r="W26" s="576" t="str">
        <f>'BASE DE DATOS'!FW26</f>
        <v>C.A.T. Nº3160 - CONCREHAUS (Zona I a IV)</v>
      </c>
      <c r="X26" s="576">
        <f>'BASE DE DATOS'!FX26</f>
        <v>0.74</v>
      </c>
      <c r="Z26" s="576" t="str">
        <f>'BASE DE DATOS'!FZ26</f>
        <v>C.A.T. Nº3181 - KEY HOMES (Zona I a IV)</v>
      </c>
      <c r="AA26" s="576">
        <f>'BASE DE DATOS'!GA26</f>
        <v>0.37</v>
      </c>
      <c r="AC26" s="576">
        <f>'BASE DE DATOS'!GC26</f>
        <v>0</v>
      </c>
      <c r="AD26" s="576">
        <f>'BASE DE DATOS'!GD26</f>
        <v>0</v>
      </c>
      <c r="AE26" s="576">
        <f>'BASE DE DATOS'!GE26</f>
        <v>0</v>
      </c>
      <c r="AG26" s="576" t="s">
        <v>698</v>
      </c>
      <c r="AI26" s="576" t="s">
        <v>697</v>
      </c>
      <c r="AK26" s="576" t="s">
        <v>607</v>
      </c>
      <c r="AM26" s="576" t="s">
        <v>154</v>
      </c>
      <c r="AV26" s="574"/>
      <c r="AW26" s="1186" t="s">
        <v>737</v>
      </c>
      <c r="AX26" s="1186"/>
      <c r="AY26" s="1186" t="s">
        <v>738</v>
      </c>
      <c r="AZ26" s="1186"/>
      <c r="BA26" s="1186" t="s">
        <v>739</v>
      </c>
      <c r="BB26" s="1186"/>
      <c r="BD26" s="576">
        <v>15</v>
      </c>
      <c r="BE26" s="576">
        <v>1701</v>
      </c>
      <c r="BH26" s="1198">
        <f>ENERGÍA!B106</f>
        <v>0</v>
      </c>
      <c r="BI26" s="1198"/>
      <c r="BJ26" s="1198"/>
      <c r="BK26" s="1198"/>
      <c r="BL26" s="1198"/>
      <c r="BM26" s="1198"/>
      <c r="BN26" s="1198"/>
      <c r="BO26" s="1198"/>
    </row>
    <row r="27" spans="2:94" thickBot="1">
      <c r="B27" s="1195" t="s">
        <v>550</v>
      </c>
      <c r="C27" s="1195"/>
      <c r="D27" s="1195"/>
      <c r="E27" s="1195"/>
      <c r="F27" s="1195"/>
      <c r="G27" s="263">
        <f>IFERROR(1/G26,0)</f>
        <v>7.1428571428571423</v>
      </c>
      <c r="H27" s="263">
        <f>IFERROR(1/H26,0)</f>
        <v>4.7619047619047619</v>
      </c>
      <c r="J27" s="577"/>
      <c r="K27" s="576" t="s">
        <v>283</v>
      </c>
      <c r="L27" s="576">
        <v>917</v>
      </c>
      <c r="M27" s="576">
        <v>2.21</v>
      </c>
      <c r="Q27" s="576" t="str">
        <f>'BASE DE DATOS'!FQ27</f>
        <v>Revestimiento Interior 2cm, Losa cerámico 16cm, Aislación 100mm, Carpeta Terminación 4cm</v>
      </c>
      <c r="R27" s="576">
        <f>'BASE DE DATOS'!FR27</f>
        <v>0.3</v>
      </c>
      <c r="S27" s="576">
        <f>'BASE DE DATOS'!FS27</f>
        <v>0.3</v>
      </c>
      <c r="U27" s="576" t="str">
        <f>'BASE DE DATOS'!FU27</f>
        <v xml:space="preserve">Revoque, Bloque hueco hormigón 20 cm, Revoque  </v>
      </c>
      <c r="V27" s="576">
        <f>'BASE DE DATOS'!FV27</f>
        <v>2.6</v>
      </c>
      <c r="W27" s="576" t="str">
        <f>'BASE DE DATOS'!FW27</f>
        <v>C.A.T. Nº3165 - LOG HOME (Zona I a IV)</v>
      </c>
      <c r="X27" s="576">
        <f>'BASE DE DATOS'!FX27</f>
        <v>0.35</v>
      </c>
      <c r="Z27" s="576" t="str">
        <f>'BASE DE DATOS'!FZ27</f>
        <v>C.A.T. Nº3182 - GAUROS (Zona I a VI)</v>
      </c>
      <c r="AA27" s="576">
        <f>'BASE DE DATOS'!GA27</f>
        <v>0.43</v>
      </c>
      <c r="AC27" s="576">
        <f>'BASE DE DATOS'!GC27</f>
        <v>0</v>
      </c>
      <c r="AD27" s="576">
        <f>'BASE DE DATOS'!GD27</f>
        <v>0</v>
      </c>
      <c r="AE27" s="576">
        <f>'BASE DE DATOS'!GE27</f>
        <v>0</v>
      </c>
      <c r="AG27" s="576" t="s">
        <v>696</v>
      </c>
      <c r="AI27" s="576" t="s">
        <v>699</v>
      </c>
      <c r="AM27" s="576" t="s">
        <v>144</v>
      </c>
      <c r="AV27" s="576"/>
      <c r="AW27" s="576" t="s">
        <v>741</v>
      </c>
      <c r="AX27" s="576" t="s">
        <v>218</v>
      </c>
      <c r="AY27" s="576" t="s">
        <v>741</v>
      </c>
      <c r="AZ27" s="576" t="s">
        <v>218</v>
      </c>
      <c r="BA27" s="576" t="s">
        <v>741</v>
      </c>
      <c r="BB27" s="576" t="s">
        <v>218</v>
      </c>
      <c r="BD27" s="576">
        <v>20</v>
      </c>
      <c r="BE27" s="576">
        <v>2333</v>
      </c>
      <c r="BH27" s="638"/>
      <c r="BI27" s="638"/>
      <c r="BJ27" s="639"/>
      <c r="BK27" s="639"/>
      <c r="BL27" s="638"/>
      <c r="BM27" s="638"/>
      <c r="BN27" s="638"/>
      <c r="BO27" s="638"/>
    </row>
    <row r="28" spans="2:94" ht="16" customHeight="1" thickBot="1">
      <c r="J28" s="577"/>
      <c r="K28" s="576" t="s">
        <v>284</v>
      </c>
      <c r="L28" s="576">
        <v>150</v>
      </c>
      <c r="M28" s="576">
        <v>0.12</v>
      </c>
      <c r="Q28" s="576" t="str">
        <f>'BASE DE DATOS'!FQ28</f>
        <v>Revestimiento Interior 2cm, Losa cerámico 16cm, Aislación 10mm, Carpeta Terminación 4cm</v>
      </c>
      <c r="R28" s="576">
        <f>'BASE DE DATOS'!FR28</f>
        <v>1.2</v>
      </c>
      <c r="S28" s="576">
        <f>'BASE DE DATOS'!FS28</f>
        <v>1.1100000000000001</v>
      </c>
      <c r="U28" s="576" t="str">
        <f>'BASE DE DATOS'!FU28</f>
        <v>C.A.T. Nº3079 - VIDHA (Zona I a IV)</v>
      </c>
      <c r="V28" s="576">
        <f>'BASE DE DATOS'!FV28</f>
        <v>0.75</v>
      </c>
      <c r="W28" s="576" t="str">
        <f>'BASE DE DATOS'!FW28</f>
        <v>C.A.T. Nº3169 - VIVIENDAS PREFABRICADAS DE H.A. (Zona I a III)</v>
      </c>
      <c r="X28" s="576">
        <f>'BASE DE DATOS'!FX28</f>
        <v>0.3</v>
      </c>
      <c r="Z28" s="576" t="str">
        <f>'BASE DE DATOS'!FZ28</f>
        <v>C.A.T. Nº3186 - SIPS (Zona I a VI)</v>
      </c>
      <c r="AA28" s="576">
        <f>'BASE DE DATOS'!GA28</f>
        <v>0.21</v>
      </c>
      <c r="AC28" s="576">
        <f>'BASE DE DATOS'!GC28</f>
        <v>0</v>
      </c>
      <c r="AD28" s="576">
        <f>'BASE DE DATOS'!GD28</f>
        <v>0</v>
      </c>
      <c r="AE28" s="576">
        <f>'BASE DE DATOS'!GE28</f>
        <v>0</v>
      </c>
      <c r="AG28" s="576" t="s">
        <v>701</v>
      </c>
      <c r="AI28" s="576" t="s">
        <v>700</v>
      </c>
      <c r="AK28" s="576" t="s">
        <v>625</v>
      </c>
      <c r="AM28" s="576" t="s">
        <v>136</v>
      </c>
      <c r="AV28" s="576">
        <v>1</v>
      </c>
      <c r="AW28" s="540">
        <v>0.45</v>
      </c>
      <c r="AX28" s="540">
        <v>0.18</v>
      </c>
      <c r="AY28" s="540">
        <v>1.1000000000000001</v>
      </c>
      <c r="AZ28" s="540">
        <v>0.45</v>
      </c>
      <c r="BA28" s="540">
        <v>1.8</v>
      </c>
      <c r="BB28" s="540">
        <v>0.72</v>
      </c>
      <c r="BD28" s="576">
        <v>25</v>
      </c>
      <c r="BE28" s="576">
        <v>3130</v>
      </c>
      <c r="BH28" s="1198"/>
      <c r="BI28" s="1193" t="s">
        <v>1184</v>
      </c>
      <c r="BJ28" s="1193"/>
      <c r="BK28" s="1193"/>
      <c r="BL28" s="1189" t="s">
        <v>1721</v>
      </c>
      <c r="BM28" s="1189"/>
      <c r="BN28" s="1182" t="s">
        <v>1383</v>
      </c>
      <c r="BO28" s="1182"/>
      <c r="BP28" s="1182" t="s">
        <v>1017</v>
      </c>
    </row>
    <row r="29" spans="2:94" ht="18" thickBot="1">
      <c r="B29" s="800" t="s">
        <v>1944</v>
      </c>
      <c r="C29" s="800" t="s">
        <v>243</v>
      </c>
      <c r="D29" s="261" t="s">
        <v>243</v>
      </c>
      <c r="E29" s="800" t="s">
        <v>244</v>
      </c>
      <c r="F29" s="800"/>
      <c r="G29" s="800"/>
      <c r="H29" s="800"/>
      <c r="J29" s="577"/>
      <c r="K29" s="576" t="s">
        <v>285</v>
      </c>
      <c r="L29" s="576">
        <v>300</v>
      </c>
      <c r="M29" s="576">
        <v>0.23</v>
      </c>
      <c r="Q29" s="576" t="str">
        <f>'BASE DE DATOS'!FQ29</f>
        <v>Revestimiento Interior 2cm, Losa cerámico 16cm, Aislación 25mm, Carpeta Terminación 4cm</v>
      </c>
      <c r="R29" s="576">
        <f>'BASE DE DATOS'!FR29</f>
        <v>0.81</v>
      </c>
      <c r="S29" s="576">
        <f>'BASE DE DATOS'!FS29</f>
        <v>0.76</v>
      </c>
      <c r="U29" s="576" t="str">
        <f>'BASE DE DATOS'!FU29</f>
        <v>C.A.T. Nº3080 - NUEVA GENERACIÓN (Zona I a IV)</v>
      </c>
      <c r="V29" s="576">
        <f>'BASE DE DATOS'!FV29</f>
        <v>0.625</v>
      </c>
      <c r="W29" s="576" t="str">
        <f>'BASE DE DATOS'!FW29</f>
        <v>C.A.T. Nº3172 - JORGE MARTINEZ CASAS (Zona I a IV)</v>
      </c>
      <c r="X29" s="576">
        <f>'BASE DE DATOS'!FX29</f>
        <v>0.77</v>
      </c>
      <c r="Z29" s="576" t="str">
        <f>'BASE DE DATOS'!FZ29</f>
        <v>C.A.T. Nº3187 - SIPANEL (Zona I a VI)</v>
      </c>
      <c r="AA29" s="576">
        <f>'BASE DE DATOS'!GA29</f>
        <v>0.22</v>
      </c>
      <c r="AC29" s="576">
        <f>'BASE DE DATOS'!GC29</f>
        <v>0</v>
      </c>
      <c r="AD29" s="576">
        <f>'BASE DE DATOS'!GD29</f>
        <v>0</v>
      </c>
      <c r="AE29" s="576">
        <f>'BASE DE DATOS'!GE29</f>
        <v>0</v>
      </c>
      <c r="AK29" s="576" t="s">
        <v>626</v>
      </c>
      <c r="AM29" s="576" t="s">
        <v>137</v>
      </c>
      <c r="AV29" s="576">
        <v>2</v>
      </c>
      <c r="AW29" s="540">
        <v>0.45</v>
      </c>
      <c r="AX29" s="540">
        <v>0.18</v>
      </c>
      <c r="AY29" s="540">
        <v>1.1000000000000001</v>
      </c>
      <c r="AZ29" s="540">
        <v>0.45</v>
      </c>
      <c r="BA29" s="540">
        <v>1.8</v>
      </c>
      <c r="BB29" s="540">
        <v>0.72</v>
      </c>
      <c r="BD29" s="576">
        <v>30</v>
      </c>
      <c r="BE29" s="576">
        <v>4234</v>
      </c>
      <c r="BH29" s="1198"/>
      <c r="BI29" s="575" t="s">
        <v>623</v>
      </c>
      <c r="BJ29" s="639" t="s">
        <v>1185</v>
      </c>
      <c r="BK29" s="639" t="s">
        <v>1186</v>
      </c>
      <c r="BL29" s="577" t="s">
        <v>623</v>
      </c>
      <c r="BM29" s="576" t="s">
        <v>1625</v>
      </c>
      <c r="BN29" s="1182"/>
      <c r="BO29" s="1182"/>
      <c r="BP29" s="1182"/>
      <c r="BU29" s="576" t="s">
        <v>2034</v>
      </c>
      <c r="BV29" s="636">
        <v>0.19</v>
      </c>
    </row>
    <row r="30" spans="2:94" thickBot="1">
      <c r="B30" s="1196"/>
      <c r="C30" s="1196"/>
      <c r="D30" s="1196"/>
      <c r="E30" s="1192"/>
      <c r="F30" s="1192"/>
      <c r="G30" s="1192"/>
      <c r="H30" s="1192"/>
      <c r="J30" s="577"/>
      <c r="K30" s="576" t="s">
        <v>286</v>
      </c>
      <c r="L30" s="576">
        <v>500</v>
      </c>
      <c r="M30" s="576">
        <v>0.47</v>
      </c>
      <c r="Q30" s="576" t="str">
        <f>'BASE DE DATOS'!FQ30</f>
        <v>Revestimiento Interior 2cm, Losa cerámico 16cm, Aislación 50mm, Carpeta Terminación 4cm</v>
      </c>
      <c r="R30" s="576">
        <f>'BASE DE DATOS'!FR30</f>
        <v>0.52</v>
      </c>
      <c r="S30" s="576">
        <f>'BASE DE DATOS'!FS30</f>
        <v>0.5</v>
      </c>
      <c r="U30" s="576" t="str">
        <f>'BASE DE DATOS'!FU30</f>
        <v>C.A.T. Nº3094 - VIVIENDAS NEUQUÉN (Zona I a IV)</v>
      </c>
      <c r="V30" s="576">
        <f>'BASE DE DATOS'!FV30</f>
        <v>0.87</v>
      </c>
      <c r="W30" s="576" t="str">
        <f>'BASE DE DATOS'!FW30</f>
        <v>C.A.T. Nº3176 - CASSAFORMA (Zona I a IV)</v>
      </c>
      <c r="X30" s="576">
        <f>'BASE DE DATOS'!FX30</f>
        <v>0.42</v>
      </c>
      <c r="Z30" s="576" t="str">
        <f>'BASE DE DATOS'!FZ30</f>
        <v>C.A.T. Nº3192 - EL PICAPALO (Zona I a III)</v>
      </c>
      <c r="AA30" s="576">
        <f>'BASE DE DATOS'!GA30</f>
        <v>0.51</v>
      </c>
      <c r="AC30" s="576">
        <f>'BASE DE DATOS'!GC30</f>
        <v>0</v>
      </c>
      <c r="AD30" s="576">
        <f>'BASE DE DATOS'!GD30</f>
        <v>0</v>
      </c>
      <c r="AE30" s="576">
        <f>'BASE DE DATOS'!GE30</f>
        <v>0</v>
      </c>
      <c r="AG30" s="576" t="s">
        <v>599</v>
      </c>
      <c r="AM30" s="576" t="s">
        <v>138</v>
      </c>
      <c r="AV30" s="576">
        <v>3</v>
      </c>
      <c r="AW30" s="540">
        <v>0.5</v>
      </c>
      <c r="AX30" s="540">
        <v>0.19</v>
      </c>
      <c r="AY30" s="540">
        <v>1.25</v>
      </c>
      <c r="AZ30" s="540">
        <v>0.48</v>
      </c>
      <c r="BA30" s="540">
        <v>2</v>
      </c>
      <c r="BB30" s="540">
        <v>0.76</v>
      </c>
      <c r="BH30" s="640" t="s">
        <v>225</v>
      </c>
      <c r="BI30" s="552">
        <f>ENERGÍA!D110</f>
        <v>0</v>
      </c>
      <c r="BJ30" s="552">
        <f>ENERGÍA!E110</f>
        <v>0</v>
      </c>
      <c r="BK30" s="552">
        <f>ENERGÍA!F110</f>
        <v>0</v>
      </c>
      <c r="BL30" s="576">
        <f>ENERGÍA!L110</f>
        <v>0</v>
      </c>
      <c r="BM30" s="576">
        <f>ENERGÍA!M110</f>
        <v>0</v>
      </c>
      <c r="BN30" s="576">
        <f>IF(BL30=$AG$65,0,IF(BL30=$AG$66,BJ30/BM30,IF(BL30=$AG$67,BK30/BM30,IF(BL30=$AG$68,BK30/BM30,0))))</f>
        <v>0</v>
      </c>
      <c r="BO30" s="576">
        <f>IF(BM30=0,0,IF(BL30=$AG$65,0,IF(BN30&lt;1,1,BN30)))</f>
        <v>0</v>
      </c>
      <c r="BP30" s="576">
        <f t="shared" ref="BP30:BP39" si="15">IF(BL30=$AG$65,0,IF(BL30=$AG$66,HLOOKUP(BO30,$BR$21:$BX$22,2,TRUE),IF(BL30=$AG$67,HLOOKUP(BO30,FES,2,TRUE),IF(BL30=$AG$68,HLOOKUP(BO30,$CA$21:$CG$22,2,TRUE),0))))</f>
        <v>0</v>
      </c>
    </row>
    <row r="31" spans="2:94" thickBot="1">
      <c r="B31" s="1196"/>
      <c r="C31" s="1196"/>
      <c r="D31" s="1196"/>
      <c r="E31" s="1192"/>
      <c r="F31" s="1192"/>
      <c r="G31" s="1192"/>
      <c r="H31" s="1192"/>
      <c r="J31" s="577"/>
      <c r="K31" s="576" t="s">
        <v>1724</v>
      </c>
      <c r="L31" s="576">
        <v>1900</v>
      </c>
      <c r="M31" s="576">
        <v>2.8</v>
      </c>
      <c r="Q31" s="576" t="str">
        <f>'BASE DE DATOS'!FQ31</f>
        <v>Revestimiento Interior 2cm, Losa cerámico 16cm, Contrapiso liviano 8cm, Carpeta Terminación 4cm</v>
      </c>
      <c r="R31" s="576">
        <f>'BASE DE DATOS'!FR31</f>
        <v>1.78</v>
      </c>
      <c r="S31" s="576">
        <f>'BASE DE DATOS'!FS31</f>
        <v>1.58</v>
      </c>
      <c r="U31" s="576" t="str">
        <f>'BASE DE DATOS'!FU31</f>
        <v>C.A.T. Nº3098 - DIMARBO (Zona I a IV)</v>
      </c>
      <c r="V31" s="576">
        <f>'BASE DE DATOS'!FV31</f>
        <v>0.41</v>
      </c>
      <c r="W31" s="576" t="str">
        <f>'BASE DE DATOS'!FW31</f>
        <v>C.A.T. Nº3179 - EMHM 1+3 (Zona I a III)</v>
      </c>
      <c r="X31" s="576">
        <f>'BASE DE DATOS'!FX31</f>
        <v>0.83</v>
      </c>
      <c r="Z31" s="576" t="str">
        <f>'BASE DE DATOS'!FZ31</f>
        <v>C.A.T. Nº3193 - CASAS CONTEMPORÁNEAS (Zona I a IV)</v>
      </c>
      <c r="AA31" s="576">
        <f>'BASE DE DATOS'!GA31</f>
        <v>0.95</v>
      </c>
      <c r="AG31" s="576" t="s">
        <v>600</v>
      </c>
      <c r="AM31" s="576" t="s">
        <v>166</v>
      </c>
      <c r="AV31" s="576">
        <v>4</v>
      </c>
      <c r="AW31" s="540">
        <v>0.5</v>
      </c>
      <c r="AX31" s="540">
        <v>0.19</v>
      </c>
      <c r="AY31" s="540">
        <v>1.25</v>
      </c>
      <c r="AZ31" s="540">
        <v>0.48</v>
      </c>
      <c r="BA31" s="540">
        <v>2</v>
      </c>
      <c r="BB31" s="540">
        <v>0.76</v>
      </c>
      <c r="BH31" s="640" t="s">
        <v>226</v>
      </c>
      <c r="BI31" s="552">
        <f>ENERGÍA!D111</f>
        <v>0</v>
      </c>
      <c r="BJ31" s="552">
        <f>ENERGÍA!E111</f>
        <v>0</v>
      </c>
      <c r="BK31" s="552">
        <f>ENERGÍA!F111</f>
        <v>0</v>
      </c>
      <c r="BL31" s="576">
        <f>ENERGÍA!L111</f>
        <v>0</v>
      </c>
      <c r="BM31" s="576">
        <f>ENERGÍA!M111</f>
        <v>0</v>
      </c>
      <c r="BN31" s="576">
        <f t="shared" ref="BN31:BN39" si="16">IF(BL31=$AG$65,0,IF(BL31=$AG$66,BJ31/BM31,IF(BL31=$AG$67,BK31/BM31,IF(BL31=$AG$68,BK31/BM31,0))))</f>
        <v>0</v>
      </c>
      <c r="BO31" s="576">
        <f t="shared" ref="BO31:BO39" si="17">IF(BM31=0,0,IF(BL31=$AG$65,0,IF(BN31&lt;1,1,BN31)))</f>
        <v>0</v>
      </c>
      <c r="BP31" s="576">
        <f t="shared" si="15"/>
        <v>0</v>
      </c>
    </row>
    <row r="32" spans="2:94" ht="15" customHeight="1" thickBot="1">
      <c r="B32" s="1196"/>
      <c r="C32" s="1196"/>
      <c r="D32" s="1196"/>
      <c r="E32" s="1192"/>
      <c r="F32" s="1192"/>
      <c r="G32" s="1192"/>
      <c r="H32" s="1192"/>
      <c r="J32" s="577"/>
      <c r="K32" s="576" t="s">
        <v>271</v>
      </c>
      <c r="L32" s="576">
        <v>1750</v>
      </c>
      <c r="M32" s="576">
        <v>1.4</v>
      </c>
      <c r="Q32" s="576" t="str">
        <f>'BASE DE DATOS'!FQ32</f>
        <v>Revestimiento interior 2cm, Losa H°A° 10cm, Aislante 100mm, Carpeta Terminación 4cm</v>
      </c>
      <c r="R32" s="576">
        <f>'BASE DE DATOS'!FR32</f>
        <v>0.33</v>
      </c>
      <c r="S32" s="576">
        <f>'BASE DE DATOS'!FS32</f>
        <v>0.32</v>
      </c>
      <c r="U32" s="576" t="str">
        <f>'BASE DE DATOS'!FU32</f>
        <v>C.A.T. Nº3134 - PREMOLD (Zona I a IV)</v>
      </c>
      <c r="V32" s="576">
        <f>'BASE DE DATOS'!FV32</f>
        <v>0.91</v>
      </c>
      <c r="W32" s="576" t="str">
        <f>'BASE DE DATOS'!FW32</f>
        <v>C.A.T. Nº3181 - KEY HOMES (Zona I a IV)</v>
      </c>
      <c r="X32" s="576">
        <f>'BASE DE DATOS'!FX32</f>
        <v>0.37</v>
      </c>
      <c r="Z32" s="576" t="str">
        <f>'BASE DE DATOS'!FZ32</f>
        <v>C.A.T. Nº3194 - VELOX (Zona I a IV)</v>
      </c>
      <c r="AA32" s="576">
        <f>'BASE DE DATOS'!GA32</f>
        <v>0.78</v>
      </c>
      <c r="AC32" s="1182" t="s">
        <v>1061</v>
      </c>
      <c r="AD32" s="1182"/>
      <c r="AG32" s="576" t="s">
        <v>1783</v>
      </c>
      <c r="AI32" s="576" t="s">
        <v>615</v>
      </c>
      <c r="AM32" s="576" t="s">
        <v>165</v>
      </c>
      <c r="AV32" s="1182" t="s">
        <v>743</v>
      </c>
      <c r="AW32" s="1182"/>
      <c r="AX32" s="1182"/>
      <c r="AY32" s="1182"/>
      <c r="AZ32" s="1182"/>
      <c r="BA32" s="1182"/>
      <c r="BB32" s="1182"/>
      <c r="BH32" s="640" t="s">
        <v>597</v>
      </c>
      <c r="BI32" s="552">
        <f>ENERGÍA!D112</f>
        <v>0</v>
      </c>
      <c r="BJ32" s="552">
        <f>ENERGÍA!E112</f>
        <v>0</v>
      </c>
      <c r="BK32" s="552">
        <f>ENERGÍA!F112</f>
        <v>0</v>
      </c>
      <c r="BL32" s="576">
        <f>ENERGÍA!L112</f>
        <v>0</v>
      </c>
      <c r="BM32" s="576">
        <f>ENERGÍA!M112</f>
        <v>0</v>
      </c>
      <c r="BN32" s="576">
        <f t="shared" si="16"/>
        <v>0</v>
      </c>
      <c r="BO32" s="576">
        <f t="shared" si="17"/>
        <v>0</v>
      </c>
      <c r="BP32" s="576">
        <f t="shared" si="15"/>
        <v>0</v>
      </c>
    </row>
    <row r="33" spans="2:68" thickBot="1">
      <c r="B33" s="1196"/>
      <c r="C33" s="1196"/>
      <c r="D33" s="1196"/>
      <c r="E33" s="1192"/>
      <c r="F33" s="1192"/>
      <c r="G33" s="1192"/>
      <c r="H33" s="1192"/>
      <c r="J33" s="577"/>
      <c r="K33" s="576" t="s">
        <v>270</v>
      </c>
      <c r="L33" s="576">
        <v>1600</v>
      </c>
      <c r="M33" s="576">
        <v>0.28000000000000003</v>
      </c>
      <c r="Q33" s="576" t="str">
        <f>'BASE DE DATOS'!FQ33</f>
        <v>Revestimiento interior 2cm, Losa H°A° 10cm, Aislante 10mm, Carpeta Terminación 4cm</v>
      </c>
      <c r="R33" s="576">
        <f>'BASE DE DATOS'!FR33</f>
        <v>1.7</v>
      </c>
      <c r="S33" s="576">
        <f>'BASE DE DATOS'!FS33</f>
        <v>1.52</v>
      </c>
      <c r="U33" s="576" t="str">
        <f>'BASE DE DATOS'!FU33</f>
        <v>C.A.T. Nº3141 - VIVIENDA MODULAR CASSINA I (Zona I a IV)</v>
      </c>
      <c r="V33" s="576">
        <f>'BASE DE DATOS'!FV33</f>
        <v>1.24</v>
      </c>
      <c r="W33" s="576" t="str">
        <f>'BASE DE DATOS'!FW33</f>
        <v>C.A.T. Nº3182 - GAUROS (Zona I a VI)</v>
      </c>
      <c r="X33" s="576">
        <f>'BASE DE DATOS'!FX33</f>
        <v>0.43</v>
      </c>
      <c r="Z33" s="576" t="str">
        <f>'BASE DE DATOS'!FZ33</f>
        <v>C.A.T. Nº3196 - SMI ECOSAN (Zona I a IV)</v>
      </c>
      <c r="AA33" s="576">
        <f>'BASE DE DATOS'!GA33</f>
        <v>0.32</v>
      </c>
      <c r="AC33" s="576" t="str">
        <f>'BASE DE DATOS'!GC33</f>
        <v>Madera Blanda</v>
      </c>
      <c r="AD33" s="576">
        <f>'BASE DE DATOS'!GD33</f>
        <v>2</v>
      </c>
      <c r="AG33" s="576" t="s">
        <v>1147</v>
      </c>
      <c r="AI33" s="576" t="s">
        <v>613</v>
      </c>
      <c r="AK33" s="576" t="s">
        <v>622</v>
      </c>
      <c r="AM33" s="576" t="s">
        <v>142</v>
      </c>
      <c r="AV33" s="576"/>
      <c r="BH33" s="640" t="s">
        <v>1222</v>
      </c>
      <c r="BI33" s="552">
        <f>ENERGÍA!D113</f>
        <v>0</v>
      </c>
      <c r="BJ33" s="552">
        <f>ENERGÍA!E113</f>
        <v>0</v>
      </c>
      <c r="BK33" s="552">
        <f>ENERGÍA!F113</f>
        <v>0</v>
      </c>
      <c r="BL33" s="576">
        <f>ENERGÍA!L113</f>
        <v>0</v>
      </c>
      <c r="BM33" s="576">
        <f>ENERGÍA!M113</f>
        <v>0</v>
      </c>
      <c r="BN33" s="576">
        <f t="shared" si="16"/>
        <v>0</v>
      </c>
      <c r="BO33" s="576">
        <f t="shared" si="17"/>
        <v>0</v>
      </c>
      <c r="BP33" s="576">
        <f t="shared" si="15"/>
        <v>0</v>
      </c>
    </row>
    <row r="34" spans="2:68" ht="18" thickBot="1">
      <c r="B34" s="1196"/>
      <c r="C34" s="1196"/>
      <c r="D34" s="1196"/>
      <c r="E34" s="1192"/>
      <c r="F34" s="1192"/>
      <c r="G34" s="1192"/>
      <c r="H34" s="1192"/>
      <c r="J34" s="577" t="str">
        <f>K422</f>
        <v xml:space="preserve">Mortero </v>
      </c>
      <c r="K34" s="576" t="s">
        <v>292</v>
      </c>
      <c r="L34" s="576">
        <v>600</v>
      </c>
      <c r="M34" s="576">
        <v>0.19</v>
      </c>
      <c r="Q34" s="576" t="str">
        <f>'BASE DE DATOS'!FQ34</f>
        <v>Revestimiento interior 2cm, Losa H°A° 10cm, Aislante 25mm, Carpeta Terminación 4cm</v>
      </c>
      <c r="R34" s="576">
        <f>'BASE DE DATOS'!FR34</f>
        <v>1.01</v>
      </c>
      <c r="S34" s="576">
        <f>'BASE DE DATOS'!FS34</f>
        <v>0.94</v>
      </c>
      <c r="U34" s="576" t="str">
        <f>'BASE DE DATOS'!FU34</f>
        <v>C.A.T. Nº3143 - VIPAR (Zona I a IV)</v>
      </c>
      <c r="V34" s="576">
        <f>'BASE DE DATOS'!FV34</f>
        <v>0.90900000000000003</v>
      </c>
      <c r="W34" s="576" t="str">
        <f>'BASE DE DATOS'!FW34</f>
        <v>C.A.T. Nº3186 - SIPS (Zona I a VI)</v>
      </c>
      <c r="X34" s="576">
        <f>'BASE DE DATOS'!FX34</f>
        <v>0.21</v>
      </c>
      <c r="Z34" s="576" t="str">
        <f>'BASE DE DATOS'!FZ34</f>
        <v>C.A.T. Nº3204 - TECNOPANEL FC (Zona I a VI)</v>
      </c>
      <c r="AA34" s="576">
        <f>'BASE DE DATOS'!GA34</f>
        <v>0.57999999999999996</v>
      </c>
      <c r="AC34" s="576" t="str">
        <f>'BASE DE DATOS'!GC34</f>
        <v>PVC</v>
      </c>
      <c r="AD34" s="576">
        <f>'BASE DE DATOS'!GD34</f>
        <v>2.8</v>
      </c>
      <c r="AI34" s="576" t="s">
        <v>614</v>
      </c>
      <c r="AK34" s="576" t="s">
        <v>637</v>
      </c>
      <c r="AM34" s="576" t="s">
        <v>1278</v>
      </c>
      <c r="AV34" s="1186" t="s">
        <v>1043</v>
      </c>
      <c r="AW34" s="1186"/>
      <c r="AX34" s="1186"/>
      <c r="AY34" s="1186"/>
      <c r="AZ34" s="1186"/>
      <c r="BA34" s="1186"/>
      <c r="BB34" s="574">
        <f>VLOOKUP(ENERGÍA!C4,CLIMA,6)</f>
        <v>0</v>
      </c>
      <c r="BH34" s="640" t="s">
        <v>1223</v>
      </c>
      <c r="BI34" s="552">
        <f>ENERGÍA!D114</f>
        <v>0</v>
      </c>
      <c r="BJ34" s="552">
        <f>ENERGÍA!E114</f>
        <v>0</v>
      </c>
      <c r="BK34" s="552">
        <f>ENERGÍA!F114</f>
        <v>0</v>
      </c>
      <c r="BL34" s="576">
        <f>ENERGÍA!L114</f>
        <v>0</v>
      </c>
      <c r="BM34" s="576">
        <f>ENERGÍA!M114</f>
        <v>0</v>
      </c>
      <c r="BN34" s="576">
        <f t="shared" si="16"/>
        <v>0</v>
      </c>
      <c r="BO34" s="576">
        <f t="shared" si="17"/>
        <v>0</v>
      </c>
      <c r="BP34" s="576">
        <f t="shared" si="15"/>
        <v>0</v>
      </c>
    </row>
    <row r="35" spans="2:68" thickBot="1">
      <c r="B35" s="1196"/>
      <c r="C35" s="1196"/>
      <c r="D35" s="1196"/>
      <c r="E35" s="1192"/>
      <c r="F35" s="1192"/>
      <c r="G35" s="1192"/>
      <c r="H35" s="1192"/>
      <c r="J35" s="577"/>
      <c r="K35" s="576" t="s">
        <v>294</v>
      </c>
      <c r="L35" s="576">
        <v>1400</v>
      </c>
      <c r="M35" s="576">
        <v>0.7</v>
      </c>
      <c r="Q35" s="576" t="str">
        <f>'BASE DE DATOS'!FQ35</f>
        <v>Revestimiento interior 2cm, Losa H°A° 10cm, Aislante 50mm, Carpeta Terminación 4cm</v>
      </c>
      <c r="R35" s="576">
        <f>'BASE DE DATOS'!FR35</f>
        <v>0.6</v>
      </c>
      <c r="S35" s="576">
        <f>'BASE DE DATOS'!FS35</f>
        <v>0.56999999999999995</v>
      </c>
      <c r="U35" s="576" t="str">
        <f>'BASE DE DATOS'!FU35</f>
        <v>C.A.T. Nº3157 - THERMA HOUSE (Zona I a IV)</v>
      </c>
      <c r="V35" s="576">
        <f>'BASE DE DATOS'!FV35</f>
        <v>0.27600000000000002</v>
      </c>
      <c r="W35" s="576" t="str">
        <f>'BASE DE DATOS'!FW35</f>
        <v>C.A.T. Nº3187 - SIPANEL (Zona I a VI)</v>
      </c>
      <c r="X35" s="576">
        <f>'BASE DE DATOS'!FX35</f>
        <v>0.22</v>
      </c>
      <c r="Z35" s="576" t="str">
        <f>'BASE DE DATOS'!FZ35</f>
        <v>C.A.T. Nº3205 - SISTEMA EN PANELES (Zona I a VI)</v>
      </c>
      <c r="AA35" s="576">
        <f>'BASE DE DATOS'!GA35</f>
        <v>0.57999999999999996</v>
      </c>
      <c r="AC35" s="576" t="str">
        <f>'BASE DE DATOS'!GC35</f>
        <v>Metal sin Ruptura de Puente Térmico</v>
      </c>
      <c r="AD35" s="576">
        <f>'BASE DE DATOS'!GD35</f>
        <v>5.8</v>
      </c>
      <c r="AI35" s="576" t="s">
        <v>616</v>
      </c>
      <c r="AK35" s="576" t="s">
        <v>638</v>
      </c>
      <c r="AM35" s="576" t="s">
        <v>97</v>
      </c>
      <c r="AV35" s="1182" t="s">
        <v>748</v>
      </c>
      <c r="AW35" s="1182"/>
      <c r="BA35" s="1182" t="s">
        <v>747</v>
      </c>
      <c r="BB35" s="1182"/>
      <c r="BH35" s="640" t="s">
        <v>1224</v>
      </c>
      <c r="BI35" s="552">
        <f>ENERGÍA!D115</f>
        <v>0</v>
      </c>
      <c r="BJ35" s="552">
        <f>ENERGÍA!E115</f>
        <v>0</v>
      </c>
      <c r="BK35" s="552">
        <f>ENERGÍA!F115</f>
        <v>0</v>
      </c>
      <c r="BL35" s="576">
        <f>ENERGÍA!L115</f>
        <v>0</v>
      </c>
      <c r="BM35" s="576">
        <f>ENERGÍA!M115</f>
        <v>0</v>
      </c>
      <c r="BN35" s="576">
        <f t="shared" si="16"/>
        <v>0</v>
      </c>
      <c r="BO35" s="576">
        <f t="shared" si="17"/>
        <v>0</v>
      </c>
      <c r="BP35" s="576">
        <f t="shared" si="15"/>
        <v>0</v>
      </c>
    </row>
    <row r="36" spans="2:68" ht="35" thickBot="1">
      <c r="B36" s="229" t="s">
        <v>245</v>
      </c>
      <c r="C36" s="229" t="s">
        <v>246</v>
      </c>
      <c r="D36" s="229" t="s">
        <v>222</v>
      </c>
      <c r="E36" s="229" t="s">
        <v>247</v>
      </c>
      <c r="F36" s="229" t="s">
        <v>549</v>
      </c>
      <c r="G36" s="1191" t="s">
        <v>1459</v>
      </c>
      <c r="H36" s="1191"/>
      <c r="J36" s="577"/>
      <c r="K36" s="576" t="s">
        <v>287</v>
      </c>
      <c r="L36" s="576">
        <v>1900</v>
      </c>
      <c r="M36" s="576">
        <v>0.89</v>
      </c>
      <c r="Q36" s="576" t="str">
        <f>'BASE DE DATOS'!FQ36</f>
        <v>Revestimiento Interior 2cm, Losa hormigón 10cm, Contrapiso liviano 8cm</v>
      </c>
      <c r="R36" s="576">
        <f>'BASE DE DATOS'!FR36</f>
        <v>2.14</v>
      </c>
      <c r="S36" s="576">
        <f>'BASE DE DATOS'!FS36</f>
        <v>1.86</v>
      </c>
      <c r="U36" s="576" t="str">
        <f>'BASE DE DATOS'!FU36</f>
        <v>C.A.T. Nº3160 - CONCREHAUS (Zona I a IV)</v>
      </c>
      <c r="V36" s="576">
        <f>'BASE DE DATOS'!FV36</f>
        <v>0.74</v>
      </c>
      <c r="W36" s="576" t="str">
        <f>'BASE DE DATOS'!FW36</f>
        <v>C.A.T. Nº3192 - EL PICAPALO (Zona I a III)</v>
      </c>
      <c r="X36" s="576">
        <f>'BASE DE DATOS'!FX36</f>
        <v>0.51</v>
      </c>
      <c r="Z36" s="576" t="str">
        <f>'BASE DE DATOS'!FZ36</f>
        <v>C.A.T. Nº3206 - CASARELLA STEEL (Zona I a IV)</v>
      </c>
      <c r="AA36" s="576">
        <f>'BASE DE DATOS'!GA36</f>
        <v>0.39</v>
      </c>
      <c r="AC36" s="576" t="str">
        <f>'BASE DE DATOS'!GC36</f>
        <v>Metal con Ruptura de Puente Térmico</v>
      </c>
      <c r="AD36" s="576">
        <f>'BASE DE DATOS'!GD36</f>
        <v>3.3</v>
      </c>
      <c r="AK36" s="576" t="s">
        <v>639</v>
      </c>
      <c r="AM36" s="576" t="s">
        <v>44</v>
      </c>
      <c r="AV36" s="576">
        <v>0</v>
      </c>
      <c r="AW36" s="576" t="s">
        <v>744</v>
      </c>
      <c r="BA36" s="576">
        <v>0</v>
      </c>
      <c r="BB36" s="576" t="s">
        <v>744</v>
      </c>
      <c r="BH36" s="640" t="s">
        <v>1225</v>
      </c>
      <c r="BI36" s="552">
        <f>ENERGÍA!D116</f>
        <v>0</v>
      </c>
      <c r="BJ36" s="552">
        <f>ENERGÍA!E116</f>
        <v>0</v>
      </c>
      <c r="BK36" s="552">
        <f>ENERGÍA!F116</f>
        <v>0</v>
      </c>
      <c r="BL36" s="576">
        <f>ENERGÍA!L116</f>
        <v>0</v>
      </c>
      <c r="BM36" s="576">
        <f>ENERGÍA!M116</f>
        <v>0</v>
      </c>
      <c r="BN36" s="576">
        <f t="shared" si="16"/>
        <v>0</v>
      </c>
      <c r="BO36" s="576">
        <f t="shared" si="17"/>
        <v>0</v>
      </c>
      <c r="BP36" s="576">
        <f t="shared" si="15"/>
        <v>0</v>
      </c>
    </row>
    <row r="37" spans="2:68" thickBot="1">
      <c r="B37" s="801" t="s">
        <v>1233</v>
      </c>
      <c r="C37" s="801"/>
      <c r="D37" s="801"/>
      <c r="E37" s="801"/>
      <c r="F37" s="801"/>
      <c r="G37" s="1135">
        <v>0.04</v>
      </c>
      <c r="H37" s="1135"/>
      <c r="J37" s="577"/>
      <c r="K37" s="576" t="s">
        <v>289</v>
      </c>
      <c r="L37" s="576">
        <v>2100</v>
      </c>
      <c r="M37" s="576">
        <v>1.3</v>
      </c>
      <c r="Q37" s="576" t="str">
        <f>'BASE DE DATOS'!FQ37</f>
        <v>Revestimiento, Losa cerámico, Capa compresora, Aislante 50mm, Terminación</v>
      </c>
      <c r="R37" s="576">
        <f>'BASE DE DATOS'!FR37</f>
        <v>0.8</v>
      </c>
      <c r="S37" s="576">
        <f>'BASE DE DATOS'!FS37</f>
        <v>0.73</v>
      </c>
      <c r="U37" s="576" t="str">
        <f>'BASE DE DATOS'!FU37</f>
        <v>C.A.T. Nº3165 - LOG HOME (Zona I a IV)</v>
      </c>
      <c r="V37" s="576">
        <f>'BASE DE DATOS'!FV37</f>
        <v>0.35</v>
      </c>
      <c r="W37" s="576" t="str">
        <f>'BASE DE DATOS'!FW37</f>
        <v>C.A.T. Nº3193 - CASAS CONTEMPORÁNEAS (Zona I a IV)</v>
      </c>
      <c r="X37" s="576">
        <f>'BASE DE DATOS'!FX37</f>
        <v>0.95</v>
      </c>
      <c r="Z37" s="576" t="str">
        <f>'BASE DE DATOS'!FZ37</f>
        <v>C.A.T. Nº3207 - IMPERIO (Zona VI)</v>
      </c>
      <c r="AA37" s="576">
        <f>'BASE DE DATOS'!GA37</f>
        <v>0.96</v>
      </c>
      <c r="AC37" s="576" t="str">
        <f>'BASE DE DATOS'!GC37</f>
        <v>Metal Normal</v>
      </c>
      <c r="AD37" s="576">
        <f>'BASE DE DATOS'!GD37</f>
        <v>5.7</v>
      </c>
      <c r="AK37" s="576" t="s">
        <v>640</v>
      </c>
      <c r="AM37" s="576" t="s">
        <v>105</v>
      </c>
      <c r="AV37" s="576">
        <f>IF($BB$34&gt;=0,VLOOKUP(0,$AV$8:$BB$23,2,TRUE),VLOOKUP($BB$34,$AV$8:$BB$23,2,TRUE))</f>
        <v>0.38</v>
      </c>
      <c r="AW37" s="576" t="s">
        <v>744</v>
      </c>
      <c r="BA37" s="576">
        <f>IF($BB$34&gt;=0,VLOOKUP(0,$AV$8:$BB$23,3,TRUE),VLOOKUP($BB$34,$AV$8:$BB$23,3,TRUE))</f>
        <v>0.32</v>
      </c>
      <c r="BB37" s="576" t="s">
        <v>744</v>
      </c>
      <c r="BH37" s="640" t="s">
        <v>1226</v>
      </c>
      <c r="BI37" s="552">
        <f>ENERGÍA!D117</f>
        <v>0</v>
      </c>
      <c r="BJ37" s="552">
        <f>ENERGÍA!E117</f>
        <v>0</v>
      </c>
      <c r="BK37" s="552">
        <f>ENERGÍA!F117</f>
        <v>0</v>
      </c>
      <c r="BL37" s="576">
        <f>ENERGÍA!L117</f>
        <v>0</v>
      </c>
      <c r="BM37" s="576">
        <f>ENERGÍA!M117</f>
        <v>0</v>
      </c>
      <c r="BN37" s="576">
        <f t="shared" si="16"/>
        <v>0</v>
      </c>
      <c r="BO37" s="576">
        <f t="shared" si="17"/>
        <v>0</v>
      </c>
      <c r="BP37" s="576">
        <f t="shared" si="15"/>
        <v>0</v>
      </c>
    </row>
    <row r="38" spans="2:68" thickBot="1">
      <c r="B38" s="240">
        <v>1</v>
      </c>
      <c r="C38" s="370"/>
      <c r="D38" s="370"/>
      <c r="E38" s="371"/>
      <c r="F38" s="262">
        <f>IFERROR(VLOOKUP($D38,Materialesm,3,FALSE),0)</f>
        <v>0</v>
      </c>
      <c r="G38" s="1191">
        <f t="shared" ref="G38:G47" si="18">IFERROR(+E38/F38,0)</f>
        <v>0</v>
      </c>
      <c r="H38" s="1191"/>
      <c r="J38" s="577"/>
      <c r="K38" s="576" t="s">
        <v>288</v>
      </c>
      <c r="L38" s="576">
        <v>2000</v>
      </c>
      <c r="M38" s="576">
        <v>1.1299999999999999</v>
      </c>
      <c r="Q38" s="576" t="str">
        <f>'BASE DE DATOS'!FQ38</f>
        <v>Techo liviano (tejas)</v>
      </c>
      <c r="R38" s="576">
        <f>'BASE DE DATOS'!FR38</f>
        <v>2.58</v>
      </c>
      <c r="S38" s="576">
        <f>'BASE DE DATOS'!FS38</f>
        <v>2.19</v>
      </c>
      <c r="U38" s="576" t="str">
        <f>'BASE DE DATOS'!FU38</f>
        <v>C.A.T. Nº3169 - VIVIENDAS PREFABRICADAS DE H.A. (Zona I a III)</v>
      </c>
      <c r="V38" s="576">
        <f>'BASE DE DATOS'!FV38</f>
        <v>0.3</v>
      </c>
      <c r="W38" s="576" t="str">
        <f>'BASE DE DATOS'!FW38</f>
        <v>C.A.T. Nº3194 - VELOX (Zona I a IV)</v>
      </c>
      <c r="X38" s="576">
        <f>'BASE DE DATOS'!FX38</f>
        <v>0.78</v>
      </c>
      <c r="Z38" s="576" t="str">
        <f>'BASE DE DATOS'!FZ38</f>
        <v>C.A.T. Nº3210 - ECO WALLS (Zona I a IV)</v>
      </c>
      <c r="AA38" s="576">
        <f>'BASE DE DATOS'!GA38</f>
        <v>0.54</v>
      </c>
      <c r="AC38" s="576" t="str">
        <f>'BASE DE DATOS'!GC38</f>
        <v>PVC (Tres Camaras)</v>
      </c>
      <c r="AD38" s="576">
        <f>'BASE DE DATOS'!GD38</f>
        <v>1.8</v>
      </c>
      <c r="AG38" s="576" t="s">
        <v>624</v>
      </c>
      <c r="AI38" s="576" t="s">
        <v>752</v>
      </c>
      <c r="AK38" s="576" t="s">
        <v>641</v>
      </c>
      <c r="AM38" s="576" t="s">
        <v>112</v>
      </c>
      <c r="AV38" s="576">
        <f>IF($BB$34&gt;=0,VLOOKUP(0,$AV$8:$BB$23,4,TRUE),VLOOKUP($BB$34,$AV$8:$BB$23,4,TRUE))</f>
        <v>1</v>
      </c>
      <c r="AW38" s="576" t="s">
        <v>745</v>
      </c>
      <c r="BA38" s="576">
        <f>IF($BB$34&gt;=0,VLOOKUP(0,$AV$8:$BB$23,5,TRUE),VLOOKUP($BB$34,$AV$8:$BB$23,5,TRUE))</f>
        <v>0.83</v>
      </c>
      <c r="BB38" s="576" t="s">
        <v>745</v>
      </c>
      <c r="BH38" s="640" t="s">
        <v>1227</v>
      </c>
      <c r="BI38" s="552" t="str">
        <f>ENERGÍA!D118</f>
        <v>-</v>
      </c>
      <c r="BJ38" s="552">
        <f>ENERGÍA!E118</f>
        <v>0</v>
      </c>
      <c r="BK38" s="552">
        <f>ENERGÍA!F118</f>
        <v>0</v>
      </c>
      <c r="BL38" s="576">
        <f>ENERGÍA!L118</f>
        <v>0</v>
      </c>
      <c r="BM38" s="576">
        <f>ENERGÍA!M118</f>
        <v>0</v>
      </c>
      <c r="BN38" s="576">
        <f t="shared" si="16"/>
        <v>0</v>
      </c>
      <c r="BO38" s="576">
        <f t="shared" si="17"/>
        <v>0</v>
      </c>
      <c r="BP38" s="576">
        <f t="shared" si="15"/>
        <v>0</v>
      </c>
    </row>
    <row r="39" spans="2:68" thickBot="1">
      <c r="B39" s="240">
        <v>2</v>
      </c>
      <c r="C39" s="370"/>
      <c r="D39" s="370"/>
      <c r="E39" s="372"/>
      <c r="F39" s="262">
        <f>IFERROR(VLOOKUP($D39,Materialesm,3,FALSE),0)</f>
        <v>0</v>
      </c>
      <c r="G39" s="1191">
        <f t="shared" si="18"/>
        <v>0</v>
      </c>
      <c r="H39" s="1191"/>
      <c r="J39" s="577"/>
      <c r="K39" s="576" t="s">
        <v>290</v>
      </c>
      <c r="L39" s="576">
        <v>1950</v>
      </c>
      <c r="M39" s="576">
        <v>0.92</v>
      </c>
      <c r="Q39" s="576" t="str">
        <f>'BASE DE DATOS'!FQ39</f>
        <v>C.A.T. Nº3079 - VIDHA (Zona I a IV)</v>
      </c>
      <c r="R39" s="576">
        <f>'BASE DE DATOS'!FR39</f>
        <v>0.73</v>
      </c>
      <c r="S39" s="576">
        <f>'BASE DE DATOS'!FS39</f>
        <v>0.73</v>
      </c>
      <c r="U39" s="576" t="str">
        <f>'BASE DE DATOS'!FU39</f>
        <v>C.A.T. Nº3172 - JORGE MARTINEZ CASAS (Zona I a IV)</v>
      </c>
      <c r="V39" s="576">
        <f>'BASE DE DATOS'!FV39</f>
        <v>0.77</v>
      </c>
      <c r="W39" s="576" t="str">
        <f>'BASE DE DATOS'!FW39</f>
        <v>C.A.T. Nº3196 - SMI ECOSAN (Zona I a IV)</v>
      </c>
      <c r="X39" s="576">
        <f>'BASE DE DATOS'!FX39</f>
        <v>0.32</v>
      </c>
      <c r="Z39" s="576" t="str">
        <f>'BASE DE DATOS'!FZ39</f>
        <v>C.A.T. Nº3211 - BENO (Zona I a IV)</v>
      </c>
      <c r="AA39" s="576">
        <f>'BASE DE DATOS'!GA39</f>
        <v>0.60799999999999998</v>
      </c>
      <c r="AC39" s="576" t="str">
        <f>'BASE DE DATOS'!GC39</f>
        <v>PVC (Dos Camaras)</v>
      </c>
      <c r="AD39" s="576">
        <f>'BASE DE DATOS'!GD39</f>
        <v>2.2000000000000002</v>
      </c>
      <c r="AG39" s="576" t="s">
        <v>777</v>
      </c>
      <c r="AI39" s="576" t="s">
        <v>753</v>
      </c>
      <c r="AK39" s="576" t="s">
        <v>642</v>
      </c>
      <c r="AM39" s="576" t="s">
        <v>1265</v>
      </c>
      <c r="AV39" s="576">
        <f>IF($BB$34&gt;=0,VLOOKUP(0,$AV$8:$BB$23,6,TRUE),VLOOKUP($BB$34,$AV$8:$BB$23,6,TRUE))</f>
        <v>1.85</v>
      </c>
      <c r="AW39" s="576" t="s">
        <v>767</v>
      </c>
      <c r="BA39" s="576">
        <f>IF($BB$34&gt;=0,VLOOKUP(0,$AV$8:$BB$23,7,TRUE),VLOOKUP($BB$34,$AV$8:$BB$23,7,TRUE))</f>
        <v>1</v>
      </c>
      <c r="BB39" s="576" t="s">
        <v>767</v>
      </c>
      <c r="BH39" s="640" t="s">
        <v>1228</v>
      </c>
      <c r="BI39" s="552" t="str">
        <f>ENERGÍA!D119</f>
        <v>-</v>
      </c>
      <c r="BJ39" s="552">
        <f>ENERGÍA!E119</f>
        <v>0</v>
      </c>
      <c r="BK39" s="552">
        <f>ENERGÍA!F119</f>
        <v>0</v>
      </c>
      <c r="BL39" s="576">
        <f>ENERGÍA!L119</f>
        <v>0</v>
      </c>
      <c r="BM39" s="576">
        <f>ENERGÍA!M119</f>
        <v>0</v>
      </c>
      <c r="BN39" s="576">
        <f t="shared" si="16"/>
        <v>0</v>
      </c>
      <c r="BO39" s="576">
        <f t="shared" si="17"/>
        <v>0</v>
      </c>
      <c r="BP39" s="576">
        <f t="shared" si="15"/>
        <v>0</v>
      </c>
    </row>
    <row r="40" spans="2:68" thickBot="1">
      <c r="B40" s="240">
        <v>3</v>
      </c>
      <c r="C40" s="370"/>
      <c r="D40" s="370"/>
      <c r="E40" s="372"/>
      <c r="F40" s="262">
        <f>IFERROR(VLOOKUP($D40,Materialesm,3,FALSE),0)</f>
        <v>0</v>
      </c>
      <c r="G40" s="1191">
        <f t="shared" si="18"/>
        <v>0</v>
      </c>
      <c r="H40" s="1191"/>
      <c r="J40" s="577"/>
      <c r="K40" s="576" t="s">
        <v>291</v>
      </c>
      <c r="L40" s="576">
        <v>2000</v>
      </c>
      <c r="M40" s="576">
        <v>1.1000000000000001</v>
      </c>
      <c r="Q40" s="576" t="str">
        <f>'BASE DE DATOS'!FQ40</f>
        <v>C.A.T. Nº3080 - NUEVA GENERACIÓN (Zona I a IV)</v>
      </c>
      <c r="R40" s="576">
        <f>'BASE DE DATOS'!FR40</f>
        <v>0.76</v>
      </c>
      <c r="S40" s="576">
        <f>'BASE DE DATOS'!FS40</f>
        <v>0.76</v>
      </c>
      <c r="U40" s="576" t="str">
        <f>'BASE DE DATOS'!FU40</f>
        <v>C.A.T. Nº3176 - CASSAFORMA (Zona I a IV)</v>
      </c>
      <c r="V40" s="576">
        <f>'BASE DE DATOS'!FV40</f>
        <v>0.42</v>
      </c>
      <c r="W40" s="576" t="str">
        <f>'BASE DE DATOS'!FW40</f>
        <v>C.A.T. Nº3204 - TECNOPANEL FC (Zona I a VI)</v>
      </c>
      <c r="X40" s="576">
        <f>'BASE DE DATOS'!FX40</f>
        <v>0.57999999999999996</v>
      </c>
      <c r="Z40" s="576" t="str">
        <f>'BASE DE DATOS'!FZ40</f>
        <v>C.A.T. Nº3214 - VIVIENDAS TECNOHOUSE (Zona I a IV)</v>
      </c>
      <c r="AA40" s="576">
        <f>'BASE DE DATOS'!GA40</f>
        <v>0.85</v>
      </c>
      <c r="AC40" s="576" t="str">
        <f>'BASE DE DATOS'!GC40</f>
        <v>Madera Dura</v>
      </c>
      <c r="AD40" s="576">
        <f>'BASE DE DATOS'!GD40</f>
        <v>2.6</v>
      </c>
      <c r="AI40" s="576" t="s">
        <v>754</v>
      </c>
      <c r="AK40" s="576" t="s">
        <v>643</v>
      </c>
      <c r="AM40" s="576" t="s">
        <v>1264</v>
      </c>
      <c r="AV40" s="1186" t="s">
        <v>1044</v>
      </c>
      <c r="AW40" s="1186"/>
      <c r="AX40" s="1186"/>
      <c r="AY40" s="1186"/>
      <c r="AZ40" s="1186"/>
      <c r="BA40" s="1186"/>
      <c r="BB40" s="574">
        <f>VLOOKUP(ENERGÍA!C4,CLIMA,15,FALSE)</f>
        <v>0</v>
      </c>
      <c r="BH40" s="638"/>
      <c r="BI40" s="638"/>
      <c r="BJ40" s="638"/>
      <c r="BK40" s="638"/>
      <c r="BL40" s="638"/>
      <c r="BM40" s="638"/>
      <c r="BN40" s="638"/>
      <c r="BO40" s="638"/>
    </row>
    <row r="41" spans="2:68" thickBot="1">
      <c r="B41" s="240">
        <v>4</v>
      </c>
      <c r="C41" s="370"/>
      <c r="D41" s="370"/>
      <c r="E41" s="372"/>
      <c r="F41" s="262">
        <f>IFERROR(VLOOKUP($D41,Materialesm,3,FALSE),0)</f>
        <v>0</v>
      </c>
      <c r="G41" s="1191">
        <f t="shared" si="18"/>
        <v>0</v>
      </c>
      <c r="H41" s="1191"/>
      <c r="J41" s="577"/>
      <c r="K41" s="576" t="s">
        <v>293</v>
      </c>
      <c r="L41" s="576">
        <v>1500</v>
      </c>
      <c r="M41" s="576">
        <v>0.65</v>
      </c>
      <c r="Q41" s="576" t="str">
        <f>'BASE DE DATOS'!FQ41</f>
        <v>C.A.T. Nº3094 - VIVIENDAS NEUQUÉN (Zona I a IV)</v>
      </c>
      <c r="R41" s="576">
        <f>'BASE DE DATOS'!FR41</f>
        <v>0.56999999999999995</v>
      </c>
      <c r="S41" s="576">
        <f>'BASE DE DATOS'!FS41</f>
        <v>0.56999999999999995</v>
      </c>
      <c r="U41" s="576" t="str">
        <f>'BASE DE DATOS'!FU41</f>
        <v>C.A.T. Nº3179 - EMHM 1+3 (Zona I a III)</v>
      </c>
      <c r="V41" s="576">
        <f>'BASE DE DATOS'!FV41</f>
        <v>0.83</v>
      </c>
      <c r="W41" s="576" t="str">
        <f>'BASE DE DATOS'!FW41</f>
        <v>C.A.T. Nº3205 - SISTEMA EN PANELES (Zona I a VI)</v>
      </c>
      <c r="X41" s="576">
        <f>'BASE DE DATOS'!FX41</f>
        <v>0.57999999999999996</v>
      </c>
      <c r="Z41" s="576">
        <f>'BASE DE DATOS'!FZ41</f>
        <v>0</v>
      </c>
      <c r="AA41" s="576">
        <f>'BASE DE DATOS'!GA41</f>
        <v>0</v>
      </c>
      <c r="AC41" s="576">
        <f>'BASE DE DATOS'!GC41</f>
        <v>0</v>
      </c>
      <c r="AD41" s="576">
        <f>'BASE DE DATOS'!GD41</f>
        <v>0</v>
      </c>
      <c r="AM41" s="576" t="s">
        <v>45</v>
      </c>
      <c r="BA41" s="1182" t="s">
        <v>747</v>
      </c>
      <c r="BB41" s="1182"/>
      <c r="BF41" s="638"/>
      <c r="BG41" s="638"/>
      <c r="BH41" s="638"/>
      <c r="BI41" s="641"/>
      <c r="BJ41" s="641"/>
      <c r="BK41" s="638"/>
      <c r="BL41" s="638"/>
      <c r="BM41" s="638"/>
      <c r="BN41" s="638"/>
      <c r="BO41" s="638"/>
    </row>
    <row r="42" spans="2:68" thickBot="1">
      <c r="B42" s="240">
        <v>5</v>
      </c>
      <c r="C42" s="370"/>
      <c r="D42" s="370"/>
      <c r="E42" s="372"/>
      <c r="F42" s="262">
        <f>IFERROR(VLOOKUP($D42,Materialesm,3,FALSE),0)</f>
        <v>0</v>
      </c>
      <c r="G42" s="1191">
        <f t="shared" si="18"/>
        <v>0</v>
      </c>
      <c r="H42" s="1191"/>
      <c r="J42" s="577"/>
      <c r="K42" s="576" t="s">
        <v>253</v>
      </c>
      <c r="L42" s="576">
        <v>1900</v>
      </c>
      <c r="M42" s="576">
        <v>1.1599999999999999</v>
      </c>
      <c r="Q42" s="576" t="str">
        <f>'BASE DE DATOS'!FQ42</f>
        <v>C.A.T. Nº3098 - DIMARBO (Zona I a IV)</v>
      </c>
      <c r="R42" s="576">
        <f>'BASE DE DATOS'!FR42</f>
        <v>0.43</v>
      </c>
      <c r="S42" s="576">
        <f>'BASE DE DATOS'!FS42</f>
        <v>0.43</v>
      </c>
      <c r="U42" s="576" t="str">
        <f>'BASE DE DATOS'!FU42</f>
        <v>C.A.T. Nº3181 - KEY HOMES (Zona I a IV)</v>
      </c>
      <c r="V42" s="576">
        <f>'BASE DE DATOS'!FV42</f>
        <v>0.37</v>
      </c>
      <c r="W42" s="576" t="str">
        <f>'BASE DE DATOS'!FW42</f>
        <v>C.A.T. Nº3206 - CASARELLA STEEL (Zona I a IV)</v>
      </c>
      <c r="X42" s="576">
        <f>'BASE DE DATOS'!FX42</f>
        <v>0.39</v>
      </c>
      <c r="Z42" s="576">
        <f>'BASE DE DATOS'!FZ42</f>
        <v>0</v>
      </c>
      <c r="AA42" s="576">
        <f>'BASE DE DATOS'!GA42</f>
        <v>0</v>
      </c>
      <c r="AC42" s="576">
        <f>'BASE DE DATOS'!GC42</f>
        <v>0</v>
      </c>
      <c r="AD42" s="576">
        <f>'BASE DE DATOS'!GD42</f>
        <v>0</v>
      </c>
      <c r="AK42" s="576" t="s">
        <v>649</v>
      </c>
      <c r="AM42" s="576" t="s">
        <v>90</v>
      </c>
      <c r="BA42" s="576">
        <v>0</v>
      </c>
      <c r="BB42" s="576" t="s">
        <v>744</v>
      </c>
      <c r="BF42" s="638"/>
      <c r="BG42" s="638"/>
      <c r="BH42" s="638"/>
      <c r="BI42" s="641"/>
      <c r="BJ42" s="641"/>
      <c r="BK42" s="638"/>
      <c r="BL42" s="638"/>
      <c r="BM42" s="638"/>
      <c r="BN42" s="638"/>
      <c r="BO42" s="638"/>
    </row>
    <row r="43" spans="2:68" thickBot="1">
      <c r="B43" s="240">
        <v>6</v>
      </c>
      <c r="C43" s="371"/>
      <c r="D43" s="371"/>
      <c r="E43" s="371"/>
      <c r="F43" s="371"/>
      <c r="G43" s="1191">
        <f>IFERROR(+E43/F43,0)</f>
        <v>0</v>
      </c>
      <c r="H43" s="1191"/>
      <c r="J43" s="577"/>
      <c r="K43" s="576" t="s">
        <v>256</v>
      </c>
      <c r="L43" s="576">
        <v>1900</v>
      </c>
      <c r="M43" s="576">
        <v>0.93</v>
      </c>
      <c r="Q43" s="576" t="str">
        <f>'BASE DE DATOS'!FQ43</f>
        <v>C.A.T. Nº3134 - PREMOLD (Zona I a IV)</v>
      </c>
      <c r="R43" s="576">
        <f>'BASE DE DATOS'!FR43</f>
        <v>0.74</v>
      </c>
      <c r="S43" s="576">
        <f>'BASE DE DATOS'!FS43</f>
        <v>0.74</v>
      </c>
      <c r="U43" s="576" t="str">
        <f>'BASE DE DATOS'!FU43</f>
        <v>C.A.T. Nº3182 - GAUROS (Zona I a VI)</v>
      </c>
      <c r="V43" s="576">
        <f>'BASE DE DATOS'!FV43</f>
        <v>0.43</v>
      </c>
      <c r="W43" s="576" t="str">
        <f>'BASE DE DATOS'!FW43</f>
        <v>C.A.T. Nº3207 - IMPERIO (Zona VI)</v>
      </c>
      <c r="X43" s="576">
        <f>'BASE DE DATOS'!FX43</f>
        <v>0.96</v>
      </c>
      <c r="Z43" s="576">
        <f>'BASE DE DATOS'!FZ43</f>
        <v>0</v>
      </c>
      <c r="AA43" s="576">
        <f>'BASE DE DATOS'!GA43</f>
        <v>0</v>
      </c>
      <c r="AC43" s="576">
        <f>'BASE DE DATOS'!GC43</f>
        <v>0</v>
      </c>
      <c r="AD43" s="576">
        <f>'BASE DE DATOS'!GD43</f>
        <v>0</v>
      </c>
      <c r="AK43" s="576" t="s">
        <v>778</v>
      </c>
      <c r="AM43" s="576" t="s">
        <v>89</v>
      </c>
      <c r="BA43" s="576" t="e">
        <f>VLOOKUP($BB$40,$AV$28:$BB$31,3,FALSE)</f>
        <v>#N/A</v>
      </c>
      <c r="BB43" s="576" t="s">
        <v>744</v>
      </c>
      <c r="BH43" s="638"/>
      <c r="BI43" s="638"/>
      <c r="BJ43" s="639"/>
      <c r="BK43" s="639"/>
      <c r="BL43" s="638"/>
      <c r="BM43" s="638"/>
      <c r="BN43" s="638"/>
      <c r="BO43" s="638"/>
    </row>
    <row r="44" spans="2:68" ht="18" thickBot="1">
      <c r="B44" s="240">
        <v>7</v>
      </c>
      <c r="C44" s="371"/>
      <c r="D44" s="371"/>
      <c r="E44" s="371"/>
      <c r="F44" s="371"/>
      <c r="G44" s="1191">
        <f t="shared" si="18"/>
        <v>0</v>
      </c>
      <c r="H44" s="1191"/>
      <c r="J44" s="577" t="str">
        <f>K423</f>
        <v>Yeso</v>
      </c>
      <c r="K44" s="576" t="s">
        <v>296</v>
      </c>
      <c r="L44" s="576">
        <v>800</v>
      </c>
      <c r="M44" s="576">
        <v>0.4</v>
      </c>
      <c r="Q44" s="576" t="str">
        <f>'BASE DE DATOS'!FQ44</f>
        <v>C.A.T. Nº3143 - VIPAR (Zona I a IV)</v>
      </c>
      <c r="R44" s="576">
        <f>'BASE DE DATOS'!FR44</f>
        <v>0.89</v>
      </c>
      <c r="S44" s="576">
        <f>'BASE DE DATOS'!FS44</f>
        <v>0.89</v>
      </c>
      <c r="U44" s="576" t="str">
        <f>'BASE DE DATOS'!FU44</f>
        <v>C.A.T. Nº3186 - SIPS (Zona I a VI)</v>
      </c>
      <c r="V44" s="576">
        <f>'BASE DE DATOS'!FV44</f>
        <v>0.21</v>
      </c>
      <c r="W44" s="576" t="str">
        <f>'BASE DE DATOS'!FW44</f>
        <v>C.A.T. Nº3210 - ECO WALLS (Zona I a IV)</v>
      </c>
      <c r="X44" s="576">
        <f>'BASE DE DATOS'!FX44</f>
        <v>0.54</v>
      </c>
      <c r="Z44" s="576">
        <f>'BASE DE DATOS'!FZ44</f>
        <v>0</v>
      </c>
      <c r="AA44" s="576">
        <f>'BASE DE DATOS'!GA44</f>
        <v>0</v>
      </c>
      <c r="AC44" s="576">
        <f>'BASE DE DATOS'!GC44</f>
        <v>0</v>
      </c>
      <c r="AD44" s="576">
        <f>'BASE DE DATOS'!GD44</f>
        <v>0</v>
      </c>
      <c r="AM44" s="576" t="s">
        <v>143</v>
      </c>
      <c r="BA44" s="576" t="e">
        <f>VLOOKUP($BB$40,$AV$28:$BB$31,5,FALSE)</f>
        <v>#N/A</v>
      </c>
      <c r="BB44" s="576" t="s">
        <v>745</v>
      </c>
      <c r="BH44" s="1193">
        <f>+ENERGÍA!B124</f>
        <v>0</v>
      </c>
      <c r="BI44" s="1193"/>
      <c r="BJ44" s="1193"/>
      <c r="BK44" s="1193"/>
      <c r="BL44" s="1193"/>
      <c r="BM44" s="1193"/>
      <c r="BN44" s="1193"/>
      <c r="BO44" s="1193"/>
    </row>
    <row r="45" spans="2:68" ht="16" customHeight="1" thickBot="1">
      <c r="B45" s="240">
        <v>8</v>
      </c>
      <c r="C45" s="371"/>
      <c r="D45" s="371"/>
      <c r="E45" s="371"/>
      <c r="F45" s="371"/>
      <c r="G45" s="1191">
        <f t="shared" si="18"/>
        <v>0</v>
      </c>
      <c r="H45" s="1191"/>
      <c r="J45" s="577"/>
      <c r="K45" s="576" t="s">
        <v>297</v>
      </c>
      <c r="L45" s="576">
        <v>1000</v>
      </c>
      <c r="M45" s="576">
        <v>0.49</v>
      </c>
      <c r="Q45" s="576" t="str">
        <f>'BASE DE DATOS'!FQ45</f>
        <v>C.A.T. Nº3157 - THERMA HOUSE (Zona I a IV)</v>
      </c>
      <c r="R45" s="576">
        <f>'BASE DE DATOS'!FR45</f>
        <v>0.69</v>
      </c>
      <c r="S45" s="576">
        <f>'BASE DE DATOS'!FS45</f>
        <v>0.69</v>
      </c>
      <c r="U45" s="576" t="str">
        <f>'BASE DE DATOS'!FU45</f>
        <v>C.A.T. Nº3187 - SIPANEL (Zona I a VI)</v>
      </c>
      <c r="V45" s="576">
        <f>'BASE DE DATOS'!FV45</f>
        <v>0.22</v>
      </c>
      <c r="W45" s="576" t="str">
        <f>'BASE DE DATOS'!FW45</f>
        <v>C.A.T. Nº3211 - BENO (Zona I a IV)</v>
      </c>
      <c r="X45" s="576">
        <f>'BASE DE DATOS'!FX45</f>
        <v>0.60799999999999998</v>
      </c>
      <c r="Z45" s="576">
        <f>'BASE DE DATOS'!FZ45</f>
        <v>0</v>
      </c>
      <c r="AA45" s="576">
        <f>'BASE DE DATOS'!GA45</f>
        <v>0</v>
      </c>
      <c r="AC45" s="576">
        <f>'BASE DE DATOS'!GC45</f>
        <v>0</v>
      </c>
      <c r="AD45" s="576">
        <f>'BASE DE DATOS'!GD45</f>
        <v>0</v>
      </c>
      <c r="AI45" s="576" t="s">
        <v>605</v>
      </c>
      <c r="AM45" s="576" t="s">
        <v>159</v>
      </c>
      <c r="BA45" s="576" t="e">
        <f>VLOOKUP($BB$40,$AV$28:$BB$31,7,FALSE)</f>
        <v>#N/A</v>
      </c>
      <c r="BB45" s="576" t="s">
        <v>767</v>
      </c>
      <c r="BH45" s="638"/>
      <c r="BI45" s="638"/>
      <c r="BJ45" s="639"/>
      <c r="BK45" s="639"/>
      <c r="BL45" s="638"/>
      <c r="BM45" s="638"/>
      <c r="BN45" s="638"/>
      <c r="BO45" s="638"/>
    </row>
    <row r="46" spans="2:68" ht="16" customHeight="1" thickBot="1">
      <c r="B46" s="240">
        <v>9</v>
      </c>
      <c r="C46" s="371"/>
      <c r="D46" s="371"/>
      <c r="E46" s="371"/>
      <c r="F46" s="371"/>
      <c r="G46" s="1191">
        <f t="shared" si="18"/>
        <v>0</v>
      </c>
      <c r="H46" s="1191"/>
      <c r="J46" s="577"/>
      <c r="K46" s="576" t="s">
        <v>298</v>
      </c>
      <c r="L46" s="576">
        <v>1200</v>
      </c>
      <c r="M46" s="576">
        <v>0.64</v>
      </c>
      <c r="Q46" s="576" t="str">
        <f>'BASE DE DATOS'!FQ46</f>
        <v>C.A.T. Nº3160 - CONCREHAUS (Zona I a IV)</v>
      </c>
      <c r="R46" s="576">
        <f>'BASE DE DATOS'!FR46</f>
        <v>0.63</v>
      </c>
      <c r="S46" s="576">
        <f>'BASE DE DATOS'!FS46</f>
        <v>0.63</v>
      </c>
      <c r="U46" s="576" t="str">
        <f>'BASE DE DATOS'!FU46</f>
        <v>C.A.T. Nº3192 - EL PICAPALO (Zona I a III)</v>
      </c>
      <c r="V46" s="576">
        <f>'BASE DE DATOS'!FV46</f>
        <v>0.51</v>
      </c>
      <c r="W46" s="576" t="str">
        <f>'BASE DE DATOS'!FW46</f>
        <v>C.A.T. Nº3214 - VIVIENDAS TECNOHOUSE (Zona I a IV)</v>
      </c>
      <c r="X46" s="576">
        <f>'BASE DE DATOS'!FX46</f>
        <v>0.85</v>
      </c>
      <c r="Z46" s="576">
        <f>'BASE DE DATOS'!FZ46</f>
        <v>0</v>
      </c>
      <c r="AA46" s="576">
        <f>'BASE DE DATOS'!GA46</f>
        <v>0</v>
      </c>
      <c r="AC46" s="576">
        <f>'BASE DE DATOS'!GC46</f>
        <v>0</v>
      </c>
      <c r="AD46" s="576">
        <f>'BASE DE DATOS'!GD46</f>
        <v>0</v>
      </c>
      <c r="AI46" s="576" t="s">
        <v>606</v>
      </c>
      <c r="AM46" s="576" t="s">
        <v>75</v>
      </c>
      <c r="AO46" s="1186" t="s">
        <v>1244</v>
      </c>
      <c r="AP46" s="1186"/>
      <c r="AQ46" s="1186"/>
      <c r="AR46" s="1186"/>
      <c r="AS46" s="1186"/>
      <c r="AT46" s="1186"/>
      <c r="AU46" s="1186"/>
      <c r="AV46" s="1186"/>
      <c r="AW46" s="1186"/>
      <c r="AX46" s="1186"/>
      <c r="AY46" s="1186"/>
      <c r="AZ46" s="1186"/>
      <c r="BA46" s="1186"/>
      <c r="BB46" s="1186"/>
      <c r="BH46" s="1198"/>
      <c r="BI46" s="1193" t="s">
        <v>1184</v>
      </c>
      <c r="BJ46" s="1193"/>
      <c r="BK46" s="1193"/>
      <c r="BL46" s="1189" t="s">
        <v>1721</v>
      </c>
      <c r="BM46" s="1189"/>
      <c r="BN46" s="1182" t="s">
        <v>1383</v>
      </c>
      <c r="BO46" s="1182"/>
      <c r="BP46" s="1182" t="s">
        <v>1017</v>
      </c>
    </row>
    <row r="47" spans="2:68" ht="18" thickBot="1">
      <c r="B47" s="240">
        <v>10</v>
      </c>
      <c r="C47" s="371"/>
      <c r="D47" s="371"/>
      <c r="E47" s="371"/>
      <c r="F47" s="371"/>
      <c r="G47" s="1191">
        <f t="shared" si="18"/>
        <v>0</v>
      </c>
      <c r="H47" s="1191"/>
      <c r="J47" s="577"/>
      <c r="K47" s="576" t="s">
        <v>299</v>
      </c>
      <c r="L47" s="576">
        <v>600</v>
      </c>
      <c r="M47" s="576">
        <v>0.31</v>
      </c>
      <c r="Q47" s="576" t="str">
        <f>'BASE DE DATOS'!FQ47</f>
        <v>C.A.T. Nº3165 - LOG HOME (Zona I a IV)</v>
      </c>
      <c r="R47" s="576">
        <f>'BASE DE DATOS'!FR47</f>
        <v>0.35</v>
      </c>
      <c r="S47" s="576">
        <f>'BASE DE DATOS'!FS47</f>
        <v>0.35</v>
      </c>
      <c r="U47" s="576" t="str">
        <f>'BASE DE DATOS'!FU47</f>
        <v>C.A.T. Nº3193 - CASAS CONTEMPORÁNEAS (Zona I a IV)</v>
      </c>
      <c r="V47" s="576">
        <f>'BASE DE DATOS'!FV47</f>
        <v>0.95</v>
      </c>
      <c r="W47" s="576">
        <f>'BASE DE DATOS'!FW47</f>
        <v>0</v>
      </c>
      <c r="X47" s="576">
        <f>'BASE DE DATOS'!FX47</f>
        <v>0</v>
      </c>
      <c r="Z47" s="576">
        <f>'BASE DE DATOS'!FZ47</f>
        <v>0</v>
      </c>
      <c r="AA47" s="576">
        <f>'BASE DE DATOS'!GA47</f>
        <v>0</v>
      </c>
      <c r="AC47" s="576">
        <f>'BASE DE DATOS'!GC47</f>
        <v>0</v>
      </c>
      <c r="AD47" s="576">
        <f>'BASE DE DATOS'!GD47</f>
        <v>0</v>
      </c>
      <c r="AI47" s="576" t="s">
        <v>607</v>
      </c>
      <c r="AM47" s="576" t="s">
        <v>76</v>
      </c>
      <c r="AO47" s="1182" t="s">
        <v>861</v>
      </c>
      <c r="AP47" s="1182"/>
      <c r="AQ47" s="1182"/>
      <c r="AR47" s="1182"/>
      <c r="AT47" s="576" t="s">
        <v>1245</v>
      </c>
      <c r="AU47" s="540" t="e">
        <f>ENERGÍA!L252*AR51</f>
        <v>#N/A</v>
      </c>
      <c r="AW47" s="1182" t="s">
        <v>1086</v>
      </c>
      <c r="AX47" s="1182"/>
      <c r="AY47" s="1182"/>
      <c r="AZ47" s="1182"/>
      <c r="BA47" s="1182"/>
      <c r="BB47" s="576">
        <f>IF(ENERGÍA!C249="Si",1,0)</f>
        <v>0</v>
      </c>
      <c r="BH47" s="1198"/>
      <c r="BI47" s="575" t="s">
        <v>623</v>
      </c>
      <c r="BJ47" s="639" t="s">
        <v>1185</v>
      </c>
      <c r="BK47" s="639" t="s">
        <v>1186</v>
      </c>
      <c r="BL47" s="577" t="s">
        <v>623</v>
      </c>
      <c r="BM47" s="576" t="s">
        <v>1625</v>
      </c>
      <c r="BN47" s="1182"/>
      <c r="BO47" s="1182"/>
      <c r="BP47" s="1182"/>
    </row>
    <row r="48" spans="2:68" ht="15" customHeight="1" thickBot="1">
      <c r="B48" s="801" t="s">
        <v>1234</v>
      </c>
      <c r="C48" s="801"/>
      <c r="D48" s="801"/>
      <c r="E48" s="801"/>
      <c r="F48" s="801"/>
      <c r="G48" s="1135">
        <v>0.13</v>
      </c>
      <c r="H48" s="1135"/>
      <c r="J48" s="577"/>
      <c r="K48" s="576" t="s">
        <v>300</v>
      </c>
      <c r="L48" s="576">
        <v>800</v>
      </c>
      <c r="M48" s="576">
        <v>0.37</v>
      </c>
      <c r="Q48" s="576" t="str">
        <f>'BASE DE DATOS'!FQ48</f>
        <v>C.A.T. Nº3169 - VIVIENDAS PREFABRICADAS DE H.A. (Zona I a III)</v>
      </c>
      <c r="R48" s="576">
        <f>'BASE DE DATOS'!FR48</f>
        <v>0.19</v>
      </c>
      <c r="S48" s="576">
        <f>'BASE DE DATOS'!FS48</f>
        <v>0.19</v>
      </c>
      <c r="U48" s="576" t="str">
        <f>'BASE DE DATOS'!FU48</f>
        <v>C.A.T. Nº3194 - VELOX (Zona I a IV)</v>
      </c>
      <c r="V48" s="576">
        <f>'BASE DE DATOS'!FV48</f>
        <v>0.78</v>
      </c>
      <c r="W48" s="576">
        <f>'BASE DE DATOS'!FW48</f>
        <v>0</v>
      </c>
      <c r="X48" s="576">
        <f>'BASE DE DATOS'!FX48</f>
        <v>0</v>
      </c>
      <c r="Z48" s="576">
        <f>'BASE DE DATOS'!FZ48</f>
        <v>0</v>
      </c>
      <c r="AA48" s="576">
        <f>'BASE DE DATOS'!GA48</f>
        <v>0</v>
      </c>
      <c r="AC48" s="576">
        <f>'BASE DE DATOS'!GC48</f>
        <v>0</v>
      </c>
      <c r="AD48" s="576">
        <f>'BASE DE DATOS'!GD48</f>
        <v>0</v>
      </c>
      <c r="AI48" s="576" t="s">
        <v>1917</v>
      </c>
      <c r="AM48" s="576" t="s">
        <v>77</v>
      </c>
      <c r="AP48" s="576" t="s">
        <v>1246</v>
      </c>
      <c r="AQ48" s="577" t="s">
        <v>1247</v>
      </c>
      <c r="AR48" s="577" t="s">
        <v>1248</v>
      </c>
      <c r="AT48" s="576" t="s">
        <v>863</v>
      </c>
      <c r="AU48" s="576">
        <v>0.86</v>
      </c>
      <c r="AW48" s="1186" t="s">
        <v>819</v>
      </c>
      <c r="AX48" s="1186"/>
      <c r="BH48" s="640" t="s">
        <v>225</v>
      </c>
      <c r="BI48" s="552">
        <f>ENERGÍA!D128</f>
        <v>0</v>
      </c>
      <c r="BJ48" s="552">
        <f>ENERGÍA!E128</f>
        <v>0</v>
      </c>
      <c r="BK48" s="552">
        <f>ENERGÍA!F128</f>
        <v>0</v>
      </c>
      <c r="BL48" s="576">
        <f>ENERGÍA!L128</f>
        <v>0</v>
      </c>
      <c r="BM48" s="576">
        <f>ENERGÍA!M128</f>
        <v>0</v>
      </c>
      <c r="BN48" s="576">
        <f>IF(BL48=$AG$65,0,IF(BL48=$AG$66,BJ48/BM48,IF(BL48=$AG$67,BK48/BM48,IF(BL48=$AG$68,BK48/BM48,0))))</f>
        <v>0</v>
      </c>
      <c r="BO48" s="576">
        <f>IF(BM48=0,0,IF(BL48=$AG$65,0,IF(BN48&lt;1,1,BN48)))</f>
        <v>0</v>
      </c>
      <c r="BP48" s="576">
        <f t="shared" ref="BP48:BP57" si="19">IF(BL48=$AG$65,0,IF(BL48=$AG$66,HLOOKUP(BO48,$BR$21:$BX$22,2,TRUE),IF(BL48=$AG$67,HLOOKUP(BO48,FES,2,TRUE),IF(BL48=$AG$68,HLOOKUP(BO48,$CA$21:$CG$22,2,TRUE),0))))</f>
        <v>0</v>
      </c>
    </row>
    <row r="49" spans="2:68" thickBot="1">
      <c r="B49" s="1195" t="s">
        <v>250</v>
      </c>
      <c r="C49" s="1195"/>
      <c r="D49" s="1195"/>
      <c r="E49" s="1195"/>
      <c r="F49" s="1195"/>
      <c r="G49" s="1135">
        <f>SUM(G37:H48)</f>
        <v>0.17</v>
      </c>
      <c r="H49" s="1135"/>
      <c r="J49" s="577"/>
      <c r="K49" s="576" t="s">
        <v>301</v>
      </c>
      <c r="L49" s="576">
        <v>1000</v>
      </c>
      <c r="M49" s="576">
        <v>0.44</v>
      </c>
      <c r="Q49" s="576" t="str">
        <f>'BASE DE DATOS'!FQ49</f>
        <v>C.A.T. Nº3172 - JORGE MARTINEZ CASAS (Zona I a IV)</v>
      </c>
      <c r="R49" s="576">
        <f>'BASE DE DATOS'!FR49</f>
        <v>0.31</v>
      </c>
      <c r="S49" s="576">
        <f>'BASE DE DATOS'!FS49</f>
        <v>0.31</v>
      </c>
      <c r="U49" s="576" t="str">
        <f>'BASE DE DATOS'!FU49</f>
        <v>C.A.T. Nº3196 - SMI ECOSAN (Zona I a IV)</v>
      </c>
      <c r="V49" s="576">
        <f>'BASE DE DATOS'!FV49</f>
        <v>0.32</v>
      </c>
      <c r="W49" s="576">
        <f>'BASE DE DATOS'!FW49</f>
        <v>0</v>
      </c>
      <c r="X49" s="576">
        <f>'BASE DE DATOS'!FX49</f>
        <v>0</v>
      </c>
      <c r="Z49" s="576">
        <f>'BASE DE DATOS'!FZ49</f>
        <v>0</v>
      </c>
      <c r="AA49" s="576">
        <f>'BASE DE DATOS'!GA49</f>
        <v>0</v>
      </c>
      <c r="AC49" s="576">
        <f>'BASE DE DATOS'!GC49</f>
        <v>0</v>
      </c>
      <c r="AD49" s="576">
        <f>'BASE DE DATOS'!GD49</f>
        <v>0</v>
      </c>
      <c r="AK49" s="576" t="s">
        <v>650</v>
      </c>
      <c r="AM49" s="576" t="s">
        <v>46</v>
      </c>
      <c r="AO49" s="576" t="s">
        <v>778</v>
      </c>
      <c r="AP49" s="576">
        <v>0.6</v>
      </c>
      <c r="AQ49" s="576">
        <v>3</v>
      </c>
      <c r="AR49" s="576">
        <v>0.72</v>
      </c>
      <c r="AT49" s="576" t="s">
        <v>864</v>
      </c>
      <c r="AU49" s="576">
        <v>0.84</v>
      </c>
      <c r="AW49" s="576" t="s">
        <v>1060</v>
      </c>
      <c r="AX49" s="576" t="s">
        <v>821</v>
      </c>
      <c r="BA49" s="576" t="s">
        <v>1095</v>
      </c>
      <c r="BB49" s="576">
        <f>IF(ENERGÍA!L249=AK49,1,IF(ENERGÍA!L249=AK50,2,IF(ENERGÍA!L249='Materiales Personalizados'!AK51,3,0)))</f>
        <v>0</v>
      </c>
      <c r="BH49" s="640" t="s">
        <v>226</v>
      </c>
      <c r="BI49" s="552">
        <f>ENERGÍA!D129</f>
        <v>0</v>
      </c>
      <c r="BJ49" s="552">
        <f>ENERGÍA!E129</f>
        <v>0</v>
      </c>
      <c r="BK49" s="552">
        <f>ENERGÍA!F129</f>
        <v>0</v>
      </c>
      <c r="BL49" s="576">
        <f>ENERGÍA!L129</f>
        <v>0</v>
      </c>
      <c r="BM49" s="576">
        <f>ENERGÍA!M129</f>
        <v>0</v>
      </c>
      <c r="BN49" s="576">
        <f t="shared" ref="BN49:BN57" si="20">IF(BL49=$AG$65,0,IF(BL49=$AG$66,BJ49/BM49,IF(BL49=$AG$67,BK49/BM49,IF(BL49=$AG$68,BK49/BM49,0))))</f>
        <v>0</v>
      </c>
      <c r="BO49" s="576">
        <f t="shared" ref="BO49:BO57" si="21">IF(BM49=0,0,IF(BL49=$AG$65,0,IF(BN49&lt;1,1,BN49)))</f>
        <v>0</v>
      </c>
      <c r="BP49" s="576">
        <f t="shared" si="19"/>
        <v>0</v>
      </c>
    </row>
    <row r="50" spans="2:68" thickBot="1">
      <c r="B50" s="1195" t="s">
        <v>251</v>
      </c>
      <c r="C50" s="1195"/>
      <c r="D50" s="1195"/>
      <c r="E50" s="1195"/>
      <c r="F50" s="1195"/>
      <c r="G50" s="1190">
        <f>IFERROR(1/G49,0)</f>
        <v>5.8823529411764701</v>
      </c>
      <c r="H50" s="1190"/>
      <c r="J50" s="577"/>
      <c r="K50" s="576" t="s">
        <v>302</v>
      </c>
      <c r="L50" s="576">
        <v>1200</v>
      </c>
      <c r="M50" s="576">
        <v>0.51</v>
      </c>
      <c r="Q50" s="576" t="str">
        <f>'BASE DE DATOS'!FQ50</f>
        <v>C.A.T. Nº3176 - CASSAFORMA (Zona I a IV)</v>
      </c>
      <c r="R50" s="576">
        <f>'BASE DE DATOS'!FR50</f>
        <v>0.42</v>
      </c>
      <c r="S50" s="576">
        <f>'BASE DE DATOS'!FS50</f>
        <v>0.42</v>
      </c>
      <c r="U50" s="576" t="str">
        <f>'BASE DE DATOS'!FU50</f>
        <v>C.A.T. Nº3204 - TECNOPANEL FC (Zona I a VI)</v>
      </c>
      <c r="V50" s="576">
        <f>'BASE DE DATOS'!FV50</f>
        <v>0.57999999999999996</v>
      </c>
      <c r="W50" s="576">
        <f>'BASE DE DATOS'!FW50</f>
        <v>0</v>
      </c>
      <c r="X50" s="576">
        <f>'BASE DE DATOS'!FX50</f>
        <v>0</v>
      </c>
      <c r="Z50" s="576">
        <f>'BASE DE DATOS'!FZ50</f>
        <v>0</v>
      </c>
      <c r="AA50" s="576">
        <f>'BASE DE DATOS'!GA50</f>
        <v>0</v>
      </c>
      <c r="AC50" s="576">
        <f>'BASE DE DATOS'!GC50</f>
        <v>0</v>
      </c>
      <c r="AD50" s="576">
        <f>'BASE DE DATOS'!GD50</f>
        <v>0</v>
      </c>
      <c r="AK50" s="576" t="s">
        <v>618</v>
      </c>
      <c r="AM50" s="576" t="s">
        <v>30</v>
      </c>
      <c r="AO50" s="576" t="s">
        <v>649</v>
      </c>
      <c r="AP50" s="576">
        <v>0.75</v>
      </c>
      <c r="AQ50" s="576">
        <v>6</v>
      </c>
      <c r="AR50" s="576">
        <v>0.9</v>
      </c>
      <c r="AW50" s="576">
        <f>DATOS!C11</f>
        <v>0</v>
      </c>
      <c r="AX50" s="576">
        <f>VLOOKUP(AW50,CLIMA,8,FALSE)</f>
        <v>0</v>
      </c>
      <c r="BH50" s="640" t="s">
        <v>597</v>
      </c>
      <c r="BI50" s="552">
        <f>ENERGÍA!D130</f>
        <v>0</v>
      </c>
      <c r="BJ50" s="552">
        <f>ENERGÍA!E130</f>
        <v>0</v>
      </c>
      <c r="BK50" s="552">
        <f>ENERGÍA!F130</f>
        <v>0</v>
      </c>
      <c r="BL50" s="576">
        <f>ENERGÍA!L130</f>
        <v>0</v>
      </c>
      <c r="BM50" s="576">
        <f>ENERGÍA!M130</f>
        <v>0</v>
      </c>
      <c r="BN50" s="576">
        <f t="shared" si="20"/>
        <v>0</v>
      </c>
      <c r="BO50" s="576">
        <f t="shared" si="21"/>
        <v>0</v>
      </c>
      <c r="BP50" s="576">
        <f t="shared" si="19"/>
        <v>0</v>
      </c>
    </row>
    <row r="51" spans="2:68" ht="18" thickBot="1">
      <c r="J51" s="577" t="str">
        <f>K424</f>
        <v>Hormigones_Normales_y_Livianos</v>
      </c>
      <c r="K51" s="576" t="s">
        <v>1733</v>
      </c>
      <c r="L51" s="576">
        <v>1800</v>
      </c>
      <c r="M51" s="576">
        <v>0.97</v>
      </c>
      <c r="Q51" s="576" t="str">
        <f>'BASE DE DATOS'!FQ51</f>
        <v>C.A.T. Nº3179 - EMHM 1+3 (Zona I a III)</v>
      </c>
      <c r="R51" s="576">
        <f>'BASE DE DATOS'!FR51</f>
        <v>0.63</v>
      </c>
      <c r="S51" s="576">
        <f>'BASE DE DATOS'!FS51</f>
        <v>0.63</v>
      </c>
      <c r="U51" s="576" t="str">
        <f>'BASE DE DATOS'!FU51</f>
        <v>C.A.T. Nº3205 - SISTEMA EN PANELES (Zona I a VI)</v>
      </c>
      <c r="V51" s="576">
        <f>'BASE DE DATOS'!FV51</f>
        <v>0.57999999999999996</v>
      </c>
      <c r="W51" s="576">
        <f>'BASE DE DATOS'!FW51</f>
        <v>0</v>
      </c>
      <c r="X51" s="576">
        <f>'BASE DE DATOS'!FX51</f>
        <v>0</v>
      </c>
      <c r="Z51" s="576">
        <f>'BASE DE DATOS'!FZ51</f>
        <v>0</v>
      </c>
      <c r="AA51" s="576">
        <f>'BASE DE DATOS'!GA51</f>
        <v>0</v>
      </c>
      <c r="AC51" s="576">
        <f>'BASE DE DATOS'!GC51</f>
        <v>0</v>
      </c>
      <c r="AD51" s="576">
        <f>'BASE DE DATOS'!GD51</f>
        <v>0</v>
      </c>
      <c r="AG51" s="576" t="s">
        <v>571</v>
      </c>
      <c r="AK51" s="576" t="s">
        <v>651</v>
      </c>
      <c r="AM51" s="576" t="s">
        <v>176</v>
      </c>
      <c r="AO51" s="576" t="s">
        <v>862</v>
      </c>
      <c r="AP51" s="576" t="e">
        <f>VLOOKUP(ENERGÍA!$C$250,'Materiales Personalizados'!$AO$49:$AR$50,2,FALSE)</f>
        <v>#N/A</v>
      </c>
      <c r="AQ51" s="576" t="e">
        <f>VLOOKUP(ENERGÍA!$C$250,'Materiales Personalizados'!$AO$49:$AR$50,3,FALSE)</f>
        <v>#N/A</v>
      </c>
      <c r="AR51" s="576" t="e">
        <f>VLOOKUP(ENERGÍA!$C$250,'Materiales Personalizados'!$AO$49:$AR$50,4,FALSE)</f>
        <v>#N/A</v>
      </c>
      <c r="AT51" s="576" t="s">
        <v>822</v>
      </c>
      <c r="AU51" s="576">
        <v>2</v>
      </c>
      <c r="BH51" s="640" t="s">
        <v>1222</v>
      </c>
      <c r="BI51" s="552">
        <f>ENERGÍA!D131</f>
        <v>0</v>
      </c>
      <c r="BJ51" s="552">
        <f>ENERGÍA!E131</f>
        <v>0</v>
      </c>
      <c r="BK51" s="552">
        <f>ENERGÍA!F131</f>
        <v>0</v>
      </c>
      <c r="BL51" s="576">
        <f>ENERGÍA!L131</f>
        <v>0</v>
      </c>
      <c r="BM51" s="576">
        <f>ENERGÍA!M131</f>
        <v>0</v>
      </c>
      <c r="BN51" s="576">
        <f t="shared" si="20"/>
        <v>0</v>
      </c>
      <c r="BO51" s="576">
        <f t="shared" si="21"/>
        <v>0</v>
      </c>
      <c r="BP51" s="576">
        <f t="shared" si="19"/>
        <v>0</v>
      </c>
    </row>
    <row r="52" spans="2:68" thickBot="1">
      <c r="B52" s="800" t="str">
        <f>B29</f>
        <v>Material Personalizado Pared Exterior</v>
      </c>
      <c r="C52" s="800" t="s">
        <v>243</v>
      </c>
      <c r="D52" s="261" t="s">
        <v>243</v>
      </c>
      <c r="E52" s="800" t="s">
        <v>244</v>
      </c>
      <c r="F52" s="800"/>
      <c r="G52" s="800"/>
      <c r="H52" s="800"/>
      <c r="J52" s="577"/>
      <c r="K52" s="576" t="s">
        <v>1734</v>
      </c>
      <c r="L52" s="576">
        <v>1900</v>
      </c>
      <c r="M52" s="576">
        <v>1.0900000000000001</v>
      </c>
      <c r="Q52" s="576" t="str">
        <f>'BASE DE DATOS'!FQ52</f>
        <v>C.A.T. Nº3181 - KEY HOMES (Zona I a IV)</v>
      </c>
      <c r="R52" s="576">
        <f>'BASE DE DATOS'!FR52</f>
        <v>0.75</v>
      </c>
      <c r="S52" s="576">
        <f>'BASE DE DATOS'!FS52</f>
        <v>0.75</v>
      </c>
      <c r="U52" s="576" t="str">
        <f>'BASE DE DATOS'!FU52</f>
        <v>C.A.T. Nº3206 - CASARELLA STEEL (Zona I a IV)</v>
      </c>
      <c r="V52" s="576">
        <f>'BASE DE DATOS'!FV52</f>
        <v>0.39</v>
      </c>
      <c r="W52" s="576">
        <f>'BASE DE DATOS'!FW52</f>
        <v>0</v>
      </c>
      <c r="X52" s="576">
        <f>'BASE DE DATOS'!FX52</f>
        <v>0</v>
      </c>
      <c r="Z52" s="576">
        <f>'BASE DE DATOS'!FZ52</f>
        <v>0</v>
      </c>
      <c r="AA52" s="576">
        <f>'BASE DE DATOS'!GA52</f>
        <v>0</v>
      </c>
      <c r="AC52" s="576">
        <f>'BASE DE DATOS'!GC52</f>
        <v>0</v>
      </c>
      <c r="AD52" s="576">
        <f>'BASE DE DATOS'!GD52</f>
        <v>0</v>
      </c>
      <c r="AG52" s="576" t="s">
        <v>706</v>
      </c>
      <c r="AM52" s="576" t="s">
        <v>1274</v>
      </c>
      <c r="AX52" s="1189" t="s">
        <v>1249</v>
      </c>
      <c r="AY52" s="1182" t="s">
        <v>1094</v>
      </c>
      <c r="AZ52" s="1182"/>
      <c r="BA52" s="1182"/>
      <c r="BB52" s="1182"/>
      <c r="BH52" s="640" t="s">
        <v>1223</v>
      </c>
      <c r="BI52" s="552">
        <f>ENERGÍA!D132</f>
        <v>0</v>
      </c>
      <c r="BJ52" s="552">
        <f>ENERGÍA!E132</f>
        <v>0</v>
      </c>
      <c r="BK52" s="552">
        <f>ENERGÍA!F132</f>
        <v>0</v>
      </c>
      <c r="BL52" s="576">
        <f>ENERGÍA!L132</f>
        <v>0</v>
      </c>
      <c r="BM52" s="576">
        <f>ENERGÍA!M132</f>
        <v>0</v>
      </c>
      <c r="BN52" s="576">
        <f t="shared" si="20"/>
        <v>0</v>
      </c>
      <c r="BO52" s="576">
        <f t="shared" si="21"/>
        <v>0</v>
      </c>
      <c r="BP52" s="576">
        <f t="shared" si="19"/>
        <v>0</v>
      </c>
    </row>
    <row r="53" spans="2:68" thickBot="1">
      <c r="B53" s="1196"/>
      <c r="C53" s="1196"/>
      <c r="D53" s="1196"/>
      <c r="E53" s="1192"/>
      <c r="F53" s="1192"/>
      <c r="G53" s="1192"/>
      <c r="H53" s="1192"/>
      <c r="J53" s="577"/>
      <c r="K53" s="576" t="s">
        <v>1735</v>
      </c>
      <c r="L53" s="576">
        <v>2000</v>
      </c>
      <c r="M53" s="576">
        <v>1.1599999999999999</v>
      </c>
      <c r="Q53" s="576" t="str">
        <f>'BASE DE DATOS'!FQ53</f>
        <v>C.A.T. Nº3182 - GAUROS (Zona I a VI)</v>
      </c>
      <c r="R53" s="576">
        <f>'BASE DE DATOS'!FR53</f>
        <v>0.36</v>
      </c>
      <c r="S53" s="576">
        <f>'BASE DE DATOS'!FS53</f>
        <v>0.36</v>
      </c>
      <c r="U53" s="576" t="str">
        <f>'BASE DE DATOS'!FU53</f>
        <v>C.A.T. Nº3207 - IMPERIO (Zona VI)</v>
      </c>
      <c r="V53" s="576">
        <f>'BASE DE DATOS'!FV53</f>
        <v>0.96</v>
      </c>
      <c r="W53" s="576">
        <f>'BASE DE DATOS'!FW53</f>
        <v>0</v>
      </c>
      <c r="X53" s="576">
        <f>'BASE DE DATOS'!FX53</f>
        <v>0</v>
      </c>
      <c r="Z53" s="576">
        <f>'BASE DE DATOS'!FZ53</f>
        <v>0</v>
      </c>
      <c r="AA53" s="576">
        <f>'BASE DE DATOS'!GA53</f>
        <v>0</v>
      </c>
      <c r="AC53" s="576">
        <f>'BASE DE DATOS'!GC53</f>
        <v>0</v>
      </c>
      <c r="AD53" s="576">
        <f>'BASE DE DATOS'!GD53</f>
        <v>0</v>
      </c>
      <c r="AG53" s="576" t="s">
        <v>707</v>
      </c>
      <c r="AM53" s="576" t="s">
        <v>31</v>
      </c>
      <c r="AS53" s="1194" t="s">
        <v>1250</v>
      </c>
      <c r="AT53" s="1194"/>
      <c r="AU53" s="576" t="s">
        <v>836</v>
      </c>
      <c r="AV53" s="576" t="s">
        <v>1251</v>
      </c>
      <c r="AW53" s="576" t="s">
        <v>856</v>
      </c>
      <c r="AX53" s="1189"/>
      <c r="AY53" s="576" t="s">
        <v>1091</v>
      </c>
      <c r="AZ53" s="574" t="s">
        <v>1092</v>
      </c>
      <c r="BA53" s="574" t="s">
        <v>1092</v>
      </c>
      <c r="BB53" s="576" t="s">
        <v>1092</v>
      </c>
      <c r="BH53" s="640" t="s">
        <v>1224</v>
      </c>
      <c r="BI53" s="552">
        <f>ENERGÍA!D133</f>
        <v>0</v>
      </c>
      <c r="BJ53" s="552">
        <f>ENERGÍA!E133</f>
        <v>0</v>
      </c>
      <c r="BK53" s="552">
        <f>ENERGÍA!F133</f>
        <v>0</v>
      </c>
      <c r="BL53" s="576">
        <f>ENERGÍA!L133</f>
        <v>0</v>
      </c>
      <c r="BM53" s="576">
        <f>ENERGÍA!M133</f>
        <v>0</v>
      </c>
      <c r="BN53" s="576">
        <f t="shared" si="20"/>
        <v>0</v>
      </c>
      <c r="BO53" s="576">
        <f t="shared" si="21"/>
        <v>0</v>
      </c>
      <c r="BP53" s="576">
        <f t="shared" si="19"/>
        <v>0</v>
      </c>
    </row>
    <row r="54" spans="2:68" ht="35" thickBot="1">
      <c r="B54" s="1196"/>
      <c r="C54" s="1196"/>
      <c r="D54" s="1196"/>
      <c r="E54" s="1192"/>
      <c r="F54" s="1192"/>
      <c r="G54" s="1192"/>
      <c r="H54" s="1192"/>
      <c r="J54" s="577"/>
      <c r="K54" s="576" t="s">
        <v>1736</v>
      </c>
      <c r="L54" s="576">
        <v>2200</v>
      </c>
      <c r="M54" s="576">
        <v>1.4</v>
      </c>
      <c r="Q54" s="576" t="str">
        <f>'BASE DE DATOS'!FQ54</f>
        <v>C.A.T. Nº3192 - EL PICAPALO (Zona I a III)</v>
      </c>
      <c r="R54" s="576">
        <f>'BASE DE DATOS'!FR54</f>
        <v>0.4</v>
      </c>
      <c r="S54" s="576">
        <f>'BASE DE DATOS'!FS54</f>
        <v>0.4</v>
      </c>
      <c r="U54" s="576" t="str">
        <f>'BASE DE DATOS'!FU54</f>
        <v>C.A.T. Nº3210 - ECO WALLS (Zona I a IV)</v>
      </c>
      <c r="V54" s="576">
        <f>'BASE DE DATOS'!FV54</f>
        <v>0.54</v>
      </c>
      <c r="W54" s="576">
        <f>'BASE DE DATOS'!FW54</f>
        <v>0</v>
      </c>
      <c r="X54" s="576">
        <f>'BASE DE DATOS'!FX54</f>
        <v>0</v>
      </c>
      <c r="Z54" s="576">
        <f>'BASE DE DATOS'!FZ54</f>
        <v>0</v>
      </c>
      <c r="AA54" s="576">
        <f>'BASE DE DATOS'!GA54</f>
        <v>0</v>
      </c>
      <c r="AC54" s="576">
        <f>'BASE DE DATOS'!GC54</f>
        <v>0</v>
      </c>
      <c r="AD54" s="576">
        <f>'BASE DE DATOS'!GD54</f>
        <v>0</v>
      </c>
      <c r="AM54" s="576" t="s">
        <v>79</v>
      </c>
      <c r="AO54" s="574" t="s">
        <v>1250</v>
      </c>
      <c r="AP54" s="576" t="s">
        <v>854</v>
      </c>
      <c r="AQ54" s="576" t="s">
        <v>1240</v>
      </c>
      <c r="AR54" s="576" t="s">
        <v>835</v>
      </c>
      <c r="AS54" s="576" t="s">
        <v>1090</v>
      </c>
      <c r="AT54" s="642" t="s">
        <v>1089</v>
      </c>
      <c r="AU54" s="577" t="s">
        <v>1252</v>
      </c>
      <c r="AV54" s="576" t="s">
        <v>855</v>
      </c>
      <c r="AW54" s="576" t="s">
        <v>837</v>
      </c>
      <c r="AX54" s="1189"/>
      <c r="AY54" s="1189" t="s">
        <v>1253</v>
      </c>
      <c r="AZ54" s="1189"/>
      <c r="BA54" s="574" t="s">
        <v>1093</v>
      </c>
      <c r="BB54" s="576" t="s">
        <v>1096</v>
      </c>
      <c r="BH54" s="640" t="s">
        <v>1225</v>
      </c>
      <c r="BI54" s="552">
        <f>ENERGÍA!D134</f>
        <v>0</v>
      </c>
      <c r="BJ54" s="552">
        <f>ENERGÍA!E134</f>
        <v>0</v>
      </c>
      <c r="BK54" s="552">
        <f>ENERGÍA!F134</f>
        <v>0</v>
      </c>
      <c r="BL54" s="576">
        <f>ENERGÍA!L134</f>
        <v>0</v>
      </c>
      <c r="BM54" s="576">
        <f>ENERGÍA!M134</f>
        <v>0</v>
      </c>
      <c r="BN54" s="576">
        <f t="shared" si="20"/>
        <v>0</v>
      </c>
      <c r="BO54" s="576">
        <f t="shared" si="21"/>
        <v>0</v>
      </c>
      <c r="BP54" s="576">
        <f t="shared" si="19"/>
        <v>0</v>
      </c>
    </row>
    <row r="55" spans="2:68" thickBot="1">
      <c r="B55" s="1196"/>
      <c r="C55" s="1196"/>
      <c r="D55" s="1196"/>
      <c r="E55" s="1192"/>
      <c r="F55" s="1192"/>
      <c r="G55" s="1192"/>
      <c r="H55" s="1192"/>
      <c r="K55" s="576" t="s">
        <v>1737</v>
      </c>
      <c r="L55" s="576">
        <v>2400</v>
      </c>
      <c r="M55" s="576">
        <v>1.63</v>
      </c>
      <c r="Q55" s="576" t="str">
        <f>'BASE DE DATOS'!FQ55</f>
        <v>C.A.T. Nº3194 - VELOX (Zona I a IV)</v>
      </c>
      <c r="R55" s="576">
        <f>'BASE DE DATOS'!FR55</f>
        <v>0.97</v>
      </c>
      <c r="S55" s="576">
        <f>'BASE DE DATOS'!FS55</f>
        <v>0.97</v>
      </c>
      <c r="U55" s="576" t="str">
        <f>'BASE DE DATOS'!FU55</f>
        <v>C.A.T. Nº3211 - BENO (Zona I a IV)</v>
      </c>
      <c r="V55" s="576">
        <f>'BASE DE DATOS'!FV55</f>
        <v>0.60799999999999998</v>
      </c>
      <c r="W55" s="576">
        <f>'BASE DE DATOS'!FW55</f>
        <v>0</v>
      </c>
      <c r="X55" s="576">
        <f>'BASE DE DATOS'!FX55</f>
        <v>0</v>
      </c>
      <c r="Z55" s="576">
        <f>'BASE DE DATOS'!FZ55</f>
        <v>0</v>
      </c>
      <c r="AA55" s="576">
        <f>'BASE DE DATOS'!GA55</f>
        <v>0</v>
      </c>
      <c r="AC55" s="576">
        <f>'BASE DE DATOS'!GC55</f>
        <v>0</v>
      </c>
      <c r="AD55" s="576">
        <f>'BASE DE DATOS'!GD55</f>
        <v>0</v>
      </c>
      <c r="AM55" s="576" t="s">
        <v>190</v>
      </c>
      <c r="AO55" s="576" t="s">
        <v>823</v>
      </c>
      <c r="AP55" s="540">
        <f>AR55/AQ55</f>
        <v>0</v>
      </c>
      <c r="AQ55" s="540">
        <v>31</v>
      </c>
      <c r="AR55" s="540">
        <f>(VLOOKUP($AW$50,RADIACIONSOLAR,2,FALSE))*AQ55</f>
        <v>0</v>
      </c>
      <c r="AS55" s="540">
        <f>'Modelo de Radiación Solar'!AW76</f>
        <v>-2.902795432067069</v>
      </c>
      <c r="AT55" s="643">
        <f>AS55*AP55</f>
        <v>0</v>
      </c>
      <c r="AU55" s="540">
        <f>AT55*$AU$51</f>
        <v>0</v>
      </c>
      <c r="AV55" s="540">
        <f t="shared" ref="AV55:AV66" si="22">AS55*3600*1000</f>
        <v>-10450063.555441448</v>
      </c>
      <c r="AW55" s="540">
        <f t="shared" ref="AW55:AW66" si="23">AV55*AQ55</f>
        <v>-323951970.21868491</v>
      </c>
      <c r="AX55" s="576">
        <v>5.0000000000000001E-4</v>
      </c>
      <c r="AY55" s="540">
        <f>ENERGÍA!AJ149</f>
        <v>0</v>
      </c>
      <c r="AZ55" s="644">
        <f>(AY55*3600*1000)*AX55</f>
        <v>0</v>
      </c>
      <c r="BA55" s="644">
        <f>(((ENERGÍA!$AM$237+ENERGÍA!$AM$238)*0.001)/12)*3600*1000</f>
        <v>0</v>
      </c>
      <c r="BB55" s="540">
        <f>IF($BB$49=1,AZ55,IF($BB$49=2,BA55,IF($BB$49=3,AZ55+BA55,0)))</f>
        <v>0</v>
      </c>
      <c r="BH55" s="640" t="s">
        <v>1226</v>
      </c>
      <c r="BI55" s="552">
        <f>ENERGÍA!D135</f>
        <v>0</v>
      </c>
      <c r="BJ55" s="552">
        <f>ENERGÍA!E135</f>
        <v>0</v>
      </c>
      <c r="BK55" s="552">
        <f>ENERGÍA!F135</f>
        <v>0</v>
      </c>
      <c r="BL55" s="576">
        <f>ENERGÍA!L135</f>
        <v>0</v>
      </c>
      <c r="BM55" s="576">
        <f>ENERGÍA!M135</f>
        <v>0</v>
      </c>
      <c r="BN55" s="576">
        <f t="shared" si="20"/>
        <v>0</v>
      </c>
      <c r="BO55" s="576">
        <f t="shared" si="21"/>
        <v>0</v>
      </c>
      <c r="BP55" s="576">
        <f t="shared" si="19"/>
        <v>0</v>
      </c>
    </row>
    <row r="56" spans="2:68" thickBot="1">
      <c r="B56" s="1196"/>
      <c r="C56" s="1196"/>
      <c r="D56" s="1196"/>
      <c r="E56" s="1192"/>
      <c r="F56" s="1192"/>
      <c r="G56" s="1192"/>
      <c r="H56" s="1192"/>
      <c r="K56" s="576" t="s">
        <v>1738</v>
      </c>
      <c r="L56" s="576">
        <v>2500</v>
      </c>
      <c r="M56" s="576">
        <v>1.74</v>
      </c>
      <c r="Q56" s="576" t="str">
        <f>'BASE DE DATOS'!FQ56</f>
        <v>C.A.T. Nº3196 - SMI ECOSAN (Zona I a IV)</v>
      </c>
      <c r="R56" s="576">
        <f>'BASE DE DATOS'!FR56</f>
        <v>0.36</v>
      </c>
      <c r="S56" s="576">
        <f>'BASE DE DATOS'!FS56</f>
        <v>0.36</v>
      </c>
      <c r="U56" s="576" t="str">
        <f>'BASE DE DATOS'!FU56</f>
        <v>C.A.T. Nº3214 - VIVIENDAS TECNOHOUSE (Zona I a IV)</v>
      </c>
      <c r="V56" s="576">
        <f>'BASE DE DATOS'!FV56</f>
        <v>0.85</v>
      </c>
      <c r="W56" s="576">
        <f>'BASE DE DATOS'!FW56</f>
        <v>0</v>
      </c>
      <c r="X56" s="576">
        <f>'BASE DE DATOS'!FX56</f>
        <v>0</v>
      </c>
      <c r="Z56" s="576">
        <f>'BASE DE DATOS'!FZ56</f>
        <v>0</v>
      </c>
      <c r="AA56" s="576">
        <f>'BASE DE DATOS'!GA56</f>
        <v>0</v>
      </c>
      <c r="AC56" s="576">
        <f>'BASE DE DATOS'!GC56</f>
        <v>0</v>
      </c>
      <c r="AD56" s="576">
        <f>'BASE DE DATOS'!GD56</f>
        <v>0</v>
      </c>
      <c r="AM56" s="576" t="s">
        <v>107</v>
      </c>
      <c r="AO56" s="576" t="s">
        <v>824</v>
      </c>
      <c r="AP56" s="540">
        <f t="shared" ref="AP56:AP66" si="24">AR56/AQ56</f>
        <v>0</v>
      </c>
      <c r="AQ56" s="540">
        <v>28</v>
      </c>
      <c r="AR56" s="540">
        <f>(VLOOKUP($AW$50,RADIACIONSOLAR,3,FALSE))*AQ56</f>
        <v>0</v>
      </c>
      <c r="AS56" s="540">
        <f>'Modelo de Radiación Solar'!AX76</f>
        <v>-3.0059360489631586</v>
      </c>
      <c r="AT56" s="643">
        <f t="shared" ref="AT56:AT66" si="25">AS56*AP56</f>
        <v>0</v>
      </c>
      <c r="AU56" s="540">
        <f t="shared" ref="AU56:AU66" si="26">AT56*$AU$51</f>
        <v>0</v>
      </c>
      <c r="AV56" s="540">
        <f t="shared" si="22"/>
        <v>-10821369.77626737</v>
      </c>
      <c r="AW56" s="540">
        <f t="shared" si="23"/>
        <v>-302998353.73548639</v>
      </c>
      <c r="AX56" s="576">
        <v>5.0000000000000001E-4</v>
      </c>
      <c r="AY56" s="540">
        <f>ENERGÍA!AK149</f>
        <v>0</v>
      </c>
      <c r="AZ56" s="644">
        <f t="shared" ref="AZ56:AZ66" si="27">(AY56*3600*1000)*AX56</f>
        <v>0</v>
      </c>
      <c r="BA56" s="644">
        <f>(((ENERGÍA!$AM$237+ENERGÍA!$AM$238)*0.001)/12)*3600*1000</f>
        <v>0</v>
      </c>
      <c r="BB56" s="540">
        <f t="shared" ref="BB56:BB66" si="28">IF($BB$49=1,AZ56,IF($BB$49=2,BA56,IF($BB$49=3,AZ56+BA56,0)))</f>
        <v>0</v>
      </c>
      <c r="BH56" s="640" t="s">
        <v>1227</v>
      </c>
      <c r="BI56" s="552" t="str">
        <f>ENERGÍA!D136</f>
        <v>-</v>
      </c>
      <c r="BJ56" s="552">
        <f>ENERGÍA!E136</f>
        <v>0</v>
      </c>
      <c r="BK56" s="552">
        <f>ENERGÍA!F136</f>
        <v>0</v>
      </c>
      <c r="BL56" s="576">
        <f>ENERGÍA!L136</f>
        <v>0</v>
      </c>
      <c r="BM56" s="576">
        <f>ENERGÍA!M136</f>
        <v>0</v>
      </c>
      <c r="BN56" s="576">
        <f t="shared" si="20"/>
        <v>0</v>
      </c>
      <c r="BO56" s="576">
        <f t="shared" si="21"/>
        <v>0</v>
      </c>
      <c r="BP56" s="576">
        <f t="shared" si="19"/>
        <v>0</v>
      </c>
    </row>
    <row r="57" spans="2:68" thickBot="1">
      <c r="B57" s="1196"/>
      <c r="C57" s="1196"/>
      <c r="D57" s="1196"/>
      <c r="E57" s="1192"/>
      <c r="F57" s="1192"/>
      <c r="G57" s="1192"/>
      <c r="H57" s="1192"/>
      <c r="K57" s="576" t="s">
        <v>303</v>
      </c>
      <c r="L57" s="576">
        <v>1600</v>
      </c>
      <c r="M57" s="576">
        <v>0.76</v>
      </c>
      <c r="Q57" s="576" t="str">
        <f>'BASE DE DATOS'!FQ57</f>
        <v>C.A.T. Nº3204 - TECNOPANEL FC (Zona I a VI)</v>
      </c>
      <c r="R57" s="576">
        <f>'BASE DE DATOS'!FR57</f>
        <v>0.43</v>
      </c>
      <c r="S57" s="576">
        <f>'BASE DE DATOS'!FS57</f>
        <v>0.43</v>
      </c>
      <c r="U57" s="576">
        <f>'BASE DE DATOS'!FU57</f>
        <v>0</v>
      </c>
      <c r="V57" s="576">
        <f>'BASE DE DATOS'!FV57</f>
        <v>0</v>
      </c>
      <c r="W57" s="576">
        <f>'BASE DE DATOS'!FW57</f>
        <v>0</v>
      </c>
      <c r="X57" s="576">
        <f>'BASE DE DATOS'!FX57</f>
        <v>0</v>
      </c>
      <c r="Z57" s="576">
        <f>'BASE DE DATOS'!FZ57</f>
        <v>0</v>
      </c>
      <c r="AA57" s="576">
        <f>'BASE DE DATOS'!GA57</f>
        <v>0</v>
      </c>
      <c r="AC57" s="576">
        <f>'BASE DE DATOS'!GC57</f>
        <v>0</v>
      </c>
      <c r="AD57" s="576">
        <f>'BASE DE DATOS'!GD57</f>
        <v>0</v>
      </c>
      <c r="AK57" s="576" t="s">
        <v>752</v>
      </c>
      <c r="AM57" s="576" t="s">
        <v>32</v>
      </c>
      <c r="AO57" s="576" t="s">
        <v>825</v>
      </c>
      <c r="AP57" s="540">
        <f t="shared" si="24"/>
        <v>0</v>
      </c>
      <c r="AQ57" s="540">
        <v>31</v>
      </c>
      <c r="AR57" s="540">
        <f>(VLOOKUP($AW$50,RADIACIONSOLAR,4,FALSE))*AQ57</f>
        <v>0</v>
      </c>
      <c r="AS57" s="540">
        <f>'Modelo de Radiación Solar'!AY76</f>
        <v>-3.0441194063045764</v>
      </c>
      <c r="AT57" s="643">
        <f t="shared" si="25"/>
        <v>0</v>
      </c>
      <c r="AU57" s="540">
        <f t="shared" si="26"/>
        <v>0</v>
      </c>
      <c r="AV57" s="540">
        <f t="shared" si="22"/>
        <v>-10958829.862696474</v>
      </c>
      <c r="AW57" s="540">
        <f t="shared" si="23"/>
        <v>-339723725.74359071</v>
      </c>
      <c r="AX57" s="576">
        <v>5.0000000000000001E-4</v>
      </c>
      <c r="AY57" s="540">
        <f>ENERGÍA!AL149</f>
        <v>0</v>
      </c>
      <c r="AZ57" s="644">
        <f t="shared" si="27"/>
        <v>0</v>
      </c>
      <c r="BA57" s="644">
        <f>(((ENERGÍA!$AM$237+ENERGÍA!$AM$238)*0.001)/12)*3600*1000</f>
        <v>0</v>
      </c>
      <c r="BB57" s="540">
        <f t="shared" si="28"/>
        <v>0</v>
      </c>
      <c r="BH57" s="640" t="s">
        <v>1228</v>
      </c>
      <c r="BI57" s="552" t="str">
        <f>ENERGÍA!D137</f>
        <v>-</v>
      </c>
      <c r="BJ57" s="552">
        <f>ENERGÍA!E137</f>
        <v>0</v>
      </c>
      <c r="BK57" s="552">
        <f>ENERGÍA!F137</f>
        <v>0</v>
      </c>
      <c r="BL57" s="576">
        <f>ENERGÍA!L137</f>
        <v>0</v>
      </c>
      <c r="BM57" s="576">
        <f>ENERGÍA!M137</f>
        <v>0</v>
      </c>
      <c r="BN57" s="576">
        <f t="shared" si="20"/>
        <v>0</v>
      </c>
      <c r="BO57" s="576">
        <f t="shared" si="21"/>
        <v>0</v>
      </c>
      <c r="BP57" s="576">
        <f t="shared" si="19"/>
        <v>0</v>
      </c>
    </row>
    <row r="58" spans="2:68" thickBot="1">
      <c r="B58" s="1196"/>
      <c r="C58" s="1196"/>
      <c r="D58" s="1196"/>
      <c r="E58" s="1192"/>
      <c r="F58" s="1192"/>
      <c r="G58" s="1192"/>
      <c r="H58" s="1192"/>
      <c r="K58" s="576" t="s">
        <v>304</v>
      </c>
      <c r="L58" s="576">
        <v>1800</v>
      </c>
      <c r="M58" s="576">
        <v>0.93</v>
      </c>
      <c r="Q58" s="576" t="str">
        <f>'BASE DE DATOS'!FQ58</f>
        <v>C.A.T. Nº3205 - SISTEMA EN PANELES (Zona I a VI)</v>
      </c>
      <c r="R58" s="576">
        <f>'BASE DE DATOS'!FR58</f>
        <v>0.35</v>
      </c>
      <c r="S58" s="576">
        <f>'BASE DE DATOS'!FS58</f>
        <v>0.35</v>
      </c>
      <c r="U58" s="576">
        <f>'BASE DE DATOS'!FU58</f>
        <v>0</v>
      </c>
      <c r="V58" s="576">
        <f>'BASE DE DATOS'!FV58</f>
        <v>0</v>
      </c>
      <c r="W58" s="576">
        <f>'BASE DE DATOS'!FW58</f>
        <v>0</v>
      </c>
      <c r="X58" s="576">
        <f>'BASE DE DATOS'!FX58</f>
        <v>0</v>
      </c>
      <c r="Z58" s="576">
        <f>'BASE DE DATOS'!FZ58</f>
        <v>0</v>
      </c>
      <c r="AA58" s="576">
        <f>'BASE DE DATOS'!GA58</f>
        <v>0</v>
      </c>
      <c r="AC58" s="576">
        <f>'BASE DE DATOS'!GC58</f>
        <v>0</v>
      </c>
      <c r="AD58" s="576">
        <f>'BASE DE DATOS'!GD58</f>
        <v>0</v>
      </c>
      <c r="AI58" s="576" t="s">
        <v>657</v>
      </c>
      <c r="AK58" s="576" t="s">
        <v>753</v>
      </c>
      <c r="AM58" s="576" t="s">
        <v>118</v>
      </c>
      <c r="AO58" s="576" t="s">
        <v>826</v>
      </c>
      <c r="AP58" s="540">
        <f t="shared" si="24"/>
        <v>0</v>
      </c>
      <c r="AQ58" s="540">
        <v>30</v>
      </c>
      <c r="AR58" s="540">
        <f>(VLOOKUP($AW$50,RADIACIONSOLAR,5,FALSE))*AQ58</f>
        <v>0</v>
      </c>
      <c r="AS58" s="540">
        <f>'Modelo de Radiación Solar'!AZ76</f>
        <v>-2.9549529665857417</v>
      </c>
      <c r="AT58" s="643">
        <f t="shared" si="25"/>
        <v>0</v>
      </c>
      <c r="AU58" s="540">
        <f t="shared" si="26"/>
        <v>0</v>
      </c>
      <c r="AV58" s="540">
        <f t="shared" si="22"/>
        <v>-10637830.679708669</v>
      </c>
      <c r="AW58" s="540">
        <f t="shared" si="23"/>
        <v>-319134920.39126009</v>
      </c>
      <c r="AX58" s="576">
        <v>5.0000000000000001E-4</v>
      </c>
      <c r="AY58" s="540">
        <f>ENERGÍA!AM149</f>
        <v>0</v>
      </c>
      <c r="AZ58" s="644">
        <f t="shared" si="27"/>
        <v>0</v>
      </c>
      <c r="BA58" s="644">
        <f>(((ENERGÍA!$AM$237+ENERGÍA!$AM$238)*0.001)/12)*3600*1000</f>
        <v>0</v>
      </c>
      <c r="BB58" s="540">
        <f t="shared" si="28"/>
        <v>0</v>
      </c>
      <c r="BH58" s="638"/>
      <c r="BI58" s="638"/>
      <c r="BJ58" s="638"/>
      <c r="BK58" s="638"/>
      <c r="BL58" s="638"/>
      <c r="BM58" s="638"/>
      <c r="BN58" s="638"/>
      <c r="BO58" s="638"/>
    </row>
    <row r="59" spans="2:68" ht="35" thickBot="1">
      <c r="B59" s="229" t="s">
        <v>245</v>
      </c>
      <c r="C59" s="229" t="s">
        <v>246</v>
      </c>
      <c r="D59" s="229" t="s">
        <v>222</v>
      </c>
      <c r="E59" s="229" t="s">
        <v>247</v>
      </c>
      <c r="F59" s="229" t="s">
        <v>549</v>
      </c>
      <c r="G59" s="1191" t="s">
        <v>1459</v>
      </c>
      <c r="H59" s="1191"/>
      <c r="K59" s="576" t="s">
        <v>305</v>
      </c>
      <c r="L59" s="576">
        <v>2300</v>
      </c>
      <c r="M59" s="576">
        <v>1.4</v>
      </c>
      <c r="Q59" s="576" t="str">
        <f>'BASE DE DATOS'!FQ59</f>
        <v>C.A.T. Nº3206 - CASARELLA STEEL (Zona I a IV)</v>
      </c>
      <c r="R59" s="576">
        <f>'BASE DE DATOS'!FR59</f>
        <v>0.42</v>
      </c>
      <c r="S59" s="576">
        <f>'BASE DE DATOS'!FS59</f>
        <v>0.42</v>
      </c>
      <c r="U59" s="576">
        <f>'BASE DE DATOS'!FU59</f>
        <v>0</v>
      </c>
      <c r="V59" s="576">
        <f>'BASE DE DATOS'!FV59</f>
        <v>0</v>
      </c>
      <c r="W59" s="576">
        <f>'BASE DE DATOS'!FW59</f>
        <v>0</v>
      </c>
      <c r="X59" s="576">
        <f>'BASE DE DATOS'!FX59</f>
        <v>0</v>
      </c>
      <c r="Z59" s="576">
        <f>'BASE DE DATOS'!FZ59</f>
        <v>0</v>
      </c>
      <c r="AA59" s="576">
        <f>'BASE DE DATOS'!GA59</f>
        <v>0</v>
      </c>
      <c r="AC59" s="576">
        <f>'BASE DE DATOS'!GC59</f>
        <v>0</v>
      </c>
      <c r="AD59" s="576">
        <f>'BASE DE DATOS'!GD59</f>
        <v>0</v>
      </c>
      <c r="AI59" s="576" t="s">
        <v>14</v>
      </c>
      <c r="AK59" s="576" t="s">
        <v>754</v>
      </c>
      <c r="AM59" s="576" t="s">
        <v>91</v>
      </c>
      <c r="AO59" s="576" t="s">
        <v>827</v>
      </c>
      <c r="AP59" s="540">
        <f t="shared" si="24"/>
        <v>0</v>
      </c>
      <c r="AQ59" s="540">
        <v>31</v>
      </c>
      <c r="AR59" s="540">
        <f>(VLOOKUP($AW$50,RADIACIONSOLAR,6,FALSE))*AQ59</f>
        <v>0</v>
      </c>
      <c r="AS59" s="540">
        <f>'Modelo de Radiación Solar'!BA76</f>
        <v>-2.7932516433425074</v>
      </c>
      <c r="AT59" s="643">
        <f t="shared" si="25"/>
        <v>0</v>
      </c>
      <c r="AU59" s="540">
        <f t="shared" si="26"/>
        <v>0</v>
      </c>
      <c r="AV59" s="540">
        <f t="shared" si="22"/>
        <v>-10055705.916033026</v>
      </c>
      <c r="AW59" s="540">
        <f t="shared" si="23"/>
        <v>-311726883.3970238</v>
      </c>
      <c r="AX59" s="576">
        <v>5.0000000000000001E-4</v>
      </c>
      <c r="AY59" s="540">
        <f>ENERGÍA!AN149</f>
        <v>0</v>
      </c>
      <c r="AZ59" s="644">
        <f t="shared" si="27"/>
        <v>0</v>
      </c>
      <c r="BA59" s="644">
        <f>(((ENERGÍA!$AM$237+ENERGÍA!$AM$238)*0.001)/12)*3600*1000</f>
        <v>0</v>
      </c>
      <c r="BB59" s="540">
        <f t="shared" si="28"/>
        <v>0</v>
      </c>
      <c r="BH59" s="638"/>
      <c r="BI59" s="641"/>
      <c r="BJ59" s="641"/>
      <c r="BK59" s="638"/>
      <c r="BL59" s="638"/>
      <c r="BM59" s="638"/>
      <c r="BN59" s="638"/>
      <c r="BO59" s="638"/>
    </row>
    <row r="60" spans="2:68" thickBot="1">
      <c r="B60" s="801" t="s">
        <v>1233</v>
      </c>
      <c r="C60" s="801"/>
      <c r="D60" s="801"/>
      <c r="E60" s="801"/>
      <c r="F60" s="801"/>
      <c r="G60" s="1135">
        <v>0.04</v>
      </c>
      <c r="H60" s="1135"/>
      <c r="K60" s="576" t="s">
        <v>306</v>
      </c>
      <c r="L60" s="576">
        <v>700</v>
      </c>
      <c r="M60" s="576">
        <v>0.22</v>
      </c>
      <c r="Q60" s="576" t="str">
        <f>'BASE DE DATOS'!FQ60</f>
        <v>C.A.T. Nº3207 - IMPERIO (Zona VI)</v>
      </c>
      <c r="R60" s="576">
        <f>'BASE DE DATOS'!FR60</f>
        <v>0.87</v>
      </c>
      <c r="S60" s="576">
        <f>'BASE DE DATOS'!FS60</f>
        <v>0.87</v>
      </c>
      <c r="U60" s="576">
        <f>'BASE DE DATOS'!FU60</f>
        <v>0</v>
      </c>
      <c r="V60" s="576">
        <f>'BASE DE DATOS'!FV60</f>
        <v>0</v>
      </c>
      <c r="W60" s="576">
        <f>'BASE DE DATOS'!FW60</f>
        <v>0</v>
      </c>
      <c r="X60" s="576">
        <f>'BASE DE DATOS'!FX60</f>
        <v>0</v>
      </c>
      <c r="Z60" s="576">
        <f>'BASE DE DATOS'!FZ60</f>
        <v>0</v>
      </c>
      <c r="AA60" s="576">
        <f>'BASE DE DATOS'!GA60</f>
        <v>0</v>
      </c>
      <c r="AC60" s="576">
        <f>'BASE DE DATOS'!GC60</f>
        <v>0</v>
      </c>
      <c r="AD60" s="576">
        <f>'BASE DE DATOS'!GD60</f>
        <v>0</v>
      </c>
      <c r="AI60" s="576" t="s">
        <v>658</v>
      </c>
      <c r="AM60" s="576" t="s">
        <v>129</v>
      </c>
      <c r="AO60" s="576" t="s">
        <v>828</v>
      </c>
      <c r="AP60" s="540">
        <f t="shared" si="24"/>
        <v>0</v>
      </c>
      <c r="AQ60" s="540">
        <v>30</v>
      </c>
      <c r="AR60" s="540">
        <f>(VLOOKUP($AW$50,RADIACIONSOLAR,7,FALSE))*AQ60</f>
        <v>0</v>
      </c>
      <c r="AS60" s="540">
        <f>'Modelo de Radiación Solar'!BB76</f>
        <v>-2.6843602800979141</v>
      </c>
      <c r="AT60" s="643">
        <f t="shared" si="25"/>
        <v>0</v>
      </c>
      <c r="AU60" s="540">
        <f t="shared" si="26"/>
        <v>0</v>
      </c>
      <c r="AV60" s="540">
        <f t="shared" si="22"/>
        <v>-9663697.0083524901</v>
      </c>
      <c r="AW60" s="540">
        <f t="shared" si="23"/>
        <v>-289910910.25057471</v>
      </c>
      <c r="AX60" s="576">
        <v>5.0000000000000001E-4</v>
      </c>
      <c r="AY60" s="540">
        <f>ENERGÍA!AO149</f>
        <v>0</v>
      </c>
      <c r="AZ60" s="644">
        <f t="shared" si="27"/>
        <v>0</v>
      </c>
      <c r="BA60" s="644">
        <f>(((ENERGÍA!$AM$237+ENERGÍA!$AM$238)*0.001)/12)*3600*1000</f>
        <v>0</v>
      </c>
      <c r="BB60" s="540">
        <f t="shared" si="28"/>
        <v>0</v>
      </c>
      <c r="BH60" s="638"/>
      <c r="BI60" s="641"/>
      <c r="BJ60" s="641"/>
      <c r="BK60" s="638"/>
      <c r="BL60" s="638"/>
      <c r="BM60" s="638"/>
      <c r="BN60" s="638"/>
      <c r="BO60" s="638"/>
    </row>
    <row r="61" spans="2:68" thickBot="1">
      <c r="B61" s="240">
        <v>1</v>
      </c>
      <c r="C61" s="370"/>
      <c r="D61" s="370"/>
      <c r="E61" s="372"/>
      <c r="F61" s="262">
        <f>IFERROR(VLOOKUP($D61,'Materiales Personalizados'!K$4:O$332,3,FALSE),0)</f>
        <v>0</v>
      </c>
      <c r="G61" s="1191">
        <f t="shared" ref="G61:G70" si="29">IFERROR(+E61/F61,0)</f>
        <v>0</v>
      </c>
      <c r="H61" s="1191"/>
      <c r="K61" s="576" t="s">
        <v>307</v>
      </c>
      <c r="L61" s="576">
        <v>800</v>
      </c>
      <c r="M61" s="576">
        <v>0.28999999999999998</v>
      </c>
      <c r="Q61" s="576" t="str">
        <f>'BASE DE DATOS'!FQ61</f>
        <v>C.A.T. Nº3210 - ECO WALLS (Zona I a IV)</v>
      </c>
      <c r="R61" s="576">
        <f>'BASE DE DATOS'!FR61</f>
        <v>0.42</v>
      </c>
      <c r="S61" s="576">
        <f>'BASE DE DATOS'!FS61</f>
        <v>0.42</v>
      </c>
      <c r="AI61" s="576" t="s">
        <v>659</v>
      </c>
      <c r="AM61" s="576" t="s">
        <v>109</v>
      </c>
      <c r="AO61" s="576" t="s">
        <v>829</v>
      </c>
      <c r="AP61" s="540">
        <f t="shared" si="24"/>
        <v>0</v>
      </c>
      <c r="AQ61" s="540">
        <v>31</v>
      </c>
      <c r="AR61" s="540">
        <f>(VLOOKUP($AW$50,RADIACIONSOLAR,8,FALSE))*AQ61</f>
        <v>0</v>
      </c>
      <c r="AS61" s="540">
        <f>'Modelo de Radiación Solar'!BC76</f>
        <v>-2.7180971250536357</v>
      </c>
      <c r="AT61" s="643">
        <f t="shared" si="25"/>
        <v>0</v>
      </c>
      <c r="AU61" s="540">
        <f t="shared" si="26"/>
        <v>0</v>
      </c>
      <c r="AV61" s="540">
        <f t="shared" si="22"/>
        <v>-9785149.6501930896</v>
      </c>
      <c r="AW61" s="540">
        <f t="shared" si="23"/>
        <v>-303339639.15598577</v>
      </c>
      <c r="AX61" s="576">
        <v>5.0000000000000001E-4</v>
      </c>
      <c r="AY61" s="540">
        <f>ENERGÍA!AP149</f>
        <v>0</v>
      </c>
      <c r="AZ61" s="644">
        <f t="shared" si="27"/>
        <v>0</v>
      </c>
      <c r="BA61" s="644">
        <f>(((ENERGÍA!$AM$237+ENERGÍA!$AM$238)*0.001)/12)*3600*1000</f>
        <v>0</v>
      </c>
      <c r="BB61" s="540">
        <f t="shared" si="28"/>
        <v>0</v>
      </c>
      <c r="BH61" s="638"/>
      <c r="BI61" s="638"/>
      <c r="BJ61" s="639"/>
      <c r="BK61" s="639"/>
      <c r="BL61" s="638"/>
      <c r="BM61" s="638"/>
      <c r="BN61" s="638"/>
      <c r="BO61" s="638"/>
    </row>
    <row r="62" spans="2:68" thickBot="1">
      <c r="B62" s="240">
        <v>2</v>
      </c>
      <c r="C62" s="370"/>
      <c r="D62" s="370"/>
      <c r="E62" s="372"/>
      <c r="F62" s="262">
        <f>IFERROR(VLOOKUP($D62,'Materiales Personalizados'!K$4:O$332,3,FALSE),0)</f>
        <v>0</v>
      </c>
      <c r="G62" s="1191">
        <f t="shared" si="29"/>
        <v>0</v>
      </c>
      <c r="H62" s="1191"/>
      <c r="K62" s="576" t="s">
        <v>308</v>
      </c>
      <c r="L62" s="576">
        <v>900</v>
      </c>
      <c r="M62" s="576">
        <v>0.36</v>
      </c>
      <c r="Q62" s="576" t="str">
        <f>'BASE DE DATOS'!FQ62</f>
        <v>C.A.T. Nº3214 - VIVIENDAS TECNOHOUSE (Zona I a IV)</v>
      </c>
      <c r="R62" s="576">
        <f>'BASE DE DATOS'!FR62</f>
        <v>0.63</v>
      </c>
      <c r="S62" s="576">
        <f>'BASE DE DATOS'!FS62</f>
        <v>0.63</v>
      </c>
      <c r="U62" s="576" t="s">
        <v>723</v>
      </c>
      <c r="V62" s="1189" t="s">
        <v>727</v>
      </c>
      <c r="W62" s="1189"/>
      <c r="X62" s="1189"/>
      <c r="Y62" s="1189"/>
      <c r="Z62" s="576" t="s">
        <v>723</v>
      </c>
      <c r="AA62" s="576">
        <v>0.4</v>
      </c>
      <c r="AM62" s="576" t="s">
        <v>92</v>
      </c>
      <c r="AO62" s="576" t="s">
        <v>830</v>
      </c>
      <c r="AP62" s="540">
        <f t="shared" si="24"/>
        <v>0</v>
      </c>
      <c r="AQ62" s="540">
        <v>31</v>
      </c>
      <c r="AR62" s="540">
        <f>(VLOOKUP($AW$50,RADIACIONSOLAR,9,FALSE))*AQ62</f>
        <v>0</v>
      </c>
      <c r="AS62" s="540">
        <f>'Modelo de Radiación Solar'!BD76</f>
        <v>-2.8620078739051547</v>
      </c>
      <c r="AT62" s="643">
        <f t="shared" si="25"/>
        <v>0</v>
      </c>
      <c r="AU62" s="540">
        <f t="shared" si="26"/>
        <v>0</v>
      </c>
      <c r="AV62" s="540">
        <f t="shared" si="22"/>
        <v>-10303228.346058557</v>
      </c>
      <c r="AW62" s="540">
        <f t="shared" si="23"/>
        <v>-319400078.72781527</v>
      </c>
      <c r="AX62" s="576">
        <v>5.0000000000000001E-4</v>
      </c>
      <c r="AY62" s="540">
        <f>ENERGÍA!AQ149</f>
        <v>0</v>
      </c>
      <c r="AZ62" s="644">
        <f t="shared" si="27"/>
        <v>0</v>
      </c>
      <c r="BA62" s="644">
        <f>(((ENERGÍA!$AM$237+ENERGÍA!$AM$238)*0.001)/12)*3600*1000</f>
        <v>0</v>
      </c>
      <c r="BB62" s="540">
        <f t="shared" si="28"/>
        <v>0</v>
      </c>
      <c r="BH62" s="1193">
        <f>+ENERGÍA!B142</f>
        <v>0</v>
      </c>
      <c r="BI62" s="1193"/>
      <c r="BJ62" s="1193"/>
      <c r="BK62" s="1193"/>
      <c r="BL62" s="1193"/>
      <c r="BM62" s="1193"/>
      <c r="BN62" s="1193"/>
      <c r="BO62" s="1193"/>
    </row>
    <row r="63" spans="2:68" thickBot="1">
      <c r="B63" s="240">
        <v>3</v>
      </c>
      <c r="C63" s="370"/>
      <c r="D63" s="370"/>
      <c r="E63" s="372"/>
      <c r="F63" s="262">
        <f>IFERROR(VLOOKUP($D63,'Materiales Personalizados'!K$4:O$332,3,FALSE),0)</f>
        <v>0</v>
      </c>
      <c r="G63" s="1191">
        <f t="shared" si="29"/>
        <v>0</v>
      </c>
      <c r="H63" s="1191"/>
      <c r="J63" s="577"/>
      <c r="K63" s="576" t="s">
        <v>309</v>
      </c>
      <c r="L63" s="576">
        <v>1000</v>
      </c>
      <c r="M63" s="576">
        <v>0.42</v>
      </c>
      <c r="Q63" s="576">
        <f>'BASE DE DATOS'!FQ63</f>
        <v>0</v>
      </c>
      <c r="R63" s="576">
        <f>'BASE DE DATOS'!FR63</f>
        <v>0</v>
      </c>
      <c r="S63" s="576">
        <f>'BASE DE DATOS'!FS63</f>
        <v>0</v>
      </c>
      <c r="U63" s="576" t="s">
        <v>728</v>
      </c>
      <c r="V63" s="1189"/>
      <c r="W63" s="1189"/>
      <c r="X63" s="1189"/>
      <c r="Y63" s="1189"/>
      <c r="Z63" s="576" t="s">
        <v>728</v>
      </c>
      <c r="AA63" s="576">
        <v>0.6</v>
      </c>
      <c r="AM63" s="576" t="s">
        <v>1268</v>
      </c>
      <c r="AO63" s="576" t="s">
        <v>831</v>
      </c>
      <c r="AP63" s="540">
        <f t="shared" si="24"/>
        <v>0</v>
      </c>
      <c r="AQ63" s="540">
        <v>30</v>
      </c>
      <c r="AR63" s="540">
        <f>(VLOOKUP($AW$50,RADIACIONSOLAR,10,FALSE))*AQ63</f>
        <v>0</v>
      </c>
      <c r="AS63" s="540">
        <f>'Modelo de Radiación Solar'!BE76</f>
        <v>-2.9897418344015332</v>
      </c>
      <c r="AT63" s="643">
        <f t="shared" si="25"/>
        <v>0</v>
      </c>
      <c r="AU63" s="540">
        <f t="shared" si="26"/>
        <v>0</v>
      </c>
      <c r="AV63" s="540">
        <f t="shared" si="22"/>
        <v>-10763070.60384552</v>
      </c>
      <c r="AW63" s="540">
        <f t="shared" si="23"/>
        <v>-322892118.11536562</v>
      </c>
      <c r="AX63" s="576">
        <v>5.0000000000000001E-4</v>
      </c>
      <c r="AY63" s="540">
        <f>ENERGÍA!AR149</f>
        <v>0</v>
      </c>
      <c r="AZ63" s="644">
        <f t="shared" si="27"/>
        <v>0</v>
      </c>
      <c r="BA63" s="644">
        <f>(((ENERGÍA!$AM$237+ENERGÍA!$AM$238)*0.001)/12)*3600*1000</f>
        <v>0</v>
      </c>
      <c r="BB63" s="540">
        <f t="shared" si="28"/>
        <v>0</v>
      </c>
      <c r="BH63" s="638"/>
      <c r="BI63" s="638"/>
      <c r="BJ63" s="639"/>
      <c r="BK63" s="639"/>
      <c r="BL63" s="638"/>
      <c r="BM63" s="638"/>
      <c r="BN63" s="638"/>
      <c r="BO63" s="638"/>
    </row>
    <row r="64" spans="2:68" ht="16" customHeight="1" thickBot="1">
      <c r="B64" s="240">
        <v>4</v>
      </c>
      <c r="C64" s="370"/>
      <c r="D64" s="370"/>
      <c r="E64" s="372"/>
      <c r="F64" s="262">
        <f>IFERROR(VLOOKUP($D64,'Materiales Personalizados'!K$4:O$332,3,FALSE),0)</f>
        <v>0</v>
      </c>
      <c r="G64" s="1191">
        <f t="shared" si="29"/>
        <v>0</v>
      </c>
      <c r="H64" s="1191"/>
      <c r="J64" s="577"/>
      <c r="K64" s="576" t="s">
        <v>310</v>
      </c>
      <c r="L64" s="576">
        <v>1400</v>
      </c>
      <c r="M64" s="576">
        <v>0.56999999999999995</v>
      </c>
      <c r="Q64" s="576">
        <f>'BASE DE DATOS'!FQ64</f>
        <v>0</v>
      </c>
      <c r="R64" s="576">
        <f>'BASE DE DATOS'!FR64</f>
        <v>0</v>
      </c>
      <c r="S64" s="576">
        <f>'BASE DE DATOS'!FS64</f>
        <v>0</v>
      </c>
      <c r="U64" s="576" t="s">
        <v>726</v>
      </c>
      <c r="V64" s="1189"/>
      <c r="W64" s="1189"/>
      <c r="X64" s="1189"/>
      <c r="Y64" s="1189"/>
      <c r="Z64" s="576" t="s">
        <v>726</v>
      </c>
      <c r="AA64" s="576">
        <v>0.9</v>
      </c>
      <c r="AM64" s="576" t="s">
        <v>1269</v>
      </c>
      <c r="AO64" s="576" t="s">
        <v>832</v>
      </c>
      <c r="AP64" s="540">
        <f t="shared" si="24"/>
        <v>0</v>
      </c>
      <c r="AQ64" s="540">
        <v>31</v>
      </c>
      <c r="AR64" s="540">
        <f>(VLOOKUP($AW$50,RADIACIONSOLAR,11,FALSE))*AQ64</f>
        <v>0</v>
      </c>
      <c r="AS64" s="540">
        <f>'Modelo de Radiación Solar'!BF76</f>
        <v>0.71534861092916247</v>
      </c>
      <c r="AT64" s="643">
        <f t="shared" si="25"/>
        <v>0</v>
      </c>
      <c r="AU64" s="540">
        <f t="shared" si="26"/>
        <v>0</v>
      </c>
      <c r="AV64" s="540">
        <f t="shared" si="22"/>
        <v>2575254.9993449845</v>
      </c>
      <c r="AW64" s="540">
        <f t="shared" si="23"/>
        <v>79832904.979694515</v>
      </c>
      <c r="AX64" s="576">
        <v>5.0000000000000001E-4</v>
      </c>
      <c r="AY64" s="540">
        <f>ENERGÍA!AS149</f>
        <v>0</v>
      </c>
      <c r="AZ64" s="644">
        <f t="shared" si="27"/>
        <v>0</v>
      </c>
      <c r="BA64" s="644">
        <f>(((ENERGÍA!$AM$237+ENERGÍA!$AM$238)*0.001)/12)*3600*1000</f>
        <v>0</v>
      </c>
      <c r="BB64" s="540">
        <f t="shared" si="28"/>
        <v>0</v>
      </c>
      <c r="BH64" s="1198"/>
      <c r="BI64" s="1193" t="s">
        <v>1184</v>
      </c>
      <c r="BJ64" s="1193"/>
      <c r="BK64" s="1193"/>
      <c r="BL64" s="1189" t="s">
        <v>1721</v>
      </c>
      <c r="BM64" s="1189"/>
      <c r="BN64" s="1182" t="s">
        <v>1383</v>
      </c>
      <c r="BO64" s="1182"/>
      <c r="BP64" s="1182" t="s">
        <v>1017</v>
      </c>
    </row>
    <row r="65" spans="2:68" ht="18" thickBot="1">
      <c r="B65" s="240">
        <v>5</v>
      </c>
      <c r="C65" s="370"/>
      <c r="D65" s="370"/>
      <c r="E65" s="372"/>
      <c r="F65" s="262">
        <f>IFERROR(VLOOKUP($D65,'Materiales Personalizados'!K$4:O$332,3,FALSE),0)</f>
        <v>0</v>
      </c>
      <c r="G65" s="1191">
        <f t="shared" si="29"/>
        <v>0</v>
      </c>
      <c r="H65" s="1191"/>
      <c r="J65" s="577"/>
      <c r="K65" s="576" t="s">
        <v>311</v>
      </c>
      <c r="L65" s="576">
        <v>1600</v>
      </c>
      <c r="M65" s="576">
        <v>0.89</v>
      </c>
      <c r="Q65" s="576">
        <f>'BASE DE DATOS'!FQ65</f>
        <v>0</v>
      </c>
      <c r="R65" s="576">
        <f>'BASE DE DATOS'!FR65</f>
        <v>0</v>
      </c>
      <c r="S65" s="576">
        <f>'BASE DE DATOS'!FS65</f>
        <v>0</v>
      </c>
      <c r="AG65" s="576" t="s">
        <v>1739</v>
      </c>
      <c r="AM65" s="576" t="s">
        <v>130</v>
      </c>
      <c r="AO65" s="576" t="s">
        <v>833</v>
      </c>
      <c r="AP65" s="540">
        <f t="shared" si="24"/>
        <v>0</v>
      </c>
      <c r="AQ65" s="540">
        <v>30</v>
      </c>
      <c r="AR65" s="540">
        <f>(VLOOKUP($AW$50,RADIACIONSOLAR,12,FALSE))*AQ65</f>
        <v>0</v>
      </c>
      <c r="AS65" s="540">
        <f>'Modelo de Radiación Solar'!BG76</f>
        <v>-2.917764887904486</v>
      </c>
      <c r="AT65" s="643">
        <f t="shared" si="25"/>
        <v>0</v>
      </c>
      <c r="AU65" s="540">
        <f t="shared" si="26"/>
        <v>0</v>
      </c>
      <c r="AV65" s="540">
        <f t="shared" si="22"/>
        <v>-10503953.59645615</v>
      </c>
      <c r="AW65" s="540">
        <f t="shared" si="23"/>
        <v>-315118607.89368451</v>
      </c>
      <c r="AX65" s="576">
        <v>5.0000000000000001E-4</v>
      </c>
      <c r="AY65" s="540">
        <f>ENERGÍA!AT149</f>
        <v>0</v>
      </c>
      <c r="AZ65" s="644">
        <f t="shared" si="27"/>
        <v>0</v>
      </c>
      <c r="BA65" s="644">
        <f>(((ENERGÍA!$AM$237+ENERGÍA!$AM$238)*0.001)/12)*3600*1000</f>
        <v>0</v>
      </c>
      <c r="BB65" s="540">
        <f t="shared" si="28"/>
        <v>0</v>
      </c>
      <c r="BH65" s="1198"/>
      <c r="BI65" s="575" t="s">
        <v>623</v>
      </c>
      <c r="BJ65" s="639" t="s">
        <v>1185</v>
      </c>
      <c r="BK65" s="639" t="s">
        <v>1186</v>
      </c>
      <c r="BL65" s="577" t="s">
        <v>623</v>
      </c>
      <c r="BM65" s="576" t="s">
        <v>1625</v>
      </c>
      <c r="BN65" s="1182"/>
      <c r="BO65" s="1182"/>
      <c r="BP65" s="1182"/>
    </row>
    <row r="66" spans="2:68" ht="16" customHeight="1" thickBot="1">
      <c r="B66" s="240">
        <v>6</v>
      </c>
      <c r="C66" s="371"/>
      <c r="D66" s="371"/>
      <c r="E66" s="371"/>
      <c r="F66" s="371"/>
      <c r="G66" s="1191">
        <f t="shared" si="29"/>
        <v>0</v>
      </c>
      <c r="H66" s="1191"/>
      <c r="J66" s="577"/>
      <c r="K66" s="576" t="s">
        <v>312</v>
      </c>
      <c r="L66" s="576">
        <v>500</v>
      </c>
      <c r="M66" s="576">
        <v>0.14000000000000001</v>
      </c>
      <c r="Q66" s="576">
        <f>'BASE DE DATOS'!FQ66</f>
        <v>0</v>
      </c>
      <c r="R66" s="576">
        <f>'BASE DE DATOS'!FR66</f>
        <v>0</v>
      </c>
      <c r="S66" s="576">
        <f>'BASE DE DATOS'!FS66</f>
        <v>0</v>
      </c>
      <c r="AG66" s="576" t="s">
        <v>1740</v>
      </c>
      <c r="AM66" s="576" t="s">
        <v>48</v>
      </c>
      <c r="AO66" s="576" t="s">
        <v>834</v>
      </c>
      <c r="AP66" s="540">
        <f t="shared" si="24"/>
        <v>0</v>
      </c>
      <c r="AQ66" s="540">
        <v>31</v>
      </c>
      <c r="AR66" s="540">
        <f>(VLOOKUP($AW$50,RADIACIONSOLAR,13,FALSE))*AQ66</f>
        <v>0</v>
      </c>
      <c r="AS66" s="540">
        <f>'Modelo de Radiación Solar'!BH76</f>
        <v>-2.8593925985424318</v>
      </c>
      <c r="AT66" s="643">
        <f t="shared" si="25"/>
        <v>0</v>
      </c>
      <c r="AU66" s="540">
        <f t="shared" si="26"/>
        <v>0</v>
      </c>
      <c r="AV66" s="540">
        <f t="shared" si="22"/>
        <v>-10293813.354752755</v>
      </c>
      <c r="AW66" s="540">
        <f t="shared" si="23"/>
        <v>-319108213.99733537</v>
      </c>
      <c r="AX66" s="576">
        <v>5.0000000000000001E-4</v>
      </c>
      <c r="AY66" s="540">
        <f>ENERGÍA!AU149</f>
        <v>0</v>
      </c>
      <c r="AZ66" s="644">
        <f t="shared" si="27"/>
        <v>0</v>
      </c>
      <c r="BA66" s="644">
        <f>(((ENERGÍA!$AM$237+ENERGÍA!$AM$238)*0.001)/12)*3600*1000</f>
        <v>0</v>
      </c>
      <c r="BB66" s="540">
        <f t="shared" si="28"/>
        <v>0</v>
      </c>
      <c r="BH66" s="640" t="s">
        <v>225</v>
      </c>
      <c r="BI66" s="552">
        <f>ENERGÍA!D146</f>
        <v>0</v>
      </c>
      <c r="BJ66" s="552">
        <f>ENERGÍA!E146</f>
        <v>0</v>
      </c>
      <c r="BK66" s="552">
        <f>ENERGÍA!F146</f>
        <v>0</v>
      </c>
      <c r="BL66" s="576">
        <f>ENERGÍA!L146</f>
        <v>0</v>
      </c>
      <c r="BM66" s="576">
        <v>2</v>
      </c>
      <c r="BN66" s="576">
        <f>IF(BL66=$AG$65,0,IF(BL66=$AG$66,BJ66/BM66,IF(BL66=$AG$67,BK66/BM66,IF(BL66=$AG$68,BK66/BM66,0))))</f>
        <v>0</v>
      </c>
      <c r="BO66" s="576">
        <f>IF(BM66=0,0,IF(BL66=$AG$65,0,IF(BN66&lt;1,1,BN66)))</f>
        <v>1</v>
      </c>
      <c r="BP66" s="576">
        <f t="shared" ref="BP66:BP75" si="30">IF(BL66=$AG$65,0,IF(BL66=$AG$66,HLOOKUP(BO66,$BR$21:$BX$22,2,TRUE),IF(BL66=$AG$67,HLOOKUP(BO66,FES,2,TRUE),IF(BL66=$AG$68,HLOOKUP(BO66,$CA$21:$CG$22,2,TRUE),0))))</f>
        <v>0</v>
      </c>
    </row>
    <row r="67" spans="2:68" ht="16" customHeight="1" thickBot="1">
      <c r="B67" s="240">
        <v>7</v>
      </c>
      <c r="C67" s="371"/>
      <c r="D67" s="371"/>
      <c r="E67" s="371"/>
      <c r="F67" s="371"/>
      <c r="G67" s="1191">
        <f t="shared" si="29"/>
        <v>0</v>
      </c>
      <c r="H67" s="1191"/>
      <c r="J67" s="577"/>
      <c r="K67" s="576" t="s">
        <v>313</v>
      </c>
      <c r="L67" s="576">
        <v>600</v>
      </c>
      <c r="M67" s="576">
        <v>0.16</v>
      </c>
      <c r="Q67" s="576">
        <f>'BASE DE DATOS'!FQ67</f>
        <v>0</v>
      </c>
      <c r="R67" s="576">
        <f>'BASE DE DATOS'!FR67</f>
        <v>0</v>
      </c>
      <c r="S67" s="576">
        <f>'BASE DE DATOS'!FS67</f>
        <v>0</v>
      </c>
      <c r="AG67" s="576" t="s">
        <v>1741</v>
      </c>
      <c r="AM67" s="576" t="s">
        <v>80</v>
      </c>
      <c r="BH67" s="640" t="s">
        <v>226</v>
      </c>
      <c r="BI67" s="552">
        <f>ENERGÍA!D147</f>
        <v>0</v>
      </c>
      <c r="BJ67" s="552">
        <f>ENERGÍA!E147</f>
        <v>0</v>
      </c>
      <c r="BK67" s="552">
        <f>ENERGÍA!F147</f>
        <v>0</v>
      </c>
      <c r="BL67" s="576">
        <f>ENERGÍA!L147</f>
        <v>0</v>
      </c>
      <c r="BM67" s="576">
        <f>ENERGÍA!M147</f>
        <v>0</v>
      </c>
      <c r="BN67" s="576">
        <f t="shared" ref="BN67:BN75" si="31">IF(BL67=$AG$65,0,IF(BL67=$AG$66,BJ67/BM67,IF(BL67=$AG$67,BK67/BM67,IF(BL67=$AG$68,BK67/BM67,0))))</f>
        <v>0</v>
      </c>
      <c r="BO67" s="576">
        <f t="shared" ref="BO67:BO75" si="32">IF(BM67=0,0,IF(BL67=$AG$65,0,IF(BN67&lt;1,1,BN67)))</f>
        <v>0</v>
      </c>
      <c r="BP67" s="576">
        <f t="shared" si="30"/>
        <v>0</v>
      </c>
    </row>
    <row r="68" spans="2:68" thickBot="1">
      <c r="B68" s="240">
        <v>8</v>
      </c>
      <c r="C68" s="371"/>
      <c r="D68" s="371"/>
      <c r="E68" s="371"/>
      <c r="F68" s="371"/>
      <c r="G68" s="1191">
        <f t="shared" si="29"/>
        <v>0</v>
      </c>
      <c r="H68" s="1191"/>
      <c r="J68" s="577"/>
      <c r="K68" s="576" t="s">
        <v>304</v>
      </c>
      <c r="L68" s="576">
        <v>1800</v>
      </c>
      <c r="M68" s="576">
        <v>0.93</v>
      </c>
      <c r="Q68" s="576">
        <f>'BASE DE DATOS'!FQ68</f>
        <v>0</v>
      </c>
      <c r="R68" s="576">
        <f>'BASE DE DATOS'!FR68</f>
        <v>0</v>
      </c>
      <c r="S68" s="576">
        <f>'BASE DE DATOS'!FS68</f>
        <v>0</v>
      </c>
      <c r="AG68" s="576" t="s">
        <v>1742</v>
      </c>
      <c r="AM68" s="576" t="s">
        <v>124</v>
      </c>
      <c r="AP68" s="1189" t="s">
        <v>1097</v>
      </c>
      <c r="AQ68" s="576" t="s">
        <v>857</v>
      </c>
      <c r="AR68" s="576" t="s">
        <v>858</v>
      </c>
      <c r="AS68" s="1182" t="s">
        <v>859</v>
      </c>
      <c r="BH68" s="640" t="s">
        <v>597</v>
      </c>
      <c r="BI68" s="552">
        <f>ENERGÍA!D148</f>
        <v>0</v>
      </c>
      <c r="BJ68" s="552">
        <f>ENERGÍA!E148</f>
        <v>0</v>
      </c>
      <c r="BK68" s="552">
        <f>ENERGÍA!F148</f>
        <v>0</v>
      </c>
      <c r="BL68" s="576">
        <f>ENERGÍA!L148</f>
        <v>0</v>
      </c>
      <c r="BM68" s="576">
        <f>ENERGÍA!M148</f>
        <v>0</v>
      </c>
      <c r="BN68" s="576">
        <f t="shared" si="31"/>
        <v>0</v>
      </c>
      <c r="BO68" s="576">
        <f t="shared" si="32"/>
        <v>0</v>
      </c>
      <c r="BP68" s="576">
        <f t="shared" si="30"/>
        <v>0</v>
      </c>
    </row>
    <row r="69" spans="2:68" thickBot="1">
      <c r="B69" s="240">
        <v>9</v>
      </c>
      <c r="C69" s="371"/>
      <c r="D69" s="371"/>
      <c r="E69" s="371"/>
      <c r="F69" s="371"/>
      <c r="G69" s="1191">
        <f t="shared" si="29"/>
        <v>0</v>
      </c>
      <c r="H69" s="1191"/>
      <c r="J69" s="577"/>
      <c r="K69" s="576" t="s">
        <v>305</v>
      </c>
      <c r="L69" s="576">
        <v>2300</v>
      </c>
      <c r="M69" s="576">
        <v>1.4</v>
      </c>
      <c r="Q69" s="576">
        <f>'BASE DE DATOS'!FQ69</f>
        <v>0</v>
      </c>
      <c r="R69" s="576">
        <f>'BASE DE DATOS'!FR69</f>
        <v>0</v>
      </c>
      <c r="S69" s="576">
        <f>'BASE DE DATOS'!FS69</f>
        <v>0</v>
      </c>
      <c r="AK69" s="576" t="s">
        <v>788</v>
      </c>
      <c r="AM69" s="576" t="s">
        <v>1272</v>
      </c>
      <c r="AP69" s="1189"/>
      <c r="AQ69" s="576" t="s">
        <v>852</v>
      </c>
      <c r="AR69" s="576" t="s">
        <v>852</v>
      </c>
      <c r="AS69" s="1182"/>
      <c r="BH69" s="640" t="s">
        <v>1222</v>
      </c>
      <c r="BI69" s="552">
        <f>ENERGÍA!D149</f>
        <v>0</v>
      </c>
      <c r="BJ69" s="552">
        <f>ENERGÍA!E149</f>
        <v>0</v>
      </c>
      <c r="BK69" s="552">
        <f>ENERGÍA!F149</f>
        <v>0</v>
      </c>
      <c r="BL69" s="576">
        <f>ENERGÍA!L149</f>
        <v>0</v>
      </c>
      <c r="BM69" s="576">
        <f>ENERGÍA!M149</f>
        <v>0</v>
      </c>
      <c r="BN69" s="576">
        <f t="shared" si="31"/>
        <v>0</v>
      </c>
      <c r="BO69" s="576">
        <f t="shared" si="32"/>
        <v>0</v>
      </c>
      <c r="BP69" s="576">
        <f t="shared" si="30"/>
        <v>0</v>
      </c>
    </row>
    <row r="70" spans="2:68" thickBot="1">
      <c r="B70" s="240">
        <v>10</v>
      </c>
      <c r="C70" s="371"/>
      <c r="D70" s="371"/>
      <c r="E70" s="371"/>
      <c r="F70" s="371"/>
      <c r="G70" s="1191">
        <f t="shared" si="29"/>
        <v>0</v>
      </c>
      <c r="H70" s="1191"/>
      <c r="J70" s="577"/>
      <c r="K70" s="576" t="s">
        <v>306</v>
      </c>
      <c r="L70" s="576">
        <v>700</v>
      </c>
      <c r="M70" s="576">
        <v>0.22</v>
      </c>
      <c r="Q70" s="576">
        <f>'BASE DE DATOS'!FQ70</f>
        <v>0</v>
      </c>
      <c r="R70" s="576">
        <f>'BASE DE DATOS'!FR70</f>
        <v>0</v>
      </c>
      <c r="S70" s="576">
        <f>'BASE DE DATOS'!FS70</f>
        <v>0</v>
      </c>
      <c r="AK70" s="576" t="s">
        <v>789</v>
      </c>
      <c r="AM70" s="576" t="s">
        <v>145</v>
      </c>
      <c r="AO70" s="576" t="s">
        <v>823</v>
      </c>
      <c r="AP70" s="540">
        <f>ENERGÍA!$AJ$66</f>
        <v>0</v>
      </c>
      <c r="AQ70" s="540" t="e">
        <f>$AU$47*$AQ$51*$AU$48*(100-AP70)*AQ55*24*3600</f>
        <v>#N/A</v>
      </c>
      <c r="AR70" s="540" t="e">
        <f t="shared" ref="AR70:AR81" si="33">$AU$47*$AP$51*$AU$48*$AU$49*AW55</f>
        <v>#N/A</v>
      </c>
      <c r="AS70" s="540">
        <f>(11.6+1.18*50+3.86*14.5-2.32*AP70)/(100-AP70)</f>
        <v>1.2656999999999998</v>
      </c>
      <c r="BH70" s="640" t="s">
        <v>1223</v>
      </c>
      <c r="BI70" s="552">
        <f>ENERGÍA!D150</f>
        <v>0</v>
      </c>
      <c r="BJ70" s="552">
        <f>ENERGÍA!E150</f>
        <v>0</v>
      </c>
      <c r="BK70" s="552">
        <f>ENERGÍA!F150</f>
        <v>0</v>
      </c>
      <c r="BL70" s="576">
        <f>ENERGÍA!L150</f>
        <v>0</v>
      </c>
      <c r="BM70" s="576">
        <f>ENERGÍA!M150</f>
        <v>0</v>
      </c>
      <c r="BN70" s="576">
        <f t="shared" si="31"/>
        <v>0</v>
      </c>
      <c r="BO70" s="576">
        <f t="shared" si="32"/>
        <v>0</v>
      </c>
      <c r="BP70" s="576">
        <f t="shared" si="30"/>
        <v>0</v>
      </c>
    </row>
    <row r="71" spans="2:68" thickBot="1">
      <c r="B71" s="801" t="s">
        <v>1234</v>
      </c>
      <c r="C71" s="801"/>
      <c r="D71" s="801"/>
      <c r="E71" s="801"/>
      <c r="F71" s="801"/>
      <c r="G71" s="1135">
        <v>0.13</v>
      </c>
      <c r="H71" s="1135"/>
      <c r="J71" s="577"/>
      <c r="K71" s="576" t="s">
        <v>307</v>
      </c>
      <c r="L71" s="576">
        <v>800</v>
      </c>
      <c r="M71" s="576">
        <v>0.28999999999999998</v>
      </c>
      <c r="Q71" s="576">
        <f>'BASE DE DATOS'!FQ71</f>
        <v>0</v>
      </c>
      <c r="R71" s="576">
        <f>'BASE DE DATOS'!FR71</f>
        <v>0</v>
      </c>
      <c r="S71" s="576">
        <f>'BASE DE DATOS'!FS71</f>
        <v>0</v>
      </c>
      <c r="AK71" s="576" t="s">
        <v>609</v>
      </c>
      <c r="AM71" s="576" t="s">
        <v>1260</v>
      </c>
      <c r="AO71" s="576" t="s">
        <v>824</v>
      </c>
      <c r="AP71" s="540">
        <f>ENERGÍA!$AK$66</f>
        <v>0</v>
      </c>
      <c r="AQ71" s="540" t="e">
        <f t="shared" ref="AQ71:AQ81" si="34">$AU$47*$AQ$51*$AU$48*(100-AP71)*AQ56*24*3600</f>
        <v>#N/A</v>
      </c>
      <c r="AR71" s="540" t="e">
        <f t="shared" si="33"/>
        <v>#N/A</v>
      </c>
      <c r="AS71" s="540">
        <f t="shared" ref="AS71:AS81" si="35">(11.6+1.18*50+3.86*14.5-2.32*AP71)/(100-AP71)</f>
        <v>1.2656999999999998</v>
      </c>
      <c r="BH71" s="640" t="s">
        <v>1224</v>
      </c>
      <c r="BI71" s="552">
        <f>ENERGÍA!D151</f>
        <v>0</v>
      </c>
      <c r="BJ71" s="552">
        <f>ENERGÍA!E151</f>
        <v>0</v>
      </c>
      <c r="BK71" s="552">
        <f>ENERGÍA!F151</f>
        <v>0</v>
      </c>
      <c r="BL71" s="576">
        <f>ENERGÍA!L151</f>
        <v>0</v>
      </c>
      <c r="BM71" s="576">
        <f>ENERGÍA!M151</f>
        <v>0</v>
      </c>
      <c r="BN71" s="576">
        <f t="shared" si="31"/>
        <v>0</v>
      </c>
      <c r="BO71" s="576">
        <f t="shared" si="32"/>
        <v>0</v>
      </c>
      <c r="BP71" s="576">
        <f t="shared" si="30"/>
        <v>0</v>
      </c>
    </row>
    <row r="72" spans="2:68" thickBot="1">
      <c r="B72" s="1195" t="s">
        <v>250</v>
      </c>
      <c r="C72" s="1195"/>
      <c r="D72" s="1195"/>
      <c r="E72" s="1195"/>
      <c r="F72" s="1195"/>
      <c r="G72" s="1135">
        <f>SUM(G60:H71)</f>
        <v>0.17</v>
      </c>
      <c r="H72" s="1135"/>
      <c r="J72" s="577"/>
      <c r="K72" s="576" t="s">
        <v>308</v>
      </c>
      <c r="L72" s="576">
        <v>900</v>
      </c>
      <c r="M72" s="576">
        <v>0.36</v>
      </c>
      <c r="Q72" s="576">
        <f>'BASE DE DATOS'!FQ72</f>
        <v>0</v>
      </c>
      <c r="R72" s="576">
        <f>'BASE DE DATOS'!FR72</f>
        <v>0</v>
      </c>
      <c r="S72" s="576">
        <f>'BASE DE DATOS'!FS72</f>
        <v>0</v>
      </c>
      <c r="AM72" s="576" t="s">
        <v>204</v>
      </c>
      <c r="AO72" s="576" t="s">
        <v>825</v>
      </c>
      <c r="AP72" s="540">
        <f>ENERGÍA!$AL$66</f>
        <v>0</v>
      </c>
      <c r="AQ72" s="540" t="e">
        <f t="shared" si="34"/>
        <v>#N/A</v>
      </c>
      <c r="AR72" s="540" t="e">
        <f t="shared" si="33"/>
        <v>#N/A</v>
      </c>
      <c r="AS72" s="540">
        <f t="shared" si="35"/>
        <v>1.2656999999999998</v>
      </c>
      <c r="BH72" s="640" t="s">
        <v>1225</v>
      </c>
      <c r="BI72" s="552">
        <f>ENERGÍA!D152</f>
        <v>0</v>
      </c>
      <c r="BJ72" s="552">
        <f>ENERGÍA!E152</f>
        <v>0</v>
      </c>
      <c r="BK72" s="552">
        <f>ENERGÍA!F152</f>
        <v>0</v>
      </c>
      <c r="BL72" s="576">
        <f>ENERGÍA!L152</f>
        <v>0</v>
      </c>
      <c r="BM72" s="576">
        <f>ENERGÍA!M152</f>
        <v>0</v>
      </c>
      <c r="BN72" s="576">
        <f t="shared" si="31"/>
        <v>0</v>
      </c>
      <c r="BO72" s="576">
        <f t="shared" si="32"/>
        <v>0</v>
      </c>
      <c r="BP72" s="576">
        <f t="shared" si="30"/>
        <v>0</v>
      </c>
    </row>
    <row r="73" spans="2:68" thickBot="1">
      <c r="B73" s="1195" t="s">
        <v>251</v>
      </c>
      <c r="C73" s="1195"/>
      <c r="D73" s="1195"/>
      <c r="E73" s="1195"/>
      <c r="F73" s="1195"/>
      <c r="G73" s="1190">
        <f>IFERROR(1/G72,0)</f>
        <v>5.8823529411764701</v>
      </c>
      <c r="H73" s="1190"/>
      <c r="J73" s="577"/>
      <c r="K73" s="576" t="s">
        <v>309</v>
      </c>
      <c r="L73" s="576">
        <v>1000</v>
      </c>
      <c r="M73" s="576">
        <v>0.42</v>
      </c>
      <c r="Q73" s="576">
        <f>'BASE DE DATOS'!FQ73</f>
        <v>0</v>
      </c>
      <c r="R73" s="576">
        <f>'BASE DE DATOS'!FR73</f>
        <v>0</v>
      </c>
      <c r="S73" s="576">
        <f>'BASE DE DATOS'!FS73</f>
        <v>0</v>
      </c>
      <c r="AG73" s="576" t="s">
        <v>1215</v>
      </c>
      <c r="AM73" s="576" t="s">
        <v>93</v>
      </c>
      <c r="AO73" s="576" t="s">
        <v>826</v>
      </c>
      <c r="AP73" s="540">
        <f>ENERGÍA!$AM$66</f>
        <v>0</v>
      </c>
      <c r="AQ73" s="540" t="e">
        <f t="shared" si="34"/>
        <v>#N/A</v>
      </c>
      <c r="AR73" s="540" t="e">
        <f t="shared" si="33"/>
        <v>#N/A</v>
      </c>
      <c r="AS73" s="540">
        <f t="shared" si="35"/>
        <v>1.2656999999999998</v>
      </c>
      <c r="BH73" s="640" t="s">
        <v>1226</v>
      </c>
      <c r="BI73" s="552">
        <f>ENERGÍA!D153</f>
        <v>0</v>
      </c>
      <c r="BJ73" s="552">
        <f>ENERGÍA!E153</f>
        <v>0</v>
      </c>
      <c r="BK73" s="552">
        <f>ENERGÍA!F153</f>
        <v>0</v>
      </c>
      <c r="BL73" s="576">
        <f>ENERGÍA!L153</f>
        <v>0</v>
      </c>
      <c r="BM73" s="576">
        <f>ENERGÍA!M153</f>
        <v>0</v>
      </c>
      <c r="BN73" s="576">
        <f t="shared" si="31"/>
        <v>0</v>
      </c>
      <c r="BO73" s="576">
        <f t="shared" si="32"/>
        <v>0</v>
      </c>
      <c r="BP73" s="576">
        <f t="shared" si="30"/>
        <v>0</v>
      </c>
    </row>
    <row r="74" spans="2:68" thickBot="1">
      <c r="J74" s="577"/>
      <c r="K74" s="576" t="s">
        <v>310</v>
      </c>
      <c r="L74" s="576">
        <v>1400</v>
      </c>
      <c r="M74" s="576">
        <v>0.56999999999999995</v>
      </c>
      <c r="Q74" s="576">
        <f>'BASE DE DATOS'!FQ74</f>
        <v>0</v>
      </c>
      <c r="R74" s="576">
        <f>'BASE DE DATOS'!FR74</f>
        <v>0</v>
      </c>
      <c r="S74" s="576">
        <f>'BASE DE DATOS'!FS74</f>
        <v>0</v>
      </c>
      <c r="AG74" s="576" t="s">
        <v>1216</v>
      </c>
      <c r="AI74" s="576" t="s">
        <v>988</v>
      </c>
      <c r="AM74" s="576" t="s">
        <v>177</v>
      </c>
      <c r="AO74" s="576" t="s">
        <v>827</v>
      </c>
      <c r="AP74" s="540">
        <f>ENERGÍA!$AN$66</f>
        <v>0</v>
      </c>
      <c r="AQ74" s="540" t="e">
        <f t="shared" si="34"/>
        <v>#N/A</v>
      </c>
      <c r="AR74" s="540" t="e">
        <f t="shared" si="33"/>
        <v>#N/A</v>
      </c>
      <c r="AS74" s="540">
        <f t="shared" si="35"/>
        <v>1.2656999999999998</v>
      </c>
      <c r="BH74" s="640" t="s">
        <v>1227</v>
      </c>
      <c r="BI74" s="552" t="str">
        <f>ENERGÍA!D154</f>
        <v>-</v>
      </c>
      <c r="BJ74" s="552">
        <f>ENERGÍA!E154</f>
        <v>0</v>
      </c>
      <c r="BK74" s="552">
        <f>ENERGÍA!F154</f>
        <v>0</v>
      </c>
      <c r="BL74" s="576">
        <f>ENERGÍA!L154</f>
        <v>0</v>
      </c>
      <c r="BM74" s="576">
        <f>ENERGÍA!M154</f>
        <v>0</v>
      </c>
      <c r="BN74" s="576">
        <f t="shared" si="31"/>
        <v>0</v>
      </c>
      <c r="BO74" s="576">
        <f t="shared" si="32"/>
        <v>0</v>
      </c>
      <c r="BP74" s="576">
        <f t="shared" si="30"/>
        <v>0</v>
      </c>
    </row>
    <row r="75" spans="2:68" thickBot="1">
      <c r="B75" s="800" t="s">
        <v>1945</v>
      </c>
      <c r="C75" s="800"/>
      <c r="D75" s="261" t="s">
        <v>243</v>
      </c>
      <c r="E75" s="800" t="s">
        <v>244</v>
      </c>
      <c r="F75" s="800"/>
      <c r="G75" s="800"/>
      <c r="H75" s="800"/>
      <c r="J75" s="577"/>
      <c r="K75" s="576" t="s">
        <v>311</v>
      </c>
      <c r="L75" s="576">
        <v>1600</v>
      </c>
      <c r="M75" s="576">
        <v>0.89</v>
      </c>
      <c r="Q75" s="576">
        <f>'BASE DE DATOS'!FQ75</f>
        <v>0</v>
      </c>
      <c r="R75" s="576">
        <f>'BASE DE DATOS'!FR75</f>
        <v>0</v>
      </c>
      <c r="S75" s="576">
        <f>'BASE DE DATOS'!FS75</f>
        <v>0</v>
      </c>
      <c r="AG75" s="576" t="s">
        <v>1217</v>
      </c>
      <c r="AI75" s="576" t="s">
        <v>989</v>
      </c>
      <c r="AM75" s="576" t="s">
        <v>125</v>
      </c>
      <c r="AO75" s="576" t="s">
        <v>828</v>
      </c>
      <c r="AP75" s="540">
        <f>ENERGÍA!$AO$66</f>
        <v>0</v>
      </c>
      <c r="AQ75" s="540" t="e">
        <f t="shared" si="34"/>
        <v>#N/A</v>
      </c>
      <c r="AR75" s="540" t="e">
        <f t="shared" si="33"/>
        <v>#N/A</v>
      </c>
      <c r="AS75" s="540">
        <f t="shared" si="35"/>
        <v>1.2656999999999998</v>
      </c>
      <c r="BH75" s="640" t="s">
        <v>1228</v>
      </c>
      <c r="BI75" s="552" t="str">
        <f>ENERGÍA!D155</f>
        <v>-</v>
      </c>
      <c r="BJ75" s="552">
        <f>ENERGÍA!E155</f>
        <v>0</v>
      </c>
      <c r="BK75" s="552">
        <f>ENERGÍA!F155</f>
        <v>0</v>
      </c>
      <c r="BL75" s="576">
        <f>ENERGÍA!L155</f>
        <v>0</v>
      </c>
      <c r="BM75" s="576">
        <f>ENERGÍA!M155</f>
        <v>0</v>
      </c>
      <c r="BN75" s="576">
        <f t="shared" si="31"/>
        <v>0</v>
      </c>
      <c r="BO75" s="576">
        <f t="shared" si="32"/>
        <v>0</v>
      </c>
      <c r="BP75" s="576">
        <f t="shared" si="30"/>
        <v>0</v>
      </c>
    </row>
    <row r="76" spans="2:68" thickBot="1">
      <c r="B76" s="1196"/>
      <c r="C76" s="1196"/>
      <c r="D76" s="1196"/>
      <c r="E76" s="1192"/>
      <c r="F76" s="1192"/>
      <c r="G76" s="1192"/>
      <c r="H76" s="1192"/>
      <c r="J76" s="577"/>
      <c r="K76" s="576" t="s">
        <v>312</v>
      </c>
      <c r="L76" s="576">
        <v>500</v>
      </c>
      <c r="M76" s="576">
        <v>0.14000000000000001</v>
      </c>
      <c r="Q76" s="576">
        <f>'BASE DE DATOS'!FQ76</f>
        <v>0</v>
      </c>
      <c r="R76" s="576">
        <f>'BASE DE DATOS'!FR76</f>
        <v>0</v>
      </c>
      <c r="S76" s="576">
        <f>'BASE DE DATOS'!FS76</f>
        <v>0</v>
      </c>
      <c r="AI76" s="576" t="s">
        <v>990</v>
      </c>
      <c r="AM76" s="576" t="s">
        <v>126</v>
      </c>
      <c r="AO76" s="576" t="s">
        <v>829</v>
      </c>
      <c r="AP76" s="540">
        <f>ENERGÍA!$AP$66</f>
        <v>0</v>
      </c>
      <c r="AQ76" s="540" t="e">
        <f t="shared" si="34"/>
        <v>#N/A</v>
      </c>
      <c r="AR76" s="540" t="e">
        <f t="shared" si="33"/>
        <v>#N/A</v>
      </c>
      <c r="AS76" s="540">
        <f t="shared" si="35"/>
        <v>1.2656999999999998</v>
      </c>
      <c r="BH76" s="638"/>
      <c r="BI76" s="638"/>
      <c r="BJ76" s="638"/>
      <c r="BK76" s="638"/>
      <c r="BL76" s="638"/>
      <c r="BM76" s="638"/>
      <c r="BN76" s="638"/>
      <c r="BO76" s="638"/>
    </row>
    <row r="77" spans="2:68" thickBot="1">
      <c r="B77" s="1196"/>
      <c r="C77" s="1196"/>
      <c r="D77" s="1196"/>
      <c r="E77" s="1192"/>
      <c r="F77" s="1192"/>
      <c r="G77" s="1192"/>
      <c r="H77" s="1192"/>
      <c r="J77" s="577"/>
      <c r="K77" s="576" t="s">
        <v>313</v>
      </c>
      <c r="L77" s="576">
        <v>600</v>
      </c>
      <c r="M77" s="576">
        <v>0.16</v>
      </c>
      <c r="Q77" s="576">
        <f>'BASE DE DATOS'!FQ77</f>
        <v>0</v>
      </c>
      <c r="R77" s="576">
        <f>'BASE DE DATOS'!FR77</f>
        <v>0</v>
      </c>
      <c r="S77" s="576">
        <f>'BASE DE DATOS'!FS77</f>
        <v>0</v>
      </c>
      <c r="AM77" s="576" t="s">
        <v>1261</v>
      </c>
      <c r="AO77" s="576" t="s">
        <v>830</v>
      </c>
      <c r="AP77" s="540">
        <f>ENERGÍA!$AQ$66</f>
        <v>0</v>
      </c>
      <c r="AQ77" s="540" t="e">
        <f t="shared" si="34"/>
        <v>#N/A</v>
      </c>
      <c r="AR77" s="540" t="e">
        <f t="shared" si="33"/>
        <v>#N/A</v>
      </c>
      <c r="AS77" s="540">
        <f t="shared" si="35"/>
        <v>1.2656999999999998</v>
      </c>
      <c r="BG77" s="638"/>
      <c r="BH77" s="638"/>
      <c r="BI77" s="641"/>
      <c r="BJ77" s="641"/>
      <c r="BK77" s="638"/>
      <c r="BL77" s="638"/>
      <c r="BM77" s="638"/>
      <c r="BN77" s="638"/>
      <c r="BO77" s="638"/>
    </row>
    <row r="78" spans="2:68" ht="18" thickBot="1">
      <c r="B78" s="1196"/>
      <c r="C78" s="1196"/>
      <c r="D78" s="1196"/>
      <c r="E78" s="1192"/>
      <c r="F78" s="1192"/>
      <c r="G78" s="1192"/>
      <c r="H78" s="1192"/>
      <c r="J78" s="577" t="str">
        <f>K425</f>
        <v>Hormigones_Especiales</v>
      </c>
      <c r="K78" s="576" t="s">
        <v>319</v>
      </c>
      <c r="L78" s="576">
        <v>1100</v>
      </c>
      <c r="M78" s="576">
        <v>0.37</v>
      </c>
      <c r="Q78" s="576">
        <f>'BASE DE DATOS'!FQ78</f>
        <v>0</v>
      </c>
      <c r="R78" s="576">
        <f>'BASE DE DATOS'!FR78</f>
        <v>0</v>
      </c>
      <c r="S78" s="576">
        <f>'BASE DE DATOS'!FS78</f>
        <v>0</v>
      </c>
      <c r="AG78" s="576" t="s">
        <v>1216</v>
      </c>
      <c r="AM78" s="576" t="s">
        <v>197</v>
      </c>
      <c r="AO78" s="576" t="s">
        <v>831</v>
      </c>
      <c r="AP78" s="540">
        <f>ENERGÍA!$AR$66</f>
        <v>0</v>
      </c>
      <c r="AQ78" s="540" t="e">
        <f t="shared" si="34"/>
        <v>#N/A</v>
      </c>
      <c r="AR78" s="540" t="e">
        <f t="shared" si="33"/>
        <v>#N/A</v>
      </c>
      <c r="AS78" s="540">
        <f t="shared" si="35"/>
        <v>1.2656999999999998</v>
      </c>
      <c r="BG78" s="638"/>
      <c r="BH78" s="638"/>
      <c r="BI78" s="641"/>
      <c r="BJ78" s="641"/>
      <c r="BK78" s="638"/>
      <c r="BL78" s="638"/>
      <c r="BM78" s="638"/>
      <c r="BN78" s="638"/>
      <c r="BO78" s="638"/>
    </row>
    <row r="79" spans="2:68" thickBot="1">
      <c r="B79" s="1196"/>
      <c r="C79" s="1196"/>
      <c r="D79" s="1196"/>
      <c r="E79" s="1192"/>
      <c r="F79" s="1192"/>
      <c r="G79" s="1192"/>
      <c r="H79" s="1192"/>
      <c r="J79" s="577"/>
      <c r="K79" s="576" t="s">
        <v>320</v>
      </c>
      <c r="L79" s="576">
        <v>1300</v>
      </c>
      <c r="M79" s="576">
        <v>0.45</v>
      </c>
      <c r="Q79" s="576">
        <f>'BASE DE DATOS'!FQ79</f>
        <v>0</v>
      </c>
      <c r="R79" s="576">
        <f>'BASE DE DATOS'!FR79</f>
        <v>0</v>
      </c>
      <c r="S79" s="576">
        <f>'BASE DE DATOS'!FS79</f>
        <v>0</v>
      </c>
      <c r="AG79" s="576" t="s">
        <v>1218</v>
      </c>
      <c r="AM79" s="576" t="s">
        <v>35</v>
      </c>
      <c r="AO79" s="576" t="s">
        <v>832</v>
      </c>
      <c r="AP79" s="540">
        <f>ENERGÍA!$AS$66</f>
        <v>0</v>
      </c>
      <c r="AQ79" s="540" t="e">
        <f t="shared" si="34"/>
        <v>#N/A</v>
      </c>
      <c r="AR79" s="540" t="e">
        <f t="shared" si="33"/>
        <v>#N/A</v>
      </c>
      <c r="AS79" s="540">
        <f t="shared" si="35"/>
        <v>1.2656999999999998</v>
      </c>
      <c r="BH79" s="638"/>
      <c r="BI79" s="638"/>
      <c r="BJ79" s="639"/>
      <c r="BK79" s="639"/>
      <c r="BL79" s="638"/>
      <c r="BM79" s="638"/>
      <c r="BN79" s="638"/>
      <c r="BO79" s="638"/>
    </row>
    <row r="80" spans="2:68" thickBot="1">
      <c r="B80" s="1196"/>
      <c r="C80" s="1196"/>
      <c r="D80" s="1196"/>
      <c r="E80" s="1192"/>
      <c r="F80" s="1192"/>
      <c r="G80" s="1192"/>
      <c r="H80" s="1192"/>
      <c r="J80" s="577"/>
      <c r="K80" s="576" t="s">
        <v>321</v>
      </c>
      <c r="L80" s="576">
        <v>1600</v>
      </c>
      <c r="M80" s="576">
        <v>0.63</v>
      </c>
      <c r="Q80" s="576">
        <f>'BASE DE DATOS'!FQ80</f>
        <v>0</v>
      </c>
      <c r="R80" s="576">
        <f>'BASE DE DATOS'!FR80</f>
        <v>0</v>
      </c>
      <c r="S80" s="576">
        <f>'BASE DE DATOS'!FS80</f>
        <v>0</v>
      </c>
      <c r="AG80" s="576" t="s">
        <v>1221</v>
      </c>
      <c r="AM80" s="576" t="s">
        <v>36</v>
      </c>
      <c r="AO80" s="576" t="s">
        <v>833</v>
      </c>
      <c r="AP80" s="540">
        <f>ENERGÍA!$AT$66</f>
        <v>0</v>
      </c>
      <c r="AQ80" s="540" t="e">
        <f t="shared" si="34"/>
        <v>#N/A</v>
      </c>
      <c r="AR80" s="540" t="e">
        <f t="shared" si="33"/>
        <v>#N/A</v>
      </c>
      <c r="AS80" s="540">
        <f t="shared" si="35"/>
        <v>1.2656999999999998</v>
      </c>
      <c r="BH80" s="1193">
        <f>ENERGÍA!B160</f>
        <v>0</v>
      </c>
      <c r="BI80" s="1193"/>
      <c r="BJ80" s="1193"/>
      <c r="BK80" s="1193"/>
      <c r="BL80" s="1193"/>
      <c r="BM80" s="1193"/>
      <c r="BN80" s="1193"/>
      <c r="BO80" s="1193"/>
    </row>
    <row r="81" spans="2:68" thickBot="1">
      <c r="B81" s="1196"/>
      <c r="C81" s="1196"/>
      <c r="D81" s="1196"/>
      <c r="E81" s="1192"/>
      <c r="F81" s="1192"/>
      <c r="G81" s="1192"/>
      <c r="H81" s="1192"/>
      <c r="J81" s="577"/>
      <c r="K81" s="576" t="s">
        <v>322</v>
      </c>
      <c r="L81" s="576">
        <v>2000</v>
      </c>
      <c r="M81" s="576">
        <v>1.0900000000000001</v>
      </c>
      <c r="Q81" s="576">
        <f>'BASE DE DATOS'!FQ81</f>
        <v>0</v>
      </c>
      <c r="R81" s="576">
        <f>'BASE DE DATOS'!FR81</f>
        <v>0</v>
      </c>
      <c r="S81" s="576">
        <f>'BASE DE DATOS'!FS81</f>
        <v>0</v>
      </c>
      <c r="AK81" s="550" t="s">
        <v>1547</v>
      </c>
      <c r="AM81" s="576" t="s">
        <v>127</v>
      </c>
      <c r="AO81" s="576" t="s">
        <v>834</v>
      </c>
      <c r="AP81" s="540">
        <f>ENERGÍA!$AU$66</f>
        <v>0</v>
      </c>
      <c r="AQ81" s="540" t="e">
        <f t="shared" si="34"/>
        <v>#N/A</v>
      </c>
      <c r="AR81" s="540" t="e">
        <f t="shared" si="33"/>
        <v>#N/A</v>
      </c>
      <c r="AS81" s="540">
        <f t="shared" si="35"/>
        <v>1.2656999999999998</v>
      </c>
      <c r="BH81" s="638"/>
      <c r="BI81" s="638"/>
      <c r="BJ81" s="639"/>
      <c r="BK81" s="639"/>
      <c r="BL81" s="638"/>
      <c r="BM81" s="638"/>
      <c r="BN81" s="638"/>
      <c r="BO81" s="638"/>
    </row>
    <row r="82" spans="2:68" ht="35" thickBot="1">
      <c r="B82" s="229" t="s">
        <v>245</v>
      </c>
      <c r="C82" s="229" t="s">
        <v>246</v>
      </c>
      <c r="D82" s="229" t="s">
        <v>222</v>
      </c>
      <c r="E82" s="229" t="s">
        <v>247</v>
      </c>
      <c r="F82" s="229" t="s">
        <v>549</v>
      </c>
      <c r="G82" s="1191" t="s">
        <v>1459</v>
      </c>
      <c r="H82" s="1191"/>
      <c r="J82" s="577"/>
      <c r="K82" s="576" t="s">
        <v>1743</v>
      </c>
      <c r="L82" s="576">
        <v>300</v>
      </c>
      <c r="M82" s="576">
        <v>0.09</v>
      </c>
      <c r="Q82" s="576">
        <f>'BASE DE DATOS'!FQ82</f>
        <v>0</v>
      </c>
      <c r="R82" s="576">
        <f>'BASE DE DATOS'!FR82</f>
        <v>0</v>
      </c>
      <c r="S82" s="576">
        <f>'BASE DE DATOS'!FS82</f>
        <v>0</v>
      </c>
      <c r="AK82" s="550" t="s">
        <v>1552</v>
      </c>
      <c r="AM82" s="576" t="s">
        <v>139</v>
      </c>
      <c r="BH82" s="1198"/>
      <c r="BI82" s="1193" t="s">
        <v>1184</v>
      </c>
      <c r="BJ82" s="1193"/>
      <c r="BK82" s="1193"/>
      <c r="BL82" s="1189" t="s">
        <v>1721</v>
      </c>
      <c r="BM82" s="1189"/>
      <c r="BN82" s="1182" t="s">
        <v>1383</v>
      </c>
      <c r="BO82" s="1182"/>
      <c r="BP82" s="1182" t="s">
        <v>1017</v>
      </c>
    </row>
    <row r="83" spans="2:68" ht="18" thickBot="1">
      <c r="B83" s="801" t="s">
        <v>1238</v>
      </c>
      <c r="C83" s="801"/>
      <c r="D83" s="801"/>
      <c r="E83" s="801"/>
      <c r="F83" s="801"/>
      <c r="G83" s="1135">
        <v>0.04</v>
      </c>
      <c r="H83" s="1135"/>
      <c r="J83" s="577"/>
      <c r="K83" s="576" t="s">
        <v>1744</v>
      </c>
      <c r="L83" s="576">
        <v>400</v>
      </c>
      <c r="M83" s="576">
        <v>0.14000000000000001</v>
      </c>
      <c r="Q83" s="576">
        <f>'BASE DE DATOS'!FQ83</f>
        <v>0</v>
      </c>
      <c r="R83" s="576">
        <f>'BASE DE DATOS'!FR83</f>
        <v>0</v>
      </c>
      <c r="S83" s="576">
        <f>'BASE DE DATOS'!FS83</f>
        <v>0</v>
      </c>
      <c r="AK83" s="550" t="s">
        <v>1553</v>
      </c>
      <c r="AM83" s="576" t="s">
        <v>81</v>
      </c>
      <c r="AO83" s="1182" t="s">
        <v>779</v>
      </c>
      <c r="AP83" s="1182"/>
      <c r="AQ83" s="1182"/>
      <c r="AR83" s="1182"/>
      <c r="AS83" s="1182"/>
      <c r="AT83" s="1182"/>
      <c r="AU83" s="1182"/>
      <c r="AV83" s="1182"/>
      <c r="AW83" s="1182"/>
      <c r="AX83" s="1182"/>
      <c r="AY83" s="1182"/>
      <c r="AZ83" s="1182"/>
      <c r="BA83" s="1182"/>
      <c r="BB83" s="1182"/>
      <c r="BH83" s="1198"/>
      <c r="BI83" s="575" t="s">
        <v>623</v>
      </c>
      <c r="BJ83" s="639" t="s">
        <v>1185</v>
      </c>
      <c r="BK83" s="639" t="s">
        <v>1186</v>
      </c>
      <c r="BL83" s="577" t="s">
        <v>623</v>
      </c>
      <c r="BM83" s="576" t="s">
        <v>1625</v>
      </c>
      <c r="BN83" s="1182"/>
      <c r="BO83" s="1182"/>
      <c r="BP83" s="1182"/>
    </row>
    <row r="84" spans="2:68" thickBot="1">
      <c r="B84" s="240">
        <v>1</v>
      </c>
      <c r="C84" s="370"/>
      <c r="D84" s="370"/>
      <c r="E84" s="372"/>
      <c r="F84" s="262">
        <f>IFERROR(VLOOKUP($D84,'Materiales Personalizados'!K$4:O$332,3,FALSE),0)</f>
        <v>0</v>
      </c>
      <c r="G84" s="1191">
        <f t="shared" ref="G84:G96" si="36">IFERROR(+E84/F84,0)</f>
        <v>0</v>
      </c>
      <c r="H84" s="1191"/>
      <c r="J84" s="577"/>
      <c r="K84" s="576" t="s">
        <v>326</v>
      </c>
      <c r="L84" s="576">
        <v>1300</v>
      </c>
      <c r="M84" s="576">
        <v>0.35</v>
      </c>
      <c r="Q84" s="576">
        <f>'BASE DE DATOS'!FQ84</f>
        <v>0</v>
      </c>
      <c r="R84" s="576">
        <f>'BASE DE DATOS'!FR84</f>
        <v>0</v>
      </c>
      <c r="S84" s="576">
        <f>'BASE DE DATOS'!FS84</f>
        <v>0</v>
      </c>
      <c r="AI84" s="576" t="s">
        <v>1886</v>
      </c>
      <c r="AK84" s="550" t="s">
        <v>1554</v>
      </c>
      <c r="AM84" s="576" t="s">
        <v>185</v>
      </c>
      <c r="BH84" s="640" t="s">
        <v>225</v>
      </c>
      <c r="BI84" s="552">
        <f>ENERGÍA!D164</f>
        <v>0</v>
      </c>
      <c r="BJ84" s="552">
        <f>ENERGÍA!E164</f>
        <v>0</v>
      </c>
      <c r="BK84" s="552">
        <f>ENERGÍA!F164</f>
        <v>0</v>
      </c>
      <c r="BL84" s="576">
        <f>ENERGÍA!L164</f>
        <v>0</v>
      </c>
      <c r="BM84" s="576">
        <f>ENERGÍA!M164</f>
        <v>0</v>
      </c>
      <c r="BN84" s="576">
        <f>IF(BL84=$AG$65,0,IF(BL84=$AG$66,BJ84/BM84,IF(BL84=$AG$67,BK84/BM84,IF(BL84=$AG$68,BK84/BM84,0))))</f>
        <v>0</v>
      </c>
      <c r="BO84" s="576">
        <f>IF(BM84=0,0,IF(BL84=$AG$65,0,IF(BN84&lt;1,1,BN84)))</f>
        <v>0</v>
      </c>
      <c r="BP84" s="576">
        <f t="shared" ref="BP84:BP93" si="37">IF(BL84=$AG$65,0,IF(BL84=$AG$66,HLOOKUP(BO84,$BR$21:$BX$22,2,TRUE),IF(BL84=$AG$67,HLOOKUP(BO84,FES,2,TRUE),IF(BL84=$AG$68,HLOOKUP(BO84,$CA$21:$CG$22,2,TRUE),0))))</f>
        <v>0</v>
      </c>
    </row>
    <row r="85" spans="2:68" thickBot="1">
      <c r="B85" s="240">
        <v>2</v>
      </c>
      <c r="C85" s="370"/>
      <c r="D85" s="370"/>
      <c r="E85" s="372"/>
      <c r="F85" s="262">
        <f>IFERROR(VLOOKUP($D85,'Materiales Personalizados'!K$4:O$332,3,FALSE),0)</f>
        <v>0</v>
      </c>
      <c r="G85" s="1191">
        <f t="shared" si="36"/>
        <v>0</v>
      </c>
      <c r="H85" s="1191"/>
      <c r="J85" s="577"/>
      <c r="K85" s="576" t="s">
        <v>325</v>
      </c>
      <c r="L85" s="576">
        <v>1000</v>
      </c>
      <c r="M85" s="576">
        <v>0.26</v>
      </c>
      <c r="Q85" s="576" t="str">
        <f>'BASE DE DATOS'!FQ85</f>
        <v>SE PUEDE CARGAR HASTA AQUÍ</v>
      </c>
      <c r="R85" s="576">
        <f>'BASE DE DATOS'!FR85</f>
        <v>0</v>
      </c>
      <c r="S85" s="576">
        <f>'BASE DE DATOS'!FS85</f>
        <v>0</v>
      </c>
      <c r="AI85" s="576" t="s">
        <v>1887</v>
      </c>
      <c r="AM85" s="576" t="s">
        <v>49</v>
      </c>
      <c r="AO85" s="642" t="s">
        <v>865</v>
      </c>
      <c r="AP85" s="642"/>
      <c r="AQ85" s="642"/>
      <c r="AR85" s="642"/>
      <c r="AS85" s="642"/>
      <c r="AT85" s="642"/>
      <c r="AU85" s="642" t="s">
        <v>866</v>
      </c>
      <c r="AV85" s="642"/>
      <c r="AW85" s="642"/>
      <c r="AX85" s="642" t="s">
        <v>866</v>
      </c>
      <c r="BH85" s="640" t="s">
        <v>226</v>
      </c>
      <c r="BI85" s="552">
        <f>ENERGÍA!D165</f>
        <v>0</v>
      </c>
      <c r="BJ85" s="552">
        <f>ENERGÍA!E165</f>
        <v>0</v>
      </c>
      <c r="BK85" s="552">
        <f>ENERGÍA!F165</f>
        <v>0</v>
      </c>
      <c r="BL85" s="576">
        <f>ENERGÍA!L165</f>
        <v>0</v>
      </c>
      <c r="BM85" s="576">
        <f>ENERGÍA!M165</f>
        <v>0</v>
      </c>
      <c r="BN85" s="576">
        <f t="shared" ref="BN85:BN93" si="38">IF(BL85=$AG$65,0,IF(BL85=$AG$66,BJ85/BM85,IF(BL85=$AG$67,BK85/BM85,IF(BL85=$AG$68,BK85/BM85,0))))</f>
        <v>0</v>
      </c>
      <c r="BO85" s="576">
        <f t="shared" ref="BO85:BO93" si="39">IF(BM85=0,0,IF(BL85=$AG$65,0,IF(BN85&lt;1,1,BN85)))</f>
        <v>0</v>
      </c>
      <c r="BP85" s="576">
        <f t="shared" si="37"/>
        <v>0</v>
      </c>
    </row>
    <row r="86" spans="2:68" ht="18" thickBot="1">
      <c r="B86" s="240">
        <v>3</v>
      </c>
      <c r="C86" s="370"/>
      <c r="D86" s="370"/>
      <c r="E86" s="372"/>
      <c r="F86" s="262">
        <f>IFERROR(VLOOKUP($D86,'Materiales Personalizados'!K$4:O$332,3,FALSE),0)</f>
        <v>0</v>
      </c>
      <c r="G86" s="1191">
        <f t="shared" si="36"/>
        <v>0</v>
      </c>
      <c r="H86" s="1191"/>
      <c r="J86" s="577"/>
      <c r="K86" s="576" t="s">
        <v>323</v>
      </c>
      <c r="L86" s="576">
        <v>300</v>
      </c>
      <c r="M86" s="576">
        <v>0.09</v>
      </c>
      <c r="Q86" s="1186" t="s">
        <v>1046</v>
      </c>
      <c r="R86" s="1186"/>
      <c r="AI86" s="576" t="s">
        <v>1888</v>
      </c>
      <c r="AM86" s="576" t="s">
        <v>99</v>
      </c>
      <c r="AO86" s="645"/>
      <c r="AP86" s="645" t="s">
        <v>867</v>
      </c>
      <c r="AQ86" s="645" t="s">
        <v>868</v>
      </c>
      <c r="AR86" s="645" t="s">
        <v>869</v>
      </c>
      <c r="AS86" s="645" t="s">
        <v>870</v>
      </c>
      <c r="AT86" s="645" t="s">
        <v>871</v>
      </c>
      <c r="AU86" s="645" t="s">
        <v>872</v>
      </c>
      <c r="AV86" s="645" t="s">
        <v>873</v>
      </c>
      <c r="AW86" s="645" t="s">
        <v>874</v>
      </c>
      <c r="AX86" s="645" t="s">
        <v>875</v>
      </c>
      <c r="BH86" s="640" t="s">
        <v>597</v>
      </c>
      <c r="BI86" s="552">
        <f>ENERGÍA!D166</f>
        <v>0</v>
      </c>
      <c r="BJ86" s="552">
        <f>ENERGÍA!E166</f>
        <v>0</v>
      </c>
      <c r="BK86" s="552">
        <f>ENERGÍA!F166</f>
        <v>0</v>
      </c>
      <c r="BL86" s="576">
        <f>ENERGÍA!L166</f>
        <v>0</v>
      </c>
      <c r="BM86" s="576">
        <f>ENERGÍA!M166</f>
        <v>0</v>
      </c>
      <c r="BN86" s="576">
        <f t="shared" si="38"/>
        <v>0</v>
      </c>
      <c r="BO86" s="576">
        <f t="shared" si="39"/>
        <v>0</v>
      </c>
      <c r="BP86" s="576">
        <f t="shared" si="37"/>
        <v>0</v>
      </c>
    </row>
    <row r="87" spans="2:68" ht="15" customHeight="1" thickBot="1">
      <c r="B87" s="240">
        <v>4</v>
      </c>
      <c r="C87" s="370"/>
      <c r="D87" s="370"/>
      <c r="E87" s="372"/>
      <c r="F87" s="262">
        <f>IFERROR(VLOOKUP($D87,'Materiales Personalizados'!K$4:O$332,3,FALSE),0)</f>
        <v>0</v>
      </c>
      <c r="G87" s="1191">
        <f t="shared" si="36"/>
        <v>0</v>
      </c>
      <c r="H87" s="1191"/>
      <c r="J87" s="577"/>
      <c r="K87" s="576" t="s">
        <v>324</v>
      </c>
      <c r="L87" s="576">
        <v>500</v>
      </c>
      <c r="M87" s="576">
        <v>0.15</v>
      </c>
      <c r="Q87" s="576" t="str">
        <f>'BASE DE DATOS'!FQ87</f>
        <v>Madera Solida</v>
      </c>
      <c r="R87" s="576">
        <f>'BASE DE DATOS'!FR87</f>
        <v>1.52</v>
      </c>
      <c r="AM87" s="576" t="s">
        <v>50</v>
      </c>
      <c r="AO87" s="646" t="s">
        <v>838</v>
      </c>
      <c r="AP87" s="643" t="e">
        <f>AQ70*AS70/BA55</f>
        <v>#N/A</v>
      </c>
      <c r="AQ87" s="643" t="e">
        <f>AR70/BA55</f>
        <v>#N/A</v>
      </c>
      <c r="AR87" s="643" t="e">
        <f>1.029*AQ87-0.065*AP87-0.245*AQ87^2+0.0018*AP87^2+0.0215*AQ87^3</f>
        <v>#N/A</v>
      </c>
      <c r="AS87" s="643" t="e">
        <f>IF(AR87&lt;0,0,AR87)</f>
        <v>#N/A</v>
      </c>
      <c r="AT87" s="643" t="e">
        <f>IF(AS87&gt;0.9,0.9,AS87)</f>
        <v>#N/A</v>
      </c>
      <c r="AU87" s="643" t="e">
        <f>BA55*AT106</f>
        <v>#N/A</v>
      </c>
      <c r="AV87" s="643" t="e">
        <f>AU87/BA55</f>
        <v>#N/A</v>
      </c>
      <c r="AW87" s="643" t="e">
        <f>IF(AV87&gt;0.9,0.9,AV87)</f>
        <v>#N/A</v>
      </c>
      <c r="AX87" s="643" t="e">
        <f>BA55*AW87</f>
        <v>#N/A</v>
      </c>
      <c r="BH87" s="640" t="s">
        <v>1222</v>
      </c>
      <c r="BI87" s="552">
        <f>ENERGÍA!D167</f>
        <v>0</v>
      </c>
      <c r="BJ87" s="552">
        <f>ENERGÍA!E167</f>
        <v>0</v>
      </c>
      <c r="BK87" s="552">
        <f>ENERGÍA!F167</f>
        <v>0</v>
      </c>
      <c r="BL87" s="576">
        <f>ENERGÍA!L167</f>
        <v>0</v>
      </c>
      <c r="BM87" s="576">
        <f>ENERGÍA!M167</f>
        <v>0</v>
      </c>
      <c r="BN87" s="576">
        <f t="shared" si="38"/>
        <v>0</v>
      </c>
      <c r="BO87" s="576">
        <f t="shared" si="39"/>
        <v>0</v>
      </c>
      <c r="BP87" s="576">
        <f t="shared" si="37"/>
        <v>0</v>
      </c>
    </row>
    <row r="88" spans="2:68" ht="18" thickBot="1">
      <c r="B88" s="240">
        <v>5</v>
      </c>
      <c r="C88" s="370"/>
      <c r="D88" s="370"/>
      <c r="E88" s="372"/>
      <c r="F88" s="262">
        <f>IFERROR(VLOOKUP($D88,'Materiales Personalizados'!K$4:O$332,3,FALSE),0)</f>
        <v>0</v>
      </c>
      <c r="G88" s="1191">
        <f t="shared" si="36"/>
        <v>0</v>
      </c>
      <c r="H88" s="1191"/>
      <c r="J88" s="577"/>
      <c r="K88" s="576" t="s">
        <v>327</v>
      </c>
      <c r="L88" s="576">
        <v>400</v>
      </c>
      <c r="M88" s="576">
        <v>0.14000000000000001</v>
      </c>
      <c r="Q88" s="576" t="str">
        <f>'BASE DE DATOS'!FQ88</f>
        <v>Madera Solida con hasta 50% zona vidriada</v>
      </c>
      <c r="R88" s="576">
        <f>'BASE DE DATOS'!FR88</f>
        <v>1.64</v>
      </c>
      <c r="AM88" s="576" t="s">
        <v>160</v>
      </c>
      <c r="AO88" s="646" t="s">
        <v>839</v>
      </c>
      <c r="AP88" s="643" t="e">
        <f t="shared" ref="AP88:AP98" si="40">AQ71*AS71/BA56</f>
        <v>#N/A</v>
      </c>
      <c r="AQ88" s="643" t="e">
        <f t="shared" ref="AQ88:AQ98" si="41">AR71/BA56</f>
        <v>#N/A</v>
      </c>
      <c r="AR88" s="643" t="e">
        <f>1.029*AQ88-0.065*AP88-0.245*AQ88^2+0.0018*AP88^2+0.0215*AQ88^3</f>
        <v>#N/A</v>
      </c>
      <c r="AS88" s="643" t="e">
        <f>IF(AR88&lt;0,0,AR88)</f>
        <v>#N/A</v>
      </c>
      <c r="AT88" s="643" t="e">
        <f>IF(AS88&gt;0.9,0.9,AS88)</f>
        <v>#N/A</v>
      </c>
      <c r="AU88" s="643" t="e">
        <f t="shared" ref="AU88:AU98" si="42">BA56*AT107</f>
        <v>#N/A</v>
      </c>
      <c r="AV88" s="643" t="e">
        <f t="shared" ref="AV88:AV98" si="43">AU88/BA56</f>
        <v>#N/A</v>
      </c>
      <c r="AW88" s="643" t="e">
        <f t="shared" ref="AW88:AW98" si="44">IF(AV88&gt;0.9,0.9,AV88)</f>
        <v>#N/A</v>
      </c>
      <c r="AX88" s="643" t="e">
        <f t="shared" ref="AX88:AX98" si="45">BA56*AW88</f>
        <v>#N/A</v>
      </c>
      <c r="BH88" s="640" t="s">
        <v>1223</v>
      </c>
      <c r="BI88" s="552">
        <f>ENERGÍA!D168</f>
        <v>0</v>
      </c>
      <c r="BJ88" s="552">
        <f>ENERGÍA!E168</f>
        <v>0</v>
      </c>
      <c r="BK88" s="552">
        <f>ENERGÍA!F168</f>
        <v>0</v>
      </c>
      <c r="BL88" s="576">
        <f>ENERGÍA!L168</f>
        <v>0</v>
      </c>
      <c r="BM88" s="576">
        <f>ENERGÍA!M168</f>
        <v>0</v>
      </c>
      <c r="BN88" s="576">
        <f t="shared" si="38"/>
        <v>0</v>
      </c>
      <c r="BO88" s="576">
        <f t="shared" si="39"/>
        <v>0</v>
      </c>
      <c r="BP88" s="576">
        <f t="shared" si="37"/>
        <v>0</v>
      </c>
    </row>
    <row r="89" spans="2:68" ht="18" thickBot="1">
      <c r="B89" s="240">
        <v>6</v>
      </c>
      <c r="C89" s="370"/>
      <c r="D89" s="370"/>
      <c r="E89" s="372"/>
      <c r="F89" s="262">
        <f>IFERROR(VLOOKUP($D89,'Materiales Personalizados'!K$4:O$332,3,FALSE),0)</f>
        <v>0</v>
      </c>
      <c r="G89" s="1191">
        <f t="shared" si="36"/>
        <v>0</v>
      </c>
      <c r="H89" s="1191"/>
      <c r="J89" s="577"/>
      <c r="K89" s="576" t="s">
        <v>328</v>
      </c>
      <c r="L89" s="576">
        <v>500</v>
      </c>
      <c r="M89" s="576">
        <v>0.16</v>
      </c>
      <c r="Q89" s="576" t="str">
        <f>'BASE DE DATOS'!FQ89</f>
        <v>Madera Solida con hasta 100% zona vidriada</v>
      </c>
      <c r="R89" s="576">
        <f>'BASE DE DATOS'!FR89</f>
        <v>1.91</v>
      </c>
      <c r="AM89" s="576" t="s">
        <v>119</v>
      </c>
      <c r="AO89" s="646" t="s">
        <v>840</v>
      </c>
      <c r="AP89" s="643" t="e">
        <f t="shared" si="40"/>
        <v>#N/A</v>
      </c>
      <c r="AQ89" s="643" t="e">
        <f t="shared" si="41"/>
        <v>#N/A</v>
      </c>
      <c r="AR89" s="643" t="e">
        <f>1.029*AQ89-0.065*AP89-0.245*AQ89^2+0.0018*AP89^2+0.0215*AQ89^3</f>
        <v>#N/A</v>
      </c>
      <c r="AS89" s="643" t="e">
        <f t="shared" ref="AS89:AS98" si="46">IF(AR89&lt;0,0,AR89)</f>
        <v>#N/A</v>
      </c>
      <c r="AT89" s="643" t="e">
        <f>IF(AS89&gt;0.9,0.9,AS89)</f>
        <v>#N/A</v>
      </c>
      <c r="AU89" s="643" t="e">
        <f t="shared" si="42"/>
        <v>#N/A</v>
      </c>
      <c r="AV89" s="643" t="e">
        <f t="shared" si="43"/>
        <v>#N/A</v>
      </c>
      <c r="AW89" s="643" t="e">
        <f t="shared" si="44"/>
        <v>#N/A</v>
      </c>
      <c r="AX89" s="643" t="e">
        <f t="shared" si="45"/>
        <v>#N/A</v>
      </c>
      <c r="BH89" s="640" t="s">
        <v>1224</v>
      </c>
      <c r="BI89" s="552">
        <f>ENERGÍA!D169</f>
        <v>0</v>
      </c>
      <c r="BJ89" s="552">
        <f>ENERGÍA!E169</f>
        <v>0</v>
      </c>
      <c r="BK89" s="552">
        <f>ENERGÍA!F169</f>
        <v>0</v>
      </c>
      <c r="BL89" s="576">
        <f>ENERGÍA!L169</f>
        <v>0</v>
      </c>
      <c r="BM89" s="576">
        <f>ENERGÍA!M169</f>
        <v>0</v>
      </c>
      <c r="BN89" s="576">
        <f t="shared" si="38"/>
        <v>0</v>
      </c>
      <c r="BO89" s="576">
        <f t="shared" si="39"/>
        <v>0</v>
      </c>
      <c r="BP89" s="576">
        <f t="shared" si="37"/>
        <v>0</v>
      </c>
    </row>
    <row r="90" spans="2:68" ht="18" thickBot="1">
      <c r="B90" s="240">
        <v>7</v>
      </c>
      <c r="C90" s="370"/>
      <c r="D90" s="370"/>
      <c r="E90" s="372"/>
      <c r="F90" s="262">
        <f>IFERROR(VLOOKUP($D90,'Materiales Personalizados'!K$4:O$332,3,FALSE),0)</f>
        <v>0</v>
      </c>
      <c r="G90" s="1191">
        <f t="shared" si="36"/>
        <v>0</v>
      </c>
      <c r="H90" s="1191"/>
      <c r="J90" s="577"/>
      <c r="K90" s="576" t="s">
        <v>316</v>
      </c>
      <c r="L90" s="576">
        <v>1000</v>
      </c>
      <c r="M90" s="576">
        <v>0.3</v>
      </c>
      <c r="Q90" s="576" t="str">
        <f>'BASE DE DATOS'!FQ90</f>
        <v>Madera Liviana</v>
      </c>
      <c r="R90" s="576">
        <f>'BASE DE DATOS'!FR90</f>
        <v>2.1800000000000002</v>
      </c>
      <c r="AG90" s="576" t="s">
        <v>1627</v>
      </c>
      <c r="AM90" s="576" t="s">
        <v>33</v>
      </c>
      <c r="AO90" s="646" t="s">
        <v>841</v>
      </c>
      <c r="AP90" s="643" t="e">
        <f t="shared" si="40"/>
        <v>#N/A</v>
      </c>
      <c r="AQ90" s="643" t="e">
        <f t="shared" si="41"/>
        <v>#N/A</v>
      </c>
      <c r="AR90" s="643" t="e">
        <f>1.029*AQ90-0.065*AP90-0.245*AQ90^2+0.0018*AP90^2+0.0215*AQ90^3</f>
        <v>#N/A</v>
      </c>
      <c r="AS90" s="643" t="e">
        <f t="shared" si="46"/>
        <v>#N/A</v>
      </c>
      <c r="AT90" s="643" t="e">
        <f>IF(AS90&gt;0.9,0.9,AS90)</f>
        <v>#N/A</v>
      </c>
      <c r="AU90" s="643" t="e">
        <f t="shared" si="42"/>
        <v>#N/A</v>
      </c>
      <c r="AV90" s="643" t="e">
        <f t="shared" si="43"/>
        <v>#N/A</v>
      </c>
      <c r="AW90" s="643" t="e">
        <f t="shared" si="44"/>
        <v>#N/A</v>
      </c>
      <c r="AX90" s="643" t="e">
        <f t="shared" si="45"/>
        <v>#N/A</v>
      </c>
      <c r="BH90" s="640" t="s">
        <v>1225</v>
      </c>
      <c r="BI90" s="552">
        <f>ENERGÍA!D170</f>
        <v>0</v>
      </c>
      <c r="BJ90" s="552">
        <f>ENERGÍA!E170</f>
        <v>0</v>
      </c>
      <c r="BK90" s="552">
        <f>ENERGÍA!F170</f>
        <v>0</v>
      </c>
      <c r="BL90" s="576">
        <f>ENERGÍA!L170</f>
        <v>0</v>
      </c>
      <c r="BM90" s="576">
        <f>ENERGÍA!M170</f>
        <v>0</v>
      </c>
      <c r="BN90" s="576">
        <f t="shared" si="38"/>
        <v>0</v>
      </c>
      <c r="BO90" s="576">
        <f t="shared" si="39"/>
        <v>0</v>
      </c>
      <c r="BP90" s="576">
        <f t="shared" si="37"/>
        <v>0</v>
      </c>
    </row>
    <row r="91" spans="2:68" ht="18" thickBot="1">
      <c r="B91" s="240">
        <v>8</v>
      </c>
      <c r="C91" s="370"/>
      <c r="D91" s="370"/>
      <c r="E91" s="372"/>
      <c r="F91" s="262">
        <f>IFERROR(VLOOKUP($D91,'Materiales Personalizados'!K$4:O$332,3,FALSE),0)</f>
        <v>0</v>
      </c>
      <c r="G91" s="1191">
        <f t="shared" si="36"/>
        <v>0</v>
      </c>
      <c r="H91" s="1191"/>
      <c r="J91" s="577"/>
      <c r="K91" s="576" t="s">
        <v>317</v>
      </c>
      <c r="L91" s="576">
        <v>1200</v>
      </c>
      <c r="M91" s="576">
        <v>0.4</v>
      </c>
      <c r="Q91" s="576" t="str">
        <f>'BASE DE DATOS'!FQ91</f>
        <v>Madera Liviana con hasta 50% zona vidriada</v>
      </c>
      <c r="R91" s="576">
        <f>'BASE DE DATOS'!FR91</f>
        <v>2.52</v>
      </c>
      <c r="AG91" s="576" t="s">
        <v>1669</v>
      </c>
      <c r="AK91" s="576" t="s">
        <v>1921</v>
      </c>
      <c r="AM91" s="576" t="s">
        <v>1262</v>
      </c>
      <c r="AO91" s="646" t="s">
        <v>876</v>
      </c>
      <c r="AP91" s="643" t="e">
        <f t="shared" si="40"/>
        <v>#N/A</v>
      </c>
      <c r="AQ91" s="643" t="e">
        <f t="shared" si="41"/>
        <v>#N/A</v>
      </c>
      <c r="AR91" s="643" t="e">
        <f>1.029*AQ91-0.065*AP91-0.245*AQ91^2+0.0018*AP91^2+0.0215*AQ91^3</f>
        <v>#N/A</v>
      </c>
      <c r="AS91" s="643" t="e">
        <f t="shared" si="46"/>
        <v>#N/A</v>
      </c>
      <c r="AT91" s="643" t="e">
        <f>IF(AS91&gt;0.9,0.9,AS91)</f>
        <v>#N/A</v>
      </c>
      <c r="AU91" s="643" t="e">
        <f t="shared" si="42"/>
        <v>#N/A</v>
      </c>
      <c r="AV91" s="643" t="e">
        <f t="shared" si="43"/>
        <v>#N/A</v>
      </c>
      <c r="AW91" s="643" t="e">
        <f t="shared" si="44"/>
        <v>#N/A</v>
      </c>
      <c r="AX91" s="643" t="e">
        <f t="shared" si="45"/>
        <v>#N/A</v>
      </c>
      <c r="BH91" s="640" t="s">
        <v>1226</v>
      </c>
      <c r="BI91" s="552">
        <f>ENERGÍA!D171</f>
        <v>0</v>
      </c>
      <c r="BJ91" s="552">
        <f>ENERGÍA!E171</f>
        <v>0</v>
      </c>
      <c r="BK91" s="552">
        <f>ENERGÍA!F171</f>
        <v>0</v>
      </c>
      <c r="BL91" s="576">
        <f>ENERGÍA!L171</f>
        <v>0</v>
      </c>
      <c r="BM91" s="576">
        <f>ENERGÍA!M171</f>
        <v>0</v>
      </c>
      <c r="BN91" s="576">
        <f t="shared" si="38"/>
        <v>0</v>
      </c>
      <c r="BO91" s="576">
        <f t="shared" si="39"/>
        <v>0</v>
      </c>
      <c r="BP91" s="576">
        <f t="shared" si="37"/>
        <v>0</v>
      </c>
    </row>
    <row r="92" spans="2:68" ht="18" thickBot="1">
      <c r="B92" s="240">
        <v>6</v>
      </c>
      <c r="C92" s="371"/>
      <c r="D92" s="371"/>
      <c r="E92" s="371"/>
      <c r="F92" s="371"/>
      <c r="G92" s="1191">
        <f t="shared" si="36"/>
        <v>0</v>
      </c>
      <c r="H92" s="1191"/>
      <c r="J92" s="577"/>
      <c r="K92" s="576" t="s">
        <v>318</v>
      </c>
      <c r="L92" s="576">
        <v>1400</v>
      </c>
      <c r="M92" s="576">
        <v>0.5</v>
      </c>
      <c r="Q92" s="576" t="str">
        <f>'BASE DE DATOS'!FQ92</f>
        <v>Madera Liviana con hasta 100% zona vidriada</v>
      </c>
      <c r="R92" s="576">
        <f>'BASE DE DATOS'!FR92</f>
        <v>2.63</v>
      </c>
      <c r="AG92" s="576" t="s">
        <v>1926</v>
      </c>
      <c r="AK92" s="576" t="s">
        <v>1922</v>
      </c>
      <c r="AM92" s="576" t="s">
        <v>155</v>
      </c>
      <c r="AO92" s="646" t="s">
        <v>877</v>
      </c>
      <c r="AP92" s="643" t="e">
        <f t="shared" si="40"/>
        <v>#N/A</v>
      </c>
      <c r="AQ92" s="643" t="e">
        <f t="shared" si="41"/>
        <v>#N/A</v>
      </c>
      <c r="AR92" s="643" t="e">
        <f t="shared" ref="AR92:AR98" si="47">1.029*AQ92-0.065*AP92-0.245*AQ92^2+0.0018*AP92^2+0.0215*AQ92^3</f>
        <v>#N/A</v>
      </c>
      <c r="AS92" s="643" t="e">
        <f t="shared" si="46"/>
        <v>#N/A</v>
      </c>
      <c r="AT92" s="643" t="e">
        <f t="shared" ref="AT92:AT98" si="48">IF(AS92&gt;0.9,0.9,AS92)</f>
        <v>#N/A</v>
      </c>
      <c r="AU92" s="643" t="e">
        <f t="shared" si="42"/>
        <v>#N/A</v>
      </c>
      <c r="AV92" s="643" t="e">
        <f t="shared" si="43"/>
        <v>#N/A</v>
      </c>
      <c r="AW92" s="643" t="e">
        <f t="shared" si="44"/>
        <v>#N/A</v>
      </c>
      <c r="AX92" s="643" t="e">
        <f t="shared" si="45"/>
        <v>#N/A</v>
      </c>
      <c r="BH92" s="640" t="s">
        <v>1227</v>
      </c>
      <c r="BI92" s="552" t="str">
        <f>ENERGÍA!D172</f>
        <v>-</v>
      </c>
      <c r="BJ92" s="552">
        <f>ENERGÍA!E172</f>
        <v>0</v>
      </c>
      <c r="BK92" s="552">
        <f>ENERGÍA!F172</f>
        <v>0</v>
      </c>
      <c r="BL92" s="576">
        <f>ENERGÍA!L172</f>
        <v>0</v>
      </c>
      <c r="BM92" s="576">
        <f>ENERGÍA!M172</f>
        <v>0</v>
      </c>
      <c r="BN92" s="576">
        <f t="shared" si="38"/>
        <v>0</v>
      </c>
      <c r="BO92" s="576">
        <f t="shared" si="39"/>
        <v>0</v>
      </c>
      <c r="BP92" s="576">
        <f t="shared" si="37"/>
        <v>0</v>
      </c>
    </row>
    <row r="93" spans="2:68" ht="18" thickBot="1">
      <c r="B93" s="240">
        <v>7</v>
      </c>
      <c r="C93" s="371"/>
      <c r="D93" s="371"/>
      <c r="E93" s="371"/>
      <c r="F93" s="371"/>
      <c r="G93" s="1191">
        <f t="shared" si="36"/>
        <v>0</v>
      </c>
      <c r="H93" s="1191"/>
      <c r="J93" s="577"/>
      <c r="K93" s="576" t="s">
        <v>314</v>
      </c>
      <c r="L93" s="576">
        <v>600</v>
      </c>
      <c r="M93" s="576">
        <v>0.16</v>
      </c>
      <c r="Q93" s="576" t="str">
        <f>'BASE DE DATOS'!FQ93</f>
        <v>PVC</v>
      </c>
      <c r="R93" s="576">
        <f>'BASE DE DATOS'!FR93</f>
        <v>2.8</v>
      </c>
      <c r="AG93" s="576" t="s">
        <v>1927</v>
      </c>
      <c r="AK93" s="576" t="s">
        <v>1923</v>
      </c>
      <c r="AM93" s="576" t="s">
        <v>1036</v>
      </c>
      <c r="AO93" s="646" t="s">
        <v>878</v>
      </c>
      <c r="AP93" s="643" t="e">
        <f t="shared" si="40"/>
        <v>#N/A</v>
      </c>
      <c r="AQ93" s="643" t="e">
        <f t="shared" si="41"/>
        <v>#N/A</v>
      </c>
      <c r="AR93" s="643" t="e">
        <f t="shared" si="47"/>
        <v>#N/A</v>
      </c>
      <c r="AS93" s="643" t="e">
        <f t="shared" si="46"/>
        <v>#N/A</v>
      </c>
      <c r="AT93" s="643" t="e">
        <f t="shared" si="48"/>
        <v>#N/A</v>
      </c>
      <c r="AU93" s="643" t="e">
        <f t="shared" si="42"/>
        <v>#N/A</v>
      </c>
      <c r="AV93" s="643" t="e">
        <f t="shared" si="43"/>
        <v>#N/A</v>
      </c>
      <c r="AW93" s="643" t="e">
        <f t="shared" si="44"/>
        <v>#N/A</v>
      </c>
      <c r="AX93" s="643" t="e">
        <f t="shared" si="45"/>
        <v>#N/A</v>
      </c>
      <c r="BH93" s="640" t="s">
        <v>1228</v>
      </c>
      <c r="BI93" s="552" t="str">
        <f>ENERGÍA!D173</f>
        <v>-</v>
      </c>
      <c r="BJ93" s="552">
        <f>ENERGÍA!E173</f>
        <v>0</v>
      </c>
      <c r="BK93" s="552">
        <f>ENERGÍA!F173</f>
        <v>0</v>
      </c>
      <c r="BL93" s="576">
        <f>ENERGÍA!L173</f>
        <v>0</v>
      </c>
      <c r="BM93" s="576">
        <f>ENERGÍA!M173</f>
        <v>0</v>
      </c>
      <c r="BN93" s="576">
        <f t="shared" si="38"/>
        <v>0</v>
      </c>
      <c r="BO93" s="576">
        <f t="shared" si="39"/>
        <v>0</v>
      </c>
      <c r="BP93" s="576">
        <f t="shared" si="37"/>
        <v>0</v>
      </c>
    </row>
    <row r="94" spans="2:68" ht="18" thickBot="1">
      <c r="B94" s="240">
        <v>8</v>
      </c>
      <c r="C94" s="371"/>
      <c r="D94" s="371"/>
      <c r="E94" s="371"/>
      <c r="F94" s="371"/>
      <c r="G94" s="1191">
        <f t="shared" si="36"/>
        <v>0</v>
      </c>
      <c r="H94" s="1191"/>
      <c r="J94" s="577"/>
      <c r="K94" s="576" t="s">
        <v>315</v>
      </c>
      <c r="L94" s="576">
        <v>800</v>
      </c>
      <c r="M94" s="576">
        <v>0.22</v>
      </c>
      <c r="Q94" s="576" t="str">
        <f>'BASE DE DATOS'!FQ94</f>
        <v>Metal sin Ruptura de Puente Térmico</v>
      </c>
      <c r="R94" s="576">
        <f>'BASE DE DATOS'!FR94</f>
        <v>5.8</v>
      </c>
      <c r="AK94" s="576" t="s">
        <v>1924</v>
      </c>
      <c r="AM94" s="576" t="s">
        <v>131</v>
      </c>
      <c r="AO94" s="646" t="s">
        <v>842</v>
      </c>
      <c r="AP94" s="643" t="e">
        <f t="shared" si="40"/>
        <v>#N/A</v>
      </c>
      <c r="AQ94" s="643" t="e">
        <f t="shared" si="41"/>
        <v>#N/A</v>
      </c>
      <c r="AR94" s="643" t="e">
        <f t="shared" si="47"/>
        <v>#N/A</v>
      </c>
      <c r="AS94" s="643" t="e">
        <f t="shared" si="46"/>
        <v>#N/A</v>
      </c>
      <c r="AT94" s="643" t="e">
        <f t="shared" si="48"/>
        <v>#N/A</v>
      </c>
      <c r="AU94" s="643" t="e">
        <f t="shared" si="42"/>
        <v>#N/A</v>
      </c>
      <c r="AV94" s="643" t="e">
        <f t="shared" si="43"/>
        <v>#N/A</v>
      </c>
      <c r="AW94" s="643" t="e">
        <f t="shared" si="44"/>
        <v>#N/A</v>
      </c>
      <c r="AX94" s="643" t="e">
        <f t="shared" si="45"/>
        <v>#N/A</v>
      </c>
      <c r="BH94" s="638"/>
      <c r="BI94" s="638"/>
      <c r="BJ94" s="638"/>
      <c r="BK94" s="638"/>
      <c r="BL94" s="638"/>
      <c r="BM94" s="638"/>
      <c r="BN94" s="638"/>
      <c r="BO94" s="638"/>
    </row>
    <row r="95" spans="2:68" ht="18" thickBot="1">
      <c r="B95" s="240">
        <v>9</v>
      </c>
      <c r="C95" s="371"/>
      <c r="D95" s="371"/>
      <c r="E95" s="371"/>
      <c r="F95" s="371"/>
      <c r="G95" s="1191">
        <f t="shared" si="36"/>
        <v>0</v>
      </c>
      <c r="H95" s="1191"/>
      <c r="J95" s="577"/>
      <c r="K95" s="576" t="s">
        <v>1745</v>
      </c>
      <c r="L95" s="576">
        <v>600</v>
      </c>
      <c r="M95" s="576">
        <v>0.13</v>
      </c>
      <c r="Q95" s="576" t="str">
        <f>'BASE DE DATOS'!FQ95</f>
        <v>Metal con Ruptura de Puente Térmico</v>
      </c>
      <c r="R95" s="576">
        <f>'BASE DE DATOS'!FR95</f>
        <v>3.3</v>
      </c>
      <c r="AM95" s="576" t="s">
        <v>146</v>
      </c>
      <c r="AO95" s="646" t="s">
        <v>879</v>
      </c>
      <c r="AP95" s="643" t="e">
        <f t="shared" si="40"/>
        <v>#N/A</v>
      </c>
      <c r="AQ95" s="643" t="e">
        <f t="shared" si="41"/>
        <v>#N/A</v>
      </c>
      <c r="AR95" s="643" t="e">
        <f t="shared" si="47"/>
        <v>#N/A</v>
      </c>
      <c r="AS95" s="643" t="e">
        <f t="shared" si="46"/>
        <v>#N/A</v>
      </c>
      <c r="AT95" s="643" t="e">
        <f t="shared" si="48"/>
        <v>#N/A</v>
      </c>
      <c r="AU95" s="643" t="e">
        <f t="shared" si="42"/>
        <v>#N/A</v>
      </c>
      <c r="AV95" s="643" t="e">
        <f t="shared" si="43"/>
        <v>#N/A</v>
      </c>
      <c r="AW95" s="643" t="e">
        <f t="shared" si="44"/>
        <v>#N/A</v>
      </c>
      <c r="AX95" s="643" t="e">
        <f t="shared" si="45"/>
        <v>#N/A</v>
      </c>
      <c r="BH95" s="638"/>
      <c r="BI95" s="641"/>
      <c r="BJ95" s="641"/>
      <c r="BK95" s="638"/>
      <c r="BL95" s="638"/>
      <c r="BM95" s="638"/>
      <c r="BN95" s="638"/>
      <c r="BO95" s="638"/>
    </row>
    <row r="96" spans="2:68" ht="18" thickBot="1">
      <c r="B96" s="240">
        <v>10</v>
      </c>
      <c r="C96" s="371"/>
      <c r="D96" s="371"/>
      <c r="E96" s="371"/>
      <c r="F96" s="371"/>
      <c r="G96" s="1191">
        <f t="shared" si="36"/>
        <v>0</v>
      </c>
      <c r="H96" s="1191"/>
      <c r="J96" s="577"/>
      <c r="K96" s="576" t="s">
        <v>1746</v>
      </c>
      <c r="L96" s="576">
        <v>2100</v>
      </c>
      <c r="M96" s="576">
        <v>1.1100000000000001</v>
      </c>
      <c r="Q96" s="576" t="str">
        <f>'BASE DE DATOS'!FQ96</f>
        <v>Metal Normal</v>
      </c>
      <c r="R96" s="576">
        <f>'BASE DE DATOS'!FR96</f>
        <v>5.7</v>
      </c>
      <c r="AG96" s="576" t="s">
        <v>764</v>
      </c>
      <c r="AM96" s="576" t="s">
        <v>167</v>
      </c>
      <c r="AO96" s="646" t="s">
        <v>844</v>
      </c>
      <c r="AP96" s="643" t="e">
        <f t="shared" si="40"/>
        <v>#N/A</v>
      </c>
      <c r="AQ96" s="643" t="e">
        <f t="shared" si="41"/>
        <v>#N/A</v>
      </c>
      <c r="AR96" s="643" t="e">
        <f t="shared" si="47"/>
        <v>#N/A</v>
      </c>
      <c r="AS96" s="643" t="e">
        <f t="shared" si="46"/>
        <v>#N/A</v>
      </c>
      <c r="AT96" s="643" t="e">
        <f t="shared" si="48"/>
        <v>#N/A</v>
      </c>
      <c r="AU96" s="643" t="e">
        <f t="shared" si="42"/>
        <v>#N/A</v>
      </c>
      <c r="AV96" s="643" t="e">
        <f t="shared" si="43"/>
        <v>#N/A</v>
      </c>
      <c r="AW96" s="643" t="e">
        <f t="shared" si="44"/>
        <v>#N/A</v>
      </c>
      <c r="AX96" s="643" t="e">
        <f t="shared" si="45"/>
        <v>#N/A</v>
      </c>
      <c r="BH96" s="638"/>
      <c r="BI96" s="641"/>
      <c r="BJ96" s="641"/>
      <c r="BK96" s="638"/>
      <c r="BL96" s="638"/>
      <c r="BM96" s="638"/>
      <c r="BN96" s="638"/>
      <c r="BO96" s="638"/>
    </row>
    <row r="97" spans="2:67" ht="18" thickBot="1">
      <c r="B97" s="798"/>
      <c r="C97" s="798"/>
      <c r="D97" s="798"/>
      <c r="E97" s="798"/>
      <c r="F97" s="798"/>
      <c r="G97" s="262">
        <v>0.1</v>
      </c>
      <c r="H97" s="262">
        <v>0.17</v>
      </c>
      <c r="J97" s="577"/>
      <c r="K97" s="576" t="s">
        <v>1747</v>
      </c>
      <c r="L97" s="576">
        <v>900</v>
      </c>
      <c r="M97" s="576">
        <v>0.18</v>
      </c>
      <c r="Q97" s="576" t="str">
        <f>'BASE DE DATOS'!FQ97</f>
        <v>PVC (Tres Cámaras)</v>
      </c>
      <c r="R97" s="576">
        <f>'BASE DE DATOS'!FR97</f>
        <v>1.8</v>
      </c>
      <c r="AG97" s="576" t="s">
        <v>1856</v>
      </c>
      <c r="AM97" s="576" t="s">
        <v>52</v>
      </c>
      <c r="AO97" s="646" t="s">
        <v>880</v>
      </c>
      <c r="AP97" s="643" t="e">
        <f t="shared" si="40"/>
        <v>#N/A</v>
      </c>
      <c r="AQ97" s="643" t="e">
        <f t="shared" si="41"/>
        <v>#N/A</v>
      </c>
      <c r="AR97" s="643" t="e">
        <f t="shared" si="47"/>
        <v>#N/A</v>
      </c>
      <c r="AS97" s="643" t="e">
        <f t="shared" si="46"/>
        <v>#N/A</v>
      </c>
      <c r="AT97" s="643" t="e">
        <f t="shared" si="48"/>
        <v>#N/A</v>
      </c>
      <c r="AU97" s="643" t="e">
        <f t="shared" si="42"/>
        <v>#N/A</v>
      </c>
      <c r="AV97" s="643" t="e">
        <f t="shared" si="43"/>
        <v>#N/A</v>
      </c>
      <c r="AW97" s="643" t="e">
        <f t="shared" si="44"/>
        <v>#N/A</v>
      </c>
      <c r="AX97" s="643" t="e">
        <f t="shared" si="45"/>
        <v>#N/A</v>
      </c>
      <c r="BH97" s="638"/>
      <c r="BI97" s="638"/>
      <c r="BJ97" s="639"/>
      <c r="BK97" s="639"/>
      <c r="BL97" s="638"/>
      <c r="BM97" s="638"/>
      <c r="BN97" s="638"/>
      <c r="BO97" s="638"/>
    </row>
    <row r="98" spans="2:67" ht="18" thickBot="1">
      <c r="B98" s="1195" t="s">
        <v>250</v>
      </c>
      <c r="C98" s="1195"/>
      <c r="D98" s="1195"/>
      <c r="E98" s="1195"/>
      <c r="F98" s="1195"/>
      <c r="G98" s="233">
        <f>SUM(G83:H96)+G97</f>
        <v>0.14000000000000001</v>
      </c>
      <c r="H98" s="233">
        <f>SUM(G83:H96)+H97</f>
        <v>0.21000000000000002</v>
      </c>
      <c r="J98" s="577" t="str">
        <f>K426</f>
        <v>Placas_y_Planchas</v>
      </c>
      <c r="K98" s="576" t="s">
        <v>332</v>
      </c>
      <c r="L98" s="576">
        <v>1200</v>
      </c>
      <c r="M98" s="576">
        <v>0.39</v>
      </c>
      <c r="Q98" s="576" t="str">
        <f>'BASE DE DATOS'!FQ98</f>
        <v>PVC (Dos Cámaras)</v>
      </c>
      <c r="R98" s="576">
        <f>'BASE DE DATOS'!FR98</f>
        <v>2.2000000000000002</v>
      </c>
      <c r="AG98" s="576" t="s">
        <v>1857</v>
      </c>
      <c r="AM98" s="576" t="s">
        <v>51</v>
      </c>
      <c r="AO98" s="646" t="s">
        <v>845</v>
      </c>
      <c r="AP98" s="643" t="e">
        <f t="shared" si="40"/>
        <v>#N/A</v>
      </c>
      <c r="AQ98" s="643" t="e">
        <f t="shared" si="41"/>
        <v>#N/A</v>
      </c>
      <c r="AR98" s="643" t="e">
        <f t="shared" si="47"/>
        <v>#N/A</v>
      </c>
      <c r="AS98" s="643" t="e">
        <f t="shared" si="46"/>
        <v>#N/A</v>
      </c>
      <c r="AT98" s="643" t="e">
        <f t="shared" si="48"/>
        <v>#N/A</v>
      </c>
      <c r="AU98" s="643" t="e">
        <f t="shared" si="42"/>
        <v>#N/A</v>
      </c>
      <c r="AV98" s="643" t="e">
        <f t="shared" si="43"/>
        <v>#N/A</v>
      </c>
      <c r="AW98" s="643" t="e">
        <f t="shared" si="44"/>
        <v>#N/A</v>
      </c>
      <c r="AX98" s="643" t="e">
        <f t="shared" si="45"/>
        <v>#N/A</v>
      </c>
    </row>
    <row r="99" spans="2:67" thickBot="1">
      <c r="B99" s="1195" t="s">
        <v>550</v>
      </c>
      <c r="C99" s="1195"/>
      <c r="D99" s="1195"/>
      <c r="E99" s="1195"/>
      <c r="F99" s="1195"/>
      <c r="G99" s="263">
        <f>IFERROR(1/G98,0)</f>
        <v>7.1428571428571423</v>
      </c>
      <c r="H99" s="263">
        <f>IFERROR(1/H98,0)</f>
        <v>4.7619047619047619</v>
      </c>
      <c r="K99" s="576" t="s">
        <v>333</v>
      </c>
      <c r="L99" s="576">
        <v>1300</v>
      </c>
      <c r="M99" s="576">
        <v>0.45</v>
      </c>
      <c r="Q99" s="576" t="str">
        <f>'BASE DE DATOS'!FQ99</f>
        <v>SE PUEDE CARGAR HASTA AQUÍ</v>
      </c>
      <c r="R99" s="576">
        <f>'BASE DE DATOS'!FR99</f>
        <v>0</v>
      </c>
      <c r="AG99" s="576" t="s">
        <v>1858</v>
      </c>
      <c r="AM99" s="576" t="s">
        <v>1266</v>
      </c>
      <c r="AO99" s="642"/>
      <c r="AP99" s="642"/>
      <c r="AQ99" s="642"/>
      <c r="AR99" s="642"/>
      <c r="AS99" s="642"/>
      <c r="AT99" s="642"/>
      <c r="AU99" s="642"/>
      <c r="AV99" s="642"/>
      <c r="AW99" s="642"/>
      <c r="AX99" s="647" t="e">
        <f>SUM(AX87:AX98)</f>
        <v>#N/A</v>
      </c>
    </row>
    <row r="100" spans="2:67" thickBot="1">
      <c r="K100" s="576" t="s">
        <v>334</v>
      </c>
      <c r="L100" s="576">
        <v>1400</v>
      </c>
      <c r="M100" s="576">
        <v>0.51</v>
      </c>
      <c r="Q100" s="576">
        <f>'BASE DE DATOS'!FQ100</f>
        <v>0</v>
      </c>
      <c r="R100" s="576">
        <f>'BASE DE DATOS'!FR100</f>
        <v>0</v>
      </c>
      <c r="AG100" s="576" t="s">
        <v>1859</v>
      </c>
      <c r="AM100" s="576" t="s">
        <v>113</v>
      </c>
      <c r="AO100" s="642"/>
      <c r="AP100" s="642"/>
      <c r="AQ100" s="642"/>
      <c r="AR100" s="642"/>
      <c r="AS100" s="642"/>
      <c r="AT100" s="642"/>
      <c r="AU100" s="642"/>
      <c r="AV100" s="642"/>
      <c r="AW100" s="574" t="s">
        <v>755</v>
      </c>
      <c r="AX100" s="647" t="e">
        <f>(AX99/3600000)*BB14</f>
        <v>#N/A</v>
      </c>
    </row>
    <row r="101" spans="2:67" thickBot="1">
      <c r="B101" s="800" t="s">
        <v>1946</v>
      </c>
      <c r="C101" s="800"/>
      <c r="D101" s="800"/>
      <c r="E101" s="800" t="s">
        <v>1212</v>
      </c>
      <c r="F101" s="800"/>
      <c r="G101" s="800"/>
      <c r="H101" s="800"/>
      <c r="K101" s="576" t="s">
        <v>335</v>
      </c>
      <c r="L101" s="576">
        <v>1500</v>
      </c>
      <c r="M101" s="576">
        <v>0.57999999999999996</v>
      </c>
      <c r="Q101" s="576">
        <f>'BASE DE DATOS'!FQ101</f>
        <v>0</v>
      </c>
      <c r="R101" s="576">
        <f>'BASE DE DATOS'!FR101</f>
        <v>0</v>
      </c>
      <c r="AG101" s="576" t="s">
        <v>1860</v>
      </c>
      <c r="AM101" s="576" t="s">
        <v>148</v>
      </c>
    </row>
    <row r="102" spans="2:67" thickBot="1">
      <c r="B102" s="1197" t="s">
        <v>243</v>
      </c>
      <c r="C102" s="1197"/>
      <c r="D102" s="372"/>
      <c r="E102" s="1192"/>
      <c r="F102" s="1192"/>
      <c r="G102" s="1192"/>
      <c r="H102" s="1192"/>
      <c r="K102" s="576" t="s">
        <v>336</v>
      </c>
      <c r="L102" s="576">
        <v>1700</v>
      </c>
      <c r="M102" s="576">
        <v>0.7</v>
      </c>
      <c r="Q102" s="576">
        <f>'BASE DE DATOS'!FQ102</f>
        <v>0</v>
      </c>
      <c r="R102" s="576">
        <f>'BASE DE DATOS'!FR102</f>
        <v>0</v>
      </c>
      <c r="AG102" s="576" t="s">
        <v>1861</v>
      </c>
      <c r="AM102" s="576" t="s">
        <v>147</v>
      </c>
      <c r="AO102" s="1182" t="s">
        <v>1129</v>
      </c>
      <c r="AP102" s="1182"/>
      <c r="AQ102" s="1182"/>
      <c r="AR102" s="1182"/>
      <c r="AS102" s="1182"/>
      <c r="AT102" s="1182"/>
      <c r="AU102" s="1182"/>
      <c r="AV102" s="1182"/>
      <c r="AW102" s="1182"/>
      <c r="AX102" s="1182"/>
      <c r="AY102" s="1182"/>
      <c r="AZ102" s="1182"/>
      <c r="BA102" s="1182"/>
      <c r="BB102" s="1182"/>
    </row>
    <row r="103" spans="2:67" thickBot="1">
      <c r="B103" s="801" t="s">
        <v>551</v>
      </c>
      <c r="C103" s="801"/>
      <c r="D103" s="372"/>
      <c r="E103" s="1192"/>
      <c r="F103" s="1192"/>
      <c r="G103" s="1192"/>
      <c r="H103" s="1192"/>
      <c r="J103" s="577"/>
      <c r="K103" s="576" t="s">
        <v>337</v>
      </c>
      <c r="L103" s="576">
        <v>1800</v>
      </c>
      <c r="M103" s="576">
        <v>0.87</v>
      </c>
      <c r="Q103" s="576">
        <f>'BASE DE DATOS'!FQ103</f>
        <v>0</v>
      </c>
      <c r="R103" s="576">
        <f>'BASE DE DATOS'!FR103</f>
        <v>0</v>
      </c>
      <c r="AG103" s="576" t="s">
        <v>1862</v>
      </c>
      <c r="AM103" s="576" t="s">
        <v>53</v>
      </c>
    </row>
    <row r="104" spans="2:67" thickBot="1">
      <c r="B104" s="801" t="s">
        <v>552</v>
      </c>
      <c r="C104" s="801"/>
      <c r="D104" s="372"/>
      <c r="E104" s="1192"/>
      <c r="F104" s="1192"/>
      <c r="G104" s="1192"/>
      <c r="H104" s="1192"/>
      <c r="J104" s="577"/>
      <c r="K104" s="576" t="s">
        <v>338</v>
      </c>
      <c r="L104" s="576">
        <v>1950</v>
      </c>
      <c r="M104" s="576">
        <v>0.95</v>
      </c>
      <c r="Q104" s="576">
        <f>'BASE DE DATOS'!FQ104</f>
        <v>0</v>
      </c>
      <c r="R104" s="576">
        <f>'BASE DE DATOS'!FR104</f>
        <v>0</v>
      </c>
      <c r="AG104" s="576" t="s">
        <v>1863</v>
      </c>
      <c r="AM104" s="576" t="s">
        <v>82</v>
      </c>
      <c r="AO104" s="642" t="s">
        <v>865</v>
      </c>
      <c r="AP104" s="642"/>
      <c r="AQ104" s="642"/>
      <c r="AR104" s="642"/>
      <c r="AS104" s="642"/>
      <c r="AT104" s="642"/>
      <c r="AU104" s="642" t="s">
        <v>866</v>
      </c>
      <c r="AV104" s="642"/>
      <c r="AW104" s="642"/>
      <c r="AX104" s="642" t="s">
        <v>866</v>
      </c>
    </row>
    <row r="105" spans="2:67" ht="18" thickBot="1">
      <c r="B105" s="801" t="s">
        <v>1235</v>
      </c>
      <c r="C105" s="801"/>
      <c r="D105" s="372"/>
      <c r="E105" s="1192"/>
      <c r="F105" s="1192"/>
      <c r="G105" s="1192"/>
      <c r="H105" s="1192"/>
      <c r="J105" s="577"/>
      <c r="K105" s="576" t="s">
        <v>329</v>
      </c>
      <c r="L105" s="576">
        <v>600</v>
      </c>
      <c r="M105" s="576">
        <v>0.15</v>
      </c>
      <c r="Q105" s="576">
        <f>'BASE DE DATOS'!FQ105</f>
        <v>0</v>
      </c>
      <c r="R105" s="576">
        <f>'BASE DE DATOS'!FR105</f>
        <v>0</v>
      </c>
      <c r="AG105" s="576" t="s">
        <v>1864</v>
      </c>
      <c r="AM105" s="576" t="s">
        <v>94</v>
      </c>
      <c r="AO105" s="645"/>
      <c r="AP105" s="645" t="s">
        <v>867</v>
      </c>
      <c r="AQ105" s="645" t="s">
        <v>868</v>
      </c>
      <c r="AR105" s="645" t="s">
        <v>869</v>
      </c>
      <c r="AS105" s="645" t="s">
        <v>870</v>
      </c>
      <c r="AT105" s="645" t="s">
        <v>871</v>
      </c>
      <c r="AU105" s="645" t="s">
        <v>872</v>
      </c>
      <c r="AV105" s="645" t="s">
        <v>873</v>
      </c>
      <c r="AW105" s="645" t="s">
        <v>874</v>
      </c>
      <c r="AX105" s="645" t="s">
        <v>875</v>
      </c>
    </row>
    <row r="106" spans="2:67" ht="18" thickBot="1">
      <c r="B106" s="801" t="s">
        <v>1236</v>
      </c>
      <c r="C106" s="801"/>
      <c r="D106" s="372"/>
      <c r="E106" s="1192"/>
      <c r="F106" s="1192"/>
      <c r="G106" s="1192"/>
      <c r="H106" s="1192"/>
      <c r="J106" s="577"/>
      <c r="K106" s="576" t="s">
        <v>330</v>
      </c>
      <c r="L106" s="576">
        <v>700</v>
      </c>
      <c r="M106" s="576">
        <v>0.26</v>
      </c>
      <c r="Q106" s="576">
        <f>'BASE DE DATOS'!FQ106</f>
        <v>0</v>
      </c>
      <c r="R106" s="576">
        <f>'BASE DE DATOS'!FR106</f>
        <v>0</v>
      </c>
      <c r="AG106" s="576" t="s">
        <v>1865</v>
      </c>
      <c r="AM106" s="576" t="s">
        <v>198</v>
      </c>
      <c r="AO106" s="646" t="s">
        <v>838</v>
      </c>
      <c r="AP106" s="643" t="e">
        <f t="shared" ref="AP106:AP117" si="49">AQ70*AS70/BA55</f>
        <v>#N/A</v>
      </c>
      <c r="AQ106" s="643" t="e">
        <f t="shared" ref="AQ106:AQ117" si="50">AR70/BA55</f>
        <v>#N/A</v>
      </c>
      <c r="AR106" s="643" t="e">
        <f>1.029*AQ106-0.065*AP106-0.245*AQ106^2+0.0018*AP106^2+0.0215*AQ106^3</f>
        <v>#N/A</v>
      </c>
      <c r="AS106" s="643" t="e">
        <f>IF(AR106&lt;0,0,AR106)</f>
        <v>#N/A</v>
      </c>
      <c r="AT106" s="643" t="e">
        <f>IF(AS106&gt;0.9,0.9,AS106)</f>
        <v>#N/A</v>
      </c>
      <c r="AU106" s="643">
        <f t="shared" ref="AU106:AU117" si="51">IF($BB$49=1,0,IF($BB$49=2,BA55*AT106,IF($BB$49=3,BA55*AT106,0)))</f>
        <v>0</v>
      </c>
      <c r="AV106" s="643" t="e">
        <f t="shared" ref="AV106:AV117" si="52">AU106/BA55</f>
        <v>#DIV/0!</v>
      </c>
      <c r="AW106" s="643" t="e">
        <f>IF(AV106&gt;0.9,0.9,AV106)</f>
        <v>#DIV/0!</v>
      </c>
      <c r="AX106" s="643" t="e">
        <f t="shared" ref="AX106:AX117" si="53">BA55*AW106</f>
        <v>#DIV/0!</v>
      </c>
    </row>
    <row r="107" spans="2:67" ht="14" customHeight="1" thickBot="1">
      <c r="B107" s="801" t="s">
        <v>1214</v>
      </c>
      <c r="C107" s="801"/>
      <c r="D107" s="372"/>
      <c r="E107" s="1192"/>
      <c r="F107" s="1192"/>
      <c r="G107" s="1192"/>
      <c r="H107" s="1192"/>
      <c r="J107" s="577"/>
      <c r="K107" s="576" t="s">
        <v>331</v>
      </c>
      <c r="L107" s="576">
        <v>800</v>
      </c>
      <c r="M107" s="576">
        <v>0.3</v>
      </c>
      <c r="Q107" s="576">
        <f>'BASE DE DATOS'!FQ107</f>
        <v>0</v>
      </c>
      <c r="R107" s="576">
        <f>'BASE DE DATOS'!FR107</f>
        <v>0</v>
      </c>
      <c r="AG107" s="576" t="s">
        <v>1866</v>
      </c>
      <c r="AM107" s="576" t="s">
        <v>1263</v>
      </c>
      <c r="AO107" s="646" t="s">
        <v>839</v>
      </c>
      <c r="AP107" s="643" t="e">
        <f t="shared" si="49"/>
        <v>#N/A</v>
      </c>
      <c r="AQ107" s="643" t="e">
        <f t="shared" si="50"/>
        <v>#N/A</v>
      </c>
      <c r="AR107" s="643" t="e">
        <f>1.029*AQ107-0.065*AP107-0.245*AQ107^2+0.0018*AP107^2+0.0215*AQ107^3</f>
        <v>#N/A</v>
      </c>
      <c r="AS107" s="643" t="e">
        <f>IF(AR107&lt;0,0,AR107)</f>
        <v>#N/A</v>
      </c>
      <c r="AT107" s="643" t="e">
        <f t="shared" ref="AT107:AT117" si="54">IF(AS107&gt;0.9,0.9,AS107)</f>
        <v>#N/A</v>
      </c>
      <c r="AU107" s="643">
        <f t="shared" si="51"/>
        <v>0</v>
      </c>
      <c r="AV107" s="643" t="e">
        <f t="shared" si="52"/>
        <v>#DIV/0!</v>
      </c>
      <c r="AW107" s="643" t="e">
        <f t="shared" ref="AW107:AW117" si="55">IF(AV107&gt;0.9,0.9,AV107)</f>
        <v>#DIV/0!</v>
      </c>
      <c r="AX107" s="643" t="e">
        <f t="shared" si="53"/>
        <v>#DIV/0!</v>
      </c>
    </row>
    <row r="108" spans="2:67" ht="14" customHeight="1" thickBot="1">
      <c r="B108" s="801" t="s">
        <v>1213</v>
      </c>
      <c r="C108" s="801"/>
      <c r="D108" s="372"/>
      <c r="E108" s="1192"/>
      <c r="F108" s="1192"/>
      <c r="G108" s="1192"/>
      <c r="H108" s="1192"/>
      <c r="J108" s="577"/>
      <c r="K108" s="576" t="s">
        <v>1749</v>
      </c>
      <c r="L108" s="576">
        <v>1150</v>
      </c>
      <c r="M108" s="576">
        <v>0.23</v>
      </c>
      <c r="Q108" s="576">
        <f>'BASE DE DATOS'!FQ108</f>
        <v>0</v>
      </c>
      <c r="R108" s="576">
        <f>'BASE DE DATOS'!FR108</f>
        <v>0</v>
      </c>
      <c r="AG108" s="576" t="s">
        <v>1867</v>
      </c>
      <c r="AM108" s="576" t="s">
        <v>54</v>
      </c>
      <c r="AO108" s="646" t="s">
        <v>840</v>
      </c>
      <c r="AP108" s="643" t="e">
        <f t="shared" si="49"/>
        <v>#N/A</v>
      </c>
      <c r="AQ108" s="643" t="e">
        <f t="shared" si="50"/>
        <v>#N/A</v>
      </c>
      <c r="AR108" s="643" t="e">
        <f t="shared" ref="AR108:AR117" si="56">1.029*AQ108-0.065*AP108-0.245*AQ108^2+0.0018*AP108^2+0.0215*AQ108^3</f>
        <v>#N/A</v>
      </c>
      <c r="AS108" s="643" t="e">
        <f t="shared" ref="AS108:AS117" si="57">IF(AR108&lt;0,0,AR108)</f>
        <v>#N/A</v>
      </c>
      <c r="AT108" s="643" t="e">
        <f t="shared" si="54"/>
        <v>#N/A</v>
      </c>
      <c r="AU108" s="643">
        <f t="shared" si="51"/>
        <v>0</v>
      </c>
      <c r="AV108" s="643" t="e">
        <f t="shared" si="52"/>
        <v>#DIV/0!</v>
      </c>
      <c r="AW108" s="643" t="e">
        <f t="shared" si="55"/>
        <v>#DIV/0!</v>
      </c>
      <c r="AX108" s="643" t="e">
        <f t="shared" si="53"/>
        <v>#DIV/0!</v>
      </c>
    </row>
    <row r="109" spans="2:67" ht="18" thickBot="1">
      <c r="B109" s="801" t="s">
        <v>1237</v>
      </c>
      <c r="C109" s="801"/>
      <c r="D109" s="318"/>
      <c r="E109" s="1192"/>
      <c r="F109" s="1192"/>
      <c r="G109" s="1192"/>
      <c r="H109" s="1192"/>
      <c r="J109" s="577"/>
      <c r="K109" s="576" t="s">
        <v>1750</v>
      </c>
      <c r="L109" s="576">
        <v>1350</v>
      </c>
      <c r="M109" s="576">
        <v>0.16</v>
      </c>
      <c r="Q109" s="576">
        <f>'BASE DE DATOS'!FQ109</f>
        <v>0</v>
      </c>
      <c r="R109" s="576">
        <f>'BASE DE DATOS'!FR109</f>
        <v>0</v>
      </c>
      <c r="AG109" s="576" t="s">
        <v>1868</v>
      </c>
      <c r="AM109" s="576" t="s">
        <v>1273</v>
      </c>
      <c r="AO109" s="646" t="s">
        <v>841</v>
      </c>
      <c r="AP109" s="643" t="e">
        <f t="shared" si="49"/>
        <v>#N/A</v>
      </c>
      <c r="AQ109" s="643" t="e">
        <f t="shared" si="50"/>
        <v>#N/A</v>
      </c>
      <c r="AR109" s="643" t="e">
        <f t="shared" si="56"/>
        <v>#N/A</v>
      </c>
      <c r="AS109" s="643" t="e">
        <f t="shared" si="57"/>
        <v>#N/A</v>
      </c>
      <c r="AT109" s="643" t="e">
        <f t="shared" si="54"/>
        <v>#N/A</v>
      </c>
      <c r="AU109" s="643">
        <f t="shared" si="51"/>
        <v>0</v>
      </c>
      <c r="AV109" s="643" t="e">
        <f t="shared" si="52"/>
        <v>#DIV/0!</v>
      </c>
      <c r="AW109" s="643" t="e">
        <f t="shared" si="55"/>
        <v>#DIV/0!</v>
      </c>
      <c r="AX109" s="643" t="e">
        <f t="shared" si="53"/>
        <v>#DIV/0!</v>
      </c>
    </row>
    <row r="110" spans="2:67" ht="18" thickBot="1">
      <c r="E110" s="264"/>
      <c r="J110" s="577"/>
      <c r="K110" s="576" t="s">
        <v>341</v>
      </c>
      <c r="L110" s="576">
        <v>1050</v>
      </c>
      <c r="M110" s="576">
        <v>0.17</v>
      </c>
      <c r="Q110" s="576">
        <f>'BASE DE DATOS'!FQ110</f>
        <v>0</v>
      </c>
      <c r="R110" s="576">
        <f>'BASE DE DATOS'!FR110</f>
        <v>0</v>
      </c>
      <c r="AG110" s="576" t="s">
        <v>1869</v>
      </c>
      <c r="AM110" s="576" t="s">
        <v>55</v>
      </c>
      <c r="AO110" s="646" t="s">
        <v>876</v>
      </c>
      <c r="AP110" s="643" t="e">
        <f t="shared" si="49"/>
        <v>#N/A</v>
      </c>
      <c r="AQ110" s="643" t="e">
        <f t="shared" si="50"/>
        <v>#N/A</v>
      </c>
      <c r="AR110" s="643" t="e">
        <f>1.029*AQ110-0.065*AP110-0.245*AQ110^2+0.0018*AP110^2+0.0215*AQ110^3</f>
        <v>#N/A</v>
      </c>
      <c r="AS110" s="643" t="e">
        <f t="shared" si="57"/>
        <v>#N/A</v>
      </c>
      <c r="AT110" s="643" t="e">
        <f>IF(AS110&gt;0.9,0.9,AS110)</f>
        <v>#N/A</v>
      </c>
      <c r="AU110" s="643">
        <f t="shared" si="51"/>
        <v>0</v>
      </c>
      <c r="AV110" s="643" t="e">
        <f t="shared" si="52"/>
        <v>#DIV/0!</v>
      </c>
      <c r="AW110" s="643" t="e">
        <f t="shared" si="55"/>
        <v>#DIV/0!</v>
      </c>
      <c r="AX110" s="643" t="e">
        <f t="shared" si="53"/>
        <v>#DIV/0!</v>
      </c>
    </row>
    <row r="111" spans="2:67" ht="18" thickBot="1">
      <c r="B111" s="800" t="s">
        <v>1946</v>
      </c>
      <c r="C111" s="800"/>
      <c r="D111" s="800"/>
      <c r="E111" s="800" t="s">
        <v>1212</v>
      </c>
      <c r="F111" s="800"/>
      <c r="G111" s="800"/>
      <c r="H111" s="800"/>
      <c r="J111" s="577"/>
      <c r="K111" s="576" t="s">
        <v>340</v>
      </c>
      <c r="L111" s="576">
        <v>960</v>
      </c>
      <c r="M111" s="576">
        <v>0.5</v>
      </c>
      <c r="Q111" s="576">
        <f>'BASE DE DATOS'!FQ111</f>
        <v>0</v>
      </c>
      <c r="R111" s="576">
        <f>'BASE DE DATOS'!FR111</f>
        <v>0</v>
      </c>
      <c r="AG111" s="576" t="s">
        <v>1870</v>
      </c>
      <c r="AM111" s="576" t="s">
        <v>156</v>
      </c>
      <c r="AO111" s="646" t="s">
        <v>877</v>
      </c>
      <c r="AP111" s="643" t="e">
        <f t="shared" si="49"/>
        <v>#N/A</v>
      </c>
      <c r="AQ111" s="643" t="e">
        <f t="shared" si="50"/>
        <v>#N/A</v>
      </c>
      <c r="AR111" s="643" t="e">
        <f t="shared" si="56"/>
        <v>#N/A</v>
      </c>
      <c r="AS111" s="643" t="e">
        <f t="shared" si="57"/>
        <v>#N/A</v>
      </c>
      <c r="AT111" s="643" t="e">
        <f t="shared" si="54"/>
        <v>#N/A</v>
      </c>
      <c r="AU111" s="643">
        <f t="shared" si="51"/>
        <v>0</v>
      </c>
      <c r="AV111" s="643" t="e">
        <f t="shared" si="52"/>
        <v>#DIV/0!</v>
      </c>
      <c r="AW111" s="643" t="e">
        <f t="shared" si="55"/>
        <v>#DIV/0!</v>
      </c>
      <c r="AX111" s="643" t="e">
        <f t="shared" si="53"/>
        <v>#DIV/0!</v>
      </c>
    </row>
    <row r="112" spans="2:67" ht="18" thickBot="1">
      <c r="B112" s="1197" t="s">
        <v>243</v>
      </c>
      <c r="C112" s="1197"/>
      <c r="D112" s="372"/>
      <c r="E112" s="1192"/>
      <c r="F112" s="1192"/>
      <c r="G112" s="1192"/>
      <c r="H112" s="1192"/>
      <c r="J112" s="577"/>
      <c r="K112" s="576" t="s">
        <v>339</v>
      </c>
      <c r="L112" s="576">
        <v>920</v>
      </c>
      <c r="M112" s="576">
        <v>0.35</v>
      </c>
      <c r="Q112" s="576">
        <f>'BASE DE DATOS'!FQ112</f>
        <v>0</v>
      </c>
      <c r="R112" s="576">
        <f>'BASE DE DATOS'!FR112</f>
        <v>0</v>
      </c>
      <c r="AG112" s="576" t="s">
        <v>1871</v>
      </c>
      <c r="AM112" s="576" t="s">
        <v>191</v>
      </c>
      <c r="AO112" s="646" t="s">
        <v>878</v>
      </c>
      <c r="AP112" s="643" t="e">
        <f t="shared" si="49"/>
        <v>#N/A</v>
      </c>
      <c r="AQ112" s="643" t="e">
        <f t="shared" si="50"/>
        <v>#N/A</v>
      </c>
      <c r="AR112" s="643" t="e">
        <f t="shared" si="56"/>
        <v>#N/A</v>
      </c>
      <c r="AS112" s="643" t="e">
        <f t="shared" si="57"/>
        <v>#N/A</v>
      </c>
      <c r="AT112" s="643" t="e">
        <f t="shared" si="54"/>
        <v>#N/A</v>
      </c>
      <c r="AU112" s="643">
        <f t="shared" si="51"/>
        <v>0</v>
      </c>
      <c r="AV112" s="643" t="e">
        <f t="shared" si="52"/>
        <v>#DIV/0!</v>
      </c>
      <c r="AW112" s="643" t="e">
        <f t="shared" si="55"/>
        <v>#DIV/0!</v>
      </c>
      <c r="AX112" s="643" t="e">
        <f t="shared" si="53"/>
        <v>#DIV/0!</v>
      </c>
    </row>
    <row r="113" spans="2:56" ht="18" thickBot="1">
      <c r="B113" s="801" t="s">
        <v>551</v>
      </c>
      <c r="C113" s="801"/>
      <c r="D113" s="372"/>
      <c r="E113" s="1192"/>
      <c r="F113" s="1192"/>
      <c r="G113" s="1192"/>
      <c r="H113" s="1192"/>
      <c r="J113" s="577"/>
      <c r="K113" s="576" t="s">
        <v>1751</v>
      </c>
      <c r="L113" s="576">
        <v>915</v>
      </c>
      <c r="M113" s="576">
        <v>0.24</v>
      </c>
      <c r="Q113" s="576">
        <f>'BASE DE DATOS'!FQ113</f>
        <v>0</v>
      </c>
      <c r="R113" s="576">
        <f>'BASE DE DATOS'!FR113</f>
        <v>0</v>
      </c>
      <c r="AG113" s="576" t="s">
        <v>1872</v>
      </c>
      <c r="AM113" s="576" t="s">
        <v>173</v>
      </c>
      <c r="AO113" s="646" t="s">
        <v>842</v>
      </c>
      <c r="AP113" s="643" t="e">
        <f t="shared" si="49"/>
        <v>#N/A</v>
      </c>
      <c r="AQ113" s="643" t="e">
        <f t="shared" si="50"/>
        <v>#N/A</v>
      </c>
      <c r="AR113" s="643" t="e">
        <f t="shared" si="56"/>
        <v>#N/A</v>
      </c>
      <c r="AS113" s="643" t="e">
        <f t="shared" si="57"/>
        <v>#N/A</v>
      </c>
      <c r="AT113" s="643" t="e">
        <f t="shared" si="54"/>
        <v>#N/A</v>
      </c>
      <c r="AU113" s="643">
        <f t="shared" si="51"/>
        <v>0</v>
      </c>
      <c r="AV113" s="643" t="e">
        <f t="shared" si="52"/>
        <v>#DIV/0!</v>
      </c>
      <c r="AW113" s="643" t="e">
        <f t="shared" si="55"/>
        <v>#DIV/0!</v>
      </c>
      <c r="AX113" s="643" t="e">
        <f t="shared" si="53"/>
        <v>#DIV/0!</v>
      </c>
    </row>
    <row r="114" spans="2:56" ht="18" thickBot="1">
      <c r="B114" s="801" t="s">
        <v>552</v>
      </c>
      <c r="C114" s="801"/>
      <c r="D114" s="372"/>
      <c r="E114" s="1192"/>
      <c r="F114" s="1192"/>
      <c r="G114" s="1192"/>
      <c r="H114" s="1192"/>
      <c r="J114" s="577"/>
      <c r="K114" s="576" t="s">
        <v>1752</v>
      </c>
      <c r="L114" s="576">
        <v>1140</v>
      </c>
      <c r="M114" s="576">
        <v>0.2</v>
      </c>
      <c r="Q114" s="576">
        <f>'BASE DE DATOS'!FQ114</f>
        <v>0</v>
      </c>
      <c r="R114" s="576">
        <f>'BASE DE DATOS'!FR114</f>
        <v>0</v>
      </c>
      <c r="AG114" s="576" t="s">
        <v>1873</v>
      </c>
      <c r="AM114" s="576" t="s">
        <v>1271</v>
      </c>
      <c r="AO114" s="646" t="s">
        <v>879</v>
      </c>
      <c r="AP114" s="643" t="e">
        <f t="shared" si="49"/>
        <v>#N/A</v>
      </c>
      <c r="AQ114" s="643" t="e">
        <f t="shared" si="50"/>
        <v>#N/A</v>
      </c>
      <c r="AR114" s="643" t="e">
        <f t="shared" si="56"/>
        <v>#N/A</v>
      </c>
      <c r="AS114" s="643" t="e">
        <f t="shared" si="57"/>
        <v>#N/A</v>
      </c>
      <c r="AT114" s="643" t="e">
        <f t="shared" si="54"/>
        <v>#N/A</v>
      </c>
      <c r="AU114" s="643">
        <f t="shared" si="51"/>
        <v>0</v>
      </c>
      <c r="AV114" s="643" t="e">
        <f t="shared" si="52"/>
        <v>#DIV/0!</v>
      </c>
      <c r="AW114" s="643" t="e">
        <f t="shared" si="55"/>
        <v>#DIV/0!</v>
      </c>
      <c r="AX114" s="643" t="e">
        <f t="shared" si="53"/>
        <v>#DIV/0!</v>
      </c>
    </row>
    <row r="115" spans="2:56" ht="18" thickBot="1">
      <c r="B115" s="801" t="s">
        <v>1235</v>
      </c>
      <c r="C115" s="801"/>
      <c r="D115" s="372"/>
      <c r="E115" s="1192"/>
      <c r="F115" s="1192"/>
      <c r="G115" s="1192"/>
      <c r="H115" s="1192"/>
      <c r="J115" s="577" t="str">
        <f>K427</f>
        <v xml:space="preserve">Vidrios </v>
      </c>
      <c r="K115" s="576" t="s">
        <v>1753</v>
      </c>
      <c r="L115" s="576">
        <v>2700</v>
      </c>
      <c r="M115" s="576">
        <v>1.05</v>
      </c>
      <c r="Q115" s="576">
        <f>'BASE DE DATOS'!FQ115</f>
        <v>0</v>
      </c>
      <c r="R115" s="576">
        <f>'BASE DE DATOS'!FR115</f>
        <v>0</v>
      </c>
      <c r="AG115" s="576" t="s">
        <v>1874</v>
      </c>
      <c r="AM115" s="576" t="s">
        <v>1270</v>
      </c>
      <c r="AO115" s="646" t="s">
        <v>844</v>
      </c>
      <c r="AP115" s="643" t="e">
        <f t="shared" si="49"/>
        <v>#N/A</v>
      </c>
      <c r="AQ115" s="643" t="e">
        <f t="shared" si="50"/>
        <v>#N/A</v>
      </c>
      <c r="AR115" s="643" t="e">
        <f t="shared" si="56"/>
        <v>#N/A</v>
      </c>
      <c r="AS115" s="643" t="e">
        <f t="shared" si="57"/>
        <v>#N/A</v>
      </c>
      <c r="AT115" s="643" t="e">
        <f t="shared" si="54"/>
        <v>#N/A</v>
      </c>
      <c r="AU115" s="643">
        <f t="shared" si="51"/>
        <v>0</v>
      </c>
      <c r="AV115" s="643" t="e">
        <f t="shared" si="52"/>
        <v>#DIV/0!</v>
      </c>
      <c r="AW115" s="643" t="e">
        <f t="shared" si="55"/>
        <v>#DIV/0!</v>
      </c>
      <c r="AX115" s="643" t="e">
        <f t="shared" si="53"/>
        <v>#DIV/0!</v>
      </c>
    </row>
    <row r="116" spans="2:56" ht="18" thickBot="1">
      <c r="B116" s="801" t="s">
        <v>1236</v>
      </c>
      <c r="C116" s="801"/>
      <c r="D116" s="372"/>
      <c r="E116" s="1192"/>
      <c r="F116" s="1192"/>
      <c r="G116" s="1192"/>
      <c r="H116" s="1192"/>
      <c r="K116" s="576" t="s">
        <v>346</v>
      </c>
      <c r="L116" s="576">
        <v>2200</v>
      </c>
      <c r="M116" s="576">
        <v>1.07</v>
      </c>
      <c r="Q116" s="576">
        <f>'BASE DE DATOS'!FQ116</f>
        <v>0</v>
      </c>
      <c r="R116" s="576">
        <f>'BASE DE DATOS'!FR116</f>
        <v>0</v>
      </c>
      <c r="AG116" s="576" t="s">
        <v>1875</v>
      </c>
      <c r="AM116" s="576" t="s">
        <v>1037</v>
      </c>
      <c r="AO116" s="646" t="s">
        <v>880</v>
      </c>
      <c r="AP116" s="643" t="e">
        <f t="shared" si="49"/>
        <v>#N/A</v>
      </c>
      <c r="AQ116" s="643" t="e">
        <f t="shared" si="50"/>
        <v>#N/A</v>
      </c>
      <c r="AR116" s="643" t="e">
        <f t="shared" si="56"/>
        <v>#N/A</v>
      </c>
      <c r="AS116" s="643" t="e">
        <f t="shared" si="57"/>
        <v>#N/A</v>
      </c>
      <c r="AT116" s="643" t="e">
        <f t="shared" si="54"/>
        <v>#N/A</v>
      </c>
      <c r="AU116" s="643">
        <f t="shared" si="51"/>
        <v>0</v>
      </c>
      <c r="AV116" s="643" t="e">
        <f t="shared" si="52"/>
        <v>#DIV/0!</v>
      </c>
      <c r="AW116" s="643" t="e">
        <f t="shared" si="55"/>
        <v>#DIV/0!</v>
      </c>
      <c r="AX116" s="643" t="e">
        <f t="shared" si="53"/>
        <v>#DIV/0!</v>
      </c>
    </row>
    <row r="117" spans="2:56" ht="18" thickBot="1">
      <c r="B117" s="801" t="s">
        <v>1214</v>
      </c>
      <c r="C117" s="801"/>
      <c r="D117" s="372"/>
      <c r="E117" s="1192"/>
      <c r="F117" s="1192"/>
      <c r="G117" s="1192"/>
      <c r="H117" s="1192"/>
      <c r="K117" s="576" t="s">
        <v>343</v>
      </c>
      <c r="L117" s="576">
        <v>2400</v>
      </c>
      <c r="M117" s="576">
        <v>0.57999999999999996</v>
      </c>
      <c r="Q117" s="576">
        <f>'BASE DE DATOS'!FQ117</f>
        <v>0</v>
      </c>
      <c r="R117" s="576">
        <f>'BASE DE DATOS'!FR117</f>
        <v>0</v>
      </c>
      <c r="AG117" s="576" t="s">
        <v>1876</v>
      </c>
      <c r="AM117" s="576" t="s">
        <v>95</v>
      </c>
      <c r="AO117" s="646" t="s">
        <v>845</v>
      </c>
      <c r="AP117" s="643" t="e">
        <f t="shared" si="49"/>
        <v>#N/A</v>
      </c>
      <c r="AQ117" s="643" t="e">
        <f t="shared" si="50"/>
        <v>#N/A</v>
      </c>
      <c r="AR117" s="643" t="e">
        <f t="shared" si="56"/>
        <v>#N/A</v>
      </c>
      <c r="AS117" s="643" t="e">
        <f t="shared" si="57"/>
        <v>#N/A</v>
      </c>
      <c r="AT117" s="643" t="e">
        <f t="shared" si="54"/>
        <v>#N/A</v>
      </c>
      <c r="AU117" s="643">
        <f t="shared" si="51"/>
        <v>0</v>
      </c>
      <c r="AV117" s="643" t="e">
        <f t="shared" si="52"/>
        <v>#DIV/0!</v>
      </c>
      <c r="AW117" s="643" t="e">
        <f t="shared" si="55"/>
        <v>#DIV/0!</v>
      </c>
      <c r="AX117" s="643" t="e">
        <f t="shared" si="53"/>
        <v>#DIV/0!</v>
      </c>
    </row>
    <row r="118" spans="2:56" thickBot="1">
      <c r="B118" s="801" t="s">
        <v>1213</v>
      </c>
      <c r="C118" s="801"/>
      <c r="D118" s="372"/>
      <c r="E118" s="1192"/>
      <c r="F118" s="1192"/>
      <c r="G118" s="1192"/>
      <c r="H118" s="1192"/>
      <c r="K118" s="576" t="s">
        <v>344</v>
      </c>
      <c r="L118" s="576">
        <v>2800</v>
      </c>
      <c r="M118" s="576">
        <v>0.8</v>
      </c>
      <c r="Q118" s="576">
        <f>'BASE DE DATOS'!FQ118</f>
        <v>0</v>
      </c>
      <c r="R118" s="576">
        <f>'BASE DE DATOS'!FR118</f>
        <v>0</v>
      </c>
      <c r="AG118" s="576" t="s">
        <v>1877</v>
      </c>
      <c r="AM118" s="576" t="s">
        <v>56</v>
      </c>
      <c r="AO118" s="642"/>
      <c r="AP118" s="642"/>
      <c r="AQ118" s="642"/>
      <c r="AR118" s="642"/>
      <c r="AS118" s="642"/>
      <c r="AT118" s="642"/>
      <c r="AU118" s="642"/>
      <c r="AV118" s="642"/>
      <c r="AW118" s="642"/>
      <c r="AX118" s="647" t="e">
        <f>SUM(AX106:AX117)</f>
        <v>#DIV/0!</v>
      </c>
    </row>
    <row r="119" spans="2:56" thickBot="1">
      <c r="B119" s="801" t="s">
        <v>1237</v>
      </c>
      <c r="C119" s="801"/>
      <c r="D119" s="318"/>
      <c r="E119" s="1192"/>
      <c r="F119" s="1192"/>
      <c r="G119" s="1192"/>
      <c r="H119" s="1192"/>
      <c r="J119" s="577"/>
      <c r="K119" s="576" t="s">
        <v>345</v>
      </c>
      <c r="L119" s="576">
        <v>3200</v>
      </c>
      <c r="M119" s="576">
        <v>1.05</v>
      </c>
      <c r="Q119" s="576" t="str">
        <f>'BASE DE DATOS'!FQ119</f>
        <v>SE PUEDE CARGAR HASTA AQUÍ</v>
      </c>
      <c r="R119" s="576">
        <f>'BASE DE DATOS'!FR119</f>
        <v>0</v>
      </c>
      <c r="AM119" s="576" t="s">
        <v>57</v>
      </c>
      <c r="AO119" s="642"/>
      <c r="AP119" s="642"/>
      <c r="AQ119" s="642"/>
      <c r="AR119" s="642"/>
      <c r="AS119" s="642"/>
      <c r="AT119" s="642"/>
      <c r="AU119" s="642"/>
      <c r="AV119" s="642"/>
      <c r="AW119" s="574" t="s">
        <v>755</v>
      </c>
      <c r="AX119" s="647" t="e">
        <f>(AX118/3600000)*BB47</f>
        <v>#DIV/0!</v>
      </c>
    </row>
    <row r="120" spans="2:56" ht="18" thickBot="1">
      <c r="J120" s="577" t="str">
        <f>K428</f>
        <v>Metales</v>
      </c>
      <c r="K120" s="576" t="s">
        <v>1754</v>
      </c>
      <c r="L120" s="576">
        <v>7800</v>
      </c>
      <c r="M120" s="576">
        <v>58</v>
      </c>
      <c r="Q120" s="576">
        <f>'BASE DE DATOS'!FQ120</f>
        <v>0</v>
      </c>
      <c r="R120" s="576">
        <f>'BASE DE DATOS'!FR120</f>
        <v>0</v>
      </c>
      <c r="AM120" s="576" t="s">
        <v>58</v>
      </c>
    </row>
    <row r="121" spans="2:56" ht="18" thickBot="1">
      <c r="K121" s="576" t="s">
        <v>353</v>
      </c>
      <c r="L121" s="576">
        <v>8100</v>
      </c>
      <c r="M121" s="576">
        <v>14.5</v>
      </c>
      <c r="Q121" s="576">
        <f>'BASE DE DATOS'!FQ121</f>
        <v>0</v>
      </c>
      <c r="R121" s="576">
        <f>'BASE DE DATOS'!FR121</f>
        <v>0</v>
      </c>
      <c r="AM121" s="576" t="s">
        <v>83</v>
      </c>
      <c r="AO121" s="646" t="s">
        <v>1254</v>
      </c>
      <c r="AP121" s="642"/>
      <c r="AQ121" s="642"/>
      <c r="AR121" s="642"/>
      <c r="AS121" s="642"/>
      <c r="AT121" s="642"/>
      <c r="AU121" s="642" t="s">
        <v>866</v>
      </c>
      <c r="AV121" s="642"/>
      <c r="AW121" s="642"/>
      <c r="AX121" s="642"/>
      <c r="AY121" s="1194" t="s">
        <v>866</v>
      </c>
      <c r="AZ121" s="1194"/>
    </row>
    <row r="122" spans="2:56" ht="35" thickBot="1">
      <c r="K122" s="576" t="s">
        <v>354</v>
      </c>
      <c r="L122" s="576">
        <v>8450</v>
      </c>
      <c r="M122" s="576">
        <v>17.5</v>
      </c>
      <c r="Q122" s="576">
        <f>'BASE DE DATOS'!FQ122</f>
        <v>0</v>
      </c>
      <c r="R122" s="576">
        <f>'BASE DE DATOS'!FR122</f>
        <v>0</v>
      </c>
      <c r="AM122" s="576" t="s">
        <v>22</v>
      </c>
      <c r="AO122" s="645"/>
      <c r="AP122" s="645" t="s">
        <v>867</v>
      </c>
      <c r="AQ122" s="645" t="s">
        <v>868</v>
      </c>
      <c r="AR122" s="645" t="s">
        <v>869</v>
      </c>
      <c r="AS122" s="645" t="s">
        <v>871</v>
      </c>
      <c r="AT122" s="646" t="s">
        <v>881</v>
      </c>
      <c r="AU122" s="645" t="s">
        <v>882</v>
      </c>
      <c r="AV122" s="645" t="s">
        <v>883</v>
      </c>
      <c r="AW122" s="646" t="s">
        <v>884</v>
      </c>
      <c r="AX122" s="645" t="s">
        <v>885</v>
      </c>
      <c r="AY122" s="645" t="s">
        <v>1098</v>
      </c>
      <c r="AZ122" s="645" t="s">
        <v>1099</v>
      </c>
      <c r="BB122" s="648" t="s">
        <v>574</v>
      </c>
      <c r="BC122" s="576">
        <f>IF(ENERGÍA!S195&gt;0,ENERGÍA!C195,0)</f>
        <v>0</v>
      </c>
      <c r="BD122" s="576">
        <f t="shared" ref="BD122:BD132" si="58">IF(BC122=0,0,VLOOKUP(BC122,CALEFACCIONm,4,FALSE))</f>
        <v>0</v>
      </c>
    </row>
    <row r="123" spans="2:56" ht="18" thickBot="1">
      <c r="J123" s="577"/>
      <c r="K123" s="576" t="s">
        <v>355</v>
      </c>
      <c r="L123" s="576">
        <v>900</v>
      </c>
      <c r="M123" s="576">
        <v>20.9</v>
      </c>
      <c r="Q123" s="576">
        <f>'BASE DE DATOS'!FQ123</f>
        <v>0</v>
      </c>
      <c r="R123" s="576">
        <f>'BASE DE DATOS'!FR123</f>
        <v>0</v>
      </c>
      <c r="AM123" s="576" t="s">
        <v>157</v>
      </c>
      <c r="AO123" s="646" t="s">
        <v>838</v>
      </c>
      <c r="AP123" s="643">
        <f t="shared" ref="AP123:AP134" si="59">IF(BB55=0,0,AQ70*AS70/BB55)</f>
        <v>0</v>
      </c>
      <c r="AQ123" s="643">
        <f t="shared" ref="AQ123:AQ134" si="60">IF(BB55=0,0,AR70/BB55)</f>
        <v>0</v>
      </c>
      <c r="AR123" s="643">
        <f>1.029*AQ123-0.065*AP123-0.245*AQ123^2+0.0018*AP123^2+0.0215*AQ123^3</f>
        <v>0</v>
      </c>
      <c r="AS123" s="643">
        <f>IF(AR123&gt;0.9,0.9,AR123)</f>
        <v>0</v>
      </c>
      <c r="AT123" s="643">
        <f>IF(AS123&lt;0,0,AS123)</f>
        <v>0</v>
      </c>
      <c r="AU123" s="643">
        <f t="shared" ref="AU123:AU134" si="61">BB55*AT123</f>
        <v>0</v>
      </c>
      <c r="AV123" s="643" t="e">
        <f>AU123-AX106</f>
        <v>#DIV/0!</v>
      </c>
      <c r="AW123" s="643" t="e">
        <f>IF(AV123&lt;0,0,AV123)</f>
        <v>#DIV/0!</v>
      </c>
      <c r="AX123" s="643" t="e">
        <f t="shared" ref="AX123:AX134" si="62">AW123/(AZ55+0.0001)</f>
        <v>#DIV/0!</v>
      </c>
      <c r="AY123" s="643" t="e">
        <f>IF(AX123&gt;0.9,0.9,AX123)</f>
        <v>#DIV/0!</v>
      </c>
      <c r="AZ123" s="643" t="e">
        <f t="shared" ref="AZ123:AZ134" si="63">AZ55*AY123</f>
        <v>#DIV/0!</v>
      </c>
      <c r="BB123" s="648" t="s">
        <v>575</v>
      </c>
      <c r="BC123" s="576">
        <f>IF(ENERGÍA!S196&gt;0,ENERGÍA!C196,0)</f>
        <v>0</v>
      </c>
      <c r="BD123" s="576">
        <f t="shared" si="58"/>
        <v>0</v>
      </c>
    </row>
    <row r="124" spans="2:56" ht="18" thickBot="1">
      <c r="J124" s="577"/>
      <c r="K124" s="576" t="s">
        <v>349</v>
      </c>
      <c r="L124" s="576">
        <v>2700</v>
      </c>
      <c r="M124" s="576">
        <v>204</v>
      </c>
      <c r="Q124" s="576">
        <f>'BASE DE DATOS'!FQ124</f>
        <v>0</v>
      </c>
      <c r="R124" s="576">
        <f>'BASE DE DATOS'!FR124</f>
        <v>0</v>
      </c>
      <c r="AM124" s="576" t="s">
        <v>100</v>
      </c>
      <c r="AO124" s="646" t="s">
        <v>839</v>
      </c>
      <c r="AP124" s="643">
        <f t="shared" si="59"/>
        <v>0</v>
      </c>
      <c r="AQ124" s="643">
        <f t="shared" si="60"/>
        <v>0</v>
      </c>
      <c r="AR124" s="643">
        <f t="shared" ref="AR124:AR134" si="64">1.029*AQ124-0.065*AP124-0.245*AQ124^2+0.0018*AP124^2+0.0215*AQ124^3</f>
        <v>0</v>
      </c>
      <c r="AS124" s="643">
        <f t="shared" ref="AS124:AS134" si="65">IF(AR124&gt;0.9,0.9,AR124)</f>
        <v>0</v>
      </c>
      <c r="AT124" s="643">
        <f t="shared" ref="AT124:AT134" si="66">IF(AS124&lt;0,0,AS124)</f>
        <v>0</v>
      </c>
      <c r="AU124" s="643">
        <f t="shared" si="61"/>
        <v>0</v>
      </c>
      <c r="AV124" s="643" t="e">
        <f t="shared" ref="AV124:AV134" si="67">AU124-AX107</f>
        <v>#DIV/0!</v>
      </c>
      <c r="AW124" s="643" t="e">
        <f t="shared" ref="AW124:AW134" si="68">IF(AV124&lt;0,0,AV124)</f>
        <v>#DIV/0!</v>
      </c>
      <c r="AX124" s="643" t="e">
        <f t="shared" si="62"/>
        <v>#DIV/0!</v>
      </c>
      <c r="AY124" s="643" t="e">
        <f t="shared" ref="AY124:AY134" si="69">IF(AX124&gt;0.9,0.9,AX124)</f>
        <v>#DIV/0!</v>
      </c>
      <c r="AZ124" s="643" t="e">
        <f t="shared" si="63"/>
        <v>#DIV/0!</v>
      </c>
      <c r="BB124" s="648" t="s">
        <v>576</v>
      </c>
      <c r="BC124" s="576">
        <f>IF(ENERGÍA!S197&gt;0,ENERGÍA!C197,0)</f>
        <v>0</v>
      </c>
      <c r="BD124" s="576">
        <f t="shared" si="58"/>
        <v>0</v>
      </c>
    </row>
    <row r="125" spans="2:56" ht="18" thickBot="1">
      <c r="J125" s="577"/>
      <c r="K125" s="576" t="s">
        <v>352</v>
      </c>
      <c r="L125" s="576">
        <v>8800</v>
      </c>
      <c r="M125" s="576">
        <v>42</v>
      </c>
      <c r="Q125" s="576">
        <f>'BASE DE DATOS'!FQ125</f>
        <v>0</v>
      </c>
      <c r="R125" s="576">
        <f>'BASE DE DATOS'!FR125</f>
        <v>0</v>
      </c>
      <c r="AM125" s="576" t="s">
        <v>132</v>
      </c>
      <c r="AO125" s="646" t="s">
        <v>840</v>
      </c>
      <c r="AP125" s="643">
        <f t="shared" si="59"/>
        <v>0</v>
      </c>
      <c r="AQ125" s="643">
        <f t="shared" si="60"/>
        <v>0</v>
      </c>
      <c r="AR125" s="643">
        <f t="shared" si="64"/>
        <v>0</v>
      </c>
      <c r="AS125" s="643">
        <f t="shared" si="65"/>
        <v>0</v>
      </c>
      <c r="AT125" s="643">
        <f t="shared" si="66"/>
        <v>0</v>
      </c>
      <c r="AU125" s="643">
        <f t="shared" si="61"/>
        <v>0</v>
      </c>
      <c r="AV125" s="643" t="e">
        <f t="shared" si="67"/>
        <v>#DIV/0!</v>
      </c>
      <c r="AW125" s="643" t="e">
        <f t="shared" si="68"/>
        <v>#DIV/0!</v>
      </c>
      <c r="AX125" s="643" t="e">
        <f t="shared" si="62"/>
        <v>#DIV/0!</v>
      </c>
      <c r="AY125" s="643" t="e">
        <f t="shared" si="69"/>
        <v>#DIV/0!</v>
      </c>
      <c r="AZ125" s="643" t="e">
        <f t="shared" si="63"/>
        <v>#DIV/0!</v>
      </c>
      <c r="BB125" s="648" t="s">
        <v>577</v>
      </c>
      <c r="BC125" s="576">
        <f>IF(ENERGÍA!S198&gt;0,ENERGÍA!C198,0)</f>
        <v>0</v>
      </c>
      <c r="BD125" s="576">
        <f t="shared" si="58"/>
        <v>0</v>
      </c>
    </row>
    <row r="126" spans="2:56" ht="18" thickBot="1">
      <c r="J126" s="577"/>
      <c r="K126" s="576" t="s">
        <v>1755</v>
      </c>
      <c r="L126" s="576">
        <v>7800</v>
      </c>
      <c r="M126" s="576">
        <v>58</v>
      </c>
      <c r="Q126" s="576">
        <f>'BASE DE DATOS'!FQ126</f>
        <v>0</v>
      </c>
      <c r="R126" s="576">
        <f>'BASE DE DATOS'!FR126</f>
        <v>0</v>
      </c>
      <c r="AM126" s="576" t="s">
        <v>149</v>
      </c>
      <c r="AO126" s="646" t="s">
        <v>841</v>
      </c>
      <c r="AP126" s="643">
        <f t="shared" si="59"/>
        <v>0</v>
      </c>
      <c r="AQ126" s="643">
        <f t="shared" si="60"/>
        <v>0</v>
      </c>
      <c r="AR126" s="643">
        <f>1.029*AQ126-0.065*AP126-0.245*AQ126^2+0.0018*AP126^2+0.0215*AQ126^3</f>
        <v>0</v>
      </c>
      <c r="AS126" s="643">
        <f t="shared" si="65"/>
        <v>0</v>
      </c>
      <c r="AT126" s="643">
        <f t="shared" si="66"/>
        <v>0</v>
      </c>
      <c r="AU126" s="643">
        <f t="shared" si="61"/>
        <v>0</v>
      </c>
      <c r="AV126" s="643" t="e">
        <f t="shared" si="67"/>
        <v>#DIV/0!</v>
      </c>
      <c r="AW126" s="643" t="e">
        <f t="shared" si="68"/>
        <v>#DIV/0!</v>
      </c>
      <c r="AX126" s="643" t="e">
        <f t="shared" si="62"/>
        <v>#DIV/0!</v>
      </c>
      <c r="AY126" s="643" t="e">
        <f t="shared" si="69"/>
        <v>#DIV/0!</v>
      </c>
      <c r="AZ126" s="643" t="e">
        <f t="shared" si="63"/>
        <v>#DIV/0!</v>
      </c>
      <c r="BB126" s="648" t="s">
        <v>578</v>
      </c>
      <c r="BC126" s="576">
        <f>IF(ENERGÍA!S199&gt;0,ENERGÍA!C199,0)</f>
        <v>0</v>
      </c>
      <c r="BD126" s="576">
        <f t="shared" si="58"/>
        <v>0</v>
      </c>
    </row>
    <row r="127" spans="2:56" ht="18" thickBot="1">
      <c r="J127" s="577"/>
      <c r="K127" s="576" t="s">
        <v>350</v>
      </c>
      <c r="L127" s="576">
        <v>8900</v>
      </c>
      <c r="M127" s="576">
        <v>384</v>
      </c>
      <c r="Q127" s="576">
        <f>'BASE DE DATOS'!FQ127</f>
        <v>0</v>
      </c>
      <c r="R127" s="576">
        <f>'BASE DE DATOS'!FR127</f>
        <v>0</v>
      </c>
      <c r="AM127" s="576" t="s">
        <v>186</v>
      </c>
      <c r="AO127" s="646" t="s">
        <v>876</v>
      </c>
      <c r="AP127" s="643">
        <f t="shared" si="59"/>
        <v>0</v>
      </c>
      <c r="AQ127" s="643">
        <f t="shared" si="60"/>
        <v>0</v>
      </c>
      <c r="AR127" s="643">
        <f>1.029*AQ127-0.065*AP127-0.245*AQ127^2+0.0018*AP127^2+0.0215*AQ127^3</f>
        <v>0</v>
      </c>
      <c r="AS127" s="643">
        <f t="shared" si="65"/>
        <v>0</v>
      </c>
      <c r="AT127" s="643">
        <f>IF(AS127&lt;0,0,AS127)</f>
        <v>0</v>
      </c>
      <c r="AU127" s="643">
        <f t="shared" si="61"/>
        <v>0</v>
      </c>
      <c r="AV127" s="643" t="e">
        <f t="shared" si="67"/>
        <v>#DIV/0!</v>
      </c>
      <c r="AW127" s="643" t="e">
        <f t="shared" si="68"/>
        <v>#DIV/0!</v>
      </c>
      <c r="AX127" s="643" t="e">
        <f t="shared" si="62"/>
        <v>#DIV/0!</v>
      </c>
      <c r="AY127" s="643" t="e">
        <f t="shared" si="69"/>
        <v>#DIV/0!</v>
      </c>
      <c r="AZ127" s="643" t="e">
        <f t="shared" si="63"/>
        <v>#DIV/0!</v>
      </c>
      <c r="BB127" s="648" t="s">
        <v>579</v>
      </c>
      <c r="BC127" s="576">
        <f>IF(ENERGÍA!S200&gt;0,ENERGÍA!C200,0)</f>
        <v>0</v>
      </c>
      <c r="BD127" s="576">
        <f t="shared" si="58"/>
        <v>0</v>
      </c>
    </row>
    <row r="128" spans="2:56" ht="18" thickBot="1">
      <c r="J128" s="577"/>
      <c r="K128" s="576" t="s">
        <v>348</v>
      </c>
      <c r="L128" s="576">
        <v>7200</v>
      </c>
      <c r="M128" s="576">
        <v>50</v>
      </c>
      <c r="Q128" s="576">
        <f>'BASE DE DATOS'!FQ128</f>
        <v>0</v>
      </c>
      <c r="R128" s="576">
        <f>'BASE DE DATOS'!FR128</f>
        <v>0</v>
      </c>
      <c r="AM128" s="576" t="s">
        <v>59</v>
      </c>
      <c r="AO128" s="646" t="s">
        <v>877</v>
      </c>
      <c r="AP128" s="643">
        <f t="shared" si="59"/>
        <v>0</v>
      </c>
      <c r="AQ128" s="643">
        <f t="shared" si="60"/>
        <v>0</v>
      </c>
      <c r="AR128" s="643">
        <f t="shared" si="64"/>
        <v>0</v>
      </c>
      <c r="AS128" s="643">
        <f t="shared" si="65"/>
        <v>0</v>
      </c>
      <c r="AT128" s="643">
        <f t="shared" si="66"/>
        <v>0</v>
      </c>
      <c r="AU128" s="643">
        <f t="shared" si="61"/>
        <v>0</v>
      </c>
      <c r="AV128" s="643" t="e">
        <f t="shared" si="67"/>
        <v>#DIV/0!</v>
      </c>
      <c r="AW128" s="643" t="e">
        <f t="shared" si="68"/>
        <v>#DIV/0!</v>
      </c>
      <c r="AX128" s="643" t="e">
        <f t="shared" si="62"/>
        <v>#DIV/0!</v>
      </c>
      <c r="AY128" s="643" t="e">
        <f t="shared" si="69"/>
        <v>#DIV/0!</v>
      </c>
      <c r="AZ128" s="643" t="e">
        <f t="shared" si="63"/>
        <v>#DIV/0!</v>
      </c>
      <c r="BB128" s="648" t="s">
        <v>611</v>
      </c>
      <c r="BC128" s="576">
        <f>IF(ENERGÍA!S201&gt;0,ENERGÍA!C201,0)</f>
        <v>0</v>
      </c>
      <c r="BD128" s="576">
        <f t="shared" si="58"/>
        <v>0</v>
      </c>
    </row>
    <row r="129" spans="10:56" ht="18" thickBot="1">
      <c r="J129" s="577"/>
      <c r="K129" s="576" t="s">
        <v>351</v>
      </c>
      <c r="L129" s="576">
        <v>8600</v>
      </c>
      <c r="M129" s="576">
        <v>110</v>
      </c>
      <c r="Q129" s="576">
        <f>'BASE DE DATOS'!FQ129</f>
        <v>0</v>
      </c>
      <c r="R129" s="576">
        <f>'BASE DE DATOS'!FR129</f>
        <v>0</v>
      </c>
      <c r="AM129" s="576" t="s">
        <v>133</v>
      </c>
      <c r="AO129" s="646" t="s">
        <v>878</v>
      </c>
      <c r="AP129" s="643">
        <f t="shared" si="59"/>
        <v>0</v>
      </c>
      <c r="AQ129" s="643">
        <f t="shared" si="60"/>
        <v>0</v>
      </c>
      <c r="AR129" s="643">
        <f t="shared" si="64"/>
        <v>0</v>
      </c>
      <c r="AS129" s="643">
        <f t="shared" si="65"/>
        <v>0</v>
      </c>
      <c r="AT129" s="643">
        <f t="shared" si="66"/>
        <v>0</v>
      </c>
      <c r="AU129" s="643">
        <f t="shared" si="61"/>
        <v>0</v>
      </c>
      <c r="AV129" s="643" t="e">
        <f t="shared" si="67"/>
        <v>#DIV/0!</v>
      </c>
      <c r="AW129" s="643" t="e">
        <f t="shared" si="68"/>
        <v>#DIV/0!</v>
      </c>
      <c r="AX129" s="643" t="e">
        <f t="shared" si="62"/>
        <v>#DIV/0!</v>
      </c>
      <c r="AY129" s="643" t="e">
        <f t="shared" si="69"/>
        <v>#DIV/0!</v>
      </c>
      <c r="AZ129" s="643" t="e">
        <f t="shared" si="63"/>
        <v>#DIV/0!</v>
      </c>
      <c r="BB129" s="648" t="s">
        <v>583</v>
      </c>
      <c r="BC129" s="576">
        <f>IF(ENERGÍA!S202&gt;0,ENERGÍA!C202,0)</f>
        <v>0</v>
      </c>
      <c r="BD129" s="576">
        <f t="shared" si="58"/>
        <v>0</v>
      </c>
    </row>
    <row r="130" spans="10:56" ht="18" thickBot="1">
      <c r="J130" s="577" t="str">
        <f>K429</f>
        <v>Maderas</v>
      </c>
      <c r="K130" s="576" t="s">
        <v>1756</v>
      </c>
      <c r="M130" s="576">
        <v>0.19</v>
      </c>
      <c r="Q130" s="576">
        <f>'BASE DE DATOS'!FQ130</f>
        <v>0</v>
      </c>
      <c r="R130" s="576">
        <f>'BASE DE DATOS'!FR130</f>
        <v>0</v>
      </c>
      <c r="AM130" s="576" t="s">
        <v>192</v>
      </c>
      <c r="AO130" s="646" t="s">
        <v>842</v>
      </c>
      <c r="AP130" s="643">
        <f t="shared" si="59"/>
        <v>0</v>
      </c>
      <c r="AQ130" s="643">
        <f t="shared" si="60"/>
        <v>0</v>
      </c>
      <c r="AR130" s="643">
        <f t="shared" si="64"/>
        <v>0</v>
      </c>
      <c r="AS130" s="643">
        <f t="shared" si="65"/>
        <v>0</v>
      </c>
      <c r="AT130" s="643">
        <f t="shared" si="66"/>
        <v>0</v>
      </c>
      <c r="AU130" s="643">
        <f t="shared" si="61"/>
        <v>0</v>
      </c>
      <c r="AV130" s="643" t="e">
        <f t="shared" si="67"/>
        <v>#DIV/0!</v>
      </c>
      <c r="AW130" s="643" t="e">
        <f t="shared" si="68"/>
        <v>#DIV/0!</v>
      </c>
      <c r="AX130" s="643" t="e">
        <f t="shared" si="62"/>
        <v>#DIV/0!</v>
      </c>
      <c r="AY130" s="643" t="e">
        <f t="shared" si="69"/>
        <v>#DIV/0!</v>
      </c>
      <c r="AZ130" s="643" t="e">
        <f t="shared" si="63"/>
        <v>#DIV/0!</v>
      </c>
      <c r="BB130" s="648" t="s">
        <v>566</v>
      </c>
      <c r="BC130" s="576">
        <f>IF(ENERGÍA!S203&gt;0,ENERGÍA!C203,0)</f>
        <v>0</v>
      </c>
      <c r="BD130" s="576">
        <f t="shared" si="58"/>
        <v>0</v>
      </c>
    </row>
    <row r="131" spans="10:56" ht="18" thickBot="1">
      <c r="K131" s="576" t="s">
        <v>367</v>
      </c>
      <c r="L131" s="576">
        <v>700</v>
      </c>
      <c r="M131" s="576">
        <v>0.42</v>
      </c>
      <c r="Q131" s="576">
        <f>'BASE DE DATOS'!FQ131</f>
        <v>0</v>
      </c>
      <c r="R131" s="576">
        <f>'BASE DE DATOS'!FR131</f>
        <v>0</v>
      </c>
      <c r="AM131" s="576" t="s">
        <v>193</v>
      </c>
      <c r="AO131" s="646" t="s">
        <v>879</v>
      </c>
      <c r="AP131" s="643">
        <f t="shared" si="59"/>
        <v>0</v>
      </c>
      <c r="AQ131" s="643">
        <f t="shared" si="60"/>
        <v>0</v>
      </c>
      <c r="AR131" s="643">
        <f t="shared" si="64"/>
        <v>0</v>
      </c>
      <c r="AS131" s="643">
        <f t="shared" si="65"/>
        <v>0</v>
      </c>
      <c r="AT131" s="643">
        <f t="shared" si="66"/>
        <v>0</v>
      </c>
      <c r="AU131" s="643">
        <f t="shared" si="61"/>
        <v>0</v>
      </c>
      <c r="AV131" s="643" t="e">
        <f t="shared" si="67"/>
        <v>#DIV/0!</v>
      </c>
      <c r="AW131" s="643" t="e">
        <f t="shared" si="68"/>
        <v>#DIV/0!</v>
      </c>
      <c r="AX131" s="643" t="e">
        <f t="shared" si="62"/>
        <v>#DIV/0!</v>
      </c>
      <c r="AY131" s="643" t="e">
        <f t="shared" si="69"/>
        <v>#DIV/0!</v>
      </c>
      <c r="AZ131" s="643" t="e">
        <f t="shared" si="63"/>
        <v>#DIV/0!</v>
      </c>
      <c r="BB131" s="648" t="s">
        <v>572</v>
      </c>
      <c r="BC131" s="576">
        <f>IF(ENERGÍA!S204&gt;0,ENERGÍA!C204,0)</f>
        <v>0</v>
      </c>
      <c r="BD131" s="576">
        <f t="shared" si="58"/>
        <v>0</v>
      </c>
    </row>
    <row r="132" spans="10:56" ht="18" thickBot="1">
      <c r="J132" s="577"/>
      <c r="K132" s="576" t="s">
        <v>368</v>
      </c>
      <c r="L132" s="576">
        <v>700</v>
      </c>
      <c r="M132" s="576">
        <v>0.16</v>
      </c>
      <c r="Q132" s="576">
        <f>'BASE DE DATOS'!FQ132</f>
        <v>0</v>
      </c>
      <c r="R132" s="576">
        <f>'BASE DE DATOS'!FR132</f>
        <v>0</v>
      </c>
      <c r="AM132" s="576" t="s">
        <v>101</v>
      </c>
      <c r="AO132" s="646" t="s">
        <v>844</v>
      </c>
      <c r="AP132" s="643">
        <f t="shared" si="59"/>
        <v>0</v>
      </c>
      <c r="AQ132" s="643">
        <f t="shared" si="60"/>
        <v>0</v>
      </c>
      <c r="AR132" s="643">
        <f t="shared" si="64"/>
        <v>0</v>
      </c>
      <c r="AS132" s="643">
        <f t="shared" si="65"/>
        <v>0</v>
      </c>
      <c r="AT132" s="643">
        <f t="shared" si="66"/>
        <v>0</v>
      </c>
      <c r="AU132" s="643">
        <f t="shared" si="61"/>
        <v>0</v>
      </c>
      <c r="AV132" s="643" t="e">
        <f t="shared" si="67"/>
        <v>#DIV/0!</v>
      </c>
      <c r="AW132" s="643" t="e">
        <f t="shared" si="68"/>
        <v>#DIV/0!</v>
      </c>
      <c r="AX132" s="643" t="e">
        <f t="shared" si="62"/>
        <v>#DIV/0!</v>
      </c>
      <c r="AY132" s="643" t="e">
        <f t="shared" si="69"/>
        <v>#DIV/0!</v>
      </c>
      <c r="AZ132" s="643" t="e">
        <f t="shared" si="63"/>
        <v>#DIV/0!</v>
      </c>
      <c r="BB132" s="648" t="s">
        <v>8</v>
      </c>
      <c r="BC132" s="576">
        <f>IF(ENERGÍA!S205&gt;0,ENERGÍA!C205,0)</f>
        <v>0</v>
      </c>
      <c r="BD132" s="576">
        <f t="shared" si="58"/>
        <v>0</v>
      </c>
    </row>
    <row r="133" spans="10:56" ht="18" thickBot="1">
      <c r="J133" s="577"/>
      <c r="K133" s="576" t="s">
        <v>363</v>
      </c>
      <c r="L133" s="576">
        <v>150</v>
      </c>
      <c r="M133" s="576">
        <v>5.6000000000000001E-2</v>
      </c>
      <c r="Q133" s="576">
        <f>'BASE DE DATOS'!FQ133</f>
        <v>0</v>
      </c>
      <c r="R133" s="576">
        <f>'BASE DE DATOS'!FR133</f>
        <v>0</v>
      </c>
      <c r="AM133" s="576" t="s">
        <v>102</v>
      </c>
      <c r="AO133" s="646" t="s">
        <v>880</v>
      </c>
      <c r="AP133" s="643">
        <f t="shared" si="59"/>
        <v>0</v>
      </c>
      <c r="AQ133" s="643">
        <f t="shared" si="60"/>
        <v>0</v>
      </c>
      <c r="AR133" s="643">
        <f t="shared" si="64"/>
        <v>0</v>
      </c>
      <c r="AS133" s="643">
        <f t="shared" si="65"/>
        <v>0</v>
      </c>
      <c r="AT133" s="643">
        <f t="shared" si="66"/>
        <v>0</v>
      </c>
      <c r="AU133" s="643">
        <f t="shared" si="61"/>
        <v>0</v>
      </c>
      <c r="AV133" s="643" t="e">
        <f t="shared" si="67"/>
        <v>#DIV/0!</v>
      </c>
      <c r="AW133" s="643" t="e">
        <f t="shared" si="68"/>
        <v>#DIV/0!</v>
      </c>
      <c r="AX133" s="643" t="e">
        <f t="shared" si="62"/>
        <v>#DIV/0!</v>
      </c>
      <c r="AY133" s="643" t="e">
        <f t="shared" si="69"/>
        <v>#DIV/0!</v>
      </c>
      <c r="AZ133" s="643" t="e">
        <f t="shared" si="63"/>
        <v>#DIV/0!</v>
      </c>
      <c r="BD133" s="576">
        <f>SUM(BD122:BD132)</f>
        <v>0</v>
      </c>
    </row>
    <row r="134" spans="10:56" ht="18" thickBot="1">
      <c r="J134" s="577"/>
      <c r="K134" s="576" t="s">
        <v>364</v>
      </c>
      <c r="L134" s="576">
        <v>250</v>
      </c>
      <c r="M134" s="576">
        <v>9.5000000000000001E-2</v>
      </c>
      <c r="Q134" s="576">
        <f>'BASE DE DATOS'!FQ134</f>
        <v>0</v>
      </c>
      <c r="R134" s="576">
        <f>'BASE DE DATOS'!FR134</f>
        <v>0</v>
      </c>
      <c r="AM134" s="576" t="s">
        <v>168</v>
      </c>
      <c r="AO134" s="646" t="s">
        <v>845</v>
      </c>
      <c r="AP134" s="643">
        <f t="shared" si="59"/>
        <v>0</v>
      </c>
      <c r="AQ134" s="643">
        <f t="shared" si="60"/>
        <v>0</v>
      </c>
      <c r="AR134" s="643">
        <f t="shared" si="64"/>
        <v>0</v>
      </c>
      <c r="AS134" s="643">
        <f t="shared" si="65"/>
        <v>0</v>
      </c>
      <c r="AT134" s="643">
        <f t="shared" si="66"/>
        <v>0</v>
      </c>
      <c r="AU134" s="643">
        <f t="shared" si="61"/>
        <v>0</v>
      </c>
      <c r="AV134" s="643" t="e">
        <f t="shared" si="67"/>
        <v>#DIV/0!</v>
      </c>
      <c r="AW134" s="643" t="e">
        <f t="shared" si="68"/>
        <v>#DIV/0!</v>
      </c>
      <c r="AX134" s="643" t="e">
        <f t="shared" si="62"/>
        <v>#DIV/0!</v>
      </c>
      <c r="AY134" s="643" t="e">
        <f t="shared" si="69"/>
        <v>#DIV/0!</v>
      </c>
      <c r="AZ134" s="643" t="e">
        <f t="shared" si="63"/>
        <v>#DIV/0!</v>
      </c>
      <c r="BC134" s="576" t="s">
        <v>1757</v>
      </c>
      <c r="BD134" s="576">
        <f>IF(BD133&gt;0,1,0)</f>
        <v>0</v>
      </c>
    </row>
    <row r="135" spans="10:56" thickBot="1">
      <c r="J135" s="577"/>
      <c r="K135" s="576" t="s">
        <v>366</v>
      </c>
      <c r="L135" s="576">
        <v>700</v>
      </c>
      <c r="M135" s="576">
        <v>0.15</v>
      </c>
      <c r="Q135" s="576">
        <f>'BASE DE DATOS'!FQ135</f>
        <v>0</v>
      </c>
      <c r="R135" s="576">
        <f>'BASE DE DATOS'!FR135</f>
        <v>0</v>
      </c>
      <c r="AM135" s="576" t="s">
        <v>84</v>
      </c>
      <c r="AZ135" s="649" t="e">
        <f>SUM(AZ123:AZ134)</f>
        <v>#DIV/0!</v>
      </c>
    </row>
    <row r="136" spans="10:56" thickBot="1">
      <c r="J136" s="577"/>
      <c r="K136" s="576" t="s">
        <v>373</v>
      </c>
      <c r="L136" s="576">
        <v>1300</v>
      </c>
      <c r="M136" s="576">
        <v>0.34</v>
      </c>
      <c r="Q136" s="576">
        <f>'BASE DE DATOS'!FQ136</f>
        <v>0</v>
      </c>
      <c r="R136" s="576">
        <f>'BASE DE DATOS'!FR136</f>
        <v>0</v>
      </c>
      <c r="AM136" s="576" t="s">
        <v>187</v>
      </c>
      <c r="AY136" s="574" t="s">
        <v>755</v>
      </c>
      <c r="AZ136" s="647" t="e">
        <f>(AZ135/3600000)*BB47*BD134</f>
        <v>#DIV/0!</v>
      </c>
    </row>
    <row r="137" spans="10:56" thickBot="1">
      <c r="J137" s="577"/>
      <c r="K137" s="576" t="s">
        <v>375</v>
      </c>
      <c r="L137" s="576">
        <v>600</v>
      </c>
      <c r="M137" s="576">
        <v>0.15</v>
      </c>
      <c r="Q137" s="576">
        <f>'BASE DE DATOS'!FQ137</f>
        <v>0</v>
      </c>
      <c r="R137" s="576">
        <f>'BASE DE DATOS'!FR137</f>
        <v>0</v>
      </c>
      <c r="AM137" s="576" t="s">
        <v>206</v>
      </c>
    </row>
    <row r="138" spans="10:56" thickBot="1">
      <c r="J138" s="577"/>
      <c r="K138" s="576" t="s">
        <v>372</v>
      </c>
      <c r="L138" s="576">
        <v>700</v>
      </c>
      <c r="M138" s="576">
        <v>0.27</v>
      </c>
      <c r="Q138" s="576">
        <f>'BASE DE DATOS'!FQ138</f>
        <v>0</v>
      </c>
      <c r="R138" s="576">
        <f>'BASE DE DATOS'!FR138</f>
        <v>0</v>
      </c>
      <c r="AM138" s="576" t="s">
        <v>1277</v>
      </c>
      <c r="AO138" s="1186" t="s">
        <v>1396</v>
      </c>
      <c r="AP138" s="1186"/>
      <c r="AQ138" s="1186"/>
      <c r="AR138" s="1186"/>
      <c r="AS138" s="1186"/>
      <c r="AT138" s="1186"/>
      <c r="AV138" s="1186" t="s">
        <v>1397</v>
      </c>
      <c r="AW138" s="1186"/>
      <c r="AX138" s="1186"/>
      <c r="AY138" s="1186"/>
      <c r="AZ138" s="1186"/>
      <c r="BA138" s="1186"/>
    </row>
    <row r="139" spans="10:56" thickBot="1">
      <c r="J139" s="577"/>
      <c r="K139" s="576" t="s">
        <v>369</v>
      </c>
      <c r="L139" s="576">
        <v>650</v>
      </c>
      <c r="M139" s="576">
        <v>0.24</v>
      </c>
      <c r="Q139" s="576">
        <f>'BASE DE DATOS'!FQ139</f>
        <v>0</v>
      </c>
      <c r="R139" s="576">
        <f>'BASE DE DATOS'!FR139</f>
        <v>0</v>
      </c>
      <c r="AM139" s="576" t="s">
        <v>194</v>
      </c>
      <c r="AP139" s="576" t="s">
        <v>854</v>
      </c>
      <c r="AQ139" s="576" t="s">
        <v>1240</v>
      </c>
      <c r="AR139" s="576" t="s">
        <v>835</v>
      </c>
      <c r="AS139" s="576" t="s">
        <v>855</v>
      </c>
      <c r="AT139" s="576" t="s">
        <v>855</v>
      </c>
      <c r="AV139" s="576"/>
      <c r="AW139" s="576" t="s">
        <v>854</v>
      </c>
      <c r="AX139" s="576" t="s">
        <v>1240</v>
      </c>
      <c r="AY139" s="576" t="s">
        <v>835</v>
      </c>
      <c r="AZ139" s="576" t="s">
        <v>855</v>
      </c>
      <c r="BA139" s="576" t="s">
        <v>855</v>
      </c>
    </row>
    <row r="140" spans="10:56" thickBot="1">
      <c r="J140" s="577"/>
      <c r="K140" s="576" t="s">
        <v>374</v>
      </c>
      <c r="L140" s="576">
        <v>600</v>
      </c>
      <c r="M140" s="576">
        <v>0.11</v>
      </c>
      <c r="Q140" s="576">
        <f>'BASE DE DATOS'!FQ140</f>
        <v>0</v>
      </c>
      <c r="R140" s="576">
        <f>'BASE DE DATOS'!FR140</f>
        <v>0</v>
      </c>
      <c r="AM140" s="576" t="s">
        <v>174</v>
      </c>
      <c r="AO140" s="576" t="s">
        <v>823</v>
      </c>
      <c r="AP140" s="540">
        <f>AP6</f>
        <v>0</v>
      </c>
      <c r="AQ140" s="540">
        <f>AQ6</f>
        <v>31</v>
      </c>
      <c r="AR140" s="540">
        <f>AR6</f>
        <v>0</v>
      </c>
      <c r="AS140" s="540">
        <f>AP140*$AU$51</f>
        <v>0</v>
      </c>
      <c r="AT140" s="576">
        <f>AS140*AQ140*(ENERGÍA!$M$229)/1000</f>
        <v>0</v>
      </c>
      <c r="AV140" s="576" t="s">
        <v>823</v>
      </c>
      <c r="AW140" s="540">
        <f>AP140</f>
        <v>0</v>
      </c>
      <c r="AX140" s="540">
        <f t="shared" ref="AX140:AY151" si="70">AQ140</f>
        <v>31</v>
      </c>
      <c r="AY140" s="540">
        <f t="shared" si="70"/>
        <v>0</v>
      </c>
      <c r="AZ140" s="540">
        <f>AW140*$AU$51</f>
        <v>0</v>
      </c>
      <c r="BA140" s="576">
        <f>AZ140*AX140*(ENERGÍA!$M$230)/1000</f>
        <v>0</v>
      </c>
    </row>
    <row r="141" spans="10:56" thickBot="1">
      <c r="J141" s="577"/>
      <c r="K141" s="576" t="s">
        <v>361</v>
      </c>
      <c r="L141" s="576">
        <v>680</v>
      </c>
      <c r="M141" s="576">
        <v>0.13</v>
      </c>
      <c r="Q141" s="576">
        <f>'BASE DE DATOS'!FQ141</f>
        <v>0</v>
      </c>
      <c r="R141" s="576">
        <f>'BASE DE DATOS'!FR141</f>
        <v>0</v>
      </c>
      <c r="AM141" s="576" t="s">
        <v>114</v>
      </c>
      <c r="AO141" s="576" t="s">
        <v>824</v>
      </c>
      <c r="AP141" s="540">
        <f t="shared" ref="AP141:AQ151" si="71">AP7</f>
        <v>0</v>
      </c>
      <c r="AQ141" s="540">
        <f t="shared" si="71"/>
        <v>28</v>
      </c>
      <c r="AR141" s="540">
        <f t="shared" ref="AR141" si="72">AR7</f>
        <v>0</v>
      </c>
      <c r="AS141" s="540">
        <f t="shared" ref="AS141:AS151" si="73">AP141*$AU$51</f>
        <v>0</v>
      </c>
      <c r="AT141" s="576">
        <f>AS141*AQ141*(ENERGÍA!$M$229)/1000</f>
        <v>0</v>
      </c>
      <c r="AV141" s="576" t="s">
        <v>824</v>
      </c>
      <c r="AW141" s="540">
        <f t="shared" ref="AW141:AW151" si="74">AP141</f>
        <v>0</v>
      </c>
      <c r="AX141" s="540">
        <f t="shared" si="70"/>
        <v>28</v>
      </c>
      <c r="AY141" s="540">
        <f t="shared" si="70"/>
        <v>0</v>
      </c>
      <c r="AZ141" s="540">
        <f t="shared" ref="AZ141:AZ151" si="75">AW141*$AU$51</f>
        <v>0</v>
      </c>
      <c r="BA141" s="576">
        <f>AZ141*AX141*(ENERGÍA!$M$230)/1000</f>
        <v>0</v>
      </c>
    </row>
    <row r="142" spans="10:56" thickBot="1">
      <c r="J142" s="577"/>
      <c r="K142" s="576" t="s">
        <v>362</v>
      </c>
      <c r="L142" s="576">
        <v>600</v>
      </c>
      <c r="M142" s="576">
        <v>0.14000000000000001</v>
      </c>
      <c r="Q142" s="576">
        <f>'BASE DE DATOS'!FQ142</f>
        <v>0</v>
      </c>
      <c r="R142" s="576">
        <f>'BASE DE DATOS'!FR142</f>
        <v>0</v>
      </c>
      <c r="AM142" s="576" t="s">
        <v>169</v>
      </c>
      <c r="AO142" s="576" t="s">
        <v>825</v>
      </c>
      <c r="AP142" s="540">
        <f t="shared" si="71"/>
        <v>0</v>
      </c>
      <c r="AQ142" s="540">
        <f t="shared" si="71"/>
        <v>31</v>
      </c>
      <c r="AR142" s="540">
        <f t="shared" ref="AR142" si="76">AR8</f>
        <v>0</v>
      </c>
      <c r="AS142" s="540">
        <f t="shared" si="73"/>
        <v>0</v>
      </c>
      <c r="AT142" s="576">
        <f>AS142*AQ142*(ENERGÍA!$M$229)/1000</f>
        <v>0</v>
      </c>
      <c r="AV142" s="576" t="s">
        <v>825</v>
      </c>
      <c r="AW142" s="540">
        <f t="shared" si="74"/>
        <v>0</v>
      </c>
      <c r="AX142" s="540">
        <f t="shared" si="70"/>
        <v>31</v>
      </c>
      <c r="AY142" s="540">
        <f t="shared" si="70"/>
        <v>0</v>
      </c>
      <c r="AZ142" s="540">
        <f t="shared" si="75"/>
        <v>0</v>
      </c>
      <c r="BA142" s="576">
        <f>AZ142*AX142*(ENERGÍA!$M$230)/1000</f>
        <v>0</v>
      </c>
    </row>
    <row r="143" spans="10:56" thickBot="1">
      <c r="J143" s="577"/>
      <c r="K143" s="576" t="s">
        <v>365</v>
      </c>
      <c r="L143" s="576">
        <v>700</v>
      </c>
      <c r="M143" s="576">
        <v>0.31</v>
      </c>
      <c r="Q143" s="576">
        <f>'BASE DE DATOS'!FQ143</f>
        <v>0</v>
      </c>
      <c r="R143" s="576">
        <f>'BASE DE DATOS'!FR143</f>
        <v>0</v>
      </c>
      <c r="AM143" s="576" t="s">
        <v>150</v>
      </c>
      <c r="AO143" s="576" t="s">
        <v>826</v>
      </c>
      <c r="AP143" s="540">
        <f t="shared" si="71"/>
        <v>0</v>
      </c>
      <c r="AQ143" s="540">
        <f t="shared" si="71"/>
        <v>30</v>
      </c>
      <c r="AR143" s="540">
        <f t="shared" ref="AR143" si="77">AR9</f>
        <v>0</v>
      </c>
      <c r="AS143" s="540">
        <f t="shared" si="73"/>
        <v>0</v>
      </c>
      <c r="AT143" s="576">
        <f>AS143*AQ143*(ENERGÍA!$M$229)/1000</f>
        <v>0</v>
      </c>
      <c r="AV143" s="576" t="s">
        <v>826</v>
      </c>
      <c r="AW143" s="540">
        <f t="shared" si="74"/>
        <v>0</v>
      </c>
      <c r="AX143" s="540">
        <f t="shared" si="70"/>
        <v>30</v>
      </c>
      <c r="AY143" s="540">
        <f t="shared" si="70"/>
        <v>0</v>
      </c>
      <c r="AZ143" s="540">
        <f t="shared" si="75"/>
        <v>0</v>
      </c>
      <c r="BA143" s="576">
        <f>AZ143*AX143*(ENERGÍA!$M$230)/1000</f>
        <v>0</v>
      </c>
    </row>
    <row r="144" spans="10:56" thickBot="1">
      <c r="J144" s="577"/>
      <c r="K144" s="576" t="s">
        <v>357</v>
      </c>
      <c r="L144" s="576">
        <v>740</v>
      </c>
      <c r="M144" s="576">
        <v>0.3</v>
      </c>
      <c r="Q144" s="576">
        <f>'BASE DE DATOS'!FQ144</f>
        <v>0</v>
      </c>
      <c r="R144" s="576">
        <f>'BASE DE DATOS'!FR144</f>
        <v>0</v>
      </c>
      <c r="AM144" s="576" t="s">
        <v>60</v>
      </c>
      <c r="AO144" s="576" t="s">
        <v>827</v>
      </c>
      <c r="AP144" s="540">
        <f t="shared" si="71"/>
        <v>0</v>
      </c>
      <c r="AQ144" s="540">
        <f t="shared" si="71"/>
        <v>31</v>
      </c>
      <c r="AR144" s="540">
        <f t="shared" ref="AR144" si="78">AR10</f>
        <v>0</v>
      </c>
      <c r="AS144" s="540">
        <f t="shared" si="73"/>
        <v>0</v>
      </c>
      <c r="AT144" s="576">
        <f>AS144*AQ144*(ENERGÍA!$M$229)/1000</f>
        <v>0</v>
      </c>
      <c r="AV144" s="576" t="s">
        <v>827</v>
      </c>
      <c r="AW144" s="540">
        <f t="shared" si="74"/>
        <v>0</v>
      </c>
      <c r="AX144" s="540">
        <f t="shared" si="70"/>
        <v>31</v>
      </c>
      <c r="AY144" s="540">
        <f t="shared" si="70"/>
        <v>0</v>
      </c>
      <c r="AZ144" s="540">
        <f t="shared" si="75"/>
        <v>0</v>
      </c>
      <c r="BA144" s="576">
        <f>AZ144*AX144*(ENERGÍA!$M$230)/1000</f>
        <v>0</v>
      </c>
    </row>
    <row r="145" spans="10:53" thickBot="1">
      <c r="J145" s="577"/>
      <c r="K145" s="576" t="s">
        <v>358</v>
      </c>
      <c r="L145" s="576">
        <v>740</v>
      </c>
      <c r="M145" s="576">
        <v>0.17</v>
      </c>
      <c r="Q145" s="576">
        <f>'BASE DE DATOS'!FQ145</f>
        <v>0</v>
      </c>
      <c r="R145" s="576">
        <f>'BASE DE DATOS'!FR145</f>
        <v>0</v>
      </c>
      <c r="AM145" s="576" t="s">
        <v>120</v>
      </c>
      <c r="AO145" s="576" t="s">
        <v>828</v>
      </c>
      <c r="AP145" s="540">
        <f t="shared" si="71"/>
        <v>0</v>
      </c>
      <c r="AQ145" s="540">
        <f t="shared" si="71"/>
        <v>30</v>
      </c>
      <c r="AR145" s="540">
        <f t="shared" ref="AR145" si="79">AR11</f>
        <v>0</v>
      </c>
      <c r="AS145" s="540">
        <f t="shared" si="73"/>
        <v>0</v>
      </c>
      <c r="AT145" s="576">
        <f>AS145*AQ145*(ENERGÍA!$M$229)/1000</f>
        <v>0</v>
      </c>
      <c r="AV145" s="576" t="s">
        <v>828</v>
      </c>
      <c r="AW145" s="540">
        <f t="shared" si="74"/>
        <v>0</v>
      </c>
      <c r="AX145" s="540">
        <f t="shared" si="70"/>
        <v>30</v>
      </c>
      <c r="AY145" s="540">
        <f t="shared" si="70"/>
        <v>0</v>
      </c>
      <c r="AZ145" s="540">
        <f t="shared" si="75"/>
        <v>0</v>
      </c>
      <c r="BA145" s="576">
        <f>AZ145*AX145*(ENERGÍA!$M$230)/1000</f>
        <v>0</v>
      </c>
    </row>
    <row r="146" spans="10:53" thickBot="1">
      <c r="J146" s="577"/>
      <c r="K146" s="576" t="s">
        <v>359</v>
      </c>
      <c r="L146" s="576">
        <v>800</v>
      </c>
      <c r="M146" s="576">
        <v>0.36</v>
      </c>
      <c r="Q146" s="576">
        <f>'BASE DE DATOS'!FQ146</f>
        <v>0</v>
      </c>
      <c r="R146" s="576">
        <f>'BASE DE DATOS'!FR146</f>
        <v>0</v>
      </c>
      <c r="AM146" s="576" t="s">
        <v>179</v>
      </c>
      <c r="AO146" s="576" t="s">
        <v>829</v>
      </c>
      <c r="AP146" s="540">
        <f t="shared" si="71"/>
        <v>0</v>
      </c>
      <c r="AQ146" s="540">
        <f t="shared" si="71"/>
        <v>31</v>
      </c>
      <c r="AR146" s="540">
        <f t="shared" ref="AR146" si="80">AR12</f>
        <v>0</v>
      </c>
      <c r="AS146" s="540">
        <f t="shared" si="73"/>
        <v>0</v>
      </c>
      <c r="AT146" s="576">
        <f>AS146*AQ146*(ENERGÍA!$M$229)/1000</f>
        <v>0</v>
      </c>
      <c r="AV146" s="576" t="s">
        <v>829</v>
      </c>
      <c r="AW146" s="540">
        <f t="shared" si="74"/>
        <v>0</v>
      </c>
      <c r="AX146" s="540">
        <f t="shared" si="70"/>
        <v>31</v>
      </c>
      <c r="AY146" s="540">
        <f t="shared" si="70"/>
        <v>0</v>
      </c>
      <c r="AZ146" s="540">
        <f t="shared" si="75"/>
        <v>0</v>
      </c>
      <c r="BA146" s="576">
        <f>AZ146*AX146*(ENERGÍA!$M$230)/1000</f>
        <v>0</v>
      </c>
    </row>
    <row r="147" spans="10:53" thickBot="1">
      <c r="J147" s="577"/>
      <c r="K147" s="576" t="s">
        <v>360</v>
      </c>
      <c r="L147" s="576">
        <v>800</v>
      </c>
      <c r="M147" s="576">
        <v>0.24</v>
      </c>
      <c r="Q147" s="576">
        <f>'BASE DE DATOS'!FQ147</f>
        <v>0</v>
      </c>
      <c r="R147" s="576">
        <f>'BASE DE DATOS'!FR147</f>
        <v>0</v>
      </c>
      <c r="AM147" s="576" t="s">
        <v>178</v>
      </c>
      <c r="AO147" s="576" t="s">
        <v>830</v>
      </c>
      <c r="AP147" s="540">
        <f t="shared" si="71"/>
        <v>0</v>
      </c>
      <c r="AQ147" s="540">
        <f t="shared" si="71"/>
        <v>31</v>
      </c>
      <c r="AR147" s="540">
        <f t="shared" ref="AR147" si="81">AR13</f>
        <v>0</v>
      </c>
      <c r="AS147" s="540">
        <f t="shared" si="73"/>
        <v>0</v>
      </c>
      <c r="AT147" s="576">
        <f>AS147*AQ147*(ENERGÍA!$M$229)/1000</f>
        <v>0</v>
      </c>
      <c r="AV147" s="576" t="s">
        <v>830</v>
      </c>
      <c r="AW147" s="540">
        <f t="shared" si="74"/>
        <v>0</v>
      </c>
      <c r="AX147" s="540">
        <f t="shared" si="70"/>
        <v>31</v>
      </c>
      <c r="AY147" s="540">
        <f t="shared" si="70"/>
        <v>0</v>
      </c>
      <c r="AZ147" s="540">
        <f t="shared" si="75"/>
        <v>0</v>
      </c>
      <c r="BA147" s="576">
        <f>AZ147*AX147*(ENERGÍA!$M$230)/1000</f>
        <v>0</v>
      </c>
    </row>
    <row r="148" spans="10:53" thickBot="1">
      <c r="J148" s="577"/>
      <c r="K148" s="576" t="s">
        <v>370</v>
      </c>
      <c r="L148" s="576">
        <v>500</v>
      </c>
      <c r="M148" s="576">
        <v>0.28000000000000003</v>
      </c>
      <c r="Q148" s="576">
        <f>'BASE DE DATOS'!FQ148</f>
        <v>0</v>
      </c>
      <c r="R148" s="576">
        <f>'BASE DE DATOS'!FR148</f>
        <v>0</v>
      </c>
      <c r="AM148" s="576" t="s">
        <v>182</v>
      </c>
      <c r="AO148" s="576" t="s">
        <v>831</v>
      </c>
      <c r="AP148" s="540">
        <f t="shared" si="71"/>
        <v>0</v>
      </c>
      <c r="AQ148" s="540">
        <f t="shared" si="71"/>
        <v>30</v>
      </c>
      <c r="AR148" s="540">
        <f t="shared" ref="AR148" si="82">AR14</f>
        <v>0</v>
      </c>
      <c r="AS148" s="540">
        <f t="shared" si="73"/>
        <v>0</v>
      </c>
      <c r="AT148" s="576">
        <f>AS148*AQ148*(ENERGÍA!$M$229)/1000</f>
        <v>0</v>
      </c>
      <c r="AV148" s="576" t="s">
        <v>831</v>
      </c>
      <c r="AW148" s="540">
        <f t="shared" si="74"/>
        <v>0</v>
      </c>
      <c r="AX148" s="540">
        <f t="shared" si="70"/>
        <v>30</v>
      </c>
      <c r="AY148" s="540">
        <f t="shared" si="70"/>
        <v>0</v>
      </c>
      <c r="AZ148" s="540">
        <f t="shared" si="75"/>
        <v>0</v>
      </c>
      <c r="BA148" s="576">
        <f>AZ148*AX148*(ENERGÍA!$M$230)/1000</f>
        <v>0</v>
      </c>
    </row>
    <row r="149" spans="10:53" thickBot="1">
      <c r="J149" s="577"/>
      <c r="K149" s="576" t="s">
        <v>371</v>
      </c>
      <c r="L149" s="576">
        <v>500</v>
      </c>
      <c r="M149" s="576">
        <v>0.16</v>
      </c>
      <c r="Q149" s="576">
        <f>'BASE DE DATOS'!FQ149</f>
        <v>0</v>
      </c>
      <c r="R149" s="576">
        <f>'BASE DE DATOS'!FR149</f>
        <v>0</v>
      </c>
      <c r="AM149" s="576" t="s">
        <v>151</v>
      </c>
      <c r="AO149" s="576" t="s">
        <v>832</v>
      </c>
      <c r="AP149" s="540">
        <f t="shared" si="71"/>
        <v>0</v>
      </c>
      <c r="AQ149" s="540">
        <f t="shared" si="71"/>
        <v>31</v>
      </c>
      <c r="AR149" s="540">
        <f t="shared" ref="AR149" si="83">AR15</f>
        <v>0</v>
      </c>
      <c r="AS149" s="540">
        <f t="shared" si="73"/>
        <v>0</v>
      </c>
      <c r="AT149" s="576">
        <f>AS149*AQ149*(ENERGÍA!$M$229)/1000</f>
        <v>0</v>
      </c>
      <c r="AV149" s="576" t="s">
        <v>832</v>
      </c>
      <c r="AW149" s="540">
        <f t="shared" si="74"/>
        <v>0</v>
      </c>
      <c r="AX149" s="540">
        <f t="shared" si="70"/>
        <v>31</v>
      </c>
      <c r="AY149" s="540">
        <f t="shared" si="70"/>
        <v>0</v>
      </c>
      <c r="AZ149" s="540">
        <f t="shared" si="75"/>
        <v>0</v>
      </c>
      <c r="BA149" s="576">
        <f>AZ149*AX149*(ENERGÍA!$M$230)/1000</f>
        <v>0</v>
      </c>
    </row>
    <row r="150" spans="10:53" ht="18" thickBot="1">
      <c r="J150" s="577" t="str">
        <f>K430</f>
        <v>Tableros</v>
      </c>
      <c r="K150" s="576" t="s">
        <v>391</v>
      </c>
      <c r="L150" s="576">
        <v>200</v>
      </c>
      <c r="M150" s="576">
        <v>4.7E-2</v>
      </c>
      <c r="Q150" s="576">
        <f>'BASE DE DATOS'!FQ150</f>
        <v>0</v>
      </c>
      <c r="R150" s="576">
        <f>'BASE DE DATOS'!FR150</f>
        <v>0</v>
      </c>
      <c r="AM150" s="576" t="s">
        <v>34</v>
      </c>
      <c r="AO150" s="576" t="s">
        <v>833</v>
      </c>
      <c r="AP150" s="540">
        <f t="shared" si="71"/>
        <v>0</v>
      </c>
      <c r="AQ150" s="540">
        <f t="shared" si="71"/>
        <v>30</v>
      </c>
      <c r="AR150" s="540">
        <f t="shared" ref="AR150" si="84">AR16</f>
        <v>0</v>
      </c>
      <c r="AS150" s="540">
        <f t="shared" si="73"/>
        <v>0</v>
      </c>
      <c r="AT150" s="576">
        <f>AS150*AQ150*(ENERGÍA!$M$229)/1000</f>
        <v>0</v>
      </c>
      <c r="AV150" s="576" t="s">
        <v>833</v>
      </c>
      <c r="AW150" s="540">
        <f t="shared" si="74"/>
        <v>0</v>
      </c>
      <c r="AX150" s="540">
        <f t="shared" si="70"/>
        <v>30</v>
      </c>
      <c r="AY150" s="540">
        <f t="shared" si="70"/>
        <v>0</v>
      </c>
      <c r="AZ150" s="540">
        <f t="shared" si="75"/>
        <v>0</v>
      </c>
      <c r="BA150" s="576">
        <f>AZ150*AX150*(ENERGÍA!$M$230)/1000</f>
        <v>0</v>
      </c>
    </row>
    <row r="151" spans="10:53" thickBot="1">
      <c r="K151" s="576" t="s">
        <v>392</v>
      </c>
      <c r="L151" s="576">
        <v>300</v>
      </c>
      <c r="M151" s="576">
        <v>5.3999999999999999E-2</v>
      </c>
      <c r="Q151" s="576">
        <f>'BASE DE DATOS'!FQ151</f>
        <v>0</v>
      </c>
      <c r="R151" s="576">
        <f>'BASE DE DATOS'!FR151</f>
        <v>0</v>
      </c>
      <c r="AM151" s="576" t="s">
        <v>62</v>
      </c>
      <c r="AO151" s="576" t="s">
        <v>834</v>
      </c>
      <c r="AP151" s="540">
        <f t="shared" si="71"/>
        <v>0</v>
      </c>
      <c r="AQ151" s="540">
        <f t="shared" si="71"/>
        <v>31</v>
      </c>
      <c r="AR151" s="540">
        <f t="shared" ref="AR151" si="85">AR17</f>
        <v>0</v>
      </c>
      <c r="AS151" s="540">
        <f t="shared" si="73"/>
        <v>0</v>
      </c>
      <c r="AT151" s="576">
        <f>AS151*AQ151*(ENERGÍA!$M$229)/1000</f>
        <v>0</v>
      </c>
      <c r="AV151" s="576" t="s">
        <v>834</v>
      </c>
      <c r="AW151" s="540">
        <f t="shared" si="74"/>
        <v>0</v>
      </c>
      <c r="AX151" s="540">
        <f t="shared" si="70"/>
        <v>31</v>
      </c>
      <c r="AY151" s="540">
        <f t="shared" si="70"/>
        <v>0</v>
      </c>
      <c r="AZ151" s="540">
        <f t="shared" si="75"/>
        <v>0</v>
      </c>
      <c r="BA151" s="576">
        <f>AZ151*AX151*(ENERGÍA!$M$230)/1000</f>
        <v>0</v>
      </c>
    </row>
    <row r="152" spans="10:53" thickBot="1">
      <c r="K152" s="576" t="s">
        <v>393</v>
      </c>
      <c r="L152" s="576">
        <v>350</v>
      </c>
      <c r="M152" s="576">
        <v>5.6000000000000001E-2</v>
      </c>
      <c r="Q152" s="576">
        <f>'BASE DE DATOS'!FQ152</f>
        <v>0</v>
      </c>
      <c r="R152" s="576">
        <f>'BASE DE DATOS'!FR152</f>
        <v>0</v>
      </c>
      <c r="AM152" s="576" t="s">
        <v>152</v>
      </c>
      <c r="AS152" s="574" t="s">
        <v>755</v>
      </c>
      <c r="AT152" s="574">
        <f>SUM(AT140:AT151)</f>
        <v>0</v>
      </c>
      <c r="AV152" s="576"/>
      <c r="AZ152" s="574" t="s">
        <v>755</v>
      </c>
      <c r="BA152" s="574">
        <f>SUM(BA140:BA151)</f>
        <v>0</v>
      </c>
    </row>
    <row r="153" spans="10:53" thickBot="1">
      <c r="K153" s="576" t="s">
        <v>386</v>
      </c>
      <c r="L153" s="576">
        <v>300</v>
      </c>
      <c r="M153" s="576">
        <v>7.2999999999999995E-2</v>
      </c>
      <c r="Q153" s="576">
        <f>'BASE DE DATOS'!FQ153</f>
        <v>0</v>
      </c>
      <c r="R153" s="576">
        <f>'BASE DE DATOS'!FR153</f>
        <v>0</v>
      </c>
      <c r="AM153" s="576" t="s">
        <v>134</v>
      </c>
      <c r="AV153" s="576"/>
    </row>
    <row r="154" spans="10:53" thickBot="1">
      <c r="K154" s="576" t="s">
        <v>387</v>
      </c>
      <c r="L154" s="576">
        <v>400</v>
      </c>
      <c r="M154" s="576">
        <v>8.1000000000000003E-2</v>
      </c>
      <c r="Q154" s="576">
        <f>'BASE DE DATOS'!FQ154</f>
        <v>0</v>
      </c>
      <c r="R154" s="576">
        <f>'BASE DE DATOS'!FR154</f>
        <v>0</v>
      </c>
      <c r="AM154" s="576" t="s">
        <v>199</v>
      </c>
      <c r="AO154" s="1187" t="s">
        <v>1242</v>
      </c>
      <c r="AP154" s="1187"/>
      <c r="AQ154" s="574">
        <f>(AT152*AP156)*AT156</f>
        <v>0</v>
      </c>
      <c r="AR154" s="574" t="s">
        <v>755</v>
      </c>
      <c r="AV154" s="1187" t="s">
        <v>1242</v>
      </c>
      <c r="AW154" s="1187"/>
      <c r="AX154" s="574">
        <f>(BA152*AW156)*BA156</f>
        <v>0</v>
      </c>
      <c r="AY154" s="574" t="s">
        <v>755</v>
      </c>
    </row>
    <row r="155" spans="10:53" thickBot="1">
      <c r="K155" s="576" t="s">
        <v>388</v>
      </c>
      <c r="L155" s="576">
        <v>500</v>
      </c>
      <c r="M155" s="576">
        <v>0.11</v>
      </c>
      <c r="Q155" s="576">
        <f>'BASE DE DATOS'!FQ155</f>
        <v>0</v>
      </c>
      <c r="R155" s="576">
        <f>'BASE DE DATOS'!FR155</f>
        <v>0</v>
      </c>
      <c r="AM155" s="576" t="s">
        <v>195</v>
      </c>
      <c r="AV155" s="576"/>
    </row>
    <row r="156" spans="10:53" thickBot="1">
      <c r="K156" s="576" t="s">
        <v>389</v>
      </c>
      <c r="L156" s="576">
        <v>600</v>
      </c>
      <c r="M156" s="576">
        <v>1.2E-2</v>
      </c>
      <c r="Q156" s="576">
        <f>'BASE DE DATOS'!FQ156</f>
        <v>0</v>
      </c>
      <c r="R156" s="576">
        <f>'BASE DE DATOS'!FR156</f>
        <v>0</v>
      </c>
      <c r="AM156" s="576" t="s">
        <v>170</v>
      </c>
      <c r="AO156" s="576" t="s">
        <v>887</v>
      </c>
      <c r="AP156" s="540">
        <v>0.92</v>
      </c>
      <c r="AQ156" s="1182" t="s">
        <v>1086</v>
      </c>
      <c r="AR156" s="1182"/>
      <c r="AS156" s="1182"/>
      <c r="AT156" s="576">
        <f>IF(ENERGÍA!C229="Luz Solar",1,0)</f>
        <v>0</v>
      </c>
      <c r="AV156" s="576" t="s">
        <v>887</v>
      </c>
      <c r="AW156" s="540">
        <v>0.92</v>
      </c>
      <c r="AX156" s="1182" t="s">
        <v>1086</v>
      </c>
      <c r="AY156" s="1182"/>
      <c r="AZ156" s="1182"/>
      <c r="BA156" s="576">
        <f>IF(ENERGÍA!C230="Luz Solar",1,0)</f>
        <v>0</v>
      </c>
    </row>
    <row r="157" spans="10:53" thickBot="1">
      <c r="K157" s="576" t="s">
        <v>390</v>
      </c>
      <c r="L157" s="576">
        <v>700</v>
      </c>
      <c r="M157" s="576">
        <v>0.15</v>
      </c>
      <c r="Q157" s="576">
        <f>'BASE DE DATOS'!FQ157</f>
        <v>0</v>
      </c>
      <c r="R157" s="576">
        <f>'BASE DE DATOS'!FR157</f>
        <v>0</v>
      </c>
      <c r="AM157" s="576" t="s">
        <v>63</v>
      </c>
    </row>
    <row r="158" spans="10:53" thickBot="1">
      <c r="K158" s="576" t="s">
        <v>1758</v>
      </c>
      <c r="L158" s="576">
        <v>1400</v>
      </c>
      <c r="M158" s="576">
        <v>0.49</v>
      </c>
      <c r="Q158" s="576">
        <f>'BASE DE DATOS'!FQ158</f>
        <v>0</v>
      </c>
      <c r="R158" s="576">
        <f>'BASE DE DATOS'!FR158</f>
        <v>0</v>
      </c>
      <c r="AM158" s="576" t="s">
        <v>121</v>
      </c>
      <c r="AO158" s="1186" t="s">
        <v>1398</v>
      </c>
      <c r="AP158" s="1186"/>
      <c r="AQ158" s="1186"/>
      <c r="AR158" s="1186"/>
      <c r="AS158" s="1186"/>
      <c r="AT158" s="1186"/>
      <c r="AV158" s="1186" t="s">
        <v>1399</v>
      </c>
      <c r="AW158" s="1186"/>
      <c r="AX158" s="1186"/>
      <c r="AY158" s="1186"/>
      <c r="AZ158" s="1186"/>
      <c r="BA158" s="1186"/>
    </row>
    <row r="159" spans="10:53" thickBot="1">
      <c r="K159" s="576" t="s">
        <v>1759</v>
      </c>
      <c r="L159" s="576">
        <v>1400</v>
      </c>
      <c r="M159" s="576">
        <v>0.44</v>
      </c>
      <c r="Q159" s="576">
        <f>'BASE DE DATOS'!FQ159</f>
        <v>0</v>
      </c>
      <c r="R159" s="576">
        <f>'BASE DE DATOS'!FR159</f>
        <v>0</v>
      </c>
      <c r="AM159" s="576" t="s">
        <v>64</v>
      </c>
      <c r="AP159" s="576" t="s">
        <v>854</v>
      </c>
      <c r="AQ159" s="576" t="s">
        <v>1240</v>
      </c>
      <c r="AR159" s="576" t="s">
        <v>835</v>
      </c>
      <c r="AS159" s="576" t="s">
        <v>855</v>
      </c>
      <c r="AT159" s="576" t="s">
        <v>855</v>
      </c>
      <c r="AV159" s="576"/>
      <c r="AW159" s="576" t="s">
        <v>854</v>
      </c>
      <c r="AX159" s="576" t="s">
        <v>1240</v>
      </c>
      <c r="AY159" s="576" t="s">
        <v>835</v>
      </c>
      <c r="AZ159" s="576" t="s">
        <v>855</v>
      </c>
      <c r="BA159" s="576" t="s">
        <v>855</v>
      </c>
    </row>
    <row r="160" spans="10:53" thickBot="1">
      <c r="J160" s="577"/>
      <c r="K160" s="576" t="s">
        <v>385</v>
      </c>
      <c r="L160" s="576">
        <v>1000</v>
      </c>
      <c r="M160" s="576">
        <v>0.17</v>
      </c>
      <c r="Q160" s="576">
        <f>'BASE DE DATOS'!FQ160</f>
        <v>0</v>
      </c>
      <c r="R160" s="576">
        <f>'BASE DE DATOS'!FR160</f>
        <v>0</v>
      </c>
      <c r="AM160" s="576" t="s">
        <v>71</v>
      </c>
      <c r="AO160" s="576" t="s">
        <v>823</v>
      </c>
      <c r="AP160" s="540">
        <f>AP140</f>
        <v>0</v>
      </c>
      <c r="AQ160" s="540">
        <f t="shared" ref="AQ160:AR160" si="86">AQ140</f>
        <v>31</v>
      </c>
      <c r="AR160" s="540">
        <f t="shared" si="86"/>
        <v>0</v>
      </c>
      <c r="AS160" s="540">
        <f>AP160*$AU$51</f>
        <v>0</v>
      </c>
      <c r="AT160" s="576">
        <f>AS160*AQ160*(ENERGÍA!$M$231)/1000</f>
        <v>0</v>
      </c>
      <c r="AV160" s="576" t="s">
        <v>823</v>
      </c>
      <c r="AW160" s="540">
        <f>AP160</f>
        <v>0</v>
      </c>
      <c r="AX160" s="540">
        <f t="shared" ref="AX160:AX171" si="87">AQ160</f>
        <v>31</v>
      </c>
      <c r="AY160" s="540">
        <f t="shared" ref="AY160:AY171" si="88">AR160</f>
        <v>0</v>
      </c>
      <c r="AZ160" s="540">
        <f>AW160*$AU$51</f>
        <v>0</v>
      </c>
      <c r="BA160" s="576">
        <f>AZ160*AX160*(ENERGÍA!$M$232)/1000</f>
        <v>0</v>
      </c>
    </row>
    <row r="161" spans="10:53" thickBot="1">
      <c r="J161" s="577"/>
      <c r="K161" s="576" t="s">
        <v>377</v>
      </c>
      <c r="L161" s="576">
        <v>200</v>
      </c>
      <c r="M161" s="576">
        <v>0.06</v>
      </c>
      <c r="Q161" s="576">
        <f>'BASE DE DATOS'!FQ161</f>
        <v>0</v>
      </c>
      <c r="R161" s="576">
        <f>'BASE DE DATOS'!FR161</f>
        <v>0</v>
      </c>
      <c r="AM161" s="576" t="s">
        <v>110</v>
      </c>
      <c r="AO161" s="576" t="s">
        <v>824</v>
      </c>
      <c r="AP161" s="540">
        <f t="shared" ref="AP161:AR171" si="89">AP141</f>
        <v>0</v>
      </c>
      <c r="AQ161" s="540">
        <f t="shared" si="89"/>
        <v>28</v>
      </c>
      <c r="AR161" s="540">
        <f t="shared" si="89"/>
        <v>0</v>
      </c>
      <c r="AS161" s="540">
        <f t="shared" ref="AS161:AS171" si="90">AP161*$AU$51</f>
        <v>0</v>
      </c>
      <c r="AT161" s="576">
        <f>AS161*AQ161*(ENERGÍA!$M$231)/1000</f>
        <v>0</v>
      </c>
      <c r="AV161" s="576" t="s">
        <v>824</v>
      </c>
      <c r="AW161" s="540">
        <f t="shared" ref="AW161:AW171" si="91">AP161</f>
        <v>0</v>
      </c>
      <c r="AX161" s="540">
        <f t="shared" si="87"/>
        <v>28</v>
      </c>
      <c r="AY161" s="540">
        <f t="shared" si="88"/>
        <v>0</v>
      </c>
      <c r="AZ161" s="540">
        <f t="shared" ref="AZ161:AZ171" si="92">AW161*$AU$51</f>
        <v>0</v>
      </c>
      <c r="BA161" s="576">
        <f>AZ161*AX161*(ENERGÍA!$M$232)/1000</f>
        <v>0</v>
      </c>
    </row>
    <row r="162" spans="10:53" thickBot="1">
      <c r="J162" s="577"/>
      <c r="K162" s="576" t="s">
        <v>378</v>
      </c>
      <c r="L162" s="576">
        <v>300</v>
      </c>
      <c r="M162" s="576">
        <v>6.9000000000000006E-2</v>
      </c>
      <c r="Q162" s="576">
        <f>'BASE DE DATOS'!FQ162</f>
        <v>0</v>
      </c>
      <c r="R162" s="576">
        <f>'BASE DE DATOS'!FR162</f>
        <v>0</v>
      </c>
      <c r="AM162" s="576" t="s">
        <v>65</v>
      </c>
      <c r="AO162" s="576" t="s">
        <v>825</v>
      </c>
      <c r="AP162" s="540">
        <f t="shared" si="89"/>
        <v>0</v>
      </c>
      <c r="AQ162" s="540">
        <f t="shared" si="89"/>
        <v>31</v>
      </c>
      <c r="AR162" s="540">
        <f t="shared" si="89"/>
        <v>0</v>
      </c>
      <c r="AS162" s="540">
        <f t="shared" si="90"/>
        <v>0</v>
      </c>
      <c r="AT162" s="576">
        <f>AS162*AQ162*(ENERGÍA!$M$231)/1000</f>
        <v>0</v>
      </c>
      <c r="AV162" s="576" t="s">
        <v>825</v>
      </c>
      <c r="AW162" s="540">
        <f t="shared" si="91"/>
        <v>0</v>
      </c>
      <c r="AX162" s="540">
        <f t="shared" si="87"/>
        <v>31</v>
      </c>
      <c r="AY162" s="540">
        <f t="shared" si="88"/>
        <v>0</v>
      </c>
      <c r="AZ162" s="540">
        <f t="shared" si="92"/>
        <v>0</v>
      </c>
      <c r="BA162" s="576">
        <f>AZ162*AX162*(ENERGÍA!$M$232)/1000</f>
        <v>0</v>
      </c>
    </row>
    <row r="163" spans="10:53" thickBot="1">
      <c r="J163" s="577"/>
      <c r="K163" s="576" t="s">
        <v>379</v>
      </c>
      <c r="L163" s="576">
        <v>400</v>
      </c>
      <c r="M163" s="576">
        <v>7.8E-2</v>
      </c>
      <c r="Q163" s="576">
        <f>'BASE DE DATOS'!FQ163</f>
        <v>0</v>
      </c>
      <c r="R163" s="576">
        <f>'BASE DE DATOS'!FR163</f>
        <v>0</v>
      </c>
      <c r="AM163" s="576" t="s">
        <v>66</v>
      </c>
      <c r="AO163" s="576" t="s">
        <v>826</v>
      </c>
      <c r="AP163" s="540">
        <f t="shared" si="89"/>
        <v>0</v>
      </c>
      <c r="AQ163" s="540">
        <f t="shared" si="89"/>
        <v>30</v>
      </c>
      <c r="AR163" s="540">
        <f t="shared" si="89"/>
        <v>0</v>
      </c>
      <c r="AS163" s="540">
        <f t="shared" si="90"/>
        <v>0</v>
      </c>
      <c r="AT163" s="576">
        <f>AS163*AQ163*(ENERGÍA!$M$231)/1000</f>
        <v>0</v>
      </c>
      <c r="AV163" s="576" t="s">
        <v>826</v>
      </c>
      <c r="AW163" s="540">
        <f t="shared" si="91"/>
        <v>0</v>
      </c>
      <c r="AX163" s="540">
        <f t="shared" si="87"/>
        <v>30</v>
      </c>
      <c r="AY163" s="540">
        <f t="shared" si="88"/>
        <v>0</v>
      </c>
      <c r="AZ163" s="540">
        <f t="shared" si="92"/>
        <v>0</v>
      </c>
      <c r="BA163" s="576">
        <f>AZ163*AX163*(ENERGÍA!$M$232)/1000</f>
        <v>0</v>
      </c>
    </row>
    <row r="164" spans="10:53" thickBot="1">
      <c r="J164" s="577"/>
      <c r="K164" s="576" t="s">
        <v>380</v>
      </c>
      <c r="L164" s="576">
        <v>500</v>
      </c>
      <c r="M164" s="576">
        <v>8.6999999999999994E-2</v>
      </c>
      <c r="Q164" s="576">
        <f>'BASE DE DATOS'!FQ164</f>
        <v>0</v>
      </c>
      <c r="R164" s="576">
        <f>'BASE DE DATOS'!FR164</f>
        <v>0</v>
      </c>
      <c r="AM164" s="576" t="s">
        <v>781</v>
      </c>
      <c r="AO164" s="576" t="s">
        <v>827</v>
      </c>
      <c r="AP164" s="540">
        <f t="shared" si="89"/>
        <v>0</v>
      </c>
      <c r="AQ164" s="540">
        <f t="shared" si="89"/>
        <v>31</v>
      </c>
      <c r="AR164" s="540">
        <f t="shared" si="89"/>
        <v>0</v>
      </c>
      <c r="AS164" s="540">
        <f t="shared" si="90"/>
        <v>0</v>
      </c>
      <c r="AT164" s="576">
        <f>AS164*AQ164*(ENERGÍA!$M$231)/1000</f>
        <v>0</v>
      </c>
      <c r="AV164" s="576" t="s">
        <v>827</v>
      </c>
      <c r="AW164" s="540">
        <f t="shared" si="91"/>
        <v>0</v>
      </c>
      <c r="AX164" s="540">
        <f t="shared" si="87"/>
        <v>31</v>
      </c>
      <c r="AY164" s="540">
        <f t="shared" si="88"/>
        <v>0</v>
      </c>
      <c r="AZ164" s="540">
        <f t="shared" si="92"/>
        <v>0</v>
      </c>
      <c r="BA164" s="576">
        <f>AZ164*AX164*(ENERGÍA!$M$232)/1000</f>
        <v>0</v>
      </c>
    </row>
    <row r="165" spans="10:53" thickBot="1">
      <c r="J165" s="577"/>
      <c r="K165" s="576" t="s">
        <v>381</v>
      </c>
      <c r="L165" s="576">
        <v>600</v>
      </c>
      <c r="M165" s="576">
        <v>0.09</v>
      </c>
      <c r="Q165" s="576">
        <f>'BASE DE DATOS'!FQ165</f>
        <v>0</v>
      </c>
      <c r="R165" s="576">
        <f>'BASE DE DATOS'!FR165</f>
        <v>0</v>
      </c>
      <c r="AM165" s="576" t="s">
        <v>780</v>
      </c>
      <c r="AO165" s="576" t="s">
        <v>828</v>
      </c>
      <c r="AP165" s="540">
        <f t="shared" si="89"/>
        <v>0</v>
      </c>
      <c r="AQ165" s="540">
        <f t="shared" si="89"/>
        <v>30</v>
      </c>
      <c r="AR165" s="540">
        <f t="shared" si="89"/>
        <v>0</v>
      </c>
      <c r="AS165" s="540">
        <f t="shared" si="90"/>
        <v>0</v>
      </c>
      <c r="AT165" s="576">
        <f>AS165*AQ165*(ENERGÍA!$M$231)/1000</f>
        <v>0</v>
      </c>
      <c r="AV165" s="576" t="s">
        <v>828</v>
      </c>
      <c r="AW165" s="540">
        <f t="shared" si="91"/>
        <v>0</v>
      </c>
      <c r="AX165" s="540">
        <f t="shared" si="87"/>
        <v>30</v>
      </c>
      <c r="AY165" s="540">
        <f t="shared" si="88"/>
        <v>0</v>
      </c>
      <c r="AZ165" s="540">
        <f t="shared" si="92"/>
        <v>0</v>
      </c>
      <c r="BA165" s="576">
        <f>AZ165*AX165*(ENERGÍA!$M$232)/1000</f>
        <v>0</v>
      </c>
    </row>
    <row r="166" spans="10:53" thickBot="1">
      <c r="J166" s="577"/>
      <c r="K166" s="576" t="s">
        <v>382</v>
      </c>
      <c r="L166" s="576">
        <v>700</v>
      </c>
      <c r="M166" s="576">
        <v>0.11</v>
      </c>
      <c r="Q166" s="576">
        <f>'BASE DE DATOS'!FQ166</f>
        <v>0</v>
      </c>
      <c r="R166" s="576">
        <f>'BASE DE DATOS'!FR166</f>
        <v>0</v>
      </c>
      <c r="AM166" s="576" t="s">
        <v>1275</v>
      </c>
      <c r="AO166" s="576" t="s">
        <v>829</v>
      </c>
      <c r="AP166" s="540">
        <f t="shared" si="89"/>
        <v>0</v>
      </c>
      <c r="AQ166" s="540">
        <f t="shared" si="89"/>
        <v>31</v>
      </c>
      <c r="AR166" s="540">
        <f t="shared" si="89"/>
        <v>0</v>
      </c>
      <c r="AS166" s="540">
        <f t="shared" si="90"/>
        <v>0</v>
      </c>
      <c r="AT166" s="576">
        <f>AS166*AQ166*(ENERGÍA!$M$231)/1000</f>
        <v>0</v>
      </c>
      <c r="AV166" s="576" t="s">
        <v>829</v>
      </c>
      <c r="AW166" s="540">
        <f t="shared" si="91"/>
        <v>0</v>
      </c>
      <c r="AX166" s="540">
        <f t="shared" si="87"/>
        <v>31</v>
      </c>
      <c r="AY166" s="540">
        <f t="shared" si="88"/>
        <v>0</v>
      </c>
      <c r="AZ166" s="540">
        <f t="shared" si="92"/>
        <v>0</v>
      </c>
      <c r="BA166" s="576">
        <f>AZ166*AX166*(ENERGÍA!$M$232)/1000</f>
        <v>0</v>
      </c>
    </row>
    <row r="167" spans="10:53" thickBot="1">
      <c r="J167" s="577"/>
      <c r="K167" s="576" t="s">
        <v>383</v>
      </c>
      <c r="L167" s="576">
        <v>800</v>
      </c>
      <c r="M167" s="576">
        <v>0.13</v>
      </c>
      <c r="Q167" s="576">
        <f>'BASE DE DATOS'!FQ167</f>
        <v>0</v>
      </c>
      <c r="R167" s="576">
        <f>'BASE DE DATOS'!FR167</f>
        <v>0</v>
      </c>
      <c r="AM167" s="576" t="s">
        <v>205</v>
      </c>
      <c r="AO167" s="576" t="s">
        <v>830</v>
      </c>
      <c r="AP167" s="540">
        <f t="shared" si="89"/>
        <v>0</v>
      </c>
      <c r="AQ167" s="540">
        <f t="shared" si="89"/>
        <v>31</v>
      </c>
      <c r="AR167" s="540">
        <f t="shared" si="89"/>
        <v>0</v>
      </c>
      <c r="AS167" s="540">
        <f t="shared" si="90"/>
        <v>0</v>
      </c>
      <c r="AT167" s="576">
        <f>AS167*AQ167*(ENERGÍA!$M$231)/1000</f>
        <v>0</v>
      </c>
      <c r="AV167" s="576" t="s">
        <v>830</v>
      </c>
      <c r="AW167" s="540">
        <f t="shared" si="91"/>
        <v>0</v>
      </c>
      <c r="AX167" s="540">
        <f t="shared" si="87"/>
        <v>31</v>
      </c>
      <c r="AY167" s="540">
        <f t="shared" si="88"/>
        <v>0</v>
      </c>
      <c r="AZ167" s="540">
        <f t="shared" si="92"/>
        <v>0</v>
      </c>
      <c r="BA167" s="576">
        <f>AZ167*AX167*(ENERGÍA!$M$232)/1000</f>
        <v>0</v>
      </c>
    </row>
    <row r="168" spans="10:53" thickBot="1">
      <c r="J168" s="577"/>
      <c r="K168" s="576" t="s">
        <v>384</v>
      </c>
      <c r="L168" s="576">
        <v>900</v>
      </c>
      <c r="M168" s="576">
        <v>0.15</v>
      </c>
      <c r="Q168" s="576">
        <f>'BASE DE DATOS'!FQ168</f>
        <v>0</v>
      </c>
      <c r="R168" s="576">
        <f>'BASE DE DATOS'!FR168</f>
        <v>0</v>
      </c>
      <c r="AM168" s="576" t="s">
        <v>180</v>
      </c>
      <c r="AO168" s="576" t="s">
        <v>831</v>
      </c>
      <c r="AP168" s="540">
        <f t="shared" si="89"/>
        <v>0</v>
      </c>
      <c r="AQ168" s="540">
        <f t="shared" si="89"/>
        <v>30</v>
      </c>
      <c r="AR168" s="540">
        <f t="shared" si="89"/>
        <v>0</v>
      </c>
      <c r="AS168" s="540">
        <f t="shared" si="90"/>
        <v>0</v>
      </c>
      <c r="AT168" s="576">
        <f>AS168*AQ168*(ENERGÍA!$M$231)/1000</f>
        <v>0</v>
      </c>
      <c r="AV168" s="576" t="s">
        <v>831</v>
      </c>
      <c r="AW168" s="540">
        <f t="shared" si="91"/>
        <v>0</v>
      </c>
      <c r="AX168" s="540">
        <f t="shared" si="87"/>
        <v>30</v>
      </c>
      <c r="AY168" s="540">
        <f t="shared" si="88"/>
        <v>0</v>
      </c>
      <c r="AZ168" s="540">
        <f t="shared" si="92"/>
        <v>0</v>
      </c>
      <c r="BA168" s="576">
        <f>AZ168*AX168*(ENERGÍA!$M$232)/1000</f>
        <v>0</v>
      </c>
    </row>
    <row r="169" spans="10:53" thickBot="1">
      <c r="J169" s="577"/>
      <c r="K169" s="576" t="s">
        <v>1760</v>
      </c>
      <c r="L169" s="576">
        <v>100</v>
      </c>
      <c r="M169" s="576">
        <v>0.24</v>
      </c>
      <c r="Q169" s="576">
        <f>'BASE DE DATOS'!FQ169</f>
        <v>0</v>
      </c>
      <c r="R169" s="576">
        <f>'BASE DE DATOS'!FR169</f>
        <v>0</v>
      </c>
      <c r="AM169" s="576" t="s">
        <v>115</v>
      </c>
      <c r="AO169" s="576" t="s">
        <v>832</v>
      </c>
      <c r="AP169" s="540">
        <f t="shared" si="89"/>
        <v>0</v>
      </c>
      <c r="AQ169" s="540">
        <f t="shared" si="89"/>
        <v>31</v>
      </c>
      <c r="AR169" s="540">
        <f t="shared" si="89"/>
        <v>0</v>
      </c>
      <c r="AS169" s="540">
        <f t="shared" si="90"/>
        <v>0</v>
      </c>
      <c r="AT169" s="576">
        <f>AS169*AQ169*(ENERGÍA!$M$231)/1000</f>
        <v>0</v>
      </c>
      <c r="AV169" s="576" t="s">
        <v>832</v>
      </c>
      <c r="AW169" s="540">
        <f t="shared" si="91"/>
        <v>0</v>
      </c>
      <c r="AX169" s="540">
        <f t="shared" si="87"/>
        <v>31</v>
      </c>
      <c r="AY169" s="540">
        <f t="shared" si="88"/>
        <v>0</v>
      </c>
      <c r="AZ169" s="540">
        <f t="shared" si="92"/>
        <v>0</v>
      </c>
      <c r="BA169" s="576">
        <f>AZ169*AX169*(ENERGÍA!$M$232)/1000</f>
        <v>0</v>
      </c>
    </row>
    <row r="170" spans="10:53" ht="18" thickBot="1">
      <c r="J170" s="577" t="str">
        <f>K431</f>
        <v>Terminaciones</v>
      </c>
      <c r="K170" s="576" t="s">
        <v>783</v>
      </c>
      <c r="L170" s="576">
        <v>200</v>
      </c>
      <c r="M170" s="576">
        <v>0.7</v>
      </c>
      <c r="Q170" s="576">
        <f>'BASE DE DATOS'!FQ170</f>
        <v>0</v>
      </c>
      <c r="R170" s="576">
        <f>'BASE DE DATOS'!FR170</f>
        <v>0</v>
      </c>
      <c r="AM170" s="576" t="s">
        <v>103</v>
      </c>
      <c r="AO170" s="576" t="s">
        <v>833</v>
      </c>
      <c r="AP170" s="540">
        <f t="shared" si="89"/>
        <v>0</v>
      </c>
      <c r="AQ170" s="540">
        <f t="shared" si="89"/>
        <v>30</v>
      </c>
      <c r="AR170" s="540">
        <f t="shared" si="89"/>
        <v>0</v>
      </c>
      <c r="AS170" s="540">
        <f t="shared" si="90"/>
        <v>0</v>
      </c>
      <c r="AT170" s="576">
        <f>AS170*AQ170*(ENERGÍA!$M$231)/1000</f>
        <v>0</v>
      </c>
      <c r="AV170" s="576" t="s">
        <v>833</v>
      </c>
      <c r="AW170" s="540">
        <f t="shared" si="91"/>
        <v>0</v>
      </c>
      <c r="AX170" s="540">
        <f t="shared" si="87"/>
        <v>30</v>
      </c>
      <c r="AY170" s="540">
        <f t="shared" si="88"/>
        <v>0</v>
      </c>
      <c r="AZ170" s="540">
        <f t="shared" si="92"/>
        <v>0</v>
      </c>
      <c r="BA170" s="576">
        <f>AZ170*AX170*(ENERGÍA!$M$232)/1000</f>
        <v>0</v>
      </c>
    </row>
    <row r="171" spans="10:53" thickBot="1">
      <c r="K171" s="576" t="s">
        <v>404</v>
      </c>
      <c r="L171" s="576">
        <v>1950</v>
      </c>
      <c r="M171" s="576">
        <v>0.95</v>
      </c>
      <c r="Q171" s="576">
        <f>'BASE DE DATOS'!FQ171</f>
        <v>0</v>
      </c>
      <c r="R171" s="576">
        <f>'BASE DE DATOS'!FR171</f>
        <v>0</v>
      </c>
      <c r="AM171" s="576" t="s">
        <v>85</v>
      </c>
      <c r="AO171" s="576" t="s">
        <v>834</v>
      </c>
      <c r="AP171" s="540">
        <f t="shared" si="89"/>
        <v>0</v>
      </c>
      <c r="AQ171" s="540">
        <f t="shared" si="89"/>
        <v>31</v>
      </c>
      <c r="AR171" s="540">
        <f t="shared" si="89"/>
        <v>0</v>
      </c>
      <c r="AS171" s="540">
        <f t="shared" si="90"/>
        <v>0</v>
      </c>
      <c r="AT171" s="576">
        <f>AS171*AQ171*(ENERGÍA!$M$231)/1000</f>
        <v>0</v>
      </c>
      <c r="AV171" s="576" t="s">
        <v>834</v>
      </c>
      <c r="AW171" s="540">
        <f t="shared" si="91"/>
        <v>0</v>
      </c>
      <c r="AX171" s="540">
        <f t="shared" si="87"/>
        <v>31</v>
      </c>
      <c r="AY171" s="540">
        <f t="shared" si="88"/>
        <v>0</v>
      </c>
      <c r="AZ171" s="540">
        <f t="shared" si="92"/>
        <v>0</v>
      </c>
      <c r="BA171" s="576">
        <f>AZ171*AX171*(ENERGÍA!$M$232)/1000</f>
        <v>0</v>
      </c>
    </row>
    <row r="172" spans="10:53" thickBot="1">
      <c r="K172" s="576" t="s">
        <v>784</v>
      </c>
      <c r="L172" s="576">
        <v>1950</v>
      </c>
      <c r="M172" s="576">
        <v>0.95</v>
      </c>
      <c r="Q172" s="576">
        <f>'BASE DE DATOS'!FQ172</f>
        <v>0</v>
      </c>
      <c r="R172" s="576">
        <f>'BASE DE DATOS'!FR172</f>
        <v>0</v>
      </c>
      <c r="AM172" s="576" t="s">
        <v>1267</v>
      </c>
      <c r="AS172" s="574" t="s">
        <v>755</v>
      </c>
      <c r="AT172" s="574">
        <f>SUM(AT160:AT171)</f>
        <v>0</v>
      </c>
      <c r="AV172" s="576"/>
      <c r="AZ172" s="574" t="s">
        <v>755</v>
      </c>
      <c r="BA172" s="574">
        <f>SUM(BA160:BA171)</f>
        <v>0</v>
      </c>
    </row>
    <row r="173" spans="10:53" thickBot="1">
      <c r="K173" s="576" t="s">
        <v>1478</v>
      </c>
      <c r="L173" s="576">
        <v>1800</v>
      </c>
      <c r="M173" s="576">
        <v>0.7</v>
      </c>
      <c r="Q173" s="576">
        <f>'BASE DE DATOS'!FQ173</f>
        <v>0</v>
      </c>
      <c r="R173" s="576">
        <f>'BASE DE DATOS'!FR173</f>
        <v>0</v>
      </c>
      <c r="AM173" s="576" t="s">
        <v>201</v>
      </c>
      <c r="AV173" s="576"/>
    </row>
    <row r="174" spans="10:53" thickBot="1">
      <c r="K174" s="576" t="s">
        <v>1479</v>
      </c>
      <c r="L174" s="576">
        <v>530</v>
      </c>
      <c r="M174" s="576">
        <v>0.08</v>
      </c>
      <c r="Q174" s="576">
        <f>'BASE DE DATOS'!FQ174</f>
        <v>0</v>
      </c>
      <c r="R174" s="576">
        <f>'BASE DE DATOS'!FR174</f>
        <v>0</v>
      </c>
      <c r="AM174" s="576" t="s">
        <v>171</v>
      </c>
      <c r="AO174" s="1187" t="s">
        <v>1242</v>
      </c>
      <c r="AP174" s="1187"/>
      <c r="AQ174" s="574">
        <f>(AT172*AP176)*AT176</f>
        <v>0</v>
      </c>
      <c r="AR174" s="574" t="s">
        <v>755</v>
      </c>
      <c r="AV174" s="1187" t="s">
        <v>1242</v>
      </c>
      <c r="AW174" s="1187"/>
      <c r="AX174" s="574">
        <f>(BA172*AW176)*BA176</f>
        <v>0</v>
      </c>
      <c r="AY174" s="574" t="s">
        <v>755</v>
      </c>
    </row>
    <row r="175" spans="10:53" thickBot="1">
      <c r="K175" s="576" t="s">
        <v>782</v>
      </c>
      <c r="L175" s="576">
        <v>2100</v>
      </c>
      <c r="M175" s="576">
        <v>1.1499999999999999</v>
      </c>
      <c r="Q175" s="576">
        <f>'BASE DE DATOS'!FQ175</f>
        <v>0</v>
      </c>
      <c r="R175" s="576">
        <f>'BASE DE DATOS'!FR175</f>
        <v>0</v>
      </c>
      <c r="AM175" s="576" t="s">
        <v>183</v>
      </c>
      <c r="AV175" s="576"/>
    </row>
    <row r="176" spans="10:53" thickBot="1">
      <c r="K176" s="576" t="s">
        <v>1480</v>
      </c>
      <c r="L176" s="576">
        <v>1000</v>
      </c>
      <c r="M176" s="576">
        <v>0.51</v>
      </c>
      <c r="Q176" s="576">
        <f>'BASE DE DATOS'!FQ176</f>
        <v>0</v>
      </c>
      <c r="R176" s="576">
        <f>'BASE DE DATOS'!FR176</f>
        <v>0</v>
      </c>
      <c r="AM176" s="576" t="s">
        <v>116</v>
      </c>
      <c r="AO176" s="576" t="s">
        <v>887</v>
      </c>
      <c r="AP176" s="540">
        <v>0.92</v>
      </c>
      <c r="AQ176" s="1182" t="s">
        <v>1086</v>
      </c>
      <c r="AR176" s="1182"/>
      <c r="AS176" s="1182"/>
      <c r="AT176" s="576">
        <f>IF(ENERGÍA!C231="Luz Solar",1,0)</f>
        <v>0</v>
      </c>
      <c r="AV176" s="576" t="s">
        <v>887</v>
      </c>
      <c r="AW176" s="540">
        <v>0.92</v>
      </c>
      <c r="AX176" s="1182" t="s">
        <v>1086</v>
      </c>
      <c r="AY176" s="1182"/>
      <c r="AZ176" s="1182"/>
      <c r="BA176" s="576">
        <f>IF(ENERGÍA!C232="Luz Solar",1,0)</f>
        <v>0</v>
      </c>
    </row>
    <row r="177" spans="10:49" thickBot="1">
      <c r="K177" s="576" t="s">
        <v>395</v>
      </c>
      <c r="L177" s="576">
        <v>1300</v>
      </c>
      <c r="M177" s="576">
        <v>0.13</v>
      </c>
      <c r="Q177" s="576">
        <f>'BASE DE DATOS'!FQ177</f>
        <v>0</v>
      </c>
      <c r="R177" s="576">
        <f>'BASE DE DATOS'!FR177</f>
        <v>0</v>
      </c>
    </row>
    <row r="178" spans="10:49" thickBot="1">
      <c r="K178" s="576" t="s">
        <v>396</v>
      </c>
      <c r="L178" s="576">
        <v>1500</v>
      </c>
      <c r="M178" s="576">
        <v>0.19</v>
      </c>
      <c r="Q178" s="576">
        <f>'BASE DE DATOS'!FQ178</f>
        <v>0</v>
      </c>
      <c r="R178" s="576">
        <f>'BASE DE DATOS'!FR178</f>
        <v>0</v>
      </c>
    </row>
    <row r="179" spans="10:49" thickBot="1">
      <c r="J179" s="577"/>
      <c r="K179" s="576" t="s">
        <v>394</v>
      </c>
      <c r="L179" s="576">
        <v>800</v>
      </c>
      <c r="M179" s="576">
        <v>0.11</v>
      </c>
      <c r="Q179" s="576">
        <f>'BASE DE DATOS'!FQ179</f>
        <v>0</v>
      </c>
      <c r="R179" s="576">
        <f>'BASE DE DATOS'!FR179</f>
        <v>0</v>
      </c>
    </row>
    <row r="180" spans="10:49" ht="18" thickBot="1">
      <c r="J180" s="577"/>
      <c r="K180" s="576" t="s">
        <v>397</v>
      </c>
      <c r="L180" s="576">
        <v>500</v>
      </c>
      <c r="M180" s="576">
        <v>0.17</v>
      </c>
      <c r="Q180" s="576">
        <f>'BASE DE DATOS'!FQ180</f>
        <v>0</v>
      </c>
      <c r="R180" s="576">
        <f>'BASE DE DATOS'!FR180</f>
        <v>0</v>
      </c>
      <c r="AO180" s="650" t="str">
        <f>ENERGÍA!B110</f>
        <v>Ventanas tipo 1:</v>
      </c>
      <c r="AP180" s="575">
        <f>IF(ENERGÍA!X110&gt;1,1,0)</f>
        <v>0</v>
      </c>
      <c r="AQ180" s="575">
        <f>IF(AP180=1,IF(ENERGÍA!L110=$AG$65,0,1),0)</f>
        <v>0</v>
      </c>
      <c r="AR180" s="575">
        <f>AP180-AQ180</f>
        <v>0</v>
      </c>
      <c r="AS180" s="575">
        <f>IF(ENERGÍA!$B$56='Materiales Personalizados'!$AK$7,AP180-AQ180,IF(ENERGÍA!$B$56='Materiales Personalizados'!$AK$17,AP180-AQ180,IF(ENERGÍA!$B$56='Materiales Personalizados'!$AK$19,AP180-AQ180,IF(ENERGÍA!$B$56='Materiales Personalizados'!$AK$21,AP180-AQ180,IF(ENERGÍA!$B$56='Materiales Personalizados'!$AK$9,AP180-AQ180,IF(ENERGÍA!$B$56='Materiales Personalizados'!$AK$11,AP180-AQ180,IF(ENERGÍA!$B$56='Materiales Personalizados'!$AK$13,AP180-AQ180,0)))))))</f>
        <v>0</v>
      </c>
      <c r="AT180" s="650"/>
      <c r="AU180" s="650">
        <f>IF(ENERGÍA!I110="-",0,IF(ENERGÍA!I110="A",1,IF(ENERGÍA!I110="B",2,IF(ENERGÍA!I110="C",3,IF(ENERGÍA!J110="D",4,5)))))</f>
        <v>5</v>
      </c>
    </row>
    <row r="181" spans="10:49" ht="18" thickBot="1">
      <c r="J181" s="577"/>
      <c r="K181" s="576" t="s">
        <v>398</v>
      </c>
      <c r="L181" s="576">
        <v>700</v>
      </c>
      <c r="M181" s="576">
        <v>0.23</v>
      </c>
      <c r="Q181" s="576">
        <f>'BASE DE DATOS'!FQ181</f>
        <v>0</v>
      </c>
      <c r="R181" s="576">
        <f>'BASE DE DATOS'!FR181</f>
        <v>0</v>
      </c>
      <c r="AO181" s="650" t="str">
        <f>ENERGÍA!B111</f>
        <v>Ventanas tipo 2:</v>
      </c>
      <c r="AP181" s="575">
        <f>IF(ENERGÍA!X111&gt;1,1,0)</f>
        <v>0</v>
      </c>
      <c r="AQ181" s="575">
        <f>IF(AP181=1,IF(ENERGÍA!L111=$AG$65,0,1),0)</f>
        <v>0</v>
      </c>
      <c r="AR181" s="575">
        <f t="shared" ref="AR181:AR243" si="93">AP181-AQ181</f>
        <v>0</v>
      </c>
      <c r="AS181" s="575">
        <f>IF(ENERGÍA!$B$56='Materiales Personalizados'!$AK$7,AP181-AQ181,IF(ENERGÍA!$B$56='Materiales Personalizados'!$AK$17,AP181-AQ181,IF(ENERGÍA!$B$56='Materiales Personalizados'!$AK$19,AP181-AQ181,IF(ENERGÍA!$B$56='Materiales Personalizados'!$AK$21,AP181-AQ181,IF(ENERGÍA!$B$56='Materiales Personalizados'!$AK$9,AP181-AQ181,IF(ENERGÍA!$B$56='Materiales Personalizados'!$AK$11,AP181-AQ181,IF(ENERGÍA!$B$56='Materiales Personalizados'!$AK$13,AP181-AQ181,0)))))))</f>
        <v>0</v>
      </c>
      <c r="AT181" s="650"/>
      <c r="AU181" s="650">
        <f>IF(ENERGÍA!I111="-",0,IF(ENERGÍA!I111="A",1,IF(ENERGÍA!I111="B",2,IF(ENERGÍA!I111="C",3,IF(ENERGÍA!J111="D",4,5)))))</f>
        <v>5</v>
      </c>
    </row>
    <row r="182" spans="10:49" ht="18" thickBot="1">
      <c r="J182" s="577"/>
      <c r="K182" s="576" t="s">
        <v>403</v>
      </c>
      <c r="L182" s="576">
        <v>960</v>
      </c>
      <c r="M182" s="576">
        <v>0.5</v>
      </c>
      <c r="Q182" s="576">
        <f>'BASE DE DATOS'!FQ182</f>
        <v>0</v>
      </c>
      <c r="R182" s="576">
        <f>'BASE DE DATOS'!FR182</f>
        <v>0</v>
      </c>
      <c r="AO182" s="650" t="str">
        <f>ENERGÍA!B112</f>
        <v>Ventanas tipo 3:</v>
      </c>
      <c r="AP182" s="575">
        <f>IF(ENERGÍA!X112&gt;1,1,0)</f>
        <v>0</v>
      </c>
      <c r="AQ182" s="575">
        <f>IF(AP182=1,IF(ENERGÍA!L112=$AG$65,0,1),0)</f>
        <v>0</v>
      </c>
      <c r="AR182" s="575">
        <f t="shared" si="93"/>
        <v>0</v>
      </c>
      <c r="AS182" s="575">
        <f>IF(ENERGÍA!$B$56='Materiales Personalizados'!$AK$7,AP182-AQ182,IF(ENERGÍA!$B$56='Materiales Personalizados'!$AK$17,AP182-AQ182,IF(ENERGÍA!$B$56='Materiales Personalizados'!$AK$19,AP182-AQ182,IF(ENERGÍA!$B$56='Materiales Personalizados'!$AK$21,AP182-AQ182,IF(ENERGÍA!$B$56='Materiales Personalizados'!$AK$9,AP182-AQ182,IF(ENERGÍA!$B$56='Materiales Personalizados'!$AK$11,AP182-AQ182,IF(ENERGÍA!$B$56='Materiales Personalizados'!$AK$13,AP182-AQ182,0)))))))</f>
        <v>0</v>
      </c>
      <c r="AT182" s="650"/>
      <c r="AU182" s="650">
        <f>IF(ENERGÍA!I112="-",0,IF(ENERGÍA!I112="A",1,IF(ENERGÍA!I112="B",2,IF(ENERGÍA!I112="C",3,IF(ENERGÍA!J112="D",4,5)))))</f>
        <v>5</v>
      </c>
    </row>
    <row r="183" spans="10:49" ht="18" thickBot="1">
      <c r="J183" s="577"/>
      <c r="K183" s="576" t="s">
        <v>401</v>
      </c>
      <c r="L183" s="576">
        <v>1150</v>
      </c>
      <c r="M183" s="576">
        <v>0.17</v>
      </c>
      <c r="Q183" s="576">
        <f>'BASE DE DATOS'!FQ183</f>
        <v>0</v>
      </c>
      <c r="R183" s="576">
        <f>'BASE DE DATOS'!FR183</f>
        <v>0</v>
      </c>
      <c r="AO183" s="650" t="str">
        <f>ENERGÍA!B113</f>
        <v>Ventanas tipo 4:</v>
      </c>
      <c r="AP183" s="575">
        <f>IF(ENERGÍA!X113&gt;1,1,0)</f>
        <v>0</v>
      </c>
      <c r="AQ183" s="575">
        <f>IF(AP183=1,IF(ENERGÍA!L113=$AG$65,0,1),0)</f>
        <v>0</v>
      </c>
      <c r="AR183" s="575">
        <f t="shared" si="93"/>
        <v>0</v>
      </c>
      <c r="AS183" s="575">
        <f>IF(ENERGÍA!$B$56='Materiales Personalizados'!$AK$7,AP183-AQ183,IF(ENERGÍA!$B$56='Materiales Personalizados'!$AK$17,AP183-AQ183,IF(ENERGÍA!$B$56='Materiales Personalizados'!$AK$19,AP183-AQ183,IF(ENERGÍA!$B$56='Materiales Personalizados'!$AK$21,AP183-AQ183,IF(ENERGÍA!$B$56='Materiales Personalizados'!$AK$9,AP183-AQ183,IF(ENERGÍA!$B$56='Materiales Personalizados'!$AK$11,AP183-AQ183,IF(ENERGÍA!$B$56='Materiales Personalizados'!$AK$13,AP183-AQ183,0)))))))</f>
        <v>0</v>
      </c>
      <c r="AT183" s="650"/>
      <c r="AU183" s="650">
        <f>IF(ENERGÍA!I113="-",0,IF(ENERGÍA!I113="A",1,IF(ENERGÍA!I113="B",2,IF(ENERGÍA!I113="C",3,IF(ENERGÍA!J113="D",4,5)))))</f>
        <v>5</v>
      </c>
    </row>
    <row r="184" spans="10:49" ht="18" thickBot="1">
      <c r="J184" s="577"/>
      <c r="K184" s="576" t="s">
        <v>399</v>
      </c>
      <c r="L184" s="576">
        <v>1200</v>
      </c>
      <c r="M184" s="576">
        <v>0.7</v>
      </c>
      <c r="Q184" s="576">
        <f>'BASE DE DATOS'!FQ184</f>
        <v>0</v>
      </c>
      <c r="R184" s="576">
        <f>'BASE DE DATOS'!FR184</f>
        <v>0</v>
      </c>
      <c r="AO184" s="650" t="str">
        <f>ENERGÍA!B114</f>
        <v>Ventanas tipo 5:</v>
      </c>
      <c r="AP184" s="575">
        <f>IF(ENERGÍA!X114&gt;1,1,0)</f>
        <v>0</v>
      </c>
      <c r="AQ184" s="575">
        <f>IF(AP184=1,IF(ENERGÍA!L114=$AG$65,0,1),0)</f>
        <v>0</v>
      </c>
      <c r="AR184" s="575">
        <f t="shared" si="93"/>
        <v>0</v>
      </c>
      <c r="AS184" s="575">
        <f>IF(ENERGÍA!$B$56='Materiales Personalizados'!$AK$7,AP184-AQ184,IF(ENERGÍA!$B$56='Materiales Personalizados'!$AK$17,AP184-AQ184,IF(ENERGÍA!$B$56='Materiales Personalizados'!$AK$19,AP184-AQ184,IF(ENERGÍA!$B$56='Materiales Personalizados'!$AK$21,AP184-AQ184,IF(ENERGÍA!$B$56='Materiales Personalizados'!$AK$9,AP184-AQ184,IF(ENERGÍA!$B$56='Materiales Personalizados'!$AK$11,AP184-AQ184,IF(ENERGÍA!$B$56='Materiales Personalizados'!$AK$13,AP184-AQ184,0)))))))</f>
        <v>0</v>
      </c>
      <c r="AT184" s="650"/>
      <c r="AU184" s="650">
        <f>IF(ENERGÍA!I114="-",0,IF(ENERGÍA!I114="A",1,IF(ENERGÍA!I114="B",2,IF(ENERGÍA!I114="C",3,IF(ENERGÍA!J114="D",4,5)))))</f>
        <v>5</v>
      </c>
    </row>
    <row r="185" spans="10:49" ht="18" thickBot="1">
      <c r="J185" s="577"/>
      <c r="K185" s="576" t="s">
        <v>400</v>
      </c>
      <c r="L185" s="576">
        <v>1200</v>
      </c>
      <c r="M185" s="576">
        <v>0.76</v>
      </c>
      <c r="Q185" s="576">
        <f>'BASE DE DATOS'!FQ185</f>
        <v>0</v>
      </c>
      <c r="R185" s="576">
        <f>'BASE DE DATOS'!FR185</f>
        <v>0</v>
      </c>
      <c r="AO185" s="650" t="str">
        <f>ENERGÍA!B115</f>
        <v>Ventanas tipo 6:</v>
      </c>
      <c r="AP185" s="575">
        <f>IF(ENERGÍA!X115&gt;1,1,0)</f>
        <v>0</v>
      </c>
      <c r="AQ185" s="575">
        <f>IF(AP185=1,IF(ENERGÍA!L115=$AG$65,0,1),0)</f>
        <v>0</v>
      </c>
      <c r="AR185" s="575">
        <f t="shared" si="93"/>
        <v>0</v>
      </c>
      <c r="AS185" s="575">
        <f>IF(ENERGÍA!$B$56='Materiales Personalizados'!$AK$7,AP185-AQ185,IF(ENERGÍA!$B$56='Materiales Personalizados'!$AK$17,AP185-AQ185,IF(ENERGÍA!$B$56='Materiales Personalizados'!$AK$19,AP185-AQ185,IF(ENERGÍA!$B$56='Materiales Personalizados'!$AK$21,AP185-AQ185,IF(ENERGÍA!$B$56='Materiales Personalizados'!$AK$9,AP185-AQ185,IF(ENERGÍA!$B$56='Materiales Personalizados'!$AK$11,AP185-AQ185,IF(ENERGÍA!$B$56='Materiales Personalizados'!$AK$13,AP185-AQ185,0)))))))</f>
        <v>0</v>
      </c>
      <c r="AT185" s="650"/>
      <c r="AU185" s="650">
        <f>IF(ENERGÍA!I115="-",0,IF(ENERGÍA!I115="A",1,IF(ENERGÍA!I115="B",2,IF(ENERGÍA!I115="C",3,IF(ENERGÍA!J115="D",4,5)))))</f>
        <v>5</v>
      </c>
    </row>
    <row r="186" spans="10:49" ht="18" thickBot="1">
      <c r="J186" s="577"/>
      <c r="K186" s="576" t="s">
        <v>402</v>
      </c>
      <c r="L186" s="576">
        <v>400</v>
      </c>
      <c r="M186" s="576">
        <v>0.2</v>
      </c>
      <c r="Q186" s="576">
        <f>'BASE DE DATOS'!FQ186</f>
        <v>0</v>
      </c>
      <c r="R186" s="576">
        <f>'BASE DE DATOS'!FR186</f>
        <v>0</v>
      </c>
      <c r="AO186" s="650" t="str">
        <f>ENERGÍA!B116</f>
        <v>Ventanas tipo 7:</v>
      </c>
      <c r="AP186" s="575">
        <f>IF(ENERGÍA!X116&gt;1,1,0)</f>
        <v>0</v>
      </c>
      <c r="AQ186" s="575">
        <f>IF(AP186=1,IF(ENERGÍA!L116=$AG$65,0,1),0)</f>
        <v>0</v>
      </c>
      <c r="AR186" s="575">
        <f t="shared" si="93"/>
        <v>0</v>
      </c>
      <c r="AS186" s="575">
        <f>IF(ENERGÍA!$B$56='Materiales Personalizados'!$AK$7,AP186-AQ186,IF(ENERGÍA!$B$56='Materiales Personalizados'!$AK$17,AP186-AQ186,IF(ENERGÍA!$B$56='Materiales Personalizados'!$AK$19,AP186-AQ186,IF(ENERGÍA!$B$56='Materiales Personalizados'!$AK$21,AP186-AQ186,IF(ENERGÍA!$B$56='Materiales Personalizados'!$AK$9,AP186-AQ186,IF(ENERGÍA!$B$56='Materiales Personalizados'!$AK$11,AP186-AQ186,IF(ENERGÍA!$B$56='Materiales Personalizados'!$AK$13,AP186-AQ186,0)))))))</f>
        <v>0</v>
      </c>
      <c r="AT186" s="650"/>
      <c r="AU186" s="650">
        <f>IF(ENERGÍA!I116="-",0,IF(ENERGÍA!I116="A",1,IF(ENERGÍA!I116="B",2,IF(ENERGÍA!I116="C",3,IF(ENERGÍA!J116="D",4,5)))))</f>
        <v>5</v>
      </c>
    </row>
    <row r="187" spans="10:49" ht="18" thickBot="1">
      <c r="J187" s="577" t="str">
        <f>K432</f>
        <v>Aislantes_Lanas_y_Perlita</v>
      </c>
      <c r="K187" s="576" t="s">
        <v>406</v>
      </c>
      <c r="L187" s="576">
        <v>12</v>
      </c>
      <c r="M187" s="576">
        <v>4.2999999999999997E-2</v>
      </c>
      <c r="Q187" s="576">
        <f>'BASE DE DATOS'!FQ187</f>
        <v>0</v>
      </c>
      <c r="R187" s="576">
        <f>'BASE DE DATOS'!FR187</f>
        <v>0</v>
      </c>
      <c r="AO187" s="650" t="str">
        <f>ENERGÍA!B117</f>
        <v>Ventanas tipo 8:</v>
      </c>
      <c r="AP187" s="575">
        <f>IF(ENERGÍA!X117&gt;1,1,0)</f>
        <v>0</v>
      </c>
      <c r="AQ187" s="575">
        <f>IF(AP187=1,IF(ENERGÍA!L117=$AG$65,0,1),0)</f>
        <v>0</v>
      </c>
      <c r="AR187" s="575">
        <f t="shared" si="93"/>
        <v>0</v>
      </c>
      <c r="AS187" s="575">
        <f>IF(ENERGÍA!$B$56='Materiales Personalizados'!$AK$7,AP187-AQ187,IF(ENERGÍA!$B$56='Materiales Personalizados'!$AK$17,AP187-AQ187,IF(ENERGÍA!$B$56='Materiales Personalizados'!$AK$19,AP187-AQ187,IF(ENERGÍA!$B$56='Materiales Personalizados'!$AK$21,AP187-AQ187,IF(ENERGÍA!$B$56='Materiales Personalizados'!$AK$9,AP187-AQ187,IF(ENERGÍA!$B$56='Materiales Personalizados'!$AK$11,AP187-AQ187,IF(ENERGÍA!$B$56='Materiales Personalizados'!$AK$13,AP187-AQ187,0)))))))</f>
        <v>0</v>
      </c>
      <c r="AT187" s="650"/>
      <c r="AU187" s="650">
        <f>IF(ENERGÍA!I117="-",0,IF(ENERGÍA!I117="A",1,IF(ENERGÍA!I117="B",2,IF(ENERGÍA!I117="C",3,IF(ENERGÍA!J117="D",4,5)))))</f>
        <v>5</v>
      </c>
    </row>
    <row r="188" spans="10:49" ht="35" thickBot="1">
      <c r="K188" s="576" t="s">
        <v>407</v>
      </c>
      <c r="L188" s="576">
        <v>17</v>
      </c>
      <c r="M188" s="576">
        <v>0.04</v>
      </c>
      <c r="AO188" s="650" t="str">
        <f>ENERGÍA!B118</f>
        <v>Material Personalizado:</v>
      </c>
      <c r="AP188" s="575">
        <f>IF(ENERGÍA!X118&gt;1,1,0)</f>
        <v>0</v>
      </c>
      <c r="AQ188" s="575">
        <f>IF(AP188=1,IF(ENERGÍA!L118=$AG$65,0,1),0)</f>
        <v>0</v>
      </c>
      <c r="AR188" s="575">
        <f t="shared" si="93"/>
        <v>0</v>
      </c>
      <c r="AS188" s="575">
        <f>IF(ENERGÍA!$B$56='Materiales Personalizados'!$AK$7,AP188-AQ188,IF(ENERGÍA!$B$56='Materiales Personalizados'!$AK$17,AP188-AQ188,IF(ENERGÍA!$B$56='Materiales Personalizados'!$AK$19,AP188-AQ188,IF(ENERGÍA!$B$56='Materiales Personalizados'!$AK$21,AP188-AQ188,IF(ENERGÍA!$B$56='Materiales Personalizados'!$AK$9,AP188-AQ188,IF(ENERGÍA!$B$56='Materiales Personalizados'!$AK$11,AP188-AQ188,IF(ENERGÍA!$B$56='Materiales Personalizados'!$AK$13,AP188-AQ188,0)))))))</f>
        <v>0</v>
      </c>
      <c r="AT188" s="650"/>
      <c r="AU188" s="650">
        <f>IF(ENERGÍA!I118="-",0,IF(ENERGÍA!I118="A",1,IF(ENERGÍA!I118="B",2,IF(ENERGÍA!I118="C",3,IF(ENERGÍA!J118="D",4,5)))))</f>
        <v>5</v>
      </c>
    </row>
    <row r="189" spans="10:49" ht="35" thickBot="1">
      <c r="K189" s="576" t="s">
        <v>408</v>
      </c>
      <c r="L189" s="576">
        <v>25</v>
      </c>
      <c r="M189" s="576">
        <v>3.6999999999999998E-2</v>
      </c>
      <c r="AO189" s="650" t="str">
        <f>ENERGÍA!B119</f>
        <v>Material Personalizado:</v>
      </c>
      <c r="AP189" s="575">
        <f>IF(ENERGÍA!X119&gt;1,1,0)</f>
        <v>0</v>
      </c>
      <c r="AQ189" s="575">
        <f>IF(AP189=1,IF(ENERGÍA!L119=$AG$65,0,1),0)</f>
        <v>0</v>
      </c>
      <c r="AR189" s="575">
        <f t="shared" si="93"/>
        <v>0</v>
      </c>
      <c r="AS189" s="575">
        <f>IF(ENERGÍA!$B$56='Materiales Personalizados'!$AK$7,AP189-AQ189,IF(ENERGÍA!$B$56='Materiales Personalizados'!$AK$17,AP189-AQ189,IF(ENERGÍA!$B$56='Materiales Personalizados'!$AK$19,AP189-AQ189,IF(ENERGÍA!$B$56='Materiales Personalizados'!$AK$21,AP189-AQ189,IF(ENERGÍA!$B$56='Materiales Personalizados'!$AK$9,AP189-AQ189,IF(ENERGÍA!$B$56='Materiales Personalizados'!$AK$11,AP189-AQ189,IF(ENERGÍA!$B$56='Materiales Personalizados'!$AK$13,AP189-AQ189,0)))))))</f>
        <v>0</v>
      </c>
      <c r="AT189" s="650"/>
      <c r="AU189" s="650">
        <f>IF(ENERGÍA!I119="-",0,IF(ENERGÍA!I119="A",1,IF(ENERGÍA!I119="B",2,IF(ENERGÍA!I119="C",3,IF(ENERGÍA!J119="D",4,5)))))</f>
        <v>5</v>
      </c>
    </row>
    <row r="190" spans="10:49" thickBot="1">
      <c r="K190" s="576" t="s">
        <v>409</v>
      </c>
      <c r="L190" s="576">
        <v>35</v>
      </c>
      <c r="M190" s="576">
        <v>3.4000000000000002E-2</v>
      </c>
      <c r="AO190" s="650"/>
      <c r="AP190" s="575"/>
      <c r="AQ190" s="575"/>
      <c r="AR190" s="575"/>
      <c r="AS190" s="575"/>
      <c r="AT190" s="575"/>
      <c r="AU190" s="575"/>
      <c r="AV190" s="575"/>
      <c r="AW190" s="575"/>
    </row>
    <row r="191" spans="10:49" thickBot="1">
      <c r="K191" s="576" t="s">
        <v>410</v>
      </c>
      <c r="L191" s="576">
        <v>60</v>
      </c>
      <c r="M191" s="576">
        <v>3.3000000000000002E-2</v>
      </c>
      <c r="AO191" s="650"/>
      <c r="AP191" s="575"/>
      <c r="AQ191" s="575"/>
      <c r="AR191" s="575"/>
      <c r="AS191" s="575"/>
      <c r="AT191" s="575"/>
      <c r="AU191" s="575"/>
      <c r="AV191" s="575"/>
      <c r="AW191" s="575"/>
    </row>
    <row r="192" spans="10:49" thickBot="1">
      <c r="K192" s="576" t="s">
        <v>405</v>
      </c>
      <c r="L192" s="576">
        <v>9</v>
      </c>
      <c r="M192" s="576">
        <v>4.4999999999999998E-2</v>
      </c>
      <c r="AO192" s="650"/>
      <c r="AP192" s="575"/>
      <c r="AQ192" s="575"/>
      <c r="AR192" s="575"/>
      <c r="AS192" s="575"/>
      <c r="AT192" s="575"/>
      <c r="AU192" s="575"/>
      <c r="AV192" s="575"/>
      <c r="AW192" s="575"/>
    </row>
    <row r="193" spans="2:49" thickBot="1">
      <c r="K193" s="576" t="s">
        <v>411</v>
      </c>
      <c r="L193" s="576">
        <v>40</v>
      </c>
      <c r="M193" s="576">
        <v>4.2000000000000003E-2</v>
      </c>
      <c r="AO193" s="650"/>
      <c r="AP193" s="575"/>
      <c r="AQ193" s="575"/>
      <c r="AR193" s="575"/>
      <c r="AS193" s="575"/>
      <c r="AT193" s="575"/>
      <c r="AU193" s="575"/>
      <c r="AV193" s="575"/>
      <c r="AW193" s="575"/>
    </row>
    <row r="194" spans="2:49" thickBot="1">
      <c r="B194" s="264"/>
      <c r="K194" s="576" t="s">
        <v>412</v>
      </c>
      <c r="L194" s="576">
        <v>60</v>
      </c>
      <c r="M194" s="576">
        <v>0.04</v>
      </c>
      <c r="AO194" s="650"/>
      <c r="AP194" s="575"/>
      <c r="AQ194" s="575"/>
      <c r="AR194" s="575"/>
      <c r="AS194" s="575"/>
      <c r="AT194" s="575"/>
      <c r="AU194" s="575"/>
      <c r="AV194" s="575"/>
      <c r="AW194" s="575"/>
    </row>
    <row r="195" spans="2:49" thickBot="1">
      <c r="B195" s="264"/>
      <c r="J195" s="577"/>
      <c r="K195" s="576" t="s">
        <v>413</v>
      </c>
      <c r="L195" s="576">
        <v>110</v>
      </c>
      <c r="M195" s="576">
        <v>3.5999999999999997E-2</v>
      </c>
      <c r="AO195" s="650"/>
      <c r="AP195" s="575"/>
      <c r="AQ195" s="575"/>
      <c r="AR195" s="575"/>
      <c r="AS195" s="575"/>
      <c r="AT195" s="575"/>
      <c r="AU195" s="575"/>
      <c r="AV195" s="575"/>
      <c r="AW195" s="575"/>
    </row>
    <row r="196" spans="2:49" thickBot="1">
      <c r="B196" s="264"/>
      <c r="J196" s="577"/>
      <c r="K196" s="576" t="s">
        <v>418</v>
      </c>
      <c r="L196" s="576">
        <v>300</v>
      </c>
      <c r="M196" s="576">
        <v>8.7999999999999995E-2</v>
      </c>
      <c r="AO196" s="650"/>
      <c r="AP196" s="575"/>
      <c r="AQ196" s="575"/>
      <c r="AR196" s="575"/>
      <c r="AS196" s="575"/>
      <c r="AT196" s="575"/>
      <c r="AU196" s="575"/>
      <c r="AV196" s="575"/>
      <c r="AW196" s="575"/>
    </row>
    <row r="197" spans="2:49" thickBot="1">
      <c r="B197" s="264"/>
      <c r="J197" s="577"/>
      <c r="K197" s="576" t="s">
        <v>419</v>
      </c>
      <c r="L197" s="576">
        <v>400</v>
      </c>
      <c r="M197" s="576">
        <v>9.2999999999999999E-2</v>
      </c>
      <c r="AO197" s="650"/>
      <c r="AP197" s="575"/>
      <c r="AQ197" s="575"/>
      <c r="AR197" s="575"/>
      <c r="AS197" s="575"/>
      <c r="AT197" s="575"/>
      <c r="AU197" s="575"/>
      <c r="AV197" s="575"/>
      <c r="AW197" s="575"/>
    </row>
    <row r="198" spans="2:49" ht="18" thickBot="1">
      <c r="B198" s="264"/>
      <c r="J198" s="577"/>
      <c r="K198" s="576" t="s">
        <v>420</v>
      </c>
      <c r="L198" s="576">
        <v>500</v>
      </c>
      <c r="M198" s="576">
        <v>0.12</v>
      </c>
      <c r="AO198" s="650" t="str">
        <f>ENERGÍA!B128</f>
        <v>Ventanas tipo 1:</v>
      </c>
      <c r="AP198" s="575">
        <f>IF(ENERGÍA!X128&gt;1,1,0)</f>
        <v>0</v>
      </c>
      <c r="AQ198" s="575">
        <f>IF(AP198=1,IF(ENERGÍA!L128=$AG$65,0,1),0)</f>
        <v>0</v>
      </c>
      <c r="AR198" s="575">
        <f t="shared" si="93"/>
        <v>0</v>
      </c>
      <c r="AS198" s="575">
        <f>IF(ENERGÍA!$B$56='Materiales Personalizados'!$AK$7,AP198-AQ198,IF(ENERGÍA!$B$56='Materiales Personalizados'!$AK$17,AP198-AQ198,IF(ENERGÍA!$B$56='Materiales Personalizados'!$AK$19,AP198-AQ198,IF(ENERGÍA!$B$56='Materiales Personalizados'!$AK$21,AP198-AQ198,IF(ENERGÍA!$B$56='Materiales Personalizados'!$AK$9,AP198-AQ198,IF(ENERGÍA!$B$56='Materiales Personalizados'!$AK$11,AP198-AQ198,IF(ENERGÍA!$B$56='Materiales Personalizados'!$AK$13,AP198-AQ198,0)))))))</f>
        <v>0</v>
      </c>
      <c r="AT198" s="650"/>
      <c r="AU198" s="650">
        <f>IF(ENERGÍA!I128="-",0,IF(ENERGÍA!I128="A",1,IF(ENERGÍA!I128="B",2,IF(ENERGÍA!I128="C",3,IF(ENERGÍA!J128="D",4,5)))))</f>
        <v>5</v>
      </c>
    </row>
    <row r="199" spans="2:49" ht="18" thickBot="1">
      <c r="B199" s="264"/>
      <c r="J199" s="577"/>
      <c r="K199" s="576" t="s">
        <v>421</v>
      </c>
      <c r="L199" s="576">
        <v>600</v>
      </c>
      <c r="M199" s="576">
        <v>0.14000000000000001</v>
      </c>
      <c r="AO199" s="650" t="str">
        <f>ENERGÍA!B129</f>
        <v>Ventanas tipo 2:</v>
      </c>
      <c r="AP199" s="575">
        <f>IF(ENERGÍA!X129&gt;1,1,0)</f>
        <v>0</v>
      </c>
      <c r="AQ199" s="575">
        <f>IF(AP199=1,IF(ENERGÍA!L129=$AG$65,0,1),0)</f>
        <v>0</v>
      </c>
      <c r="AR199" s="575">
        <f t="shared" si="93"/>
        <v>0</v>
      </c>
      <c r="AS199" s="575">
        <f>IF(ENERGÍA!$B$56='Materiales Personalizados'!$AK$7,AP199-AQ199,IF(ENERGÍA!$B$56='Materiales Personalizados'!$AK$17,AP199-AQ199,IF(ENERGÍA!$B$56='Materiales Personalizados'!$AK$19,AP199-AQ199,IF(ENERGÍA!$B$56='Materiales Personalizados'!$AK$21,AP199-AQ199,IF(ENERGÍA!$B$56='Materiales Personalizados'!$AK$9,AP199-AQ199,IF(ENERGÍA!$B$56='Materiales Personalizados'!$AK$11,AP199-AQ199,IF(ENERGÍA!$B$56='Materiales Personalizados'!$AK$13,AP199-AQ199,0)))))))</f>
        <v>0</v>
      </c>
      <c r="AT199" s="650"/>
      <c r="AU199" s="650">
        <f>IF(ENERGÍA!I129="-",0,IF(ENERGÍA!I129="A",1,IF(ENERGÍA!I129="B",2,IF(ENERGÍA!I129="C",3,IF(ENERGÍA!J129="D",4,5)))))</f>
        <v>5</v>
      </c>
    </row>
    <row r="200" spans="2:49" ht="18" thickBot="1">
      <c r="B200" s="264"/>
      <c r="J200" s="577"/>
      <c r="K200" s="576" t="s">
        <v>422</v>
      </c>
      <c r="L200" s="576">
        <v>700</v>
      </c>
      <c r="M200" s="576">
        <v>0.16</v>
      </c>
      <c r="AO200" s="650" t="str">
        <f>ENERGÍA!B130</f>
        <v>Ventanas tipo 3:</v>
      </c>
      <c r="AP200" s="575">
        <f>IF(ENERGÍA!X130&gt;1,1,0)</f>
        <v>0</v>
      </c>
      <c r="AQ200" s="575">
        <f>IF(AP200=1,IF(ENERGÍA!L130=$AG$65,0,1),0)</f>
        <v>0</v>
      </c>
      <c r="AR200" s="575">
        <f t="shared" si="93"/>
        <v>0</v>
      </c>
      <c r="AS200" s="575">
        <f>IF(ENERGÍA!$B$56='Materiales Personalizados'!$AK$7,AP200-AQ200,IF(ENERGÍA!$B$56='Materiales Personalizados'!$AK$17,AP200-AQ200,IF(ENERGÍA!$B$56='Materiales Personalizados'!$AK$19,AP200-AQ200,IF(ENERGÍA!$B$56='Materiales Personalizados'!$AK$21,AP200-AQ200,IF(ENERGÍA!$B$56='Materiales Personalizados'!$AK$9,AP200-AQ200,IF(ENERGÍA!$B$56='Materiales Personalizados'!$AK$11,AP200-AQ200,IF(ENERGÍA!$B$56='Materiales Personalizados'!$AK$13,AP200-AQ200,0)))))))</f>
        <v>0</v>
      </c>
      <c r="AT200" s="650"/>
      <c r="AU200" s="650">
        <f>IF(ENERGÍA!I130="-",0,IF(ENERGÍA!I130="A",1,IF(ENERGÍA!I130="B",2,IF(ENERGÍA!I130="C",3,IF(ENERGÍA!J130="D",4,5)))))</f>
        <v>5</v>
      </c>
    </row>
    <row r="201" spans="2:49" ht="18" thickBot="1">
      <c r="B201" s="264"/>
      <c r="J201" s="577"/>
      <c r="K201" s="576" t="s">
        <v>414</v>
      </c>
      <c r="L201" s="576">
        <v>400</v>
      </c>
      <c r="M201" s="576">
        <v>0.1</v>
      </c>
      <c r="AO201" s="650" t="str">
        <f>ENERGÍA!B131</f>
        <v>Ventanas tipo 4:</v>
      </c>
      <c r="AP201" s="575">
        <f>IF(ENERGÍA!X131&gt;1,1,0)</f>
        <v>0</v>
      </c>
      <c r="AQ201" s="575">
        <f>IF(AP201=1,IF(ENERGÍA!L131=$AG$65,0,1),0)</f>
        <v>0</v>
      </c>
      <c r="AR201" s="575">
        <f t="shared" si="93"/>
        <v>0</v>
      </c>
      <c r="AS201" s="575">
        <f>IF(ENERGÍA!$B$56='Materiales Personalizados'!$AK$7,AP201-AQ201,IF(ENERGÍA!$B$56='Materiales Personalizados'!$AK$17,AP201-AQ201,IF(ENERGÍA!$B$56='Materiales Personalizados'!$AK$19,AP201-AQ201,IF(ENERGÍA!$B$56='Materiales Personalizados'!$AK$21,AP201-AQ201,IF(ENERGÍA!$B$56='Materiales Personalizados'!$AK$9,AP201-AQ201,IF(ENERGÍA!$B$56='Materiales Personalizados'!$AK$11,AP201-AQ201,IF(ENERGÍA!$B$56='Materiales Personalizados'!$AK$13,AP201-AQ201,0)))))))</f>
        <v>0</v>
      </c>
      <c r="AT201" s="650"/>
      <c r="AU201" s="650">
        <f>IF(ENERGÍA!I131="-",0,IF(ENERGÍA!I131="A",1,IF(ENERGÍA!I131="B",2,IF(ENERGÍA!I131="C",3,IF(ENERGÍA!J131="D",4,5)))))</f>
        <v>5</v>
      </c>
    </row>
    <row r="202" spans="2:49" ht="18" thickBot="1">
      <c r="B202" s="264"/>
      <c r="J202" s="577"/>
      <c r="K202" s="576" t="s">
        <v>415</v>
      </c>
      <c r="L202" s="576">
        <v>500</v>
      </c>
      <c r="M202" s="576">
        <v>0.12</v>
      </c>
      <c r="AO202" s="650" t="str">
        <f>ENERGÍA!B132</f>
        <v>Ventanas tipo 5:</v>
      </c>
      <c r="AP202" s="575">
        <f>IF(ENERGÍA!X132&gt;1,1,0)</f>
        <v>0</v>
      </c>
      <c r="AQ202" s="575">
        <f>IF(AP202=1,IF(ENERGÍA!L132=$AG$65,0,1),0)</f>
        <v>0</v>
      </c>
      <c r="AR202" s="575">
        <f t="shared" si="93"/>
        <v>0</v>
      </c>
      <c r="AS202" s="575">
        <f>IF(ENERGÍA!$B$56='Materiales Personalizados'!$AK$7,AP202-AQ202,IF(ENERGÍA!$B$56='Materiales Personalizados'!$AK$17,AP202-AQ202,IF(ENERGÍA!$B$56='Materiales Personalizados'!$AK$19,AP202-AQ202,IF(ENERGÍA!$B$56='Materiales Personalizados'!$AK$21,AP202-AQ202,IF(ENERGÍA!$B$56='Materiales Personalizados'!$AK$9,AP202-AQ202,IF(ENERGÍA!$B$56='Materiales Personalizados'!$AK$11,AP202-AQ202,IF(ENERGÍA!$B$56='Materiales Personalizados'!$AK$13,AP202-AQ202,0)))))))</f>
        <v>0</v>
      </c>
      <c r="AT202" s="650"/>
      <c r="AU202" s="650">
        <f>IF(ENERGÍA!I132="-",0,IF(ENERGÍA!I132="A",1,IF(ENERGÍA!I132="B",2,IF(ENERGÍA!I132="C",3,IF(ENERGÍA!J132="D",4,5)))))</f>
        <v>5</v>
      </c>
    </row>
    <row r="203" spans="2:49" ht="18" thickBot="1">
      <c r="B203" s="264"/>
      <c r="J203" s="577"/>
      <c r="K203" s="576" t="s">
        <v>416</v>
      </c>
      <c r="L203" s="576">
        <v>600</v>
      </c>
      <c r="M203" s="576">
        <v>0.14000000000000001</v>
      </c>
      <c r="AO203" s="650" t="str">
        <f>ENERGÍA!B133</f>
        <v>Ventanas tipo 6:</v>
      </c>
      <c r="AP203" s="575">
        <f>IF(ENERGÍA!X133&gt;1,1,0)</f>
        <v>0</v>
      </c>
      <c r="AQ203" s="575">
        <f>IF(AP203=1,IF(ENERGÍA!L133=$AG$65,0,1),0)</f>
        <v>0</v>
      </c>
      <c r="AR203" s="575">
        <f t="shared" si="93"/>
        <v>0</v>
      </c>
      <c r="AS203" s="575">
        <f>IF(ENERGÍA!$B$56='Materiales Personalizados'!$AK$7,AP203-AQ203,IF(ENERGÍA!$B$56='Materiales Personalizados'!$AK$17,AP203-AQ203,IF(ENERGÍA!$B$56='Materiales Personalizados'!$AK$19,AP203-AQ203,IF(ENERGÍA!$B$56='Materiales Personalizados'!$AK$21,AP203-AQ203,IF(ENERGÍA!$B$56='Materiales Personalizados'!$AK$9,AP203-AQ203,IF(ENERGÍA!$B$56='Materiales Personalizados'!$AK$11,AP203-AQ203,IF(ENERGÍA!$B$56='Materiales Personalizados'!$AK$13,AP203-AQ203,0)))))))</f>
        <v>0</v>
      </c>
      <c r="AT203" s="650"/>
      <c r="AU203" s="650">
        <f>IF(ENERGÍA!I133="-",0,IF(ENERGÍA!I133="A",1,IF(ENERGÍA!I133="B",2,IF(ENERGÍA!I133="C",3,IF(ENERGÍA!J133="D",4,5)))))</f>
        <v>5</v>
      </c>
    </row>
    <row r="204" spans="2:49" ht="18" thickBot="1">
      <c r="B204" s="264"/>
      <c r="J204" s="577"/>
      <c r="K204" s="576" t="s">
        <v>417</v>
      </c>
      <c r="L204" s="576">
        <v>700</v>
      </c>
      <c r="M204" s="576">
        <v>0.18</v>
      </c>
      <c r="AO204" s="650" t="str">
        <f>ENERGÍA!B134</f>
        <v>Ventanas tipo 7:</v>
      </c>
      <c r="AP204" s="575">
        <f>IF(ENERGÍA!X134&gt;1,1,0)</f>
        <v>0</v>
      </c>
      <c r="AQ204" s="575">
        <f>IF(AP204=1,IF(ENERGÍA!L134=$AG$65,0,1),0)</f>
        <v>0</v>
      </c>
      <c r="AR204" s="575">
        <f t="shared" si="93"/>
        <v>0</v>
      </c>
      <c r="AS204" s="575">
        <f>IF(ENERGÍA!$B$56='Materiales Personalizados'!$AK$7,AP204-AQ204,IF(ENERGÍA!$B$56='Materiales Personalizados'!$AK$17,AP204-AQ204,IF(ENERGÍA!$B$56='Materiales Personalizados'!$AK$19,AP204-AQ204,IF(ENERGÍA!$B$56='Materiales Personalizados'!$AK$21,AP204-AQ204,IF(ENERGÍA!$B$56='Materiales Personalizados'!$AK$9,AP204-AQ204,IF(ENERGÍA!$B$56='Materiales Personalizados'!$AK$11,AP204-AQ204,IF(ENERGÍA!$B$56='Materiales Personalizados'!$AK$13,AP204-AQ204,0)))))))</f>
        <v>0</v>
      </c>
      <c r="AT204" s="650"/>
      <c r="AU204" s="650">
        <f>IF(ENERGÍA!I134="-",0,IF(ENERGÍA!I134="A",1,IF(ENERGÍA!I134="B",2,IF(ENERGÍA!I134="C",3,IF(ENERGÍA!J134="D",4,5)))))</f>
        <v>5</v>
      </c>
    </row>
    <row r="205" spans="2:49" ht="18" thickBot="1">
      <c r="B205" s="264"/>
      <c r="J205" s="577"/>
      <c r="K205" s="576" t="s">
        <v>1761</v>
      </c>
      <c r="L205" s="576">
        <v>70</v>
      </c>
      <c r="M205" s="576">
        <v>5.3999999999999999E-2</v>
      </c>
      <c r="AO205" s="650" t="str">
        <f>ENERGÍA!B135</f>
        <v>Ventanas tipo 8:</v>
      </c>
      <c r="AP205" s="575">
        <f>IF(ENERGÍA!X135&gt;1,1,0)</f>
        <v>0</v>
      </c>
      <c r="AQ205" s="575">
        <f>IF(AP205=1,IF(ENERGÍA!L135=$AG$65,0,1),0)</f>
        <v>0</v>
      </c>
      <c r="AR205" s="575">
        <f t="shared" si="93"/>
        <v>0</v>
      </c>
      <c r="AS205" s="575">
        <f>IF(ENERGÍA!$B$56='Materiales Personalizados'!$AK$7,AP205-AQ205,IF(ENERGÍA!$B$56='Materiales Personalizados'!$AK$17,AP205-AQ205,IF(ENERGÍA!$B$56='Materiales Personalizados'!$AK$19,AP205-AQ205,IF(ENERGÍA!$B$56='Materiales Personalizados'!$AK$21,AP205-AQ205,IF(ENERGÍA!$B$56='Materiales Personalizados'!$AK$9,AP205-AQ205,IF(ENERGÍA!$B$56='Materiales Personalizados'!$AK$11,AP205-AQ205,IF(ENERGÍA!$B$56='Materiales Personalizados'!$AK$13,AP205-AQ205,0)))))))</f>
        <v>0</v>
      </c>
      <c r="AT205" s="650"/>
      <c r="AU205" s="650">
        <f>IF(ENERGÍA!I135="-",0,IF(ENERGÍA!I135="A",1,IF(ENERGÍA!I135="B",2,IF(ENERGÍA!I135="C",3,IF(ENERGÍA!J135="D",4,5)))))</f>
        <v>5</v>
      </c>
    </row>
    <row r="206" spans="2:49" ht="35" thickBot="1">
      <c r="B206" s="264"/>
      <c r="J206" s="577" t="str">
        <f>K433</f>
        <v>Aislantes_Plasticos</v>
      </c>
      <c r="K206" s="576" t="s">
        <v>423</v>
      </c>
      <c r="L206" s="576">
        <v>15</v>
      </c>
      <c r="M206" s="576">
        <v>3.6999999999999998E-2</v>
      </c>
      <c r="AO206" s="650" t="str">
        <f>ENERGÍA!B136</f>
        <v>Material Personalizado:</v>
      </c>
      <c r="AP206" s="575">
        <f>IF(ENERGÍA!X136&gt;1,1,0)</f>
        <v>0</v>
      </c>
      <c r="AQ206" s="575">
        <f>IF(AP206=1,IF(ENERGÍA!L136=$AG$65,0,1),0)</f>
        <v>0</v>
      </c>
      <c r="AR206" s="575">
        <f t="shared" si="93"/>
        <v>0</v>
      </c>
      <c r="AS206" s="575">
        <f>IF(ENERGÍA!$B$56='Materiales Personalizados'!$AK$7,AP206-AQ206,IF(ENERGÍA!$B$56='Materiales Personalizados'!$AK$17,AP206-AQ206,IF(ENERGÍA!$B$56='Materiales Personalizados'!$AK$19,AP206-AQ206,IF(ENERGÍA!$B$56='Materiales Personalizados'!$AK$21,AP206-AQ206,IF(ENERGÍA!$B$56='Materiales Personalizados'!$AK$9,AP206-AQ206,IF(ENERGÍA!$B$56='Materiales Personalizados'!$AK$11,AP206-AQ206,IF(ENERGÍA!$B$56='Materiales Personalizados'!$AK$13,AP206-AQ206,0)))))))</f>
        <v>0</v>
      </c>
      <c r="AT206" s="650"/>
      <c r="AU206" s="650">
        <f>IF(ENERGÍA!I136="-",0,IF(ENERGÍA!I136="A",1,IF(ENERGÍA!I136="B",2,IF(ENERGÍA!I136="C",3,IF(ENERGÍA!J136="D",4,5)))))</f>
        <v>5</v>
      </c>
    </row>
    <row r="207" spans="2:49" ht="35" thickBot="1">
      <c r="K207" s="576" t="s">
        <v>255</v>
      </c>
      <c r="L207" s="576">
        <v>20</v>
      </c>
      <c r="M207" s="576">
        <v>3.5000000000000003E-2</v>
      </c>
      <c r="AO207" s="650" t="str">
        <f>ENERGÍA!B137</f>
        <v>Material Personalizado:</v>
      </c>
      <c r="AP207" s="575">
        <f>IF(ENERGÍA!X137&gt;1,1,0)</f>
        <v>0</v>
      </c>
      <c r="AQ207" s="575">
        <f>IF(AP207=1,IF(ENERGÍA!L137=$AG$65,0,1),0)</f>
        <v>0</v>
      </c>
      <c r="AR207" s="575">
        <f t="shared" si="93"/>
        <v>0</v>
      </c>
      <c r="AS207" s="575">
        <f>IF(ENERGÍA!$B$56='Materiales Personalizados'!$AK$7,AP207-AQ207,IF(ENERGÍA!$B$56='Materiales Personalizados'!$AK$17,AP207-AQ207,IF(ENERGÍA!$B$56='Materiales Personalizados'!$AK$19,AP207-AQ207,IF(ENERGÍA!$B$56='Materiales Personalizados'!$AK$21,AP207-AQ207,IF(ENERGÍA!$B$56='Materiales Personalizados'!$AK$9,AP207-AQ207,IF(ENERGÍA!$B$56='Materiales Personalizados'!$AK$11,AP207-AQ207,IF(ENERGÍA!$B$56='Materiales Personalizados'!$AK$13,AP207-AQ207,0)))))))</f>
        <v>0</v>
      </c>
      <c r="AT207" s="650"/>
      <c r="AU207" s="650">
        <f>IF(ENERGÍA!I137="-",0,IF(ENERGÍA!I137="A",1,IF(ENERGÍA!I137="B",2,IF(ENERGÍA!I137="C",3,IF(ENERGÍA!J137="D",4,5)))))</f>
        <v>5</v>
      </c>
    </row>
    <row r="208" spans="2:49" thickBot="1">
      <c r="K208" s="576" t="s">
        <v>424</v>
      </c>
      <c r="L208" s="576">
        <v>25</v>
      </c>
      <c r="M208" s="576">
        <v>3.3000000000000002E-2</v>
      </c>
      <c r="AO208" s="650"/>
      <c r="AP208" s="575"/>
      <c r="AQ208" s="575"/>
      <c r="AR208" s="575"/>
      <c r="AS208" s="575"/>
      <c r="AT208" s="575"/>
      <c r="AU208" s="575"/>
      <c r="AV208" s="575"/>
      <c r="AW208" s="575"/>
    </row>
    <row r="209" spans="2:49" thickBot="1">
      <c r="K209" s="576" t="s">
        <v>425</v>
      </c>
      <c r="L209" s="576">
        <v>30</v>
      </c>
      <c r="M209" s="576">
        <v>3.2000000000000001E-2</v>
      </c>
      <c r="AO209" s="650"/>
      <c r="AP209" s="575"/>
      <c r="AQ209" s="575"/>
      <c r="AR209" s="575"/>
      <c r="AS209" s="575"/>
      <c r="AT209" s="575"/>
      <c r="AU209" s="575"/>
      <c r="AV209" s="575"/>
      <c r="AW209" s="575"/>
    </row>
    <row r="210" spans="2:49" thickBot="1">
      <c r="K210" s="576" t="s">
        <v>426</v>
      </c>
      <c r="L210" s="576">
        <v>30</v>
      </c>
      <c r="M210" s="576">
        <v>2.4E-2</v>
      </c>
      <c r="AO210" s="650"/>
      <c r="AP210" s="575"/>
      <c r="AQ210" s="575"/>
      <c r="AR210" s="575"/>
      <c r="AS210" s="575"/>
      <c r="AT210" s="575"/>
      <c r="AU210" s="575"/>
      <c r="AV210" s="575"/>
      <c r="AW210" s="575"/>
    </row>
    <row r="211" spans="2:49" thickBot="1">
      <c r="K211" s="576" t="s">
        <v>427</v>
      </c>
      <c r="L211" s="576">
        <v>60</v>
      </c>
      <c r="M211" s="576">
        <v>2.1999999999999999E-2</v>
      </c>
      <c r="AO211" s="650"/>
      <c r="AP211" s="575"/>
      <c r="AQ211" s="575"/>
      <c r="AR211" s="575"/>
      <c r="AS211" s="575"/>
      <c r="AT211" s="575"/>
      <c r="AU211" s="575"/>
      <c r="AV211" s="575"/>
      <c r="AW211" s="575"/>
    </row>
    <row r="212" spans="2:49" thickBot="1">
      <c r="K212" s="576" t="s">
        <v>428</v>
      </c>
      <c r="L212" s="576">
        <v>45</v>
      </c>
      <c r="M212" s="576">
        <v>2.7E-2</v>
      </c>
      <c r="AO212" s="650"/>
      <c r="AP212" s="575"/>
      <c r="AQ212" s="575"/>
      <c r="AR212" s="575"/>
      <c r="AS212" s="575"/>
      <c r="AT212" s="575"/>
      <c r="AU212" s="575"/>
      <c r="AV212" s="575"/>
      <c r="AW212" s="575"/>
    </row>
    <row r="213" spans="2:49" thickBot="1">
      <c r="J213" s="577"/>
      <c r="K213" s="576" t="s">
        <v>430</v>
      </c>
      <c r="L213" s="576">
        <v>45</v>
      </c>
      <c r="M213" s="576">
        <v>2.4E-2</v>
      </c>
      <c r="AO213" s="650"/>
      <c r="AP213" s="575"/>
      <c r="AQ213" s="575"/>
      <c r="AR213" s="575"/>
      <c r="AS213" s="575"/>
      <c r="AT213" s="575"/>
      <c r="AU213" s="575"/>
      <c r="AV213" s="575"/>
      <c r="AW213" s="575"/>
    </row>
    <row r="214" spans="2:49" thickBot="1">
      <c r="J214" s="577"/>
      <c r="K214" s="576" t="s">
        <v>429</v>
      </c>
      <c r="L214" s="576">
        <v>45</v>
      </c>
      <c r="M214" s="576">
        <v>2.1999999999999999E-2</v>
      </c>
      <c r="AO214" s="650"/>
      <c r="AP214" s="575"/>
      <c r="AQ214" s="575"/>
      <c r="AR214" s="575"/>
      <c r="AS214" s="575"/>
      <c r="AT214" s="575"/>
      <c r="AU214" s="575"/>
      <c r="AV214" s="575"/>
      <c r="AW214" s="575"/>
    </row>
    <row r="215" spans="2:49" thickBot="1">
      <c r="J215" s="577"/>
      <c r="K215" s="576" t="s">
        <v>431</v>
      </c>
      <c r="M215" s="576">
        <v>5.0999999999999997E-2</v>
      </c>
      <c r="AO215" s="650"/>
      <c r="AP215" s="575"/>
      <c r="AQ215" s="575"/>
      <c r="AR215" s="575"/>
      <c r="AS215" s="575"/>
      <c r="AT215" s="575"/>
      <c r="AU215" s="575"/>
      <c r="AV215" s="575"/>
      <c r="AW215" s="575"/>
    </row>
    <row r="216" spans="2:49" ht="18" thickBot="1">
      <c r="B216" s="264"/>
      <c r="J216" s="577" t="str">
        <f>K434</f>
        <v>Aislantes</v>
      </c>
      <c r="K216" s="576" t="s">
        <v>445</v>
      </c>
      <c r="L216" s="576">
        <v>900</v>
      </c>
      <c r="M216" s="576">
        <v>0.28999999999999998</v>
      </c>
      <c r="AO216" s="650" t="str">
        <f>ENERGÍA!B146</f>
        <v>Ventanas tipo 1:</v>
      </c>
      <c r="AP216" s="575">
        <f>IF(ENERGÍA!X146&gt;1,1,0)</f>
        <v>0</v>
      </c>
      <c r="AQ216" s="575">
        <f>IF(AP216=1,IF(ENERGÍA!L146=$AG$65,0,1),0)</f>
        <v>0</v>
      </c>
      <c r="AR216" s="575">
        <f t="shared" si="93"/>
        <v>0</v>
      </c>
      <c r="AS216" s="575">
        <f>IF(ENERGÍA!$B$56='Materiales Personalizados'!$AK$7,AP216-AQ216,IF(ENERGÍA!$B$56='Materiales Personalizados'!$AK$17,AP216-AQ216,IF(ENERGÍA!$B$56='Materiales Personalizados'!$AK$19,AP216-AQ216,IF(ENERGÍA!$B$56='Materiales Personalizados'!$AK$21,AP216-AQ216,IF(ENERGÍA!$B$56='Materiales Personalizados'!$AK$9,AP216-AQ216,IF(ENERGÍA!$B$56='Materiales Personalizados'!$AK$11,AP216-AQ216,IF(ENERGÍA!$B$56='Materiales Personalizados'!$AK$13,AP216-AQ216,0)))))))</f>
        <v>0</v>
      </c>
      <c r="AT216" s="650"/>
      <c r="AU216" s="650">
        <f>IF(ENERGÍA!I146="-",0,IF(ENERGÍA!I146="A",1,IF(ENERGÍA!I146="B",2,IF(ENERGÍA!I146="C",3,IF(ENERGÍA!J146="D",4,5)))))</f>
        <v>5</v>
      </c>
    </row>
    <row r="217" spans="2:49" ht="18" thickBot="1">
      <c r="B217" s="264"/>
      <c r="K217" s="576" t="s">
        <v>446</v>
      </c>
      <c r="L217" s="576">
        <v>1000</v>
      </c>
      <c r="M217" s="576">
        <v>0.34</v>
      </c>
      <c r="AO217" s="650" t="str">
        <f>ENERGÍA!B147</f>
        <v>Ventanas tipo 2:</v>
      </c>
      <c r="AP217" s="575">
        <f>IF(ENERGÍA!X147&gt;1,1,0)</f>
        <v>0</v>
      </c>
      <c r="AQ217" s="575">
        <f>IF(AP217=1,IF(ENERGÍA!L147=$AG$65,0,1),0)</f>
        <v>0</v>
      </c>
      <c r="AR217" s="575">
        <f t="shared" si="93"/>
        <v>0</v>
      </c>
      <c r="AS217" s="575">
        <f>IF(ENERGÍA!$B$56='Materiales Personalizados'!$AK$7,AP217-AQ217,IF(ENERGÍA!$B$56='Materiales Personalizados'!$AK$17,AP217-AQ217,IF(ENERGÍA!$B$56='Materiales Personalizados'!$AK$19,AP217-AQ217,IF(ENERGÍA!$B$56='Materiales Personalizados'!$AK$21,AP217-AQ217,IF(ENERGÍA!$B$56='Materiales Personalizados'!$AK$9,AP217-AQ217,IF(ENERGÍA!$B$56='Materiales Personalizados'!$AK$11,AP217-AQ217,IF(ENERGÍA!$B$56='Materiales Personalizados'!$AK$13,AP217-AQ217,0)))))))</f>
        <v>0</v>
      </c>
      <c r="AT217" s="650"/>
      <c r="AU217" s="650">
        <f>IF(ENERGÍA!I147="-",0,IF(ENERGÍA!I147="A",1,IF(ENERGÍA!I147="B",2,IF(ENERGÍA!I147="C",3,IF(ENERGÍA!J147="D",4,5)))))</f>
        <v>5</v>
      </c>
    </row>
    <row r="218" spans="2:49" ht="18" thickBot="1">
      <c r="B218" s="264"/>
      <c r="K218" s="576" t="s">
        <v>439</v>
      </c>
      <c r="L218" s="576">
        <v>200</v>
      </c>
      <c r="M218" s="576">
        <v>0.11</v>
      </c>
      <c r="AO218" s="650" t="str">
        <f>ENERGÍA!B148</f>
        <v>Ventanas tipo 3:</v>
      </c>
      <c r="AP218" s="575">
        <f>IF(ENERGÍA!X148&gt;1,1,0)</f>
        <v>0</v>
      </c>
      <c r="AQ218" s="575">
        <f>IF(AP218=1,IF(ENERGÍA!L148=$AG$65,0,1),0)</f>
        <v>0</v>
      </c>
      <c r="AR218" s="575">
        <f t="shared" si="93"/>
        <v>0</v>
      </c>
      <c r="AS218" s="575">
        <f>IF(ENERGÍA!$B$56='Materiales Personalizados'!$AK$7,AP218-AQ218,IF(ENERGÍA!$B$56='Materiales Personalizados'!$AK$17,AP218-AQ218,IF(ENERGÍA!$B$56='Materiales Personalizados'!$AK$19,AP218-AQ218,IF(ENERGÍA!$B$56='Materiales Personalizados'!$AK$21,AP218-AQ218,IF(ENERGÍA!$B$56='Materiales Personalizados'!$AK$9,AP218-AQ218,IF(ENERGÍA!$B$56='Materiales Personalizados'!$AK$11,AP218-AQ218,IF(ENERGÍA!$B$56='Materiales Personalizados'!$AK$13,AP218-AQ218,0)))))))</f>
        <v>0</v>
      </c>
      <c r="AT218" s="650"/>
      <c r="AU218" s="650">
        <f>IF(ENERGÍA!I148="-",0,IF(ENERGÍA!I148="A",1,IF(ENERGÍA!I148="B",2,IF(ENERGÍA!I148="C",3,IF(ENERGÍA!J148="D",4,5)))))</f>
        <v>5</v>
      </c>
    </row>
    <row r="219" spans="2:49" ht="18" thickBot="1">
      <c r="B219" s="264"/>
      <c r="K219" s="576" t="s">
        <v>440</v>
      </c>
      <c r="L219" s="576">
        <v>400</v>
      </c>
      <c r="M219" s="576">
        <v>0.13</v>
      </c>
      <c r="AO219" s="650" t="str">
        <f>ENERGÍA!B149</f>
        <v>Ventanas tipo 4:</v>
      </c>
      <c r="AP219" s="575">
        <f>IF(ENERGÍA!X149&gt;1,1,0)</f>
        <v>0</v>
      </c>
      <c r="AQ219" s="575">
        <f>IF(AP219=1,IF(ENERGÍA!L149=$AG$65,0,1),0)</f>
        <v>0</v>
      </c>
      <c r="AR219" s="575">
        <f t="shared" si="93"/>
        <v>0</v>
      </c>
      <c r="AS219" s="575">
        <f>IF(ENERGÍA!$B$56='Materiales Personalizados'!$AK$7,AP219-AQ219,IF(ENERGÍA!$B$56='Materiales Personalizados'!$AK$17,AP219-AQ219,IF(ENERGÍA!$B$56='Materiales Personalizados'!$AK$19,AP219-AQ219,IF(ENERGÍA!$B$56='Materiales Personalizados'!$AK$21,AP219-AQ219,IF(ENERGÍA!$B$56='Materiales Personalizados'!$AK$9,AP219-AQ219,IF(ENERGÍA!$B$56='Materiales Personalizados'!$AK$11,AP219-AQ219,IF(ENERGÍA!$B$56='Materiales Personalizados'!$AK$13,AP219-AQ219,0)))))))</f>
        <v>0</v>
      </c>
      <c r="AT219" s="650"/>
      <c r="AU219" s="650">
        <f>IF(ENERGÍA!I149="-",0,IF(ENERGÍA!I149="A",1,IF(ENERGÍA!I149="B",2,IF(ENERGÍA!I149="C",3,IF(ENERGÍA!J149="D",4,5)))))</f>
        <v>5</v>
      </c>
    </row>
    <row r="220" spans="2:49" ht="18" thickBot="1">
      <c r="B220" s="264"/>
      <c r="K220" s="576" t="s">
        <v>441</v>
      </c>
      <c r="L220" s="576">
        <v>500</v>
      </c>
      <c r="M220" s="576">
        <v>0.15</v>
      </c>
      <c r="AO220" s="650" t="str">
        <f>ENERGÍA!B150</f>
        <v>Ventanas tipo 5:</v>
      </c>
      <c r="AP220" s="575">
        <f>IF(ENERGÍA!X150&gt;1,1,0)</f>
        <v>0</v>
      </c>
      <c r="AQ220" s="575">
        <f>IF(AP220=1,IF(ENERGÍA!L150=$AG$65,0,1),0)</f>
        <v>0</v>
      </c>
      <c r="AR220" s="575">
        <f t="shared" si="93"/>
        <v>0</v>
      </c>
      <c r="AS220" s="575">
        <f>IF(ENERGÍA!$B$56='Materiales Personalizados'!$AK$7,AP220-AQ220,IF(ENERGÍA!$B$56='Materiales Personalizados'!$AK$17,AP220-AQ220,IF(ENERGÍA!$B$56='Materiales Personalizados'!$AK$19,AP220-AQ220,IF(ENERGÍA!$B$56='Materiales Personalizados'!$AK$21,AP220-AQ220,IF(ENERGÍA!$B$56='Materiales Personalizados'!$AK$9,AP220-AQ220,IF(ENERGÍA!$B$56='Materiales Personalizados'!$AK$11,AP220-AQ220,IF(ENERGÍA!$B$56='Materiales Personalizados'!$AK$13,AP220-AQ220,0)))))))</f>
        <v>0</v>
      </c>
      <c r="AT220" s="650"/>
      <c r="AU220" s="650">
        <f>IF(ENERGÍA!I150="-",0,IF(ENERGÍA!I150="A",1,IF(ENERGÍA!I150="B",2,IF(ENERGÍA!I150="C",3,IF(ENERGÍA!J150="D",4,5)))))</f>
        <v>5</v>
      </c>
    </row>
    <row r="221" spans="2:49" ht="18" thickBot="1">
      <c r="B221" s="264"/>
      <c r="K221" s="576" t="s">
        <v>442</v>
      </c>
      <c r="L221" s="576">
        <v>600</v>
      </c>
      <c r="M221" s="576">
        <v>0.19</v>
      </c>
      <c r="AO221" s="650" t="str">
        <f>ENERGÍA!B151</f>
        <v>Ventanas tipo 6:</v>
      </c>
      <c r="AP221" s="575">
        <f>IF(ENERGÍA!X151&gt;1,1,0)</f>
        <v>0</v>
      </c>
      <c r="AQ221" s="575">
        <f>IF(AP221=1,IF(ENERGÍA!L151=$AG$65,0,1),0)</f>
        <v>0</v>
      </c>
      <c r="AR221" s="575">
        <f t="shared" si="93"/>
        <v>0</v>
      </c>
      <c r="AS221" s="575">
        <f>IF(ENERGÍA!$B$56='Materiales Personalizados'!$AK$7,AP221-AQ221,IF(ENERGÍA!$B$56='Materiales Personalizados'!$AK$17,AP221-AQ221,IF(ENERGÍA!$B$56='Materiales Personalizados'!$AK$19,AP221-AQ221,IF(ENERGÍA!$B$56='Materiales Personalizados'!$AK$21,AP221-AQ221,IF(ENERGÍA!$B$56='Materiales Personalizados'!$AK$9,AP221-AQ221,IF(ENERGÍA!$B$56='Materiales Personalizados'!$AK$11,AP221-AQ221,IF(ENERGÍA!$B$56='Materiales Personalizados'!$AK$13,AP221-AQ221,0)))))))</f>
        <v>0</v>
      </c>
      <c r="AT221" s="650"/>
      <c r="AU221" s="650">
        <f>IF(ENERGÍA!I151="-",0,IF(ENERGÍA!I151="A",1,IF(ENERGÍA!I151="B",2,IF(ENERGÍA!I151="C",3,IF(ENERGÍA!J151="D",4,5)))))</f>
        <v>5</v>
      </c>
    </row>
    <row r="222" spans="2:49" ht="18" thickBot="1">
      <c r="B222" s="264"/>
      <c r="J222" s="577"/>
      <c r="K222" s="576" t="s">
        <v>443</v>
      </c>
      <c r="L222" s="576">
        <v>700</v>
      </c>
      <c r="M222" s="576">
        <v>0.22</v>
      </c>
      <c r="AO222" s="650" t="str">
        <f>ENERGÍA!B152</f>
        <v>Ventanas tipo 7:</v>
      </c>
      <c r="AP222" s="575">
        <f>IF(ENERGÍA!X152&gt;1,1,0)</f>
        <v>0</v>
      </c>
      <c r="AQ222" s="575">
        <f>IF(AP222=1,IF(ENERGÍA!L152=$AG$65,0,1),0)</f>
        <v>0</v>
      </c>
      <c r="AR222" s="575">
        <f t="shared" si="93"/>
        <v>0</v>
      </c>
      <c r="AS222" s="575">
        <f>IF(ENERGÍA!$B$56='Materiales Personalizados'!$AK$7,AP222-AQ222,IF(ENERGÍA!$B$56='Materiales Personalizados'!$AK$17,AP222-AQ222,IF(ENERGÍA!$B$56='Materiales Personalizados'!$AK$19,AP222-AQ222,IF(ENERGÍA!$B$56='Materiales Personalizados'!$AK$21,AP222-AQ222,IF(ENERGÍA!$B$56='Materiales Personalizados'!$AK$9,AP222-AQ222,IF(ENERGÍA!$B$56='Materiales Personalizados'!$AK$11,AP222-AQ222,IF(ENERGÍA!$B$56='Materiales Personalizados'!$AK$13,AP222-AQ222,0)))))))</f>
        <v>0</v>
      </c>
      <c r="AT222" s="650"/>
      <c r="AU222" s="650">
        <f>IF(ENERGÍA!I152="-",0,IF(ENERGÍA!I152="A",1,IF(ENERGÍA!I152="B",2,IF(ENERGÍA!I152="C",3,IF(ENERGÍA!J152="D",4,5)))))</f>
        <v>5</v>
      </c>
    </row>
    <row r="223" spans="2:49" ht="18" thickBot="1">
      <c r="B223" s="264"/>
      <c r="J223" s="577"/>
      <c r="K223" s="576" t="s">
        <v>444</v>
      </c>
      <c r="L223" s="576">
        <v>800</v>
      </c>
      <c r="M223" s="576">
        <v>0.26</v>
      </c>
      <c r="AO223" s="650" t="str">
        <f>ENERGÍA!B153</f>
        <v>Ventanas tipo 8:</v>
      </c>
      <c r="AP223" s="575">
        <f>IF(ENERGÍA!X153&gt;1,1,0)</f>
        <v>0</v>
      </c>
      <c r="AQ223" s="575">
        <f>IF(AP223=1,IF(ENERGÍA!L153=$AG$65,0,1),0)</f>
        <v>0</v>
      </c>
      <c r="AR223" s="575">
        <f t="shared" si="93"/>
        <v>0</v>
      </c>
      <c r="AS223" s="575">
        <f>IF(ENERGÍA!$B$56='Materiales Personalizados'!$AK$7,AP223-AQ223,IF(ENERGÍA!$B$56='Materiales Personalizados'!$AK$17,AP223-AQ223,IF(ENERGÍA!$B$56='Materiales Personalizados'!$AK$19,AP223-AQ223,IF(ENERGÍA!$B$56='Materiales Personalizados'!$AK$21,AP223-AQ223,IF(ENERGÍA!$B$56='Materiales Personalizados'!$AK$9,AP223-AQ223,IF(ENERGÍA!$B$56='Materiales Personalizados'!$AK$11,AP223-AQ223,IF(ENERGÍA!$B$56='Materiales Personalizados'!$AK$13,AP223-AQ223,0)))))))</f>
        <v>0</v>
      </c>
      <c r="AT223" s="650"/>
      <c r="AU223" s="650">
        <f>IF(ENERGÍA!I153="-",0,IF(ENERGÍA!I153="A",1,IF(ENERGÍA!I153="B",2,IF(ENERGÍA!I153="C",3,IF(ENERGÍA!J153="D",4,5)))))</f>
        <v>5</v>
      </c>
    </row>
    <row r="224" spans="2:49" ht="35" thickBot="1">
      <c r="B224" s="264"/>
      <c r="J224" s="577"/>
      <c r="K224" s="576" t="s">
        <v>434</v>
      </c>
      <c r="L224" s="576">
        <v>400</v>
      </c>
      <c r="M224" s="576">
        <v>0.11</v>
      </c>
      <c r="AO224" s="650" t="str">
        <f>ENERGÍA!B154</f>
        <v>Material Personalizado:</v>
      </c>
      <c r="AP224" s="575">
        <f>IF(ENERGÍA!X154&gt;1,1,0)</f>
        <v>0</v>
      </c>
      <c r="AQ224" s="575">
        <f>IF(AP224=1,IF(ENERGÍA!L154=$AG$65,0,1),0)</f>
        <v>0</v>
      </c>
      <c r="AR224" s="575">
        <f t="shared" si="93"/>
        <v>0</v>
      </c>
      <c r="AS224" s="575">
        <f>IF(ENERGÍA!$B$56='Materiales Personalizados'!$AK$7,AP224-AQ224,IF(ENERGÍA!$B$56='Materiales Personalizados'!$AK$17,AP224-AQ224,IF(ENERGÍA!$B$56='Materiales Personalizados'!$AK$19,AP224-AQ224,IF(ENERGÍA!$B$56='Materiales Personalizados'!$AK$21,AP224-AQ224,IF(ENERGÍA!$B$56='Materiales Personalizados'!$AK$9,AP224-AQ224,IF(ENERGÍA!$B$56='Materiales Personalizados'!$AK$11,AP224-AQ224,IF(ENERGÍA!$B$56='Materiales Personalizados'!$AK$13,AP224-AQ224,0)))))))</f>
        <v>0</v>
      </c>
      <c r="AT224" s="650"/>
      <c r="AU224" s="650">
        <f>IF(ENERGÍA!I154="-",0,IF(ENERGÍA!I154="A",1,IF(ENERGÍA!I154="B",2,IF(ENERGÍA!I154="C",3,IF(ENERGÍA!J154="D",4,5)))))</f>
        <v>5</v>
      </c>
    </row>
    <row r="225" spans="2:50" ht="35" thickBot="1">
      <c r="B225" s="264"/>
      <c r="J225" s="577"/>
      <c r="K225" s="576" t="s">
        <v>435</v>
      </c>
      <c r="L225" s="576">
        <v>500</v>
      </c>
      <c r="M225" s="576">
        <v>0.13</v>
      </c>
      <c r="AO225" s="650" t="str">
        <f>ENERGÍA!B155</f>
        <v>Material Personalizado:</v>
      </c>
      <c r="AP225" s="575">
        <f>IF(ENERGÍA!X155&gt;1,1,0)</f>
        <v>0</v>
      </c>
      <c r="AQ225" s="575">
        <f>IF(AP225=1,IF(ENERGÍA!L155=$AG$65,0,1),0)</f>
        <v>0</v>
      </c>
      <c r="AR225" s="575">
        <f t="shared" si="93"/>
        <v>0</v>
      </c>
      <c r="AS225" s="575">
        <f>IF(ENERGÍA!$B$56='Materiales Personalizados'!$AK$7,AP225-AQ225,IF(ENERGÍA!$B$56='Materiales Personalizados'!$AK$17,AP225-AQ225,IF(ENERGÍA!$B$56='Materiales Personalizados'!$AK$19,AP225-AQ225,IF(ENERGÍA!$B$56='Materiales Personalizados'!$AK$21,AP225-AQ225,IF(ENERGÍA!$B$56='Materiales Personalizados'!$AK$9,AP225-AQ225,IF(ENERGÍA!$B$56='Materiales Personalizados'!$AK$11,AP225-AQ225,IF(ENERGÍA!$B$56='Materiales Personalizados'!$AK$13,AP225-AQ225,0)))))))</f>
        <v>0</v>
      </c>
      <c r="AT225" s="650"/>
      <c r="AU225" s="650">
        <f>IF(ENERGÍA!I155="-",0,IF(ENERGÍA!I155="A",1,IF(ENERGÍA!I155="B",2,IF(ENERGÍA!I155="C",3,IF(ENERGÍA!J155="D",4,5)))))</f>
        <v>5</v>
      </c>
    </row>
    <row r="226" spans="2:50" thickBot="1">
      <c r="B226" s="264"/>
      <c r="J226" s="577"/>
      <c r="K226" s="576" t="s">
        <v>436</v>
      </c>
      <c r="L226" s="576">
        <v>600</v>
      </c>
      <c r="M226" s="576">
        <v>0.17</v>
      </c>
      <c r="AO226" s="650"/>
      <c r="AP226" s="575"/>
      <c r="AQ226" s="575"/>
      <c r="AR226" s="575"/>
      <c r="AS226" s="575"/>
      <c r="AT226" s="575"/>
      <c r="AU226" s="575"/>
      <c r="AV226" s="575"/>
      <c r="AW226" s="575"/>
      <c r="AX226" s="575"/>
    </row>
    <row r="227" spans="2:50" thickBot="1">
      <c r="B227" s="264"/>
      <c r="J227" s="577"/>
      <c r="K227" s="576" t="s">
        <v>437</v>
      </c>
      <c r="L227" s="576">
        <v>700</v>
      </c>
      <c r="M227" s="576">
        <v>0.2</v>
      </c>
      <c r="AO227" s="650"/>
      <c r="AP227" s="575"/>
      <c r="AQ227" s="575"/>
      <c r="AR227" s="575"/>
      <c r="AS227" s="575"/>
      <c r="AT227" s="575"/>
      <c r="AU227" s="575"/>
      <c r="AV227" s="575"/>
      <c r="AW227" s="575"/>
      <c r="AX227" s="575"/>
    </row>
    <row r="228" spans="2:50" thickBot="1">
      <c r="B228" s="264"/>
      <c r="J228" s="577"/>
      <c r="K228" s="576" t="s">
        <v>438</v>
      </c>
      <c r="L228" s="576">
        <v>800</v>
      </c>
      <c r="M228" s="576">
        <v>0.24</v>
      </c>
      <c r="AO228" s="650"/>
      <c r="AP228" s="575"/>
      <c r="AQ228" s="575"/>
      <c r="AR228" s="575"/>
      <c r="AS228" s="575"/>
      <c r="AT228" s="575"/>
      <c r="AU228" s="575"/>
      <c r="AV228" s="575"/>
      <c r="AW228" s="575"/>
      <c r="AX228" s="575"/>
    </row>
    <row r="229" spans="2:50" thickBot="1">
      <c r="B229" s="264"/>
      <c r="J229" s="577"/>
      <c r="K229" s="576" t="s">
        <v>433</v>
      </c>
      <c r="L229" s="576">
        <v>100</v>
      </c>
      <c r="M229" s="576">
        <v>7.0000000000000007E-2</v>
      </c>
      <c r="AO229" s="650"/>
      <c r="AP229" s="575"/>
      <c r="AQ229" s="575"/>
      <c r="AR229" s="575"/>
      <c r="AS229" s="575"/>
      <c r="AT229" s="575"/>
      <c r="AU229" s="575"/>
      <c r="AV229" s="575"/>
      <c r="AW229" s="575"/>
      <c r="AX229" s="575"/>
    </row>
    <row r="230" spans="2:50" ht="18" thickBot="1">
      <c r="B230" s="264"/>
      <c r="J230" s="577" t="str">
        <f>K435</f>
        <v>Pinturas</v>
      </c>
      <c r="K230" s="576" t="s">
        <v>455</v>
      </c>
      <c r="L230" s="576">
        <v>1350</v>
      </c>
      <c r="M230" s="576">
        <v>0.16</v>
      </c>
      <c r="AO230" s="650"/>
      <c r="AP230" s="575"/>
      <c r="AQ230" s="575"/>
      <c r="AR230" s="575"/>
      <c r="AS230" s="575"/>
      <c r="AT230" s="575"/>
      <c r="AU230" s="575"/>
      <c r="AV230" s="575"/>
      <c r="AW230" s="575"/>
      <c r="AX230" s="575"/>
    </row>
    <row r="231" spans="2:50" thickBot="1">
      <c r="B231" s="264"/>
      <c r="K231" s="576" t="s">
        <v>450</v>
      </c>
      <c r="L231" s="576">
        <v>1000</v>
      </c>
      <c r="M231" s="576">
        <v>0.12</v>
      </c>
      <c r="AO231" s="650"/>
      <c r="AP231" s="575"/>
      <c r="AQ231" s="575"/>
      <c r="AR231" s="575"/>
      <c r="AS231" s="575"/>
      <c r="AT231" s="575"/>
      <c r="AU231" s="575"/>
      <c r="AV231" s="575"/>
      <c r="AW231" s="575"/>
      <c r="AX231" s="575"/>
    </row>
    <row r="232" spans="2:50" thickBot="1">
      <c r="B232" s="264"/>
      <c r="K232" s="576" t="s">
        <v>448</v>
      </c>
      <c r="L232" s="651">
        <v>1000</v>
      </c>
      <c r="M232" s="576">
        <v>0.8</v>
      </c>
      <c r="AO232" s="650"/>
      <c r="AP232" s="575"/>
      <c r="AQ232" s="575"/>
      <c r="AR232" s="575"/>
      <c r="AS232" s="575"/>
      <c r="AT232" s="575"/>
      <c r="AU232" s="575"/>
      <c r="AV232" s="575"/>
      <c r="AW232" s="575"/>
      <c r="AX232" s="575"/>
    </row>
    <row r="233" spans="2:50" thickBot="1">
      <c r="B233" s="264"/>
      <c r="K233" s="576" t="s">
        <v>451</v>
      </c>
      <c r="L233" s="651">
        <v>1200</v>
      </c>
      <c r="M233" s="576">
        <v>0.3</v>
      </c>
      <c r="AO233" s="650"/>
      <c r="AP233" s="575"/>
      <c r="AQ233" s="575"/>
      <c r="AR233" s="575"/>
      <c r="AS233" s="575"/>
      <c r="AT233" s="575"/>
      <c r="AU233" s="575"/>
      <c r="AV233" s="575"/>
      <c r="AW233" s="575"/>
      <c r="AX233" s="575"/>
    </row>
    <row r="234" spans="2:50" ht="18" thickBot="1">
      <c r="B234" s="264"/>
      <c r="K234" s="576" t="s">
        <v>449</v>
      </c>
      <c r="L234" s="651">
        <v>1200</v>
      </c>
      <c r="M234" s="576">
        <v>0.3</v>
      </c>
      <c r="AO234" s="650" t="str">
        <f>ENERGÍA!B164</f>
        <v>Ventanas tipo 1:</v>
      </c>
      <c r="AP234" s="575">
        <f>IF(ENERGÍA!X164&gt;1,1,0)</f>
        <v>0</v>
      </c>
      <c r="AQ234" s="575">
        <f>IF(AP234=1,IF(ENERGÍA!L164=$AG$65,0,1),0)</f>
        <v>0</v>
      </c>
      <c r="AR234" s="575">
        <f t="shared" si="93"/>
        <v>0</v>
      </c>
      <c r="AS234" s="575">
        <f>IF(ENERGÍA!$B$56='Materiales Personalizados'!$AK$7,AP234-AQ234,IF(ENERGÍA!$B$56='Materiales Personalizados'!$AK$17,AP234-AQ234,IF(ENERGÍA!$B$56='Materiales Personalizados'!$AK$19,AP234-AQ234,IF(ENERGÍA!$B$56='Materiales Personalizados'!$AK$21,AP234-AQ234,IF(ENERGÍA!$B$56='Materiales Personalizados'!$AK$9,AP234-AQ234,IF(ENERGÍA!$B$56='Materiales Personalizados'!$AK$11,AP234-AQ234,IF(ENERGÍA!$B$56='Materiales Personalizados'!$AK$13,AP234-AQ234,0)))))))</f>
        <v>0</v>
      </c>
      <c r="AT234" s="650"/>
      <c r="AU234" s="650">
        <f>IF(ENERGÍA!I164="-",0,IF(ENERGÍA!I164="A",1,IF(ENERGÍA!I164="B",2,IF(ENERGÍA!I164="C",3,IF(ENERGÍA!J164="D",4,5)))))</f>
        <v>5</v>
      </c>
    </row>
    <row r="235" spans="2:50" ht="18" thickBot="1">
      <c r="B235" s="264"/>
      <c r="J235" s="577"/>
      <c r="K235" s="576" t="s">
        <v>1762</v>
      </c>
      <c r="L235" s="651">
        <v>1200</v>
      </c>
      <c r="M235" s="576">
        <v>0.3</v>
      </c>
      <c r="AO235" s="650" t="str">
        <f>ENERGÍA!B165</f>
        <v>Ventanas tipo 2:</v>
      </c>
      <c r="AP235" s="575">
        <f>IF(ENERGÍA!X165&gt;1,1,0)</f>
        <v>0</v>
      </c>
      <c r="AQ235" s="575">
        <f>IF(AP235=1,IF(ENERGÍA!L165=$AG$65,0,1),0)</f>
        <v>0</v>
      </c>
      <c r="AR235" s="575">
        <f t="shared" si="93"/>
        <v>0</v>
      </c>
      <c r="AS235" s="575">
        <f>IF(ENERGÍA!$B$56='Materiales Personalizados'!$AK$7,AP235-AQ235,IF(ENERGÍA!$B$56='Materiales Personalizados'!$AK$17,AP235-AQ235,IF(ENERGÍA!$B$56='Materiales Personalizados'!$AK$19,AP235-AQ235,IF(ENERGÍA!$B$56='Materiales Personalizados'!$AK$21,AP235-AQ235,IF(ENERGÍA!$B$56='Materiales Personalizados'!$AK$9,AP235-AQ235,IF(ENERGÍA!$B$56='Materiales Personalizados'!$AK$11,AP235-AQ235,IF(ENERGÍA!$B$56='Materiales Personalizados'!$AK$13,AP235-AQ235,0)))))))</f>
        <v>0</v>
      </c>
      <c r="AT235" s="650"/>
      <c r="AU235" s="650">
        <f>IF(ENERGÍA!I165="-",0,IF(ENERGÍA!I165="A",1,IF(ENERGÍA!I165="B",2,IF(ENERGÍA!I165="C",3,IF(ENERGÍA!J165="D",4,5)))))</f>
        <v>5</v>
      </c>
    </row>
    <row r="236" spans="2:50" ht="18" thickBot="1">
      <c r="B236" s="264"/>
      <c r="J236" s="577"/>
      <c r="K236" s="576" t="s">
        <v>453</v>
      </c>
      <c r="L236" s="576">
        <v>1140</v>
      </c>
      <c r="M236" s="576">
        <v>0.2</v>
      </c>
      <c r="AO236" s="650" t="str">
        <f>ENERGÍA!B166</f>
        <v>Ventanas tipo 3:</v>
      </c>
      <c r="AP236" s="575">
        <f>IF(ENERGÍA!X166&gt;1,1,0)</f>
        <v>0</v>
      </c>
      <c r="AQ236" s="575">
        <f>IF(AP236=1,IF(ENERGÍA!L166=$AG$65,0,1),0)</f>
        <v>0</v>
      </c>
      <c r="AR236" s="575">
        <f t="shared" si="93"/>
        <v>0</v>
      </c>
      <c r="AS236" s="575">
        <f>IF(ENERGÍA!$B$56='Materiales Personalizados'!$AK$7,AP236-AQ236,IF(ENERGÍA!$B$56='Materiales Personalizados'!$AK$17,AP236-AQ236,IF(ENERGÍA!$B$56='Materiales Personalizados'!$AK$19,AP236-AQ236,IF(ENERGÍA!$B$56='Materiales Personalizados'!$AK$21,AP236-AQ236,IF(ENERGÍA!$B$56='Materiales Personalizados'!$AK$9,AP236-AQ236,IF(ENERGÍA!$B$56='Materiales Personalizados'!$AK$11,AP236-AQ236,IF(ENERGÍA!$B$56='Materiales Personalizados'!$AK$13,AP236-AQ236,0)))))))</f>
        <v>0</v>
      </c>
      <c r="AT236" s="650"/>
      <c r="AU236" s="650">
        <f>IF(ENERGÍA!I166="-",0,IF(ENERGÍA!I166="A",1,IF(ENERGÍA!I166="B",2,IF(ENERGÍA!I166="C",3,IF(ENERGÍA!J166="D",4,5)))))</f>
        <v>5</v>
      </c>
    </row>
    <row r="237" spans="2:50" ht="18" thickBot="1">
      <c r="B237" s="264"/>
      <c r="J237" s="577"/>
      <c r="K237" s="576" t="s">
        <v>452</v>
      </c>
      <c r="L237" s="651">
        <v>1200</v>
      </c>
      <c r="M237" s="576">
        <v>0.3</v>
      </c>
      <c r="AO237" s="650" t="str">
        <f>ENERGÍA!B167</f>
        <v>Ventanas tipo 4:</v>
      </c>
      <c r="AP237" s="575">
        <f>IF(ENERGÍA!X167&gt;1,1,0)</f>
        <v>0</v>
      </c>
      <c r="AQ237" s="575">
        <f>IF(AP237=1,IF(ENERGÍA!L167=$AG$65,0,1),0)</f>
        <v>0</v>
      </c>
      <c r="AR237" s="575">
        <f t="shared" si="93"/>
        <v>0</v>
      </c>
      <c r="AS237" s="575">
        <f>IF(ENERGÍA!$B$56='Materiales Personalizados'!$AK$7,AP237-AQ237,IF(ENERGÍA!$B$56='Materiales Personalizados'!$AK$17,AP237-AQ237,IF(ENERGÍA!$B$56='Materiales Personalizados'!$AK$19,AP237-AQ237,IF(ENERGÍA!$B$56='Materiales Personalizados'!$AK$21,AP237-AQ237,IF(ENERGÍA!$B$56='Materiales Personalizados'!$AK$9,AP237-AQ237,IF(ENERGÍA!$B$56='Materiales Personalizados'!$AK$11,AP237-AQ237,IF(ENERGÍA!$B$56='Materiales Personalizados'!$AK$13,AP237-AQ237,0)))))))</f>
        <v>0</v>
      </c>
      <c r="AT237" s="650"/>
      <c r="AU237" s="650">
        <f>IF(ENERGÍA!I167="-",0,IF(ENERGÍA!I167="A",1,IF(ENERGÍA!I167="B",2,IF(ENERGÍA!I167="C",3,IF(ENERGÍA!J167="D",4,5)))))</f>
        <v>5</v>
      </c>
    </row>
    <row r="238" spans="2:50" ht="18" thickBot="1">
      <c r="B238" s="264"/>
      <c r="J238" s="577"/>
      <c r="K238" s="576" t="s">
        <v>454</v>
      </c>
      <c r="L238" s="576">
        <v>1140</v>
      </c>
      <c r="M238" s="576">
        <v>0.2</v>
      </c>
      <c r="AO238" s="650" t="str">
        <f>ENERGÍA!B168</f>
        <v>Ventanas tipo 5:</v>
      </c>
      <c r="AP238" s="575">
        <f>IF(ENERGÍA!X168&gt;1,1,0)</f>
        <v>0</v>
      </c>
      <c r="AQ238" s="575">
        <f>IF(AP238=1,IF(ENERGÍA!L168=$AG$65,0,1),0)</f>
        <v>0</v>
      </c>
      <c r="AR238" s="575">
        <f t="shared" si="93"/>
        <v>0</v>
      </c>
      <c r="AS238" s="575">
        <f>IF(ENERGÍA!$B$56='Materiales Personalizados'!$AK$7,AP238-AQ238,IF(ENERGÍA!$B$56='Materiales Personalizados'!$AK$17,AP238-AQ238,IF(ENERGÍA!$B$56='Materiales Personalizados'!$AK$19,AP238-AQ238,IF(ENERGÍA!$B$56='Materiales Personalizados'!$AK$21,AP238-AQ238,IF(ENERGÍA!$B$56='Materiales Personalizados'!$AK$9,AP238-AQ238,IF(ENERGÍA!$B$56='Materiales Personalizados'!$AK$11,AP238-AQ238,IF(ENERGÍA!$B$56='Materiales Personalizados'!$AK$13,AP238-AQ238,0)))))))</f>
        <v>0</v>
      </c>
      <c r="AT238" s="650"/>
      <c r="AU238" s="650">
        <f>IF(ENERGÍA!I168="-",0,IF(ENERGÍA!I168="A",1,IF(ENERGÍA!I168="B",2,IF(ENERGÍA!I168="C",3,IF(ENERGÍA!J168="D",4,5)))))</f>
        <v>5</v>
      </c>
    </row>
    <row r="239" spans="2:50" ht="18" thickBot="1">
      <c r="B239" s="264"/>
      <c r="J239" s="577"/>
      <c r="K239" s="576" t="s">
        <v>456</v>
      </c>
      <c r="L239" s="576">
        <v>45</v>
      </c>
      <c r="M239" s="576">
        <v>0.02</v>
      </c>
      <c r="AO239" s="650" t="str">
        <f>ENERGÍA!B169</f>
        <v>Ventanas tipo 6:</v>
      </c>
      <c r="AP239" s="575">
        <f>IF(ENERGÍA!X169&gt;1,1,0)</f>
        <v>0</v>
      </c>
      <c r="AQ239" s="575">
        <f>IF(AP239=1,IF(ENERGÍA!L169=$AG$65,0,1),0)</f>
        <v>0</v>
      </c>
      <c r="AR239" s="575">
        <f t="shared" si="93"/>
        <v>0</v>
      </c>
      <c r="AS239" s="575">
        <f>IF(ENERGÍA!$B$56='Materiales Personalizados'!$AK$7,AP239-AQ239,IF(ENERGÍA!$B$56='Materiales Personalizados'!$AK$17,AP239-AQ239,IF(ENERGÍA!$B$56='Materiales Personalizados'!$AK$19,AP239-AQ239,IF(ENERGÍA!$B$56='Materiales Personalizados'!$AK$21,AP239-AQ239,IF(ENERGÍA!$B$56='Materiales Personalizados'!$AK$9,AP239-AQ239,IF(ENERGÍA!$B$56='Materiales Personalizados'!$AK$11,AP239-AQ239,IF(ENERGÍA!$B$56='Materiales Personalizados'!$AK$13,AP239-AQ239,0)))))))</f>
        <v>0</v>
      </c>
      <c r="AT239" s="650"/>
      <c r="AU239" s="650">
        <f>IF(ENERGÍA!I169="-",0,IF(ENERGÍA!I169="A",1,IF(ENERGÍA!I169="B",2,IF(ENERGÍA!I169="C",3,IF(ENERGÍA!J169="D",4,5)))))</f>
        <v>5</v>
      </c>
    </row>
    <row r="240" spans="2:50" ht="18" thickBot="1">
      <c r="B240" s="264"/>
      <c r="J240" s="577"/>
      <c r="K240" s="576" t="s">
        <v>1763</v>
      </c>
      <c r="L240" s="651">
        <v>1200</v>
      </c>
      <c r="M240" s="576">
        <v>0.3</v>
      </c>
      <c r="AO240" s="650" t="str">
        <f>ENERGÍA!B170</f>
        <v>Ventanas tipo 7:</v>
      </c>
      <c r="AP240" s="575">
        <f>IF(ENERGÍA!X170&gt;1,1,0)</f>
        <v>0</v>
      </c>
      <c r="AQ240" s="575">
        <f>IF(AP240=1,IF(ENERGÍA!L170=$AG$65,0,1),0)</f>
        <v>0</v>
      </c>
      <c r="AR240" s="575">
        <f t="shared" si="93"/>
        <v>0</v>
      </c>
      <c r="AS240" s="575">
        <f>IF(ENERGÍA!$B$56='Materiales Personalizados'!$AK$7,AP240-AQ240,IF(ENERGÍA!$B$56='Materiales Personalizados'!$AK$17,AP240-AQ240,IF(ENERGÍA!$B$56='Materiales Personalizados'!$AK$19,AP240-AQ240,IF(ENERGÍA!$B$56='Materiales Personalizados'!$AK$21,AP240-AQ240,IF(ENERGÍA!$B$56='Materiales Personalizados'!$AK$9,AP240-AQ240,IF(ENERGÍA!$B$56='Materiales Personalizados'!$AK$11,AP240-AQ240,IF(ENERGÍA!$B$56='Materiales Personalizados'!$AK$13,AP240-AQ240,0)))))))</f>
        <v>0</v>
      </c>
      <c r="AT240" s="650"/>
      <c r="AU240" s="650">
        <f>IF(ENERGÍA!I170="-",0,IF(ENERGÍA!I170="A",1,IF(ENERGÍA!I170="B",2,IF(ENERGÍA!I170="C",3,IF(ENERGÍA!J170="D",4,5)))))</f>
        <v>5</v>
      </c>
    </row>
    <row r="241" spans="2:49" ht="18" thickBot="1">
      <c r="B241" s="264"/>
      <c r="J241" s="577" t="str">
        <f>K436</f>
        <v>Ladrillos_y_Bloques_Macizos</v>
      </c>
      <c r="K241" s="576" t="s">
        <v>460</v>
      </c>
      <c r="M241" s="576">
        <v>0.5</v>
      </c>
      <c r="AO241" s="650" t="str">
        <f>ENERGÍA!B171</f>
        <v>Ventanas tipo 8:</v>
      </c>
      <c r="AP241" s="575">
        <f>IF(ENERGÍA!X171&gt;1,1,0)</f>
        <v>0</v>
      </c>
      <c r="AQ241" s="575">
        <f>IF(AP241=1,IF(ENERGÍA!L171=$AG$65,0,1),0)</f>
        <v>0</v>
      </c>
      <c r="AR241" s="575">
        <f t="shared" si="93"/>
        <v>0</v>
      </c>
      <c r="AS241" s="575">
        <f>IF(ENERGÍA!$B$56='Materiales Personalizados'!$AK$7,AP241-AQ241,IF(ENERGÍA!$B$56='Materiales Personalizados'!$AK$17,AP241-AQ241,IF(ENERGÍA!$B$56='Materiales Personalizados'!$AK$19,AP241-AQ241,IF(ENERGÍA!$B$56='Materiales Personalizados'!$AK$21,AP241-AQ241,IF(ENERGÍA!$B$56='Materiales Personalizados'!$AK$9,AP241-AQ241,IF(ENERGÍA!$B$56='Materiales Personalizados'!$AK$11,AP241-AQ241,IF(ENERGÍA!$B$56='Materiales Personalizados'!$AK$13,AP241-AQ241,0)))))))</f>
        <v>0</v>
      </c>
      <c r="AT241" s="650"/>
      <c r="AU241" s="650">
        <f>IF(ENERGÍA!I171="-",0,IF(ENERGÍA!I171="A",1,IF(ENERGÍA!I171="B",2,IF(ENERGÍA!I171="C",3,IF(ENERGÍA!J171="D",4,5)))))</f>
        <v>5</v>
      </c>
    </row>
    <row r="242" spans="2:49" ht="35" thickBot="1">
      <c r="B242" s="264"/>
      <c r="K242" s="576" t="s">
        <v>459</v>
      </c>
      <c r="L242" s="576">
        <v>1500</v>
      </c>
      <c r="M242" s="576">
        <v>0.62</v>
      </c>
      <c r="AO242" s="650" t="str">
        <f>ENERGÍA!B172</f>
        <v>Material Personalizado:</v>
      </c>
      <c r="AP242" s="575">
        <f>IF(ENERGÍA!X172&gt;1,1,0)</f>
        <v>0</v>
      </c>
      <c r="AQ242" s="575">
        <f>IF(AP242=1,IF(ENERGÍA!L172=$AG$65,0,1),0)</f>
        <v>0</v>
      </c>
      <c r="AR242" s="575">
        <f t="shared" si="93"/>
        <v>0</v>
      </c>
      <c r="AS242" s="575">
        <f>IF(ENERGÍA!$B$56='Materiales Personalizados'!$AK$7,AP242-AQ242,IF(ENERGÍA!$B$56='Materiales Personalizados'!$AK$17,AP242-AQ242,IF(ENERGÍA!$B$56='Materiales Personalizados'!$AK$19,AP242-AQ242,IF(ENERGÍA!$B$56='Materiales Personalizados'!$AK$21,AP242-AQ242,IF(ENERGÍA!$B$56='Materiales Personalizados'!$AK$9,AP242-AQ242,IF(ENERGÍA!$B$56='Materiales Personalizados'!$AK$11,AP242-AQ242,IF(ENERGÍA!$B$56='Materiales Personalizados'!$AK$13,AP242-AQ242,0)))))))</f>
        <v>0</v>
      </c>
      <c r="AT242" s="650"/>
      <c r="AU242" s="650">
        <f>IF(ENERGÍA!I172="-",0,IF(ENERGÍA!I172="A",1,IF(ENERGÍA!I172="B",2,IF(ENERGÍA!I172="C",3,IF(ENERGÍA!J172="D",4,5)))))</f>
        <v>5</v>
      </c>
    </row>
    <row r="243" spans="2:49" ht="35" thickBot="1">
      <c r="B243" s="264"/>
      <c r="K243" s="576" t="s">
        <v>254</v>
      </c>
      <c r="L243" s="576">
        <v>1600</v>
      </c>
      <c r="M243" s="576">
        <v>0.8</v>
      </c>
      <c r="AO243" s="650" t="str">
        <f>ENERGÍA!B173</f>
        <v>Material Personalizado:</v>
      </c>
      <c r="AP243" s="575">
        <f>IF(ENERGÍA!X173&gt;1,1,0)</f>
        <v>0</v>
      </c>
      <c r="AQ243" s="575">
        <f>IF(AP243=1,IF(ENERGÍA!L173=$AG$65,0,1),0)</f>
        <v>0</v>
      </c>
      <c r="AR243" s="575">
        <f t="shared" si="93"/>
        <v>0</v>
      </c>
      <c r="AS243" s="575">
        <f>IF(ENERGÍA!$B$56='Materiales Personalizados'!$AK$7,AP243-AQ243,IF(ENERGÍA!$B$56='Materiales Personalizados'!$AK$17,AP243-AQ243,IF(ENERGÍA!$B$56='Materiales Personalizados'!$AK$19,AP243-AQ243,IF(ENERGÍA!$B$56='Materiales Personalizados'!$AK$21,AP243-AQ243,IF(ENERGÍA!$B$56='Materiales Personalizados'!$AK$9,AP243-AQ243,IF(ENERGÍA!$B$56='Materiales Personalizados'!$AK$11,AP243-AQ243,IF(ENERGÍA!$B$56='Materiales Personalizados'!$AK$13,AP243-AQ243,0)))))))</f>
        <v>0</v>
      </c>
      <c r="AT243" s="650"/>
      <c r="AU243" s="650">
        <f>IF(ENERGÍA!I173="-",0,IF(ENERGÍA!I173="A",1,IF(ENERGÍA!I173="B",2,IF(ENERGÍA!I173="C",3,IF(ENERGÍA!J173="D",4,5)))))</f>
        <v>5</v>
      </c>
    </row>
    <row r="244" spans="2:49" thickBot="1">
      <c r="B244" s="264"/>
      <c r="K244" s="576" t="s">
        <v>457</v>
      </c>
      <c r="L244" s="576">
        <v>1800</v>
      </c>
      <c r="M244" s="576">
        <v>0.91</v>
      </c>
      <c r="AO244" s="638"/>
      <c r="AP244" s="638"/>
      <c r="AQ244" s="638"/>
      <c r="AR244" s="575">
        <f>SUM(AR180:AR243)</f>
        <v>0</v>
      </c>
      <c r="AS244" s="575">
        <f>SUM(AS180:AS243)</f>
        <v>0</v>
      </c>
      <c r="AT244" s="652">
        <v>1</v>
      </c>
      <c r="AU244" s="652">
        <f>(SUM(AU180:AU243))/(COUNT(AU180:AU243)-COUNTIF(AU180:AU243,0))</f>
        <v>5</v>
      </c>
      <c r="AV244" s="571">
        <v>1</v>
      </c>
      <c r="AW244" s="576" t="s">
        <v>1215</v>
      </c>
    </row>
    <row r="245" spans="2:49" thickBot="1">
      <c r="J245" s="577"/>
      <c r="K245" s="576" t="s">
        <v>458</v>
      </c>
      <c r="L245" s="576">
        <v>2000</v>
      </c>
      <c r="M245" s="576">
        <v>1.1000000000000001</v>
      </c>
      <c r="AO245" s="1183" t="s">
        <v>1141</v>
      </c>
      <c r="AP245" s="1183"/>
      <c r="AQ245" s="1183"/>
      <c r="AR245" s="1183"/>
      <c r="AS245" s="653" t="s">
        <v>1105</v>
      </c>
      <c r="AT245" s="1183" t="s">
        <v>1229</v>
      </c>
      <c r="AU245" s="1183"/>
      <c r="AV245" s="571">
        <v>2</v>
      </c>
      <c r="AW245" s="576" t="s">
        <v>1216</v>
      </c>
    </row>
    <row r="246" spans="2:49" ht="18" thickBot="1">
      <c r="J246" s="577" t="str">
        <f>K437</f>
        <v>Ladrillos_Ceramicos</v>
      </c>
      <c r="K246" s="576" t="s">
        <v>461</v>
      </c>
      <c r="M246" s="654">
        <f>0.08/N246</f>
        <v>0.38095238095238099</v>
      </c>
      <c r="N246" s="576">
        <v>0.21</v>
      </c>
      <c r="AO246" s="650"/>
      <c r="AR246" s="576" t="s">
        <v>2010</v>
      </c>
      <c r="AT246" s="1182" t="s">
        <v>2011</v>
      </c>
      <c r="AU246" s="1182"/>
      <c r="AV246" s="571">
        <v>3</v>
      </c>
      <c r="AW246" s="576" t="s">
        <v>1217</v>
      </c>
    </row>
    <row r="247" spans="2:49" thickBot="1">
      <c r="K247" s="576" t="s">
        <v>462</v>
      </c>
      <c r="M247" s="654">
        <f>0.08/N247</f>
        <v>0.34782608695652173</v>
      </c>
      <c r="N247" s="576">
        <v>0.23</v>
      </c>
      <c r="AO247" s="650"/>
      <c r="AV247" s="571">
        <v>4</v>
      </c>
      <c r="AW247" s="576" t="s">
        <v>1218</v>
      </c>
    </row>
    <row r="248" spans="2:49" thickBot="1">
      <c r="K248" s="576" t="s">
        <v>463</v>
      </c>
      <c r="M248" s="654">
        <f>0.18/N248</f>
        <v>0.51428571428571435</v>
      </c>
      <c r="N248" s="576">
        <v>0.35</v>
      </c>
      <c r="AO248" s="650"/>
    </row>
    <row r="249" spans="2:49" thickBot="1">
      <c r="J249" s="577"/>
      <c r="K249" s="576" t="s">
        <v>464</v>
      </c>
      <c r="M249" s="654">
        <f>0.2/N249</f>
        <v>0.60606060606060608</v>
      </c>
      <c r="N249" s="576">
        <v>0.33</v>
      </c>
      <c r="AO249" s="650"/>
    </row>
    <row r="250" spans="2:49" thickBot="1">
      <c r="J250" s="577"/>
      <c r="K250" s="576" t="s">
        <v>465</v>
      </c>
      <c r="M250" s="654">
        <f>0.12/N250</f>
        <v>0.33333333333333331</v>
      </c>
      <c r="N250" s="576">
        <v>0.36</v>
      </c>
      <c r="AO250" s="650"/>
    </row>
    <row r="251" spans="2:49" thickBot="1">
      <c r="J251" s="577"/>
      <c r="K251" s="576" t="s">
        <v>466</v>
      </c>
      <c r="M251" s="654">
        <f>0.15/N251</f>
        <v>0.37499999999999994</v>
      </c>
      <c r="N251" s="576">
        <v>0.4</v>
      </c>
      <c r="AO251" s="650"/>
    </row>
    <row r="252" spans="2:49" thickBot="1">
      <c r="J252" s="577"/>
      <c r="K252" s="576" t="s">
        <v>467</v>
      </c>
      <c r="M252" s="654">
        <f>0.18/N252</f>
        <v>0.43902439024390244</v>
      </c>
      <c r="N252" s="576">
        <v>0.41</v>
      </c>
      <c r="AO252" s="650"/>
    </row>
    <row r="253" spans="2:49" thickBot="1">
      <c r="J253" s="577"/>
      <c r="K253" s="576" t="s">
        <v>468</v>
      </c>
      <c r="M253" s="654">
        <f>0.18/N253</f>
        <v>0.58064516129032251</v>
      </c>
      <c r="N253" s="576">
        <v>0.31</v>
      </c>
      <c r="AO253" s="650"/>
    </row>
    <row r="254" spans="2:49" thickBot="1">
      <c r="J254" s="577"/>
      <c r="K254" s="576" t="s">
        <v>469</v>
      </c>
      <c r="M254" s="654">
        <f>0.2/N254</f>
        <v>0.625</v>
      </c>
      <c r="N254" s="576">
        <v>0.32</v>
      </c>
      <c r="AO254" s="650"/>
    </row>
    <row r="255" spans="2:49" thickBot="1">
      <c r="J255" s="577"/>
      <c r="K255" s="576" t="s">
        <v>470</v>
      </c>
      <c r="M255" s="654">
        <f>0.13/N255</f>
        <v>0.35135135135135137</v>
      </c>
      <c r="N255" s="576">
        <v>0.37</v>
      </c>
      <c r="AO255" s="650"/>
    </row>
    <row r="256" spans="2:49" thickBot="1">
      <c r="J256" s="577"/>
      <c r="K256" s="576" t="s">
        <v>471</v>
      </c>
      <c r="M256" s="654">
        <f>0.18/N256</f>
        <v>0.38297872340425532</v>
      </c>
      <c r="N256" s="576">
        <v>0.47</v>
      </c>
      <c r="AO256" s="650"/>
    </row>
    <row r="257" spans="10:41" thickBot="1">
      <c r="J257" s="577"/>
      <c r="K257" s="576" t="s">
        <v>472</v>
      </c>
      <c r="M257" s="654">
        <f>0.2/N257</f>
        <v>0.41666666666666669</v>
      </c>
      <c r="N257" s="576">
        <v>0.48</v>
      </c>
      <c r="AO257" s="650"/>
    </row>
    <row r="258" spans="10:41" thickBot="1">
      <c r="J258" s="577"/>
      <c r="K258" s="576" t="s">
        <v>473</v>
      </c>
      <c r="M258" s="654">
        <f>0.2/N258</f>
        <v>0.4</v>
      </c>
      <c r="N258" s="576">
        <v>0.5</v>
      </c>
      <c r="AO258" s="650"/>
    </row>
    <row r="259" spans="10:41" thickBot="1">
      <c r="J259" s="577"/>
      <c r="K259" s="576" t="s">
        <v>474</v>
      </c>
      <c r="M259" s="654">
        <f>0.18/N259</f>
        <v>0.38297872340425532</v>
      </c>
      <c r="N259" s="576">
        <v>0.47</v>
      </c>
      <c r="AO259" s="650"/>
    </row>
    <row r="260" spans="10:41" thickBot="1">
      <c r="J260" s="577"/>
      <c r="K260" s="576" t="s">
        <v>475</v>
      </c>
      <c r="M260" s="654">
        <f>0.12/N260</f>
        <v>0.27906976744186046</v>
      </c>
      <c r="N260" s="576">
        <v>0.43</v>
      </c>
      <c r="AO260" s="650"/>
    </row>
    <row r="261" spans="10:41" thickBot="1">
      <c r="J261" s="577"/>
      <c r="K261" s="576" t="s">
        <v>476</v>
      </c>
      <c r="M261" s="654">
        <f>0.12/N261</f>
        <v>0.27906976744186046</v>
      </c>
      <c r="N261" s="576">
        <v>0.43</v>
      </c>
      <c r="AO261" s="650"/>
    </row>
    <row r="262" spans="10:41" thickBot="1">
      <c r="J262" s="577"/>
      <c r="K262" s="576" t="s">
        <v>477</v>
      </c>
      <c r="M262" s="654">
        <f>0.18/N262</f>
        <v>0.39130434782608692</v>
      </c>
      <c r="N262" s="576">
        <v>0.46</v>
      </c>
      <c r="AO262" s="650"/>
    </row>
    <row r="263" spans="10:41" thickBot="1">
      <c r="J263" s="577"/>
      <c r="K263" s="576" t="s">
        <v>478</v>
      </c>
      <c r="M263" s="654">
        <f>0.18/N263</f>
        <v>0.33333333333333331</v>
      </c>
      <c r="N263" s="576">
        <v>0.54</v>
      </c>
      <c r="AO263" s="650"/>
    </row>
    <row r="264" spans="10:41" thickBot="1">
      <c r="J264" s="577"/>
      <c r="K264" s="576" t="s">
        <v>479</v>
      </c>
      <c r="M264" s="654">
        <f>0.18/N264</f>
        <v>0.41860465116279066</v>
      </c>
      <c r="N264" s="576">
        <v>0.43</v>
      </c>
      <c r="AO264" s="650"/>
    </row>
    <row r="265" spans="10:41" thickBot="1">
      <c r="J265" s="577"/>
      <c r="K265" s="576" t="s">
        <v>480</v>
      </c>
      <c r="M265" s="654">
        <f>0.18/N265</f>
        <v>0.32727272727272722</v>
      </c>
      <c r="N265" s="576">
        <v>0.55000000000000004</v>
      </c>
      <c r="AO265" s="650"/>
    </row>
    <row r="266" spans="10:41" thickBot="1">
      <c r="J266" s="577"/>
      <c r="K266" s="576" t="s">
        <v>481</v>
      </c>
      <c r="M266" s="654">
        <f>0.12/N266</f>
        <v>0.30769230769230765</v>
      </c>
      <c r="N266" s="576">
        <v>0.39</v>
      </c>
      <c r="AO266" s="650"/>
    </row>
    <row r="267" spans="10:41" thickBot="1">
      <c r="J267" s="577"/>
      <c r="K267" s="576" t="s">
        <v>482</v>
      </c>
      <c r="M267" s="654">
        <f>0.18/N267</f>
        <v>0.36</v>
      </c>
      <c r="N267" s="576">
        <v>0.5</v>
      </c>
      <c r="AO267" s="650"/>
    </row>
    <row r="268" spans="10:41" thickBot="1">
      <c r="J268" s="577"/>
      <c r="K268" s="576" t="s">
        <v>483</v>
      </c>
      <c r="M268" s="654">
        <f>0.2/N268</f>
        <v>0.33333333333333337</v>
      </c>
      <c r="N268" s="576">
        <v>0.6</v>
      </c>
      <c r="AO268" s="650"/>
    </row>
    <row r="269" spans="10:41" thickBot="1">
      <c r="J269" s="577"/>
      <c r="K269" s="576" t="s">
        <v>484</v>
      </c>
      <c r="M269" s="654">
        <f>0.18/N269</f>
        <v>0.29508196721311475</v>
      </c>
      <c r="N269" s="576">
        <v>0.61</v>
      </c>
      <c r="AO269" s="650"/>
    </row>
    <row r="270" spans="10:41" thickBot="1">
      <c r="J270" s="577"/>
      <c r="K270" s="576" t="s">
        <v>485</v>
      </c>
      <c r="M270" s="654">
        <f>0.18/N270</f>
        <v>0.29508196721311475</v>
      </c>
      <c r="N270" s="576">
        <v>0.61</v>
      </c>
      <c r="AO270" s="650"/>
    </row>
    <row r="271" spans="10:41" ht="18" thickBot="1">
      <c r="J271" s="577" t="str">
        <f>K438</f>
        <v xml:space="preserve">Bloques_Hormigon </v>
      </c>
      <c r="K271" s="576" t="s">
        <v>486</v>
      </c>
      <c r="L271" s="576">
        <v>1034</v>
      </c>
      <c r="M271" s="654">
        <f>0.142/N271</f>
        <v>0.45806451612903221</v>
      </c>
      <c r="N271" s="576">
        <v>0.31</v>
      </c>
      <c r="AO271" s="650"/>
    </row>
    <row r="272" spans="10:41" thickBot="1">
      <c r="K272" s="576" t="s">
        <v>492</v>
      </c>
      <c r="L272" s="576">
        <v>1400</v>
      </c>
      <c r="M272" s="654">
        <f>0.19/N272</f>
        <v>0.57575757575757569</v>
      </c>
      <c r="N272" s="576">
        <v>0.33</v>
      </c>
      <c r="AO272" s="650"/>
    </row>
    <row r="273" spans="10:41" thickBot="1">
      <c r="J273" s="577"/>
      <c r="K273" s="576" t="s">
        <v>493</v>
      </c>
      <c r="L273" s="576">
        <v>2400</v>
      </c>
      <c r="M273" s="654">
        <f>0.19/N273</f>
        <v>0.5</v>
      </c>
      <c r="N273" s="576">
        <v>0.38</v>
      </c>
      <c r="AO273" s="650"/>
    </row>
    <row r="274" spans="10:41" thickBot="1">
      <c r="J274" s="577"/>
      <c r="K274" s="576" t="s">
        <v>494</v>
      </c>
      <c r="L274" s="576">
        <v>267</v>
      </c>
      <c r="M274" s="654">
        <f>0.19/N274</f>
        <v>0.48717948717948717</v>
      </c>
      <c r="N274" s="576">
        <v>0.39</v>
      </c>
      <c r="AO274" s="650"/>
    </row>
    <row r="275" spans="10:41" thickBot="1">
      <c r="J275" s="577"/>
      <c r="K275" s="576" t="s">
        <v>487</v>
      </c>
      <c r="L275" s="576">
        <v>2220</v>
      </c>
      <c r="M275" s="654">
        <f>0.1/N275</f>
        <v>0.58823529411764708</v>
      </c>
      <c r="N275" s="576">
        <v>0.17</v>
      </c>
      <c r="AO275" s="650"/>
    </row>
    <row r="276" spans="10:41" thickBot="1">
      <c r="J276" s="577"/>
      <c r="K276" s="576" t="s">
        <v>249</v>
      </c>
      <c r="L276" s="576">
        <v>1900</v>
      </c>
      <c r="M276" s="654">
        <f>0.195/N276</f>
        <v>1.0263157894736843</v>
      </c>
      <c r="N276" s="576">
        <v>0.19</v>
      </c>
      <c r="AO276" s="650"/>
    </row>
    <row r="277" spans="10:41" thickBot="1">
      <c r="J277" s="577"/>
      <c r="K277" s="576" t="s">
        <v>488</v>
      </c>
      <c r="L277" s="576">
        <v>1750</v>
      </c>
      <c r="M277" s="654">
        <f>0.19/N277</f>
        <v>0.86363636363636365</v>
      </c>
      <c r="N277" s="576">
        <v>0.22</v>
      </c>
      <c r="AO277" s="650"/>
    </row>
    <row r="278" spans="10:41" thickBot="1">
      <c r="J278" s="577"/>
      <c r="K278" s="576" t="s">
        <v>1764</v>
      </c>
      <c r="L278" s="576">
        <v>1750</v>
      </c>
      <c r="M278" s="654">
        <f>0.19/N278</f>
        <v>0.46341463414634149</v>
      </c>
      <c r="N278" s="576">
        <v>0.41</v>
      </c>
      <c r="AO278" s="650"/>
    </row>
    <row r="279" spans="10:41" thickBot="1">
      <c r="J279" s="577"/>
      <c r="K279" s="576" t="s">
        <v>1765</v>
      </c>
      <c r="L279" s="576">
        <v>1760</v>
      </c>
      <c r="M279" s="654">
        <f>0.19/N279</f>
        <v>0.47499999999999998</v>
      </c>
      <c r="N279" s="576">
        <v>0.4</v>
      </c>
      <c r="AO279" s="650"/>
    </row>
    <row r="280" spans="10:41" thickBot="1">
      <c r="J280" s="577"/>
      <c r="K280" s="576" t="s">
        <v>489</v>
      </c>
      <c r="L280" s="576">
        <v>1290</v>
      </c>
      <c r="M280" s="654">
        <f>0.174/N280</f>
        <v>0.43499999999999994</v>
      </c>
      <c r="N280" s="576">
        <v>0.4</v>
      </c>
      <c r="AO280" s="650"/>
    </row>
    <row r="281" spans="10:41" thickBot="1">
      <c r="J281" s="577"/>
      <c r="K281" s="576" t="s">
        <v>490</v>
      </c>
      <c r="L281" s="576">
        <v>1600</v>
      </c>
      <c r="M281" s="654">
        <f>0.12/N281</f>
        <v>0.25531914893617019</v>
      </c>
      <c r="N281" s="576">
        <v>0.47</v>
      </c>
      <c r="AO281" s="650"/>
    </row>
    <row r="282" spans="10:41" thickBot="1">
      <c r="J282" s="577"/>
      <c r="K282" s="576" t="s">
        <v>491</v>
      </c>
      <c r="L282" s="576">
        <v>2200</v>
      </c>
      <c r="M282" s="654">
        <f>0.14/N282</f>
        <v>0.35000000000000003</v>
      </c>
      <c r="N282" s="576">
        <v>0.4</v>
      </c>
      <c r="AO282" s="650"/>
    </row>
    <row r="283" spans="10:41" ht="35" thickBot="1">
      <c r="J283" s="577" t="str">
        <f>K439</f>
        <v>Forjados_Vigueta_Ladrillo_Sapo_Capa_Comp</v>
      </c>
      <c r="K283" s="576" t="s">
        <v>495</v>
      </c>
      <c r="L283" s="576">
        <v>1400</v>
      </c>
      <c r="M283" s="654">
        <f>0.12/N283</f>
        <v>0.87585928022644555</v>
      </c>
      <c r="N283" s="540">
        <f t="shared" ref="N283:N290" si="94">1/O283-0.14</f>
        <v>0.13700831024930749</v>
      </c>
      <c r="O283" s="576">
        <v>3.61</v>
      </c>
      <c r="AO283" s="650"/>
    </row>
    <row r="284" spans="10:41" thickBot="1">
      <c r="K284" s="576" t="s">
        <v>496</v>
      </c>
      <c r="L284" s="576">
        <v>1400</v>
      </c>
      <c r="M284" s="654">
        <f>0.16/N284</f>
        <v>1.0208254449072325</v>
      </c>
      <c r="N284" s="540">
        <f t="shared" si="94"/>
        <v>0.15673590504451035</v>
      </c>
      <c r="O284" s="576">
        <v>3.37</v>
      </c>
      <c r="AO284" s="650"/>
    </row>
    <row r="285" spans="10:41" thickBot="1">
      <c r="K285" s="576" t="s">
        <v>497</v>
      </c>
      <c r="L285" s="576">
        <v>1400</v>
      </c>
      <c r="M285" s="654">
        <f>0.2/N285</f>
        <v>1.1206281227694506</v>
      </c>
      <c r="N285" s="540">
        <f t="shared" si="94"/>
        <v>0.17847133757961781</v>
      </c>
      <c r="O285" s="576">
        <v>3.14</v>
      </c>
      <c r="AO285" s="650"/>
    </row>
    <row r="286" spans="10:41" thickBot="1">
      <c r="K286" s="576" t="s">
        <v>498</v>
      </c>
      <c r="L286" s="576">
        <v>1400</v>
      </c>
      <c r="M286" s="654">
        <f>0.25/N286</f>
        <v>1.3080388080388079</v>
      </c>
      <c r="N286" s="540">
        <f t="shared" si="94"/>
        <v>0.19112582781456955</v>
      </c>
      <c r="O286" s="576">
        <v>3.02</v>
      </c>
    </row>
    <row r="287" spans="10:41" thickBot="1">
      <c r="J287" s="577"/>
      <c r="K287" s="576" t="s">
        <v>499</v>
      </c>
      <c r="L287" s="576">
        <v>1400</v>
      </c>
      <c r="M287" s="654">
        <f>0.2/N287</f>
        <v>0.8527626956244011</v>
      </c>
      <c r="N287" s="540">
        <f t="shared" si="94"/>
        <v>0.23453183520599252</v>
      </c>
      <c r="O287" s="576">
        <v>2.67</v>
      </c>
    </row>
    <row r="288" spans="10:41" thickBot="1">
      <c r="J288" s="577"/>
      <c r="K288" s="576" t="s">
        <v>500</v>
      </c>
      <c r="L288" s="576">
        <v>1400</v>
      </c>
      <c r="M288" s="654">
        <f>0.2/N288</f>
        <v>0.79800498753117211</v>
      </c>
      <c r="N288" s="540">
        <f t="shared" si="94"/>
        <v>0.25062499999999999</v>
      </c>
      <c r="O288" s="576">
        <v>2.56</v>
      </c>
    </row>
    <row r="289" spans="10:15" thickBot="1">
      <c r="J289" s="577"/>
      <c r="K289" s="576" t="s">
        <v>501</v>
      </c>
      <c r="L289" s="576">
        <v>1400</v>
      </c>
      <c r="M289" s="654">
        <f>0.25/N289</f>
        <v>0.99750623441396513</v>
      </c>
      <c r="N289" s="540">
        <f t="shared" si="94"/>
        <v>0.25062499999999999</v>
      </c>
      <c r="O289" s="576">
        <v>2.56</v>
      </c>
    </row>
    <row r="290" spans="10:15" thickBot="1">
      <c r="J290" s="577"/>
      <c r="K290" s="576" t="s">
        <v>502</v>
      </c>
      <c r="L290" s="576">
        <v>1400</v>
      </c>
      <c r="M290" s="654">
        <f>0.25/N290</f>
        <v>0.9264884568651276</v>
      </c>
      <c r="N290" s="540">
        <f t="shared" si="94"/>
        <v>0.26983606557377049</v>
      </c>
      <c r="O290" s="576">
        <v>2.44</v>
      </c>
    </row>
    <row r="291" spans="10:15" ht="18" thickBot="1">
      <c r="J291" s="577" t="str">
        <f>K440</f>
        <v>Forjados</v>
      </c>
      <c r="K291" s="576" t="s">
        <v>504</v>
      </c>
      <c r="M291" s="654">
        <f>0.2/N291</f>
        <v>0.25974025974025977</v>
      </c>
      <c r="N291" s="576">
        <v>0.77</v>
      </c>
    </row>
    <row r="292" spans="10:15" ht="18" thickBot="1">
      <c r="J292" s="577" t="str">
        <f>K441</f>
        <v>Barreras_Vapor</v>
      </c>
      <c r="K292" s="576" t="s">
        <v>511</v>
      </c>
      <c r="L292" s="576">
        <v>960</v>
      </c>
      <c r="M292" s="576">
        <v>0.5</v>
      </c>
    </row>
    <row r="293" spans="10:15" thickBot="1">
      <c r="J293" s="577"/>
      <c r="K293" s="576" t="s">
        <v>512</v>
      </c>
      <c r="L293" s="576">
        <v>960</v>
      </c>
      <c r="M293" s="576">
        <v>0.5</v>
      </c>
    </row>
    <row r="294" spans="10:15" thickBot="1">
      <c r="J294" s="577"/>
      <c r="K294" s="576" t="s">
        <v>518</v>
      </c>
      <c r="L294" s="576">
        <v>960</v>
      </c>
      <c r="M294" s="576">
        <v>0.5</v>
      </c>
    </row>
    <row r="295" spans="10:15" thickBot="1">
      <c r="J295" s="577"/>
      <c r="K295" s="576" t="s">
        <v>519</v>
      </c>
      <c r="L295" s="576">
        <v>1200</v>
      </c>
      <c r="M295" s="576">
        <v>0.5</v>
      </c>
    </row>
    <row r="296" spans="10:15" thickBot="1">
      <c r="J296" s="577"/>
      <c r="K296" s="576" t="s">
        <v>521</v>
      </c>
      <c r="L296" s="576">
        <v>1200</v>
      </c>
      <c r="M296" s="576">
        <v>0.5</v>
      </c>
    </row>
    <row r="297" spans="10:15" thickBot="1">
      <c r="J297" s="577"/>
      <c r="K297" s="576" t="s">
        <v>520</v>
      </c>
      <c r="L297" s="576">
        <v>1100</v>
      </c>
      <c r="M297" s="576">
        <v>0.5</v>
      </c>
    </row>
    <row r="298" spans="10:15" thickBot="1">
      <c r="J298" s="577"/>
      <c r="K298" s="576" t="s">
        <v>506</v>
      </c>
      <c r="L298" s="576">
        <v>2700</v>
      </c>
      <c r="M298" s="576">
        <v>204</v>
      </c>
    </row>
    <row r="299" spans="10:15" thickBot="1">
      <c r="J299" s="577"/>
      <c r="K299" s="576" t="s">
        <v>505</v>
      </c>
      <c r="L299" s="576">
        <v>2700</v>
      </c>
      <c r="M299" s="576">
        <v>204</v>
      </c>
    </row>
    <row r="300" spans="10:15" thickBot="1">
      <c r="J300" s="577"/>
      <c r="K300" s="576" t="s">
        <v>517</v>
      </c>
      <c r="L300" s="576">
        <v>960</v>
      </c>
      <c r="M300" s="576">
        <v>0.5</v>
      </c>
    </row>
    <row r="301" spans="10:15" thickBot="1">
      <c r="J301" s="577"/>
      <c r="K301" s="576" t="s">
        <v>515</v>
      </c>
      <c r="L301" s="576">
        <v>960</v>
      </c>
      <c r="M301" s="576">
        <v>0.5</v>
      </c>
    </row>
    <row r="302" spans="10:15" thickBot="1">
      <c r="J302" s="577"/>
      <c r="K302" s="576" t="s">
        <v>514</v>
      </c>
      <c r="L302" s="576">
        <v>960</v>
      </c>
      <c r="M302" s="576">
        <v>0.5</v>
      </c>
    </row>
    <row r="303" spans="10:15" thickBot="1">
      <c r="J303" s="577"/>
      <c r="K303" s="576" t="s">
        <v>513</v>
      </c>
      <c r="L303" s="576">
        <v>960</v>
      </c>
      <c r="M303" s="576">
        <v>0.5</v>
      </c>
    </row>
    <row r="304" spans="10:15" thickBot="1">
      <c r="J304" s="577"/>
      <c r="K304" s="576" t="s">
        <v>516</v>
      </c>
      <c r="L304" s="576">
        <v>960</v>
      </c>
      <c r="M304" s="576">
        <v>0.5</v>
      </c>
    </row>
    <row r="305" spans="10:14" thickBot="1">
      <c r="J305" s="577"/>
      <c r="K305" s="576" t="s">
        <v>1766</v>
      </c>
      <c r="L305" s="576">
        <v>960</v>
      </c>
      <c r="M305" s="576">
        <v>0.5</v>
      </c>
    </row>
    <row r="306" spans="10:14" thickBot="1">
      <c r="J306" s="577"/>
      <c r="K306" s="576" t="s">
        <v>507</v>
      </c>
      <c r="L306" s="576">
        <v>960</v>
      </c>
      <c r="M306" s="576">
        <v>0.5</v>
      </c>
    </row>
    <row r="307" spans="10:14" thickBot="1">
      <c r="J307" s="577"/>
      <c r="K307" s="576" t="s">
        <v>508</v>
      </c>
      <c r="L307" s="576">
        <v>960</v>
      </c>
      <c r="M307" s="576">
        <v>0.5</v>
      </c>
    </row>
    <row r="308" spans="10:14" thickBot="1">
      <c r="J308" s="577"/>
      <c r="K308" s="576" t="s">
        <v>509</v>
      </c>
      <c r="L308" s="576">
        <v>960</v>
      </c>
      <c r="M308" s="576">
        <v>0.5</v>
      </c>
    </row>
    <row r="309" spans="10:14" thickBot="1">
      <c r="J309" s="577"/>
      <c r="K309" s="576" t="s">
        <v>248</v>
      </c>
      <c r="L309" s="576">
        <v>960</v>
      </c>
      <c r="M309" s="576">
        <v>0.5</v>
      </c>
    </row>
    <row r="310" spans="10:14" thickBot="1">
      <c r="J310" s="577"/>
      <c r="K310" s="576" t="s">
        <v>510</v>
      </c>
      <c r="L310" s="576">
        <v>960</v>
      </c>
      <c r="M310" s="576">
        <v>0.5</v>
      </c>
    </row>
    <row r="311" spans="10:14" ht="18" thickBot="1">
      <c r="J311" s="577" t="str">
        <f>K442</f>
        <v>Camaras</v>
      </c>
      <c r="K311" s="576" t="s">
        <v>526</v>
      </c>
      <c r="L311" s="576">
        <v>0</v>
      </c>
      <c r="M311" s="654">
        <f>0.1/N311</f>
        <v>0.58823529411764708</v>
      </c>
      <c r="N311" s="576">
        <v>0.17</v>
      </c>
    </row>
    <row r="312" spans="10:14" thickBot="1">
      <c r="K312" s="576" t="s">
        <v>531</v>
      </c>
      <c r="L312" s="576">
        <v>0</v>
      </c>
      <c r="M312" s="654">
        <f>0.1/N312</f>
        <v>0.7142857142857143</v>
      </c>
      <c r="N312" s="576">
        <v>0.14000000000000001</v>
      </c>
    </row>
    <row r="313" spans="10:14" thickBot="1">
      <c r="J313" s="577"/>
      <c r="K313" s="576" t="s">
        <v>523</v>
      </c>
      <c r="L313" s="576">
        <v>0</v>
      </c>
      <c r="M313" s="654">
        <f>0.01/N313</f>
        <v>7.1428571428571425E-2</v>
      </c>
      <c r="N313" s="576">
        <v>0.14000000000000001</v>
      </c>
    </row>
    <row r="314" spans="10:14" thickBot="1">
      <c r="J314" s="577"/>
      <c r="K314" s="576" t="s">
        <v>528</v>
      </c>
      <c r="L314" s="576">
        <v>0</v>
      </c>
      <c r="M314" s="654">
        <f>0.01/N314</f>
        <v>7.6923076923076927E-2</v>
      </c>
      <c r="N314" s="576">
        <v>0.13</v>
      </c>
    </row>
    <row r="315" spans="10:14" thickBot="1">
      <c r="J315" s="577"/>
      <c r="K315" s="576" t="s">
        <v>524</v>
      </c>
      <c r="L315" s="576">
        <v>0</v>
      </c>
      <c r="M315" s="654">
        <f>0.02/N315</f>
        <v>0.125</v>
      </c>
      <c r="N315" s="576">
        <v>0.16</v>
      </c>
    </row>
    <row r="316" spans="10:14" thickBot="1">
      <c r="J316" s="577"/>
      <c r="K316" s="576" t="s">
        <v>529</v>
      </c>
      <c r="L316" s="576">
        <v>0</v>
      </c>
      <c r="M316" s="654">
        <f>0.02/N316</f>
        <v>0.14285714285714285</v>
      </c>
      <c r="N316" s="576">
        <v>0.14000000000000001</v>
      </c>
    </row>
    <row r="317" spans="10:14" thickBot="1">
      <c r="J317" s="577"/>
      <c r="K317" s="576" t="s">
        <v>525</v>
      </c>
      <c r="L317" s="576">
        <v>0</v>
      </c>
      <c r="M317" s="654">
        <f>0.05/N317</f>
        <v>0.29411764705882354</v>
      </c>
      <c r="N317" s="576">
        <v>0.17</v>
      </c>
    </row>
    <row r="318" spans="10:14" thickBot="1">
      <c r="J318" s="577"/>
      <c r="K318" s="576" t="s">
        <v>530</v>
      </c>
      <c r="L318" s="576">
        <v>0</v>
      </c>
      <c r="M318" s="654">
        <f>0.05/N318</f>
        <v>0.35714285714285715</v>
      </c>
      <c r="N318" s="576">
        <v>0.14000000000000001</v>
      </c>
    </row>
    <row r="319" spans="10:14" thickBot="1">
      <c r="J319" s="577"/>
      <c r="K319" s="576" t="s">
        <v>522</v>
      </c>
      <c r="L319" s="576">
        <v>0</v>
      </c>
      <c r="M319" s="654">
        <f>0.005/N319</f>
        <v>4.5454545454545456E-2</v>
      </c>
      <c r="N319" s="576">
        <v>0.11</v>
      </c>
    </row>
    <row r="320" spans="10:14" thickBot="1">
      <c r="J320" s="577"/>
      <c r="K320" s="576" t="s">
        <v>527</v>
      </c>
      <c r="L320" s="576">
        <v>0</v>
      </c>
      <c r="M320" s="654">
        <f>0.005/N320</f>
        <v>4.5454545454545456E-2</v>
      </c>
      <c r="N320" s="576">
        <v>0.11</v>
      </c>
    </row>
    <row r="321" spans="10:14" thickBot="1">
      <c r="J321" s="577"/>
      <c r="K321" s="576" t="s">
        <v>536</v>
      </c>
      <c r="L321" s="576">
        <v>0</v>
      </c>
      <c r="M321" s="654">
        <f>0.1/N321</f>
        <v>0.29411764705882354</v>
      </c>
      <c r="N321" s="576">
        <v>0.34</v>
      </c>
    </row>
    <row r="322" spans="10:14" thickBot="1">
      <c r="J322" s="577"/>
      <c r="K322" s="576" t="s">
        <v>541</v>
      </c>
      <c r="L322" s="576">
        <v>0</v>
      </c>
      <c r="M322" s="654">
        <f>0.1/N322</f>
        <v>0.37037037037037035</v>
      </c>
      <c r="N322" s="576">
        <v>0.27</v>
      </c>
    </row>
    <row r="323" spans="10:14" thickBot="1">
      <c r="J323" s="577"/>
      <c r="K323" s="576" t="s">
        <v>533</v>
      </c>
      <c r="L323" s="576">
        <v>0</v>
      </c>
      <c r="M323" s="654">
        <f>0.01/N323</f>
        <v>3.4482758620689662E-2</v>
      </c>
      <c r="N323" s="576">
        <v>0.28999999999999998</v>
      </c>
    </row>
    <row r="324" spans="10:14" thickBot="1">
      <c r="J324" s="577"/>
      <c r="K324" s="576" t="s">
        <v>538</v>
      </c>
      <c r="L324" s="576">
        <v>0</v>
      </c>
      <c r="M324" s="654">
        <f>0.01/N324</f>
        <v>4.3478260869565216E-2</v>
      </c>
      <c r="N324" s="576">
        <v>0.23</v>
      </c>
    </row>
    <row r="325" spans="10:14" thickBot="1">
      <c r="J325" s="577"/>
      <c r="K325" s="576" t="s">
        <v>534</v>
      </c>
      <c r="L325" s="576">
        <v>0</v>
      </c>
      <c r="M325" s="654">
        <f>0.02/N325</f>
        <v>5.4054054054054057E-2</v>
      </c>
      <c r="N325" s="576">
        <v>0.37</v>
      </c>
    </row>
    <row r="326" spans="10:14" thickBot="1">
      <c r="J326" s="577"/>
      <c r="K326" s="576" t="s">
        <v>539</v>
      </c>
      <c r="L326" s="576">
        <v>0</v>
      </c>
      <c r="M326" s="654">
        <f>0.02/N326</f>
        <v>0.08</v>
      </c>
      <c r="N326" s="576">
        <v>0.25</v>
      </c>
    </row>
    <row r="327" spans="10:14" thickBot="1">
      <c r="J327" s="577"/>
      <c r="K327" s="576" t="s">
        <v>535</v>
      </c>
      <c r="L327" s="576">
        <v>0</v>
      </c>
      <c r="M327" s="654">
        <f>0.05/N327</f>
        <v>0.14705882352941177</v>
      </c>
      <c r="N327" s="576">
        <v>0.34</v>
      </c>
    </row>
    <row r="328" spans="10:14" thickBot="1">
      <c r="J328" s="577"/>
      <c r="K328" s="576" t="s">
        <v>540</v>
      </c>
      <c r="L328" s="576">
        <v>0</v>
      </c>
      <c r="M328" s="654">
        <f>0.05/N328</f>
        <v>0.18518518518518517</v>
      </c>
      <c r="N328" s="576">
        <v>0.27</v>
      </c>
    </row>
    <row r="329" spans="10:14" thickBot="1">
      <c r="J329" s="577"/>
      <c r="K329" s="576" t="s">
        <v>532</v>
      </c>
      <c r="L329" s="576">
        <v>0</v>
      </c>
      <c r="M329" s="654">
        <f>0.005/N329</f>
        <v>2.9411764705882353E-2</v>
      </c>
      <c r="N329" s="576">
        <v>0.17</v>
      </c>
    </row>
    <row r="330" spans="10:14" thickBot="1">
      <c r="J330" s="577"/>
      <c r="K330" s="576" t="s">
        <v>537</v>
      </c>
      <c r="L330" s="576">
        <v>0</v>
      </c>
      <c r="M330" s="654">
        <f>0.005/N330</f>
        <v>2.9411764705882353E-2</v>
      </c>
      <c r="N330" s="576">
        <v>0.17</v>
      </c>
    </row>
    <row r="331" spans="10:14" ht="18" thickBot="1">
      <c r="J331" s="577" t="str">
        <f>K443</f>
        <v>Contrapiso_Ultraliviano</v>
      </c>
      <c r="K331" s="576" t="s">
        <v>542</v>
      </c>
      <c r="M331" s="576">
        <v>6.7000000000000004E-2</v>
      </c>
    </row>
    <row r="332" spans="10:14" thickBot="1">
      <c r="J332" s="577"/>
      <c r="K332" s="576" t="s">
        <v>543</v>
      </c>
      <c r="M332" s="576">
        <v>8.6999999999999994E-2</v>
      </c>
    </row>
    <row r="333" spans="10:14" thickBot="1">
      <c r="J333" s="577"/>
      <c r="K333" s="576" t="s">
        <v>544</v>
      </c>
      <c r="M333" s="576">
        <v>0.10299999999999999</v>
      </c>
    </row>
    <row r="356" spans="9:9" thickBot="1">
      <c r="I356" s="77"/>
    </row>
    <row r="357" spans="9:9" thickBot="1">
      <c r="I357" s="77"/>
    </row>
    <row r="358" spans="9:9" thickBot="1">
      <c r="I358" s="77"/>
    </row>
    <row r="362" spans="9:9" thickBot="1">
      <c r="I362" s="77"/>
    </row>
    <row r="390" spans="10:12" thickBot="1">
      <c r="J390" s="576" t="s">
        <v>1694</v>
      </c>
      <c r="K390" s="576" t="s">
        <v>1564</v>
      </c>
      <c r="L390" s="576">
        <v>0.76</v>
      </c>
    </row>
    <row r="391" spans="10:12" thickBot="1">
      <c r="J391" s="576" t="s">
        <v>1576</v>
      </c>
      <c r="K391" s="542" t="s">
        <v>1574</v>
      </c>
      <c r="L391" s="542">
        <v>0.32200000000000001</v>
      </c>
    </row>
    <row r="392" spans="10:12" thickBot="1">
      <c r="J392" s="576" t="s">
        <v>1576</v>
      </c>
      <c r="K392" s="542" t="s">
        <v>1573</v>
      </c>
      <c r="L392" s="542">
        <v>0.32200000000000001</v>
      </c>
    </row>
    <row r="393" spans="10:12" thickBot="1">
      <c r="J393" s="576" t="s">
        <v>1576</v>
      </c>
      <c r="K393" s="542" t="s">
        <v>1572</v>
      </c>
      <c r="L393" s="542">
        <v>0.32200000000000001</v>
      </c>
    </row>
    <row r="394" spans="10:12" thickBot="1">
      <c r="J394" s="576" t="s">
        <v>1576</v>
      </c>
      <c r="K394" s="542" t="s">
        <v>1571</v>
      </c>
      <c r="L394" s="542">
        <v>0.52</v>
      </c>
    </row>
    <row r="395" spans="10:12" ht="16" customHeight="1" thickBot="1">
      <c r="J395" s="576" t="s">
        <v>1576</v>
      </c>
      <c r="K395" s="542" t="s">
        <v>1570</v>
      </c>
      <c r="L395" s="542">
        <v>0.52</v>
      </c>
    </row>
    <row r="396" spans="10:12" thickBot="1">
      <c r="J396" s="576" t="s">
        <v>1576</v>
      </c>
      <c r="K396" s="542" t="s">
        <v>1569</v>
      </c>
      <c r="L396" s="542">
        <v>0.52</v>
      </c>
    </row>
    <row r="397" spans="10:12" thickBot="1">
      <c r="J397" s="576" t="s">
        <v>1577</v>
      </c>
      <c r="K397" s="542" t="s">
        <v>1568</v>
      </c>
      <c r="L397" s="542">
        <v>0.57999999999999996</v>
      </c>
    </row>
    <row r="398" spans="10:12" thickBot="1">
      <c r="J398" s="576" t="s">
        <v>1695</v>
      </c>
      <c r="K398" s="542" t="s">
        <v>1567</v>
      </c>
      <c r="L398" s="542">
        <v>0.33400000000000002</v>
      </c>
    </row>
    <row r="399" spans="10:12" thickBot="1">
      <c r="J399" s="576" t="s">
        <v>1578</v>
      </c>
      <c r="K399" s="542" t="s">
        <v>1566</v>
      </c>
      <c r="L399" s="576">
        <v>1.631</v>
      </c>
    </row>
    <row r="400" spans="10:12" thickBot="1">
      <c r="J400" s="576" t="s">
        <v>1580</v>
      </c>
      <c r="K400" s="576" t="s">
        <v>1579</v>
      </c>
      <c r="L400" s="576">
        <v>0.60199999999999998</v>
      </c>
    </row>
    <row r="401" spans="10:13" thickBot="1">
      <c r="J401" s="576" t="s">
        <v>1575</v>
      </c>
      <c r="K401" s="576" t="s">
        <v>1581</v>
      </c>
      <c r="L401" s="576">
        <v>0.82</v>
      </c>
    </row>
    <row r="402" spans="10:13" thickBot="1">
      <c r="J402" s="576" t="s">
        <v>1592</v>
      </c>
      <c r="K402" s="542" t="s">
        <v>1590</v>
      </c>
      <c r="L402" s="576">
        <v>0.85</v>
      </c>
    </row>
    <row r="403" spans="10:13" thickBot="1">
      <c r="J403" s="576" t="s">
        <v>1578</v>
      </c>
      <c r="K403" s="542" t="s">
        <v>1591</v>
      </c>
      <c r="L403" s="576">
        <v>0.23</v>
      </c>
    </row>
    <row r="404" spans="10:13" thickBot="1">
      <c r="J404" s="576" t="s">
        <v>1578</v>
      </c>
      <c r="K404" s="542" t="s">
        <v>1593</v>
      </c>
      <c r="L404" s="576">
        <v>0.44</v>
      </c>
    </row>
    <row r="405" spans="10:13" thickBot="1">
      <c r="J405" s="576" t="s">
        <v>1601</v>
      </c>
      <c r="K405" s="576" t="s">
        <v>1599</v>
      </c>
      <c r="L405" s="576">
        <v>0.23</v>
      </c>
    </row>
    <row r="406" spans="10:13" ht="16" customHeight="1" thickBot="1">
      <c r="J406" s="576" t="s">
        <v>1601</v>
      </c>
      <c r="K406" s="576" t="s">
        <v>1600</v>
      </c>
      <c r="L406" s="576">
        <v>0.64</v>
      </c>
    </row>
    <row r="407" spans="10:13" thickBot="1">
      <c r="J407" s="576" t="s">
        <v>1614</v>
      </c>
      <c r="K407" s="576" t="s">
        <v>1613</v>
      </c>
      <c r="L407" s="576">
        <v>0.56999999999999995</v>
      </c>
    </row>
    <row r="408" spans="10:13" thickBot="1">
      <c r="J408" s="576" t="s">
        <v>1619</v>
      </c>
      <c r="K408" s="542" t="s">
        <v>1615</v>
      </c>
      <c r="L408" s="576">
        <v>0.22</v>
      </c>
    </row>
    <row r="409" spans="10:13" thickBot="1">
      <c r="K409" s="542" t="s">
        <v>1616</v>
      </c>
      <c r="L409" s="576">
        <v>0.67</v>
      </c>
    </row>
    <row r="410" spans="10:13" thickBot="1">
      <c r="K410" s="542" t="s">
        <v>1617</v>
      </c>
      <c r="L410" s="576">
        <v>0.66</v>
      </c>
    </row>
    <row r="411" spans="10:13" thickBot="1">
      <c r="K411" s="542" t="s">
        <v>1618</v>
      </c>
      <c r="L411" s="576">
        <v>0.45</v>
      </c>
    </row>
    <row r="414" spans="10:13" thickBot="1">
      <c r="K414" s="576" t="s">
        <v>545</v>
      </c>
      <c r="M414" s="540" t="s">
        <v>233</v>
      </c>
    </row>
    <row r="415" spans="10:13" thickBot="1">
      <c r="K415" s="576" t="s">
        <v>546</v>
      </c>
      <c r="M415" s="576" t="s">
        <v>235</v>
      </c>
    </row>
    <row r="416" spans="10:13" thickBot="1">
      <c r="K416" s="576" t="s">
        <v>240</v>
      </c>
    </row>
    <row r="418" spans="11:11" thickBot="1">
      <c r="K418" s="574" t="s">
        <v>547</v>
      </c>
    </row>
    <row r="419" spans="11:11" thickBot="1">
      <c r="K419" s="574"/>
    </row>
    <row r="420" spans="11:11" thickBot="1">
      <c r="K420" s="576" t="s">
        <v>262</v>
      </c>
    </row>
    <row r="421" spans="11:11" thickBot="1">
      <c r="K421" s="576" t="s">
        <v>268</v>
      </c>
    </row>
    <row r="422" spans="11:11" thickBot="1">
      <c r="K422" s="576" t="s">
        <v>252</v>
      </c>
    </row>
    <row r="423" spans="11:11" thickBot="1">
      <c r="K423" s="576" t="s">
        <v>295</v>
      </c>
    </row>
    <row r="424" spans="11:11" thickBot="1">
      <c r="K424" s="576" t="s">
        <v>1462</v>
      </c>
    </row>
    <row r="425" spans="11:11" ht="16" customHeight="1" thickBot="1">
      <c r="K425" s="576" t="s">
        <v>1463</v>
      </c>
    </row>
    <row r="426" spans="11:11" thickBot="1">
      <c r="K426" s="576" t="s">
        <v>1464</v>
      </c>
    </row>
    <row r="427" spans="11:11" thickBot="1">
      <c r="K427" s="576" t="s">
        <v>342</v>
      </c>
    </row>
    <row r="428" spans="11:11" thickBot="1">
      <c r="K428" s="576" t="s">
        <v>347</v>
      </c>
    </row>
    <row r="429" spans="11:11" thickBot="1">
      <c r="K429" s="576" t="s">
        <v>356</v>
      </c>
    </row>
    <row r="430" spans="11:11" thickBot="1">
      <c r="K430" s="576" t="s">
        <v>376</v>
      </c>
    </row>
    <row r="431" spans="11:11" thickBot="1">
      <c r="K431" s="576" t="s">
        <v>1477</v>
      </c>
    </row>
    <row r="432" spans="11:11" thickBot="1">
      <c r="K432" s="576" t="s">
        <v>1465</v>
      </c>
    </row>
    <row r="433" spans="11:11" thickBot="1">
      <c r="K433" s="576" t="s">
        <v>1466</v>
      </c>
    </row>
    <row r="434" spans="11:11" thickBot="1">
      <c r="K434" s="576" t="s">
        <v>432</v>
      </c>
    </row>
    <row r="435" spans="11:11" ht="16" customHeight="1" thickBot="1">
      <c r="K435" s="576" t="s">
        <v>447</v>
      </c>
    </row>
    <row r="436" spans="11:11" thickBot="1">
      <c r="K436" s="576" t="s">
        <v>1467</v>
      </c>
    </row>
    <row r="437" spans="11:11" thickBot="1">
      <c r="K437" s="576" t="s">
        <v>1468</v>
      </c>
    </row>
    <row r="438" spans="11:11" thickBot="1">
      <c r="K438" s="576" t="s">
        <v>1469</v>
      </c>
    </row>
    <row r="439" spans="11:11" ht="18" thickBot="1">
      <c r="K439" s="577" t="s">
        <v>1470</v>
      </c>
    </row>
    <row r="440" spans="11:11" thickBot="1">
      <c r="K440" s="576" t="s">
        <v>503</v>
      </c>
    </row>
    <row r="441" spans="11:11" thickBot="1">
      <c r="K441" s="576" t="s">
        <v>1471</v>
      </c>
    </row>
    <row r="442" spans="11:11" ht="16" customHeight="1" thickBot="1">
      <c r="K442" s="576" t="s">
        <v>1472</v>
      </c>
    </row>
    <row r="443" spans="11:11" thickBot="1">
      <c r="K443" s="576" t="s">
        <v>1473</v>
      </c>
    </row>
    <row r="469" ht="16" customHeight="1" thickBot="1"/>
    <row r="489" ht="16" customHeight="1" thickBot="1"/>
    <row r="506" ht="16" customHeight="1" thickBot="1"/>
    <row r="511" ht="16" customHeight="1" thickBot="1"/>
    <row r="521" ht="16" customHeight="1" thickBot="1"/>
    <row r="541" ht="16" customHeight="1" thickBot="1"/>
    <row r="561" ht="16" customHeight="1" thickBot="1"/>
    <row r="578" ht="16" customHeight="1" thickBot="1"/>
    <row r="597" ht="16" customHeight="1" thickBot="1"/>
    <row r="607" ht="16" customHeight="1" thickBot="1"/>
    <row r="621" ht="16" customHeight="1" thickBot="1"/>
    <row r="632" ht="16" customHeight="1" thickBot="1"/>
    <row r="637" ht="16" customHeight="1" thickBot="1"/>
    <row r="662" ht="16" customHeight="1" thickBot="1"/>
    <row r="674" ht="16" customHeight="1" thickBot="1"/>
    <row r="682" ht="16" customHeight="1" thickBot="1"/>
    <row r="683" ht="16" customHeight="1" thickBot="1"/>
    <row r="702" ht="16" customHeight="1" thickBot="1"/>
    <row r="722" ht="16" customHeight="1" thickBot="1"/>
  </sheetData>
  <sheetProtection password="ACCE" sheet="1" objects="1" scenarios="1" selectLockedCells="1"/>
  <sortState ref="U28:V56">
    <sortCondition ref="V56"/>
  </sortState>
  <mergeCells count="204">
    <mergeCell ref="BP64:BP65"/>
    <mergeCell ref="G41:H41"/>
    <mergeCell ref="G40:H40"/>
    <mergeCell ref="G42:H42"/>
    <mergeCell ref="BZ5:CG5"/>
    <mergeCell ref="BH3:CG3"/>
    <mergeCell ref="BH20:BO20"/>
    <mergeCell ref="BQ20:BX20"/>
    <mergeCell ref="BZ20:CG20"/>
    <mergeCell ref="BP28:BP29"/>
    <mergeCell ref="BH26:BO26"/>
    <mergeCell ref="BH24:BO24"/>
    <mergeCell ref="BH5:BO5"/>
    <mergeCell ref="BQ5:BX5"/>
    <mergeCell ref="BA6:BB6"/>
    <mergeCell ref="E6:H6"/>
    <mergeCell ref="AX52:AX54"/>
    <mergeCell ref="AY6:AZ6"/>
    <mergeCell ref="E7:H12"/>
    <mergeCell ref="G23:H23"/>
    <mergeCell ref="G24:H24"/>
    <mergeCell ref="G38:H38"/>
    <mergeCell ref="G37:H37"/>
    <mergeCell ref="G39:H39"/>
    <mergeCell ref="B103:C103"/>
    <mergeCell ref="G84:H84"/>
    <mergeCell ref="B76:D81"/>
    <mergeCell ref="E76:H81"/>
    <mergeCell ref="B53:D58"/>
    <mergeCell ref="BP82:BP83"/>
    <mergeCell ref="BN28:BO29"/>
    <mergeCell ref="BN46:BO47"/>
    <mergeCell ref="BH82:BH83"/>
    <mergeCell ref="BI82:BK82"/>
    <mergeCell ref="BL82:BM82"/>
    <mergeCell ref="BN82:BO83"/>
    <mergeCell ref="BH64:BH65"/>
    <mergeCell ref="BI64:BK64"/>
    <mergeCell ref="BL64:BM64"/>
    <mergeCell ref="BN64:BO65"/>
    <mergeCell ref="BH46:BH47"/>
    <mergeCell ref="BI46:BK46"/>
    <mergeCell ref="BL46:BM46"/>
    <mergeCell ref="BH28:BH29"/>
    <mergeCell ref="BI28:BK28"/>
    <mergeCell ref="BL28:BM28"/>
    <mergeCell ref="BH80:BO80"/>
    <mergeCell ref="BH62:BO62"/>
    <mergeCell ref="B119:C119"/>
    <mergeCell ref="B111:D111"/>
    <mergeCell ref="B112:C112"/>
    <mergeCell ref="G63:H63"/>
    <mergeCell ref="G67:H67"/>
    <mergeCell ref="G68:H68"/>
    <mergeCell ref="B71:F71"/>
    <mergeCell ref="G64:H64"/>
    <mergeCell ref="G65:H65"/>
    <mergeCell ref="G69:H69"/>
    <mergeCell ref="G70:H70"/>
    <mergeCell ref="E101:H101"/>
    <mergeCell ref="B101:D101"/>
    <mergeCell ref="G66:H66"/>
    <mergeCell ref="B117:C117"/>
    <mergeCell ref="B102:C102"/>
    <mergeCell ref="B75:C75"/>
    <mergeCell ref="E75:H75"/>
    <mergeCell ref="B118:C118"/>
    <mergeCell ref="G71:H71"/>
    <mergeCell ref="G72:H72"/>
    <mergeCell ref="B109:C109"/>
    <mergeCell ref="E111:H111"/>
    <mergeCell ref="B108:C108"/>
    <mergeCell ref="B116:C116"/>
    <mergeCell ref="B25:F25"/>
    <mergeCell ref="B26:F26"/>
    <mergeCell ref="B27:F27"/>
    <mergeCell ref="B49:F49"/>
    <mergeCell ref="B50:F50"/>
    <mergeCell ref="B72:F72"/>
    <mergeCell ref="B73:F73"/>
    <mergeCell ref="B29:C29"/>
    <mergeCell ref="B37:F37"/>
    <mergeCell ref="B115:C115"/>
    <mergeCell ref="E29:H29"/>
    <mergeCell ref="G43:H43"/>
    <mergeCell ref="B30:D35"/>
    <mergeCell ref="G82:H82"/>
    <mergeCell ref="B83:F83"/>
    <mergeCell ref="G83:H83"/>
    <mergeCell ref="E52:H52"/>
    <mergeCell ref="G44:H44"/>
    <mergeCell ref="G45:H45"/>
    <mergeCell ref="G48:H48"/>
    <mergeCell ref="B99:F99"/>
    <mergeCell ref="E30:H35"/>
    <mergeCell ref="B107:C107"/>
    <mergeCell ref="AY121:AZ121"/>
    <mergeCell ref="B6:C6"/>
    <mergeCell ref="G19:H19"/>
    <mergeCell ref="G13:H13"/>
    <mergeCell ref="G22:H22"/>
    <mergeCell ref="G36:H36"/>
    <mergeCell ref="B97:F97"/>
    <mergeCell ref="B98:F98"/>
    <mergeCell ref="B14:F14"/>
    <mergeCell ref="G15:H15"/>
    <mergeCell ref="G16:H16"/>
    <mergeCell ref="G17:H17"/>
    <mergeCell ref="G21:H21"/>
    <mergeCell ref="G20:H20"/>
    <mergeCell ref="B7:D12"/>
    <mergeCell ref="E53:H58"/>
    <mergeCell ref="G62:H62"/>
    <mergeCell ref="B60:F60"/>
    <mergeCell ref="G61:H61"/>
    <mergeCell ref="G59:H59"/>
    <mergeCell ref="G60:H60"/>
    <mergeCell ref="G46:H46"/>
    <mergeCell ref="G47:H47"/>
    <mergeCell ref="G92:H92"/>
    <mergeCell ref="G14:H14"/>
    <mergeCell ref="G18:H18"/>
    <mergeCell ref="AC32:AD32"/>
    <mergeCell ref="AO83:BB83"/>
    <mergeCell ref="E102:H109"/>
    <mergeCell ref="V62:Y64"/>
    <mergeCell ref="Q86:R86"/>
    <mergeCell ref="G94:H94"/>
    <mergeCell ref="G95:H95"/>
    <mergeCell ref="G96:H96"/>
    <mergeCell ref="AS53:AT53"/>
    <mergeCell ref="G73:H73"/>
    <mergeCell ref="G93:H93"/>
    <mergeCell ref="J2:O2"/>
    <mergeCell ref="AW47:BA47"/>
    <mergeCell ref="AO46:BB46"/>
    <mergeCell ref="AQ22:AS22"/>
    <mergeCell ref="AY26:AZ26"/>
    <mergeCell ref="BA26:BB26"/>
    <mergeCell ref="AG2:AM2"/>
    <mergeCell ref="Q3:S3"/>
    <mergeCell ref="AW26:AX26"/>
    <mergeCell ref="Q2:AE2"/>
    <mergeCell ref="U3:X3"/>
    <mergeCell ref="AC3:AE3"/>
    <mergeCell ref="Z3:AA3"/>
    <mergeCell ref="AV5:BB5"/>
    <mergeCell ref="AV35:AW35"/>
    <mergeCell ref="AV40:BA40"/>
    <mergeCell ref="BA41:BB41"/>
    <mergeCell ref="AO47:AR47"/>
    <mergeCell ref="AO4:AT4"/>
    <mergeCell ref="AO2:CG2"/>
    <mergeCell ref="BH44:BO44"/>
    <mergeCell ref="BP46:BP47"/>
    <mergeCell ref="BD4:BF4"/>
    <mergeCell ref="AO174:AP174"/>
    <mergeCell ref="AV174:AW174"/>
    <mergeCell ref="AQ176:AS176"/>
    <mergeCell ref="AX176:AZ176"/>
    <mergeCell ref="B48:F48"/>
    <mergeCell ref="G50:H50"/>
    <mergeCell ref="B52:C52"/>
    <mergeCell ref="G49:H49"/>
    <mergeCell ref="G91:H91"/>
    <mergeCell ref="G85:H85"/>
    <mergeCell ref="G86:H86"/>
    <mergeCell ref="G87:H87"/>
    <mergeCell ref="G88:H88"/>
    <mergeCell ref="G89:H89"/>
    <mergeCell ref="G90:H90"/>
    <mergeCell ref="B104:C104"/>
    <mergeCell ref="B105:C105"/>
    <mergeCell ref="B106:C106"/>
    <mergeCell ref="E112:H119"/>
    <mergeCell ref="B113:C113"/>
    <mergeCell ref="B114:C114"/>
    <mergeCell ref="AO102:BB102"/>
    <mergeCell ref="AV158:BA158"/>
    <mergeCell ref="AO158:AT158"/>
    <mergeCell ref="AT246:AU246"/>
    <mergeCell ref="AT245:AU245"/>
    <mergeCell ref="AO245:AR245"/>
    <mergeCell ref="B2:H2"/>
    <mergeCell ref="B3:H4"/>
    <mergeCell ref="BD21:BE21"/>
    <mergeCell ref="AO138:AT138"/>
    <mergeCell ref="AO154:AP154"/>
    <mergeCell ref="AQ156:AS156"/>
    <mergeCell ref="AW6:AX6"/>
    <mergeCell ref="AV4:BB4"/>
    <mergeCell ref="AY54:AZ54"/>
    <mergeCell ref="AW48:AX48"/>
    <mergeCell ref="AS68:AS69"/>
    <mergeCell ref="AP68:AP69"/>
    <mergeCell ref="AY52:BB52"/>
    <mergeCell ref="AV34:BA34"/>
    <mergeCell ref="BA35:BB35"/>
    <mergeCell ref="AV25:BB25"/>
    <mergeCell ref="AV32:BB32"/>
    <mergeCell ref="AO20:AP20"/>
    <mergeCell ref="AV138:BA138"/>
    <mergeCell ref="AV154:AW154"/>
    <mergeCell ref="AX156:AZ156"/>
  </mergeCells>
  <dataValidations count="4">
    <dataValidation type="custom" allowBlank="1" showInputMessage="1" showErrorMessage="1" sqref="K52:K77" xr:uid="{00000000-0002-0000-0500-000000000000}">
      <formula1>J52</formula1>
    </dataValidation>
    <dataValidation type="list" allowBlank="1" showInputMessage="1" showErrorMessage="1" sqref="D84:D91 D15:D19 D38:D42 D61:D65" xr:uid="{00000000-0002-0000-0500-000001000000}">
      <formula1>INDIRECT(C15)</formula1>
    </dataValidation>
    <dataValidation allowBlank="1" showInputMessage="1" showErrorMessage="1" promptTitle="INSERTE NOMBRE DE LA PARED" sqref="B30:D35" xr:uid="{00000000-0002-0000-0500-000002000000}"/>
    <dataValidation type="list" allowBlank="1" showInputMessage="1" showErrorMessage="1" sqref="C15:C19 C38:C42 C61:C65 C84:C91" xr:uid="{00000000-0002-0000-0500-000003000000}">
      <formula1>CAPAS</formula1>
    </dataValidation>
  </dataValidations>
  <pageMargins left="0.7" right="0.7" top="0.75" bottom="0.75" header="0.3" footer="0.3"/>
  <pageSetup paperSize="9" orientation="landscape" r:id="rId1"/>
  <extLst>
    <ext xmlns:x14="http://schemas.microsoft.com/office/spreadsheetml/2009/9/main" uri="{78C0D931-6437-407d-A8EE-F0AAD7539E65}">
      <x14:conditionalFormattings>
        <x14:conditionalFormatting xmlns:xm="http://schemas.microsoft.com/office/excel/2006/main">
          <x14:cfRule type="expression" priority="1" id="{86C3B734-1A63-4A97-A867-FB6A15717C26}">
            <xm:f>DATOS!$F$14=1</xm:f>
            <x14:dxf>
              <font>
                <color theme="0" tint="-0.24994659260841701"/>
              </font>
              <fill>
                <patternFill>
                  <bgColor theme="0" tint="-4.9989318521683403E-2"/>
                </patternFill>
              </fill>
              <border>
                <left/>
                <right/>
                <top/>
                <bottom/>
                <vertical/>
                <horizontal/>
              </border>
            </x14:dxf>
          </x14:cfRule>
          <xm:sqref>B5:H352</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B2:HP423"/>
  <sheetViews>
    <sheetView zoomScale="83" zoomScaleNormal="90" workbookViewId="0">
      <selection activeCell="I7" sqref="I7"/>
    </sheetView>
  </sheetViews>
  <sheetFormatPr baseColWidth="10" defaultColWidth="10.83203125" defaultRowHeight="14"/>
  <cols>
    <col min="1" max="1" width="2.83203125" style="538" customWidth="1"/>
    <col min="2" max="2" width="5.5" style="538" bestFit="1" customWidth="1"/>
    <col min="3" max="3" width="25" style="538" bestFit="1" customWidth="1"/>
    <col min="4" max="5" width="6.33203125" style="538" bestFit="1" customWidth="1"/>
    <col min="6" max="6" width="6.5" style="538" bestFit="1" customWidth="1"/>
    <col min="7" max="7" width="11.1640625" style="538" bestFit="1" customWidth="1"/>
    <col min="8" max="8" width="6" style="538" bestFit="1" customWidth="1"/>
    <col min="9" max="9" width="7.83203125" style="538" bestFit="1" customWidth="1"/>
    <col min="10" max="10" width="7.1640625" style="538" bestFit="1" customWidth="1"/>
    <col min="11" max="11" width="7.5" style="538" bestFit="1" customWidth="1"/>
    <col min="12" max="13" width="4" style="538" bestFit="1" customWidth="1"/>
    <col min="14" max="14" width="4.1640625" style="538" bestFit="1" customWidth="1"/>
    <col min="15" max="15" width="7.83203125" style="538" bestFit="1" customWidth="1"/>
    <col min="16" max="16" width="7.1640625" style="538" bestFit="1" customWidth="1"/>
    <col min="17" max="17" width="5.5" style="538" bestFit="1" customWidth="1"/>
    <col min="18" max="18" width="6.5" style="538" bestFit="1" customWidth="1"/>
    <col min="19" max="19" width="5.33203125" style="538" bestFit="1" customWidth="1"/>
    <col min="20" max="20" width="7" style="538" bestFit="1" customWidth="1"/>
    <col min="21" max="21" width="6.83203125" style="538" bestFit="1" customWidth="1"/>
    <col min="22" max="23" width="8" style="538" bestFit="1" customWidth="1"/>
    <col min="24" max="27" width="7.83203125" style="538" customWidth="1"/>
    <col min="28" max="28" width="10" style="538" bestFit="1" customWidth="1"/>
    <col min="29" max="29" width="2.83203125" style="538" customWidth="1"/>
    <col min="30" max="30" width="25" style="538" bestFit="1" customWidth="1"/>
    <col min="31" max="31" width="6.5" style="538" bestFit="1" customWidth="1"/>
    <col min="32" max="35" width="5.83203125" style="538" bestFit="1" customWidth="1"/>
    <col min="36" max="38" width="6.5" style="538" bestFit="1" customWidth="1"/>
    <col min="39" max="42" width="5.83203125" style="538" bestFit="1" customWidth="1"/>
    <col min="43" max="43" width="2.83203125" style="538" customWidth="1"/>
    <col min="44" max="44" width="5.5" style="538" bestFit="1" customWidth="1"/>
    <col min="45" max="45" width="25" style="538" bestFit="1" customWidth="1"/>
    <col min="46" max="53" width="8" style="734" bestFit="1" customWidth="1"/>
    <col min="54" max="54" width="10.5" style="734" bestFit="1" customWidth="1"/>
    <col min="55" max="55" width="8" style="734" bestFit="1" customWidth="1"/>
    <col min="56" max="56" width="10.1640625" style="734" bestFit="1" customWidth="1"/>
    <col min="57" max="57" width="9.5" style="734" bestFit="1" customWidth="1"/>
    <col min="58" max="58" width="2.83203125" style="538" customWidth="1"/>
    <col min="59" max="59" width="6.5" style="538" bestFit="1" customWidth="1"/>
    <col min="60" max="60" width="19" style="538" bestFit="1" customWidth="1"/>
    <col min="61" max="61" width="9" style="538" bestFit="1" customWidth="1"/>
    <col min="62" max="62" width="16.5" style="538" bestFit="1" customWidth="1"/>
    <col min="63" max="64" width="11.5" style="538" customWidth="1"/>
    <col min="65" max="65" width="12" style="538" bestFit="1" customWidth="1"/>
    <col min="66" max="66" width="27.83203125" style="538" bestFit="1" customWidth="1"/>
    <col min="67" max="67" width="16" style="538" bestFit="1" customWidth="1"/>
    <col min="68" max="68" width="2.83203125" style="538" customWidth="1"/>
    <col min="69" max="69" width="117.83203125" style="734" bestFit="1" customWidth="1"/>
    <col min="70" max="70" width="118.33203125" style="734" bestFit="1" customWidth="1"/>
    <col min="71" max="71" width="111" style="538" bestFit="1" customWidth="1"/>
    <col min="72" max="72" width="114.5" style="538" bestFit="1" customWidth="1"/>
    <col min="73" max="74" width="99.33203125" style="538" bestFit="1" customWidth="1"/>
    <col min="75" max="75" width="10.83203125" style="538"/>
    <col min="76" max="76" width="61.33203125" style="538" bestFit="1" customWidth="1"/>
    <col min="77" max="77" width="8.83203125" style="538" bestFit="1" customWidth="1"/>
    <col min="78" max="78" width="5.33203125" style="538" bestFit="1" customWidth="1"/>
    <col min="79" max="79" width="11" style="538" bestFit="1" customWidth="1"/>
    <col min="80" max="80" width="39.6640625" style="538" bestFit="1" customWidth="1"/>
    <col min="81" max="81" width="8.1640625" style="538" bestFit="1" customWidth="1"/>
    <col min="82" max="82" width="4.33203125" style="538" bestFit="1" customWidth="1"/>
    <col min="83" max="83" width="12" style="538" bestFit="1" customWidth="1"/>
    <col min="84" max="84" width="14.5" style="538" bestFit="1" customWidth="1"/>
    <col min="85" max="85" width="21.1640625" style="538" customWidth="1"/>
    <col min="86" max="86" width="17.5" style="538" customWidth="1"/>
    <col min="87" max="87" width="12" style="538" bestFit="1" customWidth="1"/>
    <col min="88" max="88" width="6.6640625" style="538" bestFit="1" customWidth="1"/>
    <col min="89" max="90" width="5.5" style="538" bestFit="1" customWidth="1"/>
    <col min="91" max="91" width="7" style="538" customWidth="1"/>
    <col min="92" max="93" width="8" style="538" customWidth="1"/>
    <col min="94" max="94" width="5.5" style="538" bestFit="1" customWidth="1"/>
    <col min="95" max="95" width="8.83203125" style="538" customWidth="1"/>
    <col min="96" max="96" width="7.5" style="538" customWidth="1"/>
    <col min="97" max="98" width="5.5" style="538" bestFit="1" customWidth="1"/>
    <col min="99" max="99" width="5" style="538" customWidth="1"/>
    <col min="100" max="100" width="5.5" style="538" bestFit="1" customWidth="1"/>
    <col min="101" max="101" width="4.83203125" style="538" bestFit="1" customWidth="1"/>
    <col min="102" max="102" width="2.5" style="538" bestFit="1" customWidth="1"/>
    <col min="103" max="103" width="4.83203125" style="538" bestFit="1" customWidth="1"/>
    <col min="104" max="104" width="10.83203125" style="538"/>
    <col min="105" max="105" width="83.6640625" style="538" customWidth="1"/>
    <col min="106" max="106" width="11" style="538" bestFit="1" customWidth="1"/>
    <col min="107" max="107" width="10.83203125" style="538"/>
    <col min="108" max="108" width="41.5" style="538" bestFit="1" customWidth="1"/>
    <col min="109" max="113" width="10.1640625" style="538" customWidth="1"/>
    <col min="114" max="114" width="42.33203125" style="538" bestFit="1" customWidth="1"/>
    <col min="115" max="117" width="11" style="538" bestFit="1" customWidth="1"/>
    <col min="118" max="118" width="10.83203125" style="538"/>
    <col min="119" max="119" width="11" style="538" bestFit="1" customWidth="1"/>
    <col min="120" max="120" width="25" style="538" bestFit="1" customWidth="1"/>
    <col min="121" max="132" width="11" style="538" bestFit="1" customWidth="1"/>
    <col min="133" max="133" width="10.83203125" style="538"/>
    <col min="134" max="134" width="11" style="744" bestFit="1" customWidth="1"/>
    <col min="135" max="135" width="10.83203125" style="744"/>
    <col min="136" max="136" width="14.1640625" style="744" bestFit="1" customWidth="1"/>
    <col min="137" max="137" width="10.83203125" style="744"/>
    <col min="138" max="146" width="11" style="538" bestFit="1" customWidth="1"/>
    <col min="147" max="147" width="10.83203125" style="538"/>
    <col min="148" max="148" width="14.1640625" style="538" bestFit="1" customWidth="1"/>
    <col min="149" max="149" width="5.5" style="538" bestFit="1" customWidth="1"/>
    <col min="150" max="150" width="11" style="538" bestFit="1" customWidth="1"/>
    <col min="151" max="151" width="5.5" style="538" bestFit="1" customWidth="1"/>
    <col min="152" max="152" width="11" style="538" bestFit="1" customWidth="1"/>
    <col min="153" max="153" width="5.5" style="538" bestFit="1" customWidth="1"/>
    <col min="154" max="154" width="11" style="538" bestFit="1" customWidth="1"/>
    <col min="155" max="155" width="8.83203125" style="538" bestFit="1" customWidth="1"/>
    <col min="156" max="156" width="5.5" style="538" bestFit="1" customWidth="1"/>
    <col min="157" max="157" width="11" style="538" bestFit="1" customWidth="1"/>
    <col min="158" max="158" width="8.83203125" style="538" bestFit="1" customWidth="1"/>
    <col min="159" max="159" width="5.5" style="538" bestFit="1" customWidth="1"/>
    <col min="160" max="160" width="11" style="538" bestFit="1" customWidth="1"/>
    <col min="161" max="161" width="8.6640625" style="538" bestFit="1" customWidth="1"/>
    <col min="162" max="162" width="10.83203125" style="538"/>
    <col min="163" max="163" width="2.5" style="538" bestFit="1" customWidth="1"/>
    <col min="164" max="165" width="19.6640625" style="538" customWidth="1"/>
    <col min="166" max="166" width="10.83203125" style="538"/>
    <col min="167" max="168" width="16.5" style="538" customWidth="1"/>
    <col min="169" max="192" width="11" style="538" bestFit="1" customWidth="1"/>
    <col min="193" max="196" width="10.83203125" style="538"/>
    <col min="197" max="197" width="26.1640625" style="538" customWidth="1"/>
    <col min="198" max="199" width="11" style="538" bestFit="1" customWidth="1"/>
    <col min="200" max="200" width="26" style="538" customWidth="1"/>
    <col min="201" max="202" width="11" style="538" bestFit="1" customWidth="1"/>
    <col min="203" max="203" width="27" style="538" customWidth="1"/>
    <col min="204" max="205" width="11" style="538" bestFit="1" customWidth="1"/>
    <col min="206" max="206" width="22.1640625" style="538" customWidth="1"/>
    <col min="207" max="207" width="11" style="538" bestFit="1" customWidth="1"/>
    <col min="208" max="208" width="10.83203125" style="538"/>
    <col min="209" max="209" width="19.83203125" style="538" customWidth="1"/>
    <col min="210" max="212" width="10.83203125" style="538"/>
    <col min="213" max="213" width="13.5" style="538" customWidth="1"/>
    <col min="214" max="214" width="11" style="538" bestFit="1" customWidth="1"/>
    <col min="215" max="215" width="10.83203125" style="538"/>
    <col min="216" max="216" width="11" style="538" bestFit="1" customWidth="1"/>
    <col min="217" max="222" width="7.1640625" style="538" customWidth="1"/>
    <col min="223" max="16384" width="10.83203125" style="538"/>
  </cols>
  <sheetData>
    <row r="2" spans="2:224" s="537" customFormat="1" ht="20">
      <c r="B2" s="1204" t="s">
        <v>1279</v>
      </c>
      <c r="C2" s="1204"/>
      <c r="D2" s="1204"/>
      <c r="E2" s="1204"/>
      <c r="F2" s="1204"/>
      <c r="G2" s="1204"/>
      <c r="H2" s="1204"/>
      <c r="I2" s="1204"/>
      <c r="J2" s="1204"/>
      <c r="K2" s="1204"/>
      <c r="L2" s="1204"/>
      <c r="M2" s="1204"/>
      <c r="N2" s="1204"/>
      <c r="O2" s="1204"/>
      <c r="P2" s="1204"/>
      <c r="Q2" s="1204"/>
      <c r="R2" s="1204"/>
      <c r="S2" s="1204"/>
      <c r="T2" s="1204"/>
      <c r="U2" s="1204"/>
      <c r="V2" s="1204"/>
      <c r="W2" s="1204"/>
      <c r="X2" s="1204"/>
      <c r="Y2" s="1204"/>
      <c r="Z2" s="1204"/>
      <c r="AA2" s="1204"/>
      <c r="AB2" s="1204"/>
      <c r="AD2" s="1204" t="s">
        <v>1040</v>
      </c>
      <c r="AE2" s="1204"/>
      <c r="AF2" s="1204"/>
      <c r="AG2" s="1204"/>
      <c r="AH2" s="1204"/>
      <c r="AI2" s="1204"/>
      <c r="AJ2" s="1204"/>
      <c r="AK2" s="1204"/>
      <c r="AL2" s="1204"/>
      <c r="AM2" s="1204"/>
      <c r="AN2" s="1204"/>
      <c r="AO2" s="1204"/>
      <c r="AP2" s="1204"/>
      <c r="AR2" s="1204" t="s">
        <v>1280</v>
      </c>
      <c r="AS2" s="1204"/>
      <c r="AT2" s="1204"/>
      <c r="AU2" s="1204"/>
      <c r="AV2" s="1204"/>
      <c r="AW2" s="1204"/>
      <c r="AX2" s="1204"/>
      <c r="AY2" s="1204"/>
      <c r="AZ2" s="1204"/>
      <c r="BA2" s="1204"/>
      <c r="BB2" s="1204"/>
      <c r="BC2" s="1204"/>
      <c r="BD2" s="1204"/>
      <c r="BE2" s="1204"/>
      <c r="BG2" s="1204" t="s">
        <v>1281</v>
      </c>
      <c r="BH2" s="1204"/>
      <c r="BI2" s="1204"/>
      <c r="BJ2" s="1204"/>
      <c r="BK2" s="1204"/>
      <c r="BL2" s="1204"/>
      <c r="BM2" s="1204"/>
      <c r="BN2" s="1204"/>
      <c r="BO2" s="1204"/>
      <c r="BQ2" s="1209" t="s">
        <v>1282</v>
      </c>
      <c r="BR2" s="1209"/>
      <c r="BS2" s="1209"/>
      <c r="BT2" s="1209"/>
      <c r="BU2" s="1209"/>
      <c r="BV2" s="1209"/>
      <c r="BX2" s="1208" t="s">
        <v>1149</v>
      </c>
      <c r="BY2" s="1208"/>
      <c r="BZ2" s="1208"/>
      <c r="CA2" s="1208"/>
      <c r="CB2" s="1208"/>
      <c r="CC2" s="1208"/>
      <c r="CD2" s="1208"/>
      <c r="CF2" s="1208" t="s">
        <v>1283</v>
      </c>
      <c r="CG2" s="1208"/>
      <c r="CH2" s="1208"/>
      <c r="CI2" s="1208"/>
      <c r="CJ2" s="1208"/>
      <c r="CK2" s="1208"/>
      <c r="CL2" s="1208"/>
      <c r="CM2" s="1208"/>
      <c r="CN2" s="1208"/>
      <c r="CO2" s="1208"/>
      <c r="CP2" s="1208"/>
      <c r="CQ2" s="1208"/>
      <c r="CR2" s="1208"/>
      <c r="CS2" s="1208"/>
      <c r="CT2" s="1208"/>
      <c r="CU2" s="1208"/>
      <c r="CV2" s="1208"/>
      <c r="CW2" s="1208"/>
      <c r="CX2" s="1208"/>
      <c r="CY2" s="1208"/>
      <c r="DA2" s="1208" t="s">
        <v>1767</v>
      </c>
      <c r="DB2" s="1208"/>
      <c r="DD2" s="1208" t="s">
        <v>1363</v>
      </c>
      <c r="DE2" s="1208"/>
      <c r="DF2" s="1208"/>
      <c r="DG2" s="1208"/>
      <c r="DH2" s="1208"/>
      <c r="DI2" s="1208"/>
      <c r="DJ2" s="1208"/>
      <c r="DK2" s="1208"/>
      <c r="DL2" s="1208"/>
      <c r="DM2" s="1208"/>
      <c r="DO2" s="1204" t="s">
        <v>1409</v>
      </c>
      <c r="DP2" s="1204"/>
      <c r="DQ2" s="1204"/>
      <c r="DR2" s="1204"/>
      <c r="DS2" s="1204"/>
      <c r="DT2" s="1204"/>
      <c r="DU2" s="1204"/>
      <c r="DV2" s="1204"/>
      <c r="DW2" s="1204"/>
      <c r="DX2" s="1204"/>
      <c r="DY2" s="1204"/>
      <c r="DZ2" s="1204"/>
      <c r="EA2" s="1204"/>
      <c r="EB2" s="1204"/>
      <c r="ED2" s="1209" t="s">
        <v>1503</v>
      </c>
      <c r="EE2" s="1209"/>
      <c r="EF2" s="1209"/>
      <c r="EG2" s="742"/>
      <c r="EH2" s="1208" t="s">
        <v>1546</v>
      </c>
      <c r="EI2" s="1208"/>
      <c r="EJ2" s="1208"/>
      <c r="EK2" s="1208"/>
      <c r="EL2" s="1208"/>
      <c r="EM2" s="1208"/>
      <c r="EN2" s="1208"/>
      <c r="EO2" s="1208"/>
      <c r="EP2" s="1208"/>
      <c r="ER2" s="1208" t="s">
        <v>1807</v>
      </c>
      <c r="ES2" s="1208"/>
      <c r="ET2" s="1208"/>
      <c r="EU2" s="1208"/>
      <c r="EV2" s="1208"/>
      <c r="EW2" s="1208"/>
      <c r="EX2" s="1208"/>
      <c r="EY2" s="1208"/>
      <c r="EZ2" s="1208"/>
      <c r="FA2" s="1208"/>
      <c r="FB2" s="1208"/>
      <c r="FC2" s="1208"/>
      <c r="FD2" s="1208"/>
      <c r="FE2" s="1208"/>
      <c r="FG2" s="1204" t="s">
        <v>1811</v>
      </c>
      <c r="FH2" s="1204"/>
      <c r="FI2" s="1204"/>
      <c r="FK2" s="1202" t="s">
        <v>1844</v>
      </c>
      <c r="FL2" s="1202"/>
      <c r="FM2" s="1205"/>
      <c r="FN2" s="1205"/>
      <c r="FO2" s="1205"/>
      <c r="FP2" s="1205"/>
      <c r="FQ2" s="1205"/>
      <c r="FR2" s="1205"/>
      <c r="FS2" s="1205"/>
      <c r="FT2" s="1205"/>
      <c r="FU2" s="1205"/>
      <c r="FV2" s="1205"/>
      <c r="FW2" s="1205"/>
      <c r="FX2" s="1205"/>
      <c r="FY2" s="1205"/>
      <c r="FZ2" s="1205"/>
      <c r="GA2" s="1205"/>
      <c r="GB2" s="1205"/>
      <c r="GC2" s="1205"/>
      <c r="GD2" s="1205"/>
      <c r="GE2" s="1205"/>
      <c r="GF2" s="1205"/>
      <c r="GG2" s="1205"/>
      <c r="GH2" s="1205"/>
      <c r="GI2" s="1205"/>
      <c r="GJ2" s="1205"/>
      <c r="GM2" s="741"/>
      <c r="GN2" s="741"/>
      <c r="GO2" s="741"/>
      <c r="GP2" s="741"/>
      <c r="GQ2" s="741"/>
      <c r="GR2" s="741"/>
      <c r="GS2" s="741"/>
      <c r="GT2" s="741"/>
      <c r="GU2" s="741"/>
      <c r="GV2" s="741"/>
      <c r="GW2" s="741"/>
      <c r="GX2" s="741"/>
      <c r="GY2" s="741"/>
      <c r="HH2" s="1201" t="s">
        <v>2003</v>
      </c>
      <c r="HI2" s="1201"/>
      <c r="HJ2" s="1201"/>
      <c r="HK2" s="1201"/>
      <c r="HL2" s="1201"/>
      <c r="HM2" s="1201"/>
      <c r="HN2" s="1201"/>
    </row>
    <row r="3" spans="2:224" ht="16">
      <c r="B3" s="734"/>
      <c r="C3" s="734">
        <v>1</v>
      </c>
      <c r="D3" s="734">
        <v>2</v>
      </c>
      <c r="E3" s="734">
        <v>3</v>
      </c>
      <c r="F3" s="734">
        <v>4</v>
      </c>
      <c r="G3" s="734">
        <v>5</v>
      </c>
      <c r="H3" s="734">
        <v>6</v>
      </c>
      <c r="I3" s="734">
        <v>7</v>
      </c>
      <c r="J3" s="734">
        <v>8</v>
      </c>
      <c r="K3" s="734">
        <v>9</v>
      </c>
      <c r="L3" s="734">
        <v>10</v>
      </c>
      <c r="M3" s="734">
        <v>11</v>
      </c>
      <c r="N3" s="734">
        <v>12</v>
      </c>
      <c r="O3" s="734">
        <v>13</v>
      </c>
      <c r="P3" s="734">
        <v>14</v>
      </c>
      <c r="Q3" s="734">
        <v>15</v>
      </c>
      <c r="R3" s="734">
        <v>16</v>
      </c>
      <c r="S3" s="734">
        <v>17</v>
      </c>
      <c r="T3" s="734">
        <v>18</v>
      </c>
      <c r="U3" s="734">
        <v>19</v>
      </c>
      <c r="V3" s="734">
        <v>20</v>
      </c>
      <c r="W3" s="734">
        <v>21</v>
      </c>
      <c r="X3" s="734">
        <v>22</v>
      </c>
      <c r="Y3" s="734">
        <v>23</v>
      </c>
      <c r="Z3" s="734">
        <v>24</v>
      </c>
      <c r="AA3" s="734">
        <v>25</v>
      </c>
      <c r="AB3" s="734">
        <v>26</v>
      </c>
      <c r="AD3" s="734">
        <v>1</v>
      </c>
      <c r="AE3" s="734">
        <v>2</v>
      </c>
      <c r="AF3" s="734">
        <v>3</v>
      </c>
      <c r="AG3" s="734">
        <v>4</v>
      </c>
      <c r="AH3" s="734">
        <v>5</v>
      </c>
      <c r="AI3" s="734">
        <v>6</v>
      </c>
      <c r="AJ3" s="734">
        <v>7</v>
      </c>
      <c r="AK3" s="734">
        <v>8</v>
      </c>
      <c r="AL3" s="734">
        <v>9</v>
      </c>
      <c r="AM3" s="734">
        <v>10</v>
      </c>
      <c r="AN3" s="734">
        <v>11</v>
      </c>
      <c r="AO3" s="734">
        <v>12</v>
      </c>
      <c r="AP3" s="734">
        <v>13</v>
      </c>
      <c r="AR3" s="734"/>
      <c r="AS3" s="734">
        <v>1</v>
      </c>
      <c r="AT3" s="734">
        <v>2</v>
      </c>
      <c r="AU3" s="734">
        <v>3</v>
      </c>
      <c r="AV3" s="734">
        <v>4</v>
      </c>
      <c r="AW3" s="734">
        <v>5</v>
      </c>
      <c r="AX3" s="734">
        <v>6</v>
      </c>
      <c r="AY3" s="734">
        <v>7</v>
      </c>
      <c r="AZ3" s="734">
        <v>8</v>
      </c>
      <c r="BA3" s="734">
        <v>9</v>
      </c>
      <c r="BB3" s="734">
        <v>10</v>
      </c>
      <c r="BC3" s="734">
        <v>11</v>
      </c>
      <c r="BD3" s="734">
        <v>12</v>
      </c>
      <c r="BE3" s="734">
        <v>13</v>
      </c>
      <c r="BG3" s="734">
        <v>1</v>
      </c>
      <c r="BH3" s="734">
        <v>2</v>
      </c>
      <c r="BI3" s="734">
        <v>3</v>
      </c>
      <c r="BJ3" s="734">
        <v>4</v>
      </c>
      <c r="BK3" s="734">
        <v>5</v>
      </c>
      <c r="BL3" s="734">
        <v>6</v>
      </c>
      <c r="BM3" s="734">
        <v>7</v>
      </c>
      <c r="BN3" s="734">
        <v>8</v>
      </c>
      <c r="BO3" s="734">
        <v>9</v>
      </c>
      <c r="BQ3" s="733">
        <v>1</v>
      </c>
      <c r="BR3" s="733">
        <v>2</v>
      </c>
      <c r="BS3" s="733">
        <v>3</v>
      </c>
      <c r="BT3" s="733">
        <v>4</v>
      </c>
      <c r="BU3" s="733">
        <v>5</v>
      </c>
      <c r="BV3" s="733">
        <v>6</v>
      </c>
      <c r="BX3" s="734" t="s">
        <v>1150</v>
      </c>
      <c r="BY3" s="734" t="s">
        <v>1148</v>
      </c>
      <c r="BZ3" s="734" t="s">
        <v>1166</v>
      </c>
      <c r="CA3" s="734" t="s">
        <v>1560</v>
      </c>
      <c r="CB3" s="734" t="s">
        <v>1284</v>
      </c>
      <c r="CC3" s="734" t="s">
        <v>1169</v>
      </c>
      <c r="CD3" s="734" t="s">
        <v>1166</v>
      </c>
      <c r="CE3" s="538" t="s">
        <v>1894</v>
      </c>
      <c r="CF3" s="1207" t="s">
        <v>1193</v>
      </c>
      <c r="CG3" s="734" t="s">
        <v>1198</v>
      </c>
      <c r="DA3" s="734"/>
      <c r="DB3" s="734" t="s">
        <v>1354</v>
      </c>
      <c r="DE3" s="1207" t="s">
        <v>1361</v>
      </c>
      <c r="DF3" s="1207"/>
      <c r="DG3" s="1207"/>
      <c r="DH3" s="1207" t="s">
        <v>1373</v>
      </c>
      <c r="DI3" s="1207"/>
      <c r="DJ3" s="1207"/>
      <c r="DK3" s="1207" t="s">
        <v>1362</v>
      </c>
      <c r="DL3" s="1207"/>
      <c r="DM3" s="1207"/>
      <c r="DO3" s="1207">
        <v>1</v>
      </c>
      <c r="DP3" s="1207"/>
      <c r="DQ3" s="734">
        <v>2</v>
      </c>
      <c r="DR3" s="734">
        <v>3</v>
      </c>
      <c r="DS3" s="734">
        <v>4</v>
      </c>
      <c r="DT3" s="734">
        <v>5</v>
      </c>
      <c r="DU3" s="734">
        <v>6</v>
      </c>
      <c r="DV3" s="734">
        <v>7</v>
      </c>
      <c r="DW3" s="734">
        <v>8</v>
      </c>
      <c r="DX3" s="734">
        <v>9</v>
      </c>
      <c r="DY3" s="734">
        <v>10</v>
      </c>
      <c r="DZ3" s="734">
        <v>11</v>
      </c>
      <c r="EA3" s="734">
        <v>12</v>
      </c>
      <c r="EB3" s="734">
        <v>13</v>
      </c>
      <c r="ED3" s="1207" t="s">
        <v>1497</v>
      </c>
      <c r="EE3" s="1207"/>
      <c r="EF3" s="743" t="s">
        <v>1504</v>
      </c>
      <c r="EH3" s="1210" t="s">
        <v>1547</v>
      </c>
      <c r="EI3" s="1210"/>
      <c r="EJ3" s="1210"/>
      <c r="EK3" s="1210"/>
      <c r="EL3" s="1210"/>
      <c r="EM3" s="1210"/>
      <c r="EN3" s="1210"/>
      <c r="EO3" s="1210"/>
      <c r="EP3" s="1210"/>
      <c r="ER3" s="734"/>
      <c r="ES3" s="1207" t="s">
        <v>1798</v>
      </c>
      <c r="ET3" s="1207"/>
      <c r="EU3" s="1207" t="s">
        <v>1799</v>
      </c>
      <c r="EV3" s="1207"/>
      <c r="EW3" s="1207" t="s">
        <v>1800</v>
      </c>
      <c r="EX3" s="1207"/>
      <c r="EY3" s="1207"/>
      <c r="EZ3" s="1207" t="s">
        <v>1801</v>
      </c>
      <c r="FA3" s="1207"/>
      <c r="FB3" s="1207"/>
      <c r="FC3" s="1207" t="s">
        <v>1802</v>
      </c>
      <c r="FD3" s="1207"/>
      <c r="FE3" s="1207"/>
      <c r="FG3" s="734"/>
      <c r="FH3" s="734" t="s">
        <v>1812</v>
      </c>
      <c r="FI3" s="734" t="s">
        <v>1813</v>
      </c>
      <c r="FK3" s="1202" t="s">
        <v>1820</v>
      </c>
      <c r="FL3" s="1202"/>
      <c r="FM3" s="1203" t="s">
        <v>1792</v>
      </c>
      <c r="FN3" s="1203"/>
      <c r="FO3" s="1203"/>
      <c r="FP3" s="1203"/>
      <c r="FQ3" s="1203"/>
      <c r="FR3" s="1203"/>
      <c r="FS3" s="1203"/>
      <c r="FT3" s="1203"/>
      <c r="FU3" s="1203"/>
      <c r="FV3" s="1203"/>
      <c r="FW3" s="1203"/>
      <c r="FX3" s="1203"/>
      <c r="FY3" s="1203"/>
      <c r="FZ3" s="1203"/>
      <c r="GA3" s="1203"/>
      <c r="GB3" s="1203"/>
      <c r="GC3" s="1203"/>
      <c r="GD3" s="1203"/>
      <c r="GE3" s="1203"/>
      <c r="GF3" s="1203"/>
      <c r="GG3" s="1203"/>
      <c r="GH3" s="1203"/>
      <c r="GI3" s="1203"/>
      <c r="GJ3" s="1203"/>
      <c r="GM3" s="741"/>
      <c r="GN3" s="741"/>
      <c r="GO3" s="741"/>
      <c r="GP3" s="741"/>
      <c r="GQ3" s="741"/>
      <c r="GR3" s="741"/>
      <c r="GS3" s="741"/>
      <c r="GT3" s="741"/>
      <c r="GU3" s="741"/>
      <c r="GV3" s="741"/>
      <c r="GW3" s="741"/>
      <c r="GX3" s="741"/>
      <c r="GY3" s="741"/>
      <c r="HH3" s="734"/>
      <c r="HI3" s="734">
        <v>1</v>
      </c>
      <c r="HJ3" s="734">
        <v>2</v>
      </c>
      <c r="HK3" s="734">
        <v>3</v>
      </c>
      <c r="HL3" s="734">
        <v>4</v>
      </c>
      <c r="HM3" s="734">
        <v>5</v>
      </c>
      <c r="HN3" s="734">
        <v>6</v>
      </c>
      <c r="HO3" s="734"/>
      <c r="HP3" s="734"/>
    </row>
    <row r="4" spans="2:224" ht="30">
      <c r="B4" s="1207" t="s">
        <v>1285</v>
      </c>
      <c r="C4" s="1211" t="s">
        <v>785</v>
      </c>
      <c r="D4" s="1207" t="s">
        <v>1286</v>
      </c>
      <c r="E4" s="1207" t="s">
        <v>548</v>
      </c>
      <c r="F4" s="734" t="s">
        <v>11</v>
      </c>
      <c r="G4" s="1216" t="s">
        <v>1287</v>
      </c>
      <c r="H4" s="734" t="s">
        <v>13</v>
      </c>
      <c r="I4" s="1215" t="s">
        <v>820</v>
      </c>
      <c r="J4" s="1215"/>
      <c r="K4" s="735" t="s">
        <v>15</v>
      </c>
      <c r="L4" s="545" t="s">
        <v>16</v>
      </c>
      <c r="M4" s="736" t="s">
        <v>567</v>
      </c>
      <c r="N4" s="736" t="s">
        <v>568</v>
      </c>
      <c r="O4" s="1214" t="s">
        <v>569</v>
      </c>
      <c r="P4" s="1214"/>
      <c r="Q4" s="1213" t="s">
        <v>12</v>
      </c>
      <c r="R4" s="737" t="s">
        <v>1012</v>
      </c>
      <c r="S4" s="1213" t="s">
        <v>1066</v>
      </c>
      <c r="T4" s="737" t="s">
        <v>1206</v>
      </c>
      <c r="U4" s="737" t="s">
        <v>1207</v>
      </c>
      <c r="V4" s="737" t="s">
        <v>1209</v>
      </c>
      <c r="W4" s="737" t="s">
        <v>1205</v>
      </c>
      <c r="X4" s="737" t="s">
        <v>1401</v>
      </c>
      <c r="Y4" s="737" t="s">
        <v>1402</v>
      </c>
      <c r="Z4" s="1217" t="s">
        <v>1451</v>
      </c>
      <c r="AA4" s="1217"/>
      <c r="AB4" s="1212" t="s">
        <v>786</v>
      </c>
      <c r="AD4" s="1211" t="s">
        <v>1288</v>
      </c>
      <c r="AE4" s="734" t="s">
        <v>838</v>
      </c>
      <c r="AF4" s="734" t="s">
        <v>839</v>
      </c>
      <c r="AG4" s="734" t="s">
        <v>840</v>
      </c>
      <c r="AH4" s="734" t="s">
        <v>841</v>
      </c>
      <c r="AI4" s="734" t="s">
        <v>827</v>
      </c>
      <c r="AJ4" s="734" t="s">
        <v>828</v>
      </c>
      <c r="AK4" s="734" t="s">
        <v>829</v>
      </c>
      <c r="AL4" s="734" t="s">
        <v>842</v>
      </c>
      <c r="AM4" s="734" t="s">
        <v>843</v>
      </c>
      <c r="AN4" s="734" t="s">
        <v>844</v>
      </c>
      <c r="AO4" s="734" t="s">
        <v>880</v>
      </c>
      <c r="AP4" s="734" t="s">
        <v>845</v>
      </c>
      <c r="AR4" s="1211" t="s">
        <v>1288</v>
      </c>
      <c r="AS4" s="1211"/>
      <c r="AT4" s="734" t="s">
        <v>823</v>
      </c>
      <c r="AU4" s="734" t="s">
        <v>824</v>
      </c>
      <c r="AV4" s="734" t="s">
        <v>825</v>
      </c>
      <c r="AW4" s="734" t="s">
        <v>826</v>
      </c>
      <c r="AX4" s="734" t="s">
        <v>827</v>
      </c>
      <c r="AY4" s="734" t="s">
        <v>828</v>
      </c>
      <c r="AZ4" s="734" t="s">
        <v>829</v>
      </c>
      <c r="BA4" s="734" t="s">
        <v>830</v>
      </c>
      <c r="BB4" s="734" t="s">
        <v>831</v>
      </c>
      <c r="BC4" s="734" t="s">
        <v>832</v>
      </c>
      <c r="BD4" s="734" t="s">
        <v>833</v>
      </c>
      <c r="BE4" s="734" t="s">
        <v>834</v>
      </c>
      <c r="BG4" s="1207" t="s">
        <v>719</v>
      </c>
      <c r="BH4" s="1207"/>
      <c r="BI4" s="1207"/>
      <c r="BJ4" s="1207"/>
      <c r="BK4" s="1207"/>
      <c r="BL4" s="1207"/>
      <c r="BM4" s="1207"/>
      <c r="BN4" s="1207"/>
      <c r="BO4" s="1207"/>
      <c r="BQ4" s="733" t="s">
        <v>1289</v>
      </c>
      <c r="BR4" s="733" t="s">
        <v>1290</v>
      </c>
      <c r="BS4" s="733" t="s">
        <v>1291</v>
      </c>
      <c r="BT4" s="733" t="s">
        <v>1077</v>
      </c>
      <c r="BU4" s="733" t="s">
        <v>1078</v>
      </c>
      <c r="BV4" s="733" t="s">
        <v>1079</v>
      </c>
      <c r="BX4" s="745" t="s">
        <v>1151</v>
      </c>
      <c r="BY4" s="734">
        <v>0.65</v>
      </c>
      <c r="BZ4" s="734">
        <v>1.25</v>
      </c>
      <c r="CA4" s="734">
        <v>1</v>
      </c>
      <c r="CB4" s="745" t="s">
        <v>1156</v>
      </c>
      <c r="CC4" s="734">
        <v>3.2</v>
      </c>
      <c r="CD4" s="734">
        <v>3.3</v>
      </c>
      <c r="CE4" s="734">
        <v>0</v>
      </c>
      <c r="CF4" s="1207"/>
      <c r="CG4" s="734" t="s">
        <v>684</v>
      </c>
      <c r="CI4" s="1207" t="s">
        <v>650</v>
      </c>
      <c r="CJ4" s="734">
        <v>-500</v>
      </c>
      <c r="CK4" s="734">
        <v>-101</v>
      </c>
      <c r="CL4" s="734">
        <v>-100</v>
      </c>
      <c r="CM4" s="734">
        <v>-71</v>
      </c>
      <c r="CN4" s="734">
        <v>-70</v>
      </c>
      <c r="CO4" s="734">
        <v>-51</v>
      </c>
      <c r="CP4" s="734">
        <v>-50</v>
      </c>
      <c r="CQ4" s="734">
        <v>-31</v>
      </c>
      <c r="CR4" s="734">
        <v>-30</v>
      </c>
      <c r="CS4" s="734">
        <v>-21</v>
      </c>
      <c r="CT4" s="734">
        <v>-20</v>
      </c>
      <c r="CU4" s="734">
        <v>0</v>
      </c>
      <c r="CV4" s="734">
        <v>100</v>
      </c>
      <c r="CW4" s="734">
        <v>200</v>
      </c>
      <c r="DA4" s="734" t="s">
        <v>1500</v>
      </c>
      <c r="DB4" s="734">
        <v>0.5</v>
      </c>
      <c r="DD4" s="734" t="s">
        <v>1365</v>
      </c>
      <c r="DE4" s="734" t="s">
        <v>752</v>
      </c>
      <c r="DF4" s="734" t="s">
        <v>753</v>
      </c>
      <c r="DG4" s="734" t="s">
        <v>754</v>
      </c>
      <c r="DH4" s="734" t="s">
        <v>752</v>
      </c>
      <c r="DI4" s="734" t="s">
        <v>753</v>
      </c>
      <c r="DJ4" s="734" t="s">
        <v>754</v>
      </c>
      <c r="DK4" s="734" t="s">
        <v>752</v>
      </c>
      <c r="DL4" s="734" t="s">
        <v>753</v>
      </c>
      <c r="DM4" s="734" t="s">
        <v>754</v>
      </c>
      <c r="DO4" s="1211" t="s">
        <v>1288</v>
      </c>
      <c r="DP4" s="1211"/>
      <c r="DQ4" s="734" t="s">
        <v>838</v>
      </c>
      <c r="DR4" s="734" t="s">
        <v>839</v>
      </c>
      <c r="DS4" s="734" t="s">
        <v>840</v>
      </c>
      <c r="DT4" s="734" t="s">
        <v>841</v>
      </c>
      <c r="DU4" s="734" t="s">
        <v>827</v>
      </c>
      <c r="DV4" s="734" t="s">
        <v>828</v>
      </c>
      <c r="DW4" s="734" t="s">
        <v>829</v>
      </c>
      <c r="DX4" s="734" t="s">
        <v>842</v>
      </c>
      <c r="DY4" s="734" t="s">
        <v>843</v>
      </c>
      <c r="DZ4" s="734" t="s">
        <v>844</v>
      </c>
      <c r="EA4" s="734" t="s">
        <v>880</v>
      </c>
      <c r="EB4" s="734" t="s">
        <v>845</v>
      </c>
      <c r="ED4" s="734">
        <v>0</v>
      </c>
      <c r="EE4" s="734" t="s">
        <v>1495</v>
      </c>
      <c r="EF4" s="734">
        <v>0</v>
      </c>
      <c r="EH4" s="734">
        <v>0</v>
      </c>
      <c r="EI4" s="734">
        <v>100</v>
      </c>
      <c r="EJ4" s="734">
        <v>101</v>
      </c>
      <c r="EK4" s="734">
        <v>400</v>
      </c>
      <c r="EL4" s="734">
        <v>401</v>
      </c>
      <c r="EM4" s="734">
        <v>1000</v>
      </c>
      <c r="EN4" s="734">
        <v>1001</v>
      </c>
      <c r="EO4" s="734">
        <v>1200</v>
      </c>
      <c r="EP4" s="734">
        <v>5000</v>
      </c>
      <c r="ER4" s="734" t="s">
        <v>1792</v>
      </c>
      <c r="ES4" s="746" t="s">
        <v>1795</v>
      </c>
      <c r="ET4" s="746" t="s">
        <v>1796</v>
      </c>
      <c r="EU4" s="746" t="s">
        <v>1795</v>
      </c>
      <c r="EV4" s="746" t="s">
        <v>1796</v>
      </c>
      <c r="EW4" s="746" t="s">
        <v>1795</v>
      </c>
      <c r="EX4" s="746" t="s">
        <v>1796</v>
      </c>
      <c r="EY4" s="746" t="s">
        <v>1797</v>
      </c>
      <c r="EZ4" s="746" t="s">
        <v>1795</v>
      </c>
      <c r="FA4" s="746" t="s">
        <v>1796</v>
      </c>
      <c r="FB4" s="746" t="s">
        <v>1797</v>
      </c>
      <c r="FC4" s="746" t="s">
        <v>1795</v>
      </c>
      <c r="FD4" s="746" t="s">
        <v>1796</v>
      </c>
      <c r="FE4" s="746" t="s">
        <v>1797</v>
      </c>
      <c r="FG4" s="734">
        <v>1</v>
      </c>
      <c r="FH4" s="737" t="e">
        <f>'LINEAS BASE 1 y 2'!AT145</f>
        <v>#N/A</v>
      </c>
      <c r="FI4" s="737" t="e">
        <f>'LINEAS BASE 1 y 2'!AT143</f>
        <v>#N/A</v>
      </c>
      <c r="FK4" s="1202"/>
      <c r="FL4" s="1202"/>
      <c r="FM4" s="1206" t="s">
        <v>1821</v>
      </c>
      <c r="FN4" s="1206"/>
      <c r="FO4" s="1206" t="s">
        <v>1822</v>
      </c>
      <c r="FP4" s="1206"/>
      <c r="FQ4" s="1206"/>
      <c r="FR4" s="1202"/>
      <c r="FS4" s="1206" t="s">
        <v>1823</v>
      </c>
      <c r="FT4" s="1206"/>
      <c r="FU4" s="1206"/>
      <c r="FV4" s="1202"/>
      <c r="FW4" s="1206" t="s">
        <v>1824</v>
      </c>
      <c r="FX4" s="1206"/>
      <c r="FY4" s="1206"/>
      <c r="FZ4" s="1202"/>
      <c r="GA4" s="1206" t="s">
        <v>1825</v>
      </c>
      <c r="GB4" s="1206"/>
      <c r="GC4" s="1206"/>
      <c r="GD4" s="1202"/>
      <c r="GE4" s="1206" t="s">
        <v>1826</v>
      </c>
      <c r="GF4" s="1206"/>
      <c r="GG4" s="1202"/>
      <c r="GH4" s="1206" t="s">
        <v>1827</v>
      </c>
      <c r="GI4" s="1206"/>
      <c r="GJ4" s="1202"/>
      <c r="GM4" s="741"/>
      <c r="GN4" s="741"/>
      <c r="GO4" s="1182" t="s">
        <v>2091</v>
      </c>
      <c r="GP4" s="1182"/>
      <c r="GQ4" s="1182"/>
      <c r="GR4" s="1182"/>
      <c r="GS4" s="741"/>
      <c r="GT4" s="741"/>
      <c r="GU4" s="741"/>
      <c r="GV4" s="741"/>
      <c r="GW4" s="741"/>
      <c r="GX4" s="741"/>
      <c r="GY4" s="741"/>
      <c r="HE4" s="743" t="s">
        <v>209</v>
      </c>
      <c r="HF4" s="734">
        <v>1</v>
      </c>
      <c r="HH4" s="734">
        <v>1</v>
      </c>
      <c r="HI4" s="734">
        <v>1</v>
      </c>
      <c r="HJ4" s="734">
        <v>1</v>
      </c>
      <c r="HK4" s="734"/>
      <c r="HL4" s="734"/>
      <c r="HM4" s="734"/>
      <c r="HN4" s="734"/>
      <c r="HO4" s="734"/>
      <c r="HP4" s="734"/>
    </row>
    <row r="5" spans="2:224" ht="17" customHeight="1">
      <c r="B5" s="1207"/>
      <c r="C5" s="1211"/>
      <c r="D5" s="1207"/>
      <c r="E5" s="1207"/>
      <c r="F5" s="734" t="s">
        <v>18</v>
      </c>
      <c r="G5" s="1216"/>
      <c r="H5" s="734" t="s">
        <v>19</v>
      </c>
      <c r="I5" s="736" t="s">
        <v>233</v>
      </c>
      <c r="J5" s="736" t="s">
        <v>235</v>
      </c>
      <c r="K5" s="735" t="s">
        <v>20</v>
      </c>
      <c r="L5" s="736" t="s">
        <v>21</v>
      </c>
      <c r="M5" s="736" t="s">
        <v>21</v>
      </c>
      <c r="N5" s="736" t="s">
        <v>21</v>
      </c>
      <c r="O5" s="736" t="s">
        <v>233</v>
      </c>
      <c r="P5" s="736" t="s">
        <v>235</v>
      </c>
      <c r="Q5" s="1213"/>
      <c r="R5" s="735" t="s">
        <v>20</v>
      </c>
      <c r="S5" s="1213"/>
      <c r="T5" s="737" t="s">
        <v>1208</v>
      </c>
      <c r="U5" s="737" t="s">
        <v>1208</v>
      </c>
      <c r="V5" s="737" t="s">
        <v>1041</v>
      </c>
      <c r="W5" s="737" t="s">
        <v>1041</v>
      </c>
      <c r="X5" s="737"/>
      <c r="Y5" s="737"/>
      <c r="Z5" s="738" t="s">
        <v>1452</v>
      </c>
      <c r="AA5" s="738" t="s">
        <v>1453</v>
      </c>
      <c r="AB5" s="1212"/>
      <c r="AD5" s="1211"/>
      <c r="AE5" s="734" t="s">
        <v>20</v>
      </c>
      <c r="AF5" s="734" t="s">
        <v>20</v>
      </c>
      <c r="AG5" s="734" t="s">
        <v>20</v>
      </c>
      <c r="AH5" s="734" t="s">
        <v>20</v>
      </c>
      <c r="AI5" s="734" t="s">
        <v>20</v>
      </c>
      <c r="AJ5" s="734" t="s">
        <v>20</v>
      </c>
      <c r="AK5" s="734" t="s">
        <v>20</v>
      </c>
      <c r="AL5" s="734" t="s">
        <v>20</v>
      </c>
      <c r="AM5" s="734" t="s">
        <v>20</v>
      </c>
      <c r="AN5" s="734" t="s">
        <v>20</v>
      </c>
      <c r="AO5" s="734" t="s">
        <v>20</v>
      </c>
      <c r="AP5" s="734" t="s">
        <v>20</v>
      </c>
      <c r="AR5" s="1211"/>
      <c r="AS5" s="1211"/>
      <c r="AT5" s="734" t="s">
        <v>1041</v>
      </c>
      <c r="AU5" s="734" t="s">
        <v>1041</v>
      </c>
      <c r="AV5" s="734" t="s">
        <v>1041</v>
      </c>
      <c r="AW5" s="734" t="s">
        <v>1041</v>
      </c>
      <c r="AX5" s="734" t="s">
        <v>1041</v>
      </c>
      <c r="AY5" s="734" t="s">
        <v>1041</v>
      </c>
      <c r="AZ5" s="734" t="s">
        <v>1041</v>
      </c>
      <c r="BA5" s="734" t="s">
        <v>1041</v>
      </c>
      <c r="BB5" s="734" t="s">
        <v>1041</v>
      </c>
      <c r="BC5" s="734" t="s">
        <v>1041</v>
      </c>
      <c r="BD5" s="734" t="s">
        <v>1041</v>
      </c>
      <c r="BE5" s="734" t="s">
        <v>1041</v>
      </c>
      <c r="BG5" s="1207" t="s">
        <v>721</v>
      </c>
      <c r="BH5" s="1207" t="s">
        <v>720</v>
      </c>
      <c r="BI5" s="1207"/>
      <c r="BJ5" s="1207"/>
      <c r="BK5" s="1216" t="s">
        <v>733</v>
      </c>
      <c r="BL5" s="1216"/>
      <c r="BM5" s="1216" t="s">
        <v>734</v>
      </c>
      <c r="BN5" s="1216" t="s">
        <v>736</v>
      </c>
      <c r="BO5" s="1216" t="s">
        <v>735</v>
      </c>
      <c r="BQ5" s="747" t="s">
        <v>1071</v>
      </c>
      <c r="BR5" s="747" t="s">
        <v>1071</v>
      </c>
      <c r="BS5" s="745" t="s">
        <v>1114</v>
      </c>
      <c r="BT5" s="745" t="s">
        <v>1114</v>
      </c>
      <c r="BU5" s="745" t="s">
        <v>1114</v>
      </c>
      <c r="BV5" s="745" t="s">
        <v>1114</v>
      </c>
      <c r="BX5" s="745" t="s">
        <v>1152</v>
      </c>
      <c r="BY5" s="734">
        <v>0.7</v>
      </c>
      <c r="BZ5" s="734">
        <v>1.25</v>
      </c>
      <c r="CA5" s="734">
        <v>1</v>
      </c>
      <c r="CB5" s="745" t="s">
        <v>1161</v>
      </c>
      <c r="CC5" s="734">
        <v>3.1</v>
      </c>
      <c r="CD5" s="734">
        <v>3.3</v>
      </c>
      <c r="CE5" s="734">
        <v>0</v>
      </c>
      <c r="CF5" s="734" t="s">
        <v>1194</v>
      </c>
      <c r="CG5" s="734">
        <v>0</v>
      </c>
      <c r="CI5" s="1207"/>
      <c r="CJ5" s="734" t="s">
        <v>1221</v>
      </c>
      <c r="CK5" s="734" t="s">
        <v>1221</v>
      </c>
      <c r="CL5" s="734" t="s">
        <v>1220</v>
      </c>
      <c r="CM5" s="734" t="s">
        <v>1220</v>
      </c>
      <c r="CN5" s="734" t="s">
        <v>1219</v>
      </c>
      <c r="CO5" s="734" t="s">
        <v>1219</v>
      </c>
      <c r="CP5" s="734" t="s">
        <v>1218</v>
      </c>
      <c r="CQ5" s="734" t="s">
        <v>1218</v>
      </c>
      <c r="CR5" s="734" t="s">
        <v>1217</v>
      </c>
      <c r="CS5" s="734" t="s">
        <v>1217</v>
      </c>
      <c r="CT5" s="734" t="s">
        <v>1216</v>
      </c>
      <c r="CU5" s="734" t="s">
        <v>1216</v>
      </c>
      <c r="CV5" s="734" t="s">
        <v>1215</v>
      </c>
      <c r="CW5" s="734" t="s">
        <v>1215</v>
      </c>
      <c r="DA5" s="734" t="s">
        <v>2032</v>
      </c>
      <c r="DB5" s="734">
        <v>0</v>
      </c>
      <c r="DD5" s="734" t="s">
        <v>1369</v>
      </c>
      <c r="DE5" s="734">
        <v>0.2</v>
      </c>
      <c r="DF5" s="734">
        <v>0.5</v>
      </c>
      <c r="DG5" s="734">
        <v>0.9</v>
      </c>
      <c r="DH5" s="734">
        <v>0.5</v>
      </c>
      <c r="DI5" s="734">
        <v>1</v>
      </c>
      <c r="DJ5" s="734">
        <v>1.3</v>
      </c>
      <c r="DK5" s="734">
        <v>0.5</v>
      </c>
      <c r="DL5" s="734">
        <v>1</v>
      </c>
      <c r="DM5" s="734">
        <v>1.4</v>
      </c>
      <c r="DO5" s="1211"/>
      <c r="DP5" s="1211"/>
      <c r="DQ5" s="734" t="s">
        <v>1410</v>
      </c>
      <c r="DR5" s="734" t="s">
        <v>1410</v>
      </c>
      <c r="DS5" s="734" t="s">
        <v>1410</v>
      </c>
      <c r="DT5" s="734" t="s">
        <v>1410</v>
      </c>
      <c r="DU5" s="734" t="s">
        <v>1410</v>
      </c>
      <c r="DV5" s="734" t="s">
        <v>1410</v>
      </c>
      <c r="DW5" s="734" t="s">
        <v>1410</v>
      </c>
      <c r="DX5" s="734" t="s">
        <v>1410</v>
      </c>
      <c r="DY5" s="734" t="s">
        <v>1410</v>
      </c>
      <c r="DZ5" s="734" t="s">
        <v>1410</v>
      </c>
      <c r="EA5" s="734" t="s">
        <v>1410</v>
      </c>
      <c r="EB5" s="734" t="s">
        <v>1410</v>
      </c>
      <c r="ED5" s="734">
        <v>1</v>
      </c>
      <c r="EE5" s="734" t="s">
        <v>1492</v>
      </c>
      <c r="EF5" s="734">
        <v>9.1</v>
      </c>
      <c r="EH5" s="734" t="s">
        <v>1548</v>
      </c>
      <c r="EI5" s="734" t="s">
        <v>1548</v>
      </c>
      <c r="EJ5" s="734" t="s">
        <v>1549</v>
      </c>
      <c r="EK5" s="734" t="s">
        <v>1549</v>
      </c>
      <c r="EL5" s="734" t="s">
        <v>1550</v>
      </c>
      <c r="EM5" s="734" t="s">
        <v>1550</v>
      </c>
      <c r="EN5" s="734" t="s">
        <v>1551</v>
      </c>
      <c r="EO5" s="734" t="s">
        <v>1551</v>
      </c>
      <c r="EP5" s="734" t="s">
        <v>1551</v>
      </c>
      <c r="ER5" s="734" t="s">
        <v>209</v>
      </c>
      <c r="ES5" s="748">
        <v>0.25</v>
      </c>
      <c r="ET5" s="737" t="e">
        <f>'Materiales Personalizados'!$BM$22</f>
        <v>#N/A</v>
      </c>
      <c r="EU5" s="748">
        <v>0.2</v>
      </c>
      <c r="EV5" s="737" t="e">
        <f>ET5</f>
        <v>#N/A</v>
      </c>
      <c r="EW5" s="748">
        <v>0.2</v>
      </c>
      <c r="EX5" s="737">
        <v>0</v>
      </c>
      <c r="EY5" s="734" t="s">
        <v>983</v>
      </c>
      <c r="EZ5" s="748">
        <f>EW5</f>
        <v>0.2</v>
      </c>
      <c r="FA5" s="734">
        <v>0</v>
      </c>
      <c r="FB5" s="734" t="s">
        <v>983</v>
      </c>
      <c r="FC5" s="748">
        <f>EZ5</f>
        <v>0.2</v>
      </c>
      <c r="FD5" s="734">
        <v>0</v>
      </c>
      <c r="FE5" s="734" t="s">
        <v>983</v>
      </c>
      <c r="FG5" s="734">
        <v>2</v>
      </c>
      <c r="FH5" s="737" t="e">
        <f>FH4</f>
        <v>#N/A</v>
      </c>
      <c r="FI5" s="737" t="e">
        <f>FI4</f>
        <v>#N/A</v>
      </c>
      <c r="FK5" s="1202"/>
      <c r="FL5" s="1202"/>
      <c r="FM5" s="1203" t="s">
        <v>1828</v>
      </c>
      <c r="FN5" s="1203"/>
      <c r="FO5" s="1203"/>
      <c r="FP5" s="1203"/>
      <c r="FQ5" s="1203"/>
      <c r="FR5" s="1203"/>
      <c r="FS5" s="1203"/>
      <c r="FT5" s="1203"/>
      <c r="FU5" s="1203"/>
      <c r="FV5" s="1203"/>
      <c r="FW5" s="1203"/>
      <c r="FX5" s="1203"/>
      <c r="FY5" s="1203"/>
      <c r="FZ5" s="1203"/>
      <c r="GA5" s="1203"/>
      <c r="GB5" s="1203"/>
      <c r="GC5" s="1203"/>
      <c r="GD5" s="1203"/>
      <c r="GE5" s="1203"/>
      <c r="GF5" s="1203"/>
      <c r="GG5" s="1203"/>
      <c r="GH5" s="1203"/>
      <c r="GI5" s="1203"/>
      <c r="GJ5" s="1203"/>
      <c r="GM5" s="741"/>
      <c r="GN5" s="741"/>
      <c r="GO5" s="741"/>
      <c r="GP5" s="741"/>
      <c r="GQ5" s="741"/>
      <c r="GR5" s="741"/>
      <c r="GS5" s="741"/>
      <c r="GT5" s="741"/>
      <c r="GU5" s="741"/>
      <c r="GV5" s="741"/>
      <c r="GW5" s="741"/>
      <c r="GX5" s="741"/>
      <c r="GY5" s="741"/>
      <c r="HE5" s="743" t="s">
        <v>553</v>
      </c>
      <c r="HF5" s="734">
        <v>0.8</v>
      </c>
      <c r="HH5" s="734">
        <v>2</v>
      </c>
      <c r="HI5" s="734">
        <v>2</v>
      </c>
      <c r="HJ5" s="734">
        <v>2</v>
      </c>
      <c r="HK5" s="734"/>
      <c r="HL5" s="734"/>
      <c r="HM5" s="734"/>
      <c r="HN5" s="734"/>
      <c r="HO5" s="734"/>
      <c r="HP5" s="734"/>
    </row>
    <row r="6" spans="2:224" ht="15" customHeight="1">
      <c r="B6" s="734" t="str">
        <f>'BASE DE DATOS'!B6</f>
        <v>BAC</v>
      </c>
      <c r="C6" s="734" t="str">
        <f>'BASE DE DATOS'!C6</f>
        <v>AEROPARQUE</v>
      </c>
      <c r="D6" s="734">
        <f>'BASE DE DATOS'!D6</f>
        <v>34.57</v>
      </c>
      <c r="E6" s="734">
        <f>'BASE DE DATOS'!E6</f>
        <v>58.42</v>
      </c>
      <c r="F6" s="734">
        <f>'BASE DE DATOS'!F6</f>
        <v>6</v>
      </c>
      <c r="G6" s="734" t="str">
        <f>'BASE DE DATOS'!G6</f>
        <v>IIIB</v>
      </c>
      <c r="H6" s="734">
        <f>'BASE DE DATOS'!H6</f>
        <v>3</v>
      </c>
      <c r="I6" s="734">
        <f>'BASE DE DATOS'!I6</f>
        <v>11.3</v>
      </c>
      <c r="J6" s="734">
        <f>'BASE DE DATOS'!J6</f>
        <v>23.2</v>
      </c>
      <c r="K6" s="734">
        <f>'BASE DE DATOS'!K6</f>
        <v>31.2</v>
      </c>
      <c r="L6" s="734">
        <f>'BASE DE DATOS'!L6</f>
        <v>68</v>
      </c>
      <c r="M6" s="734">
        <f>'BASE DE DATOS'!M6</f>
        <v>80</v>
      </c>
      <c r="N6" s="734">
        <f>'BASE DE DATOS'!N6</f>
        <v>68</v>
      </c>
      <c r="O6" s="734">
        <f>'BASE DE DATOS'!O6</f>
        <v>58</v>
      </c>
      <c r="P6" s="734">
        <f>'BASE DE DATOS'!P6</f>
        <v>92</v>
      </c>
      <c r="Q6" s="734">
        <f>'BASE DE DATOS'!Q6</f>
        <v>3</v>
      </c>
      <c r="R6" s="734">
        <f>'BASE DE DATOS'!R6</f>
        <v>22.9</v>
      </c>
      <c r="S6" s="734">
        <f>'BASE DE DATOS'!S6</f>
        <v>0.53</v>
      </c>
      <c r="T6" s="734">
        <f>'BASE DE DATOS'!T6</f>
        <v>36.9</v>
      </c>
      <c r="U6" s="734">
        <f>'BASE DE DATOS'!U6</f>
        <v>3.4</v>
      </c>
      <c r="V6" s="734">
        <f>'BASE DE DATOS'!V6</f>
        <v>185</v>
      </c>
      <c r="W6" s="734">
        <f>'BASE DE DATOS'!W6</f>
        <v>41</v>
      </c>
      <c r="X6" s="734">
        <f>'BASE DE DATOS'!X6</f>
        <v>1.4E-2</v>
      </c>
      <c r="Y6" s="734">
        <f>'BASE DE DATOS'!Y6</f>
        <v>1.9E-2</v>
      </c>
      <c r="Z6" s="734">
        <f>'BASE DE DATOS'!Z6</f>
        <v>130</v>
      </c>
      <c r="AA6" s="734">
        <f>'BASE DE DATOS'!AA6</f>
        <v>1.3</v>
      </c>
      <c r="AB6" s="734">
        <f>'BASE DE DATOS'!AB6</f>
        <v>35</v>
      </c>
      <c r="AD6" s="734" t="str">
        <f>'BASE DE DATOS'!AD6</f>
        <v>AEROPARQUE</v>
      </c>
      <c r="AE6" s="734">
        <f>'BASE DE DATOS'!AE6</f>
        <v>24.8</v>
      </c>
      <c r="AF6" s="734">
        <f>'BASE DE DATOS'!AF6</f>
        <v>23.7</v>
      </c>
      <c r="AG6" s="734">
        <f>'BASE DE DATOS'!AG6</f>
        <v>21.7</v>
      </c>
      <c r="AH6" s="734">
        <f>'BASE DE DATOS'!AH6</f>
        <v>18.2</v>
      </c>
      <c r="AI6" s="734">
        <f>'BASE DE DATOS'!AI6</f>
        <v>14.8</v>
      </c>
      <c r="AJ6" s="734">
        <f>'BASE DE DATOS'!AJ6</f>
        <v>11.5</v>
      </c>
      <c r="AK6" s="734">
        <f>'BASE DE DATOS'!AK6</f>
        <v>11</v>
      </c>
      <c r="AL6" s="734">
        <f>'BASE DE DATOS'!AL6</f>
        <v>12.7</v>
      </c>
      <c r="AM6" s="734">
        <f>'BASE DE DATOS'!AM6</f>
        <v>14</v>
      </c>
      <c r="AN6" s="734">
        <f>'BASE DE DATOS'!AN6</f>
        <v>17.5</v>
      </c>
      <c r="AO6" s="734">
        <f>'BASE DE DATOS'!AO6</f>
        <v>20.399999999999999</v>
      </c>
      <c r="AP6" s="734">
        <f>'BASE DE DATOS'!AP6</f>
        <v>23</v>
      </c>
      <c r="AR6" s="734" t="str">
        <f>'BASE DE DATOS'!AR6</f>
        <v>BAC</v>
      </c>
      <c r="AS6" s="734" t="str">
        <f>'BASE DE DATOS'!AS6</f>
        <v>AEROPARQUE</v>
      </c>
      <c r="AT6" s="734">
        <f>'BASE DE DATOS'!AT6</f>
        <v>6.5</v>
      </c>
      <c r="AU6" s="734">
        <f>'BASE DE DATOS'!AU6</f>
        <v>5.5</v>
      </c>
      <c r="AV6" s="734">
        <f>'BASE DE DATOS'!AV6</f>
        <v>4.5</v>
      </c>
      <c r="AW6" s="734">
        <f>'BASE DE DATOS'!AW6</f>
        <v>3</v>
      </c>
      <c r="AX6" s="734">
        <f>'BASE DE DATOS'!AX6</f>
        <v>2.5</v>
      </c>
      <c r="AY6" s="734">
        <f>'BASE DE DATOS'!AY6</f>
        <v>2</v>
      </c>
      <c r="AZ6" s="734">
        <f>'BASE DE DATOS'!AZ6</f>
        <v>2</v>
      </c>
      <c r="BA6" s="734">
        <f>'BASE DE DATOS'!BA6</f>
        <v>3</v>
      </c>
      <c r="BB6" s="734">
        <f>'BASE DE DATOS'!BB6</f>
        <v>4</v>
      </c>
      <c r="BC6" s="734">
        <f>'BASE DE DATOS'!BC6</f>
        <v>5</v>
      </c>
      <c r="BD6" s="734">
        <f>'BASE DE DATOS'!BD6</f>
        <v>6</v>
      </c>
      <c r="BE6" s="734">
        <f>'BASE DE DATOS'!BE6</f>
        <v>6.5</v>
      </c>
      <c r="BG6" s="1207"/>
      <c r="BH6" s="734" t="s">
        <v>722</v>
      </c>
      <c r="BI6" s="734" t="s">
        <v>217</v>
      </c>
      <c r="BJ6" s="734" t="s">
        <v>732</v>
      </c>
      <c r="BK6" s="1216"/>
      <c r="BL6" s="1216"/>
      <c r="BM6" s="1216"/>
      <c r="BN6" s="1216"/>
      <c r="BO6" s="1216"/>
      <c r="BQ6" s="745" t="s">
        <v>1072</v>
      </c>
      <c r="BR6" s="745" t="s">
        <v>1072</v>
      </c>
      <c r="BS6" s="745" t="s">
        <v>1114</v>
      </c>
      <c r="BT6" s="745" t="s">
        <v>1114</v>
      </c>
      <c r="BU6" s="745" t="s">
        <v>1114</v>
      </c>
      <c r="BV6" s="745" t="s">
        <v>1114</v>
      </c>
      <c r="BX6" s="745" t="s">
        <v>1292</v>
      </c>
      <c r="BY6" s="734">
        <v>1</v>
      </c>
      <c r="BZ6" s="734">
        <v>3.3</v>
      </c>
      <c r="CA6" s="734">
        <v>0</v>
      </c>
      <c r="CB6" s="745" t="s">
        <v>1171</v>
      </c>
      <c r="CC6" s="734">
        <v>2.7</v>
      </c>
      <c r="CD6" s="734">
        <v>3.3</v>
      </c>
      <c r="CE6" s="734">
        <v>0</v>
      </c>
      <c r="CF6" s="734" t="s">
        <v>1195</v>
      </c>
      <c r="CG6" s="734">
        <v>3.81</v>
      </c>
      <c r="DA6" s="734" t="s">
        <v>2033</v>
      </c>
      <c r="DB6" s="734">
        <v>1</v>
      </c>
      <c r="DD6" s="734" t="s">
        <v>1370</v>
      </c>
      <c r="DE6" s="734">
        <v>0.2</v>
      </c>
      <c r="DF6" s="734">
        <v>0.5</v>
      </c>
      <c r="DG6" s="734">
        <v>0.7</v>
      </c>
      <c r="DH6" s="734">
        <v>0.5</v>
      </c>
      <c r="DI6" s="734">
        <v>1</v>
      </c>
      <c r="DJ6" s="734">
        <v>1.1000000000000001</v>
      </c>
      <c r="DK6" s="734">
        <v>0.5</v>
      </c>
      <c r="DL6" s="734">
        <v>1</v>
      </c>
      <c r="DM6" s="734">
        <v>1.3</v>
      </c>
      <c r="DO6" s="733" t="str">
        <f>'BASE DE DATOS'!BG6</f>
        <v>BAC</v>
      </c>
      <c r="DP6" s="733" t="str">
        <f>'BASE DE DATOS'!BH6</f>
        <v>AEROPARQUE</v>
      </c>
      <c r="DQ6" s="733">
        <f>'BASE DE DATOS'!BI6</f>
        <v>104</v>
      </c>
      <c r="DR6" s="733">
        <f>'BASE DE DATOS'!BJ6</f>
        <v>98</v>
      </c>
      <c r="DS6" s="733">
        <f>'BASE DE DATOS'!BK6</f>
        <v>115</v>
      </c>
      <c r="DT6" s="733">
        <f>'BASE DE DATOS'!BL6</f>
        <v>97</v>
      </c>
      <c r="DU6" s="733">
        <f>'BASE DE DATOS'!BM6</f>
        <v>80</v>
      </c>
      <c r="DV6" s="733">
        <f>'BASE DE DATOS'!BN6</f>
        <v>61</v>
      </c>
      <c r="DW6" s="733">
        <f>'BASE DE DATOS'!BO6</f>
        <v>59</v>
      </c>
      <c r="DX6" s="733">
        <f>'BASE DE DATOS'!BP6</f>
        <v>63</v>
      </c>
      <c r="DY6" s="733">
        <f>'BASE DE DATOS'!BQ6</f>
        <v>68</v>
      </c>
      <c r="DZ6" s="733">
        <f>'BASE DE DATOS'!BR6</f>
        <v>104</v>
      </c>
      <c r="EA6" s="733">
        <f>'BASE DE DATOS'!BS6</f>
        <v>98</v>
      </c>
      <c r="EB6" s="733">
        <f>'BASE DE DATOS'!BT6</f>
        <v>93</v>
      </c>
      <c r="ED6" s="734">
        <v>2</v>
      </c>
      <c r="EE6" s="734" t="s">
        <v>1496</v>
      </c>
      <c r="EF6" s="734">
        <v>69.3</v>
      </c>
      <c r="EG6" s="743"/>
      <c r="ER6" s="734" t="s">
        <v>553</v>
      </c>
      <c r="ES6" s="748">
        <v>0.25</v>
      </c>
      <c r="ET6" s="737" t="e">
        <f>'Materiales Personalizados'!$BM$22</f>
        <v>#N/A</v>
      </c>
      <c r="EU6" s="748">
        <v>0.2</v>
      </c>
      <c r="EV6" s="737" t="e">
        <f t="shared" ref="EV6:EV20" si="0">ET6</f>
        <v>#N/A</v>
      </c>
      <c r="EW6" s="748">
        <v>0.2</v>
      </c>
      <c r="EX6" s="737">
        <v>0</v>
      </c>
      <c r="EY6" s="734" t="s">
        <v>983</v>
      </c>
      <c r="EZ6" s="748">
        <f t="shared" ref="EZ6:EZ20" si="1">EW6</f>
        <v>0.2</v>
      </c>
      <c r="FA6" s="734">
        <v>0</v>
      </c>
      <c r="FB6" s="734" t="s">
        <v>983</v>
      </c>
      <c r="FC6" s="748">
        <f t="shared" ref="FC6:FC20" si="2">EZ6</f>
        <v>0.2</v>
      </c>
      <c r="FD6" s="734">
        <v>0</v>
      </c>
      <c r="FE6" s="734" t="s">
        <v>983</v>
      </c>
      <c r="FG6" s="734">
        <v>3</v>
      </c>
      <c r="FH6" s="737" t="e">
        <f>'LINEAS BASE 3'!AT145</f>
        <v>#N/A</v>
      </c>
      <c r="FI6" s="737" t="e">
        <f>'LINEAS BASE 3'!AT143</f>
        <v>#N/A</v>
      </c>
      <c r="FK6" s="1202"/>
      <c r="FL6" s="1202"/>
      <c r="FM6" s="739" t="s">
        <v>1829</v>
      </c>
      <c r="FN6" s="739" t="s">
        <v>1830</v>
      </c>
      <c r="FO6" s="1202" t="s">
        <v>1829</v>
      </c>
      <c r="FP6" s="1202"/>
      <c r="FQ6" s="1202" t="s">
        <v>1830</v>
      </c>
      <c r="FR6" s="1202"/>
      <c r="FS6" s="1202" t="s">
        <v>1829</v>
      </c>
      <c r="FT6" s="1202"/>
      <c r="FU6" s="1202" t="s">
        <v>1830</v>
      </c>
      <c r="FV6" s="1202"/>
      <c r="FW6" s="1202" t="s">
        <v>1829</v>
      </c>
      <c r="FX6" s="1202"/>
      <c r="FY6" s="1202" t="s">
        <v>1830</v>
      </c>
      <c r="FZ6" s="1202"/>
      <c r="GA6" s="1202" t="s">
        <v>1829</v>
      </c>
      <c r="GB6" s="1202"/>
      <c r="GC6" s="1202" t="s">
        <v>1830</v>
      </c>
      <c r="GD6" s="1202"/>
      <c r="GE6" s="739" t="s">
        <v>1829</v>
      </c>
      <c r="GF6" s="1202" t="s">
        <v>1830</v>
      </c>
      <c r="GG6" s="1202"/>
      <c r="GH6" s="739" t="s">
        <v>1829</v>
      </c>
      <c r="GI6" s="1202" t="s">
        <v>1830</v>
      </c>
      <c r="GJ6" s="1202"/>
      <c r="GM6" s="741"/>
      <c r="GN6" s="741"/>
      <c r="GO6" s="727" t="s">
        <v>2038</v>
      </c>
      <c r="GP6" s="727">
        <f>DATOS!I69</f>
        <v>0</v>
      </c>
      <c r="GQ6" s="727">
        <f>DATOS!I74</f>
        <v>0</v>
      </c>
      <c r="GR6" s="727">
        <f>DATOS!I81</f>
        <v>0</v>
      </c>
      <c r="GS6" s="741"/>
      <c r="GT6" s="741" t="s">
        <v>2107</v>
      </c>
      <c r="GU6" s="727">
        <f>DATOS!I88</f>
        <v>0</v>
      </c>
      <c r="GV6" s="741"/>
      <c r="GW6" s="741"/>
      <c r="GX6" s="741"/>
      <c r="GY6" s="741"/>
      <c r="HE6" s="743" t="s">
        <v>210</v>
      </c>
      <c r="HF6" s="734">
        <v>0.8</v>
      </c>
      <c r="HH6" s="734">
        <v>3</v>
      </c>
      <c r="HI6" s="734">
        <v>5</v>
      </c>
      <c r="HJ6" s="734">
        <v>5</v>
      </c>
      <c r="HK6" s="734">
        <v>4</v>
      </c>
      <c r="HL6" s="734">
        <v>5</v>
      </c>
      <c r="HM6" s="734">
        <v>4</v>
      </c>
      <c r="HN6" s="734">
        <v>4</v>
      </c>
      <c r="HO6" s="734"/>
      <c r="HP6" s="734"/>
    </row>
    <row r="7" spans="2:224" ht="15" customHeight="1">
      <c r="B7" s="734" t="str">
        <f>'BASE DE DATOS'!B7</f>
        <v>BAC</v>
      </c>
      <c r="C7" s="734" t="str">
        <f>'BASE DE DATOS'!C7</f>
        <v>BUENOS AIRES</v>
      </c>
      <c r="D7" s="734">
        <f>'BASE DE DATOS'!D7</f>
        <v>34.58</v>
      </c>
      <c r="E7" s="734">
        <f>'BASE DE DATOS'!E7</f>
        <v>58.48</v>
      </c>
      <c r="F7" s="734">
        <f>'BASE DE DATOS'!F7</f>
        <v>25</v>
      </c>
      <c r="G7" s="734" t="str">
        <f>'BASE DE DATOS'!G7</f>
        <v>IIIB</v>
      </c>
      <c r="H7" s="734">
        <f>'BASE DE DATOS'!H7</f>
        <v>2.5</v>
      </c>
      <c r="I7" s="734">
        <f>'BASE DE DATOS'!I7</f>
        <v>11.4</v>
      </c>
      <c r="J7" s="734">
        <f>'BASE DE DATOS'!J7</f>
        <v>23.5</v>
      </c>
      <c r="K7" s="734">
        <f>'BASE DE DATOS'!K7</f>
        <v>32.5</v>
      </c>
      <c r="L7" s="734">
        <f>'BASE DE DATOS'!L7</f>
        <v>64</v>
      </c>
      <c r="M7" s="734">
        <f>'BASE DE DATOS'!M7</f>
        <v>79</v>
      </c>
      <c r="N7" s="734">
        <f>'BASE DE DATOS'!N7</f>
        <v>64</v>
      </c>
      <c r="O7" s="734">
        <f>'BASE DE DATOS'!O7</f>
        <v>61</v>
      </c>
      <c r="P7" s="734">
        <f>'BASE DE DATOS'!P7</f>
        <v>100</v>
      </c>
      <c r="Q7" s="734">
        <f>'BASE DE DATOS'!Q7</f>
        <v>3</v>
      </c>
      <c r="R7" s="734">
        <f>'BASE DE DATOS'!R7</f>
        <v>23.2</v>
      </c>
      <c r="S7" s="734">
        <f>'BASE DE DATOS'!S7</f>
        <v>0.53</v>
      </c>
      <c r="T7" s="734">
        <f>'BASE DE DATOS'!T7</f>
        <v>36.9</v>
      </c>
      <c r="U7" s="734">
        <f>'BASE DE DATOS'!U7</f>
        <v>3.4</v>
      </c>
      <c r="V7" s="734">
        <f>'BASE DE DATOS'!V7</f>
        <v>185</v>
      </c>
      <c r="W7" s="734">
        <f>'BASE DE DATOS'!W7</f>
        <v>41</v>
      </c>
      <c r="X7" s="734">
        <f>'BASE DE DATOS'!X7</f>
        <v>1.4E-2</v>
      </c>
      <c r="Y7" s="734">
        <f>'BASE DE DATOS'!Y7</f>
        <v>1.9E-2</v>
      </c>
      <c r="Z7" s="734">
        <f>'BASE DE DATOS'!Z7</f>
        <v>130</v>
      </c>
      <c r="AA7" s="734">
        <f>'BASE DE DATOS'!AA7</f>
        <v>1.3</v>
      </c>
      <c r="AB7" s="734">
        <f>'BASE DE DATOS'!AB7</f>
        <v>35</v>
      </c>
      <c r="AD7" s="734" t="str">
        <f>'BASE DE DATOS'!AD7</f>
        <v>BUENOS AIRES</v>
      </c>
      <c r="AE7" s="734">
        <f>'BASE DE DATOS'!AE7</f>
        <v>24.2</v>
      </c>
      <c r="AF7" s="734">
        <f>'BASE DE DATOS'!AF7</f>
        <v>23.5</v>
      </c>
      <c r="AG7" s="734">
        <f>'BASE DE DATOS'!AG7</f>
        <v>21</v>
      </c>
      <c r="AH7" s="734">
        <f>'BASE DE DATOS'!AH7</f>
        <v>17.5</v>
      </c>
      <c r="AI7" s="734">
        <f>'BASE DE DATOS'!AI7</f>
        <v>14.5</v>
      </c>
      <c r="AJ7" s="734">
        <f>'BASE DE DATOS'!AJ7</f>
        <v>11.2</v>
      </c>
      <c r="AK7" s="734">
        <f>'BASE DE DATOS'!AK7</f>
        <v>11</v>
      </c>
      <c r="AL7" s="734">
        <f>'BASE DE DATOS'!AL7</f>
        <v>12</v>
      </c>
      <c r="AM7" s="734">
        <f>'BASE DE DATOS'!AM7</f>
        <v>14.3</v>
      </c>
      <c r="AN7" s="734">
        <f>'BASE DE DATOS'!AN7</f>
        <v>16.8</v>
      </c>
      <c r="AO7" s="734">
        <f>'BASE DE DATOS'!AO7</f>
        <v>20.5</v>
      </c>
      <c r="AP7" s="734">
        <f>'BASE DE DATOS'!AP7</f>
        <v>22.7</v>
      </c>
      <c r="AR7" s="734" t="str">
        <f>'BASE DE DATOS'!AR7</f>
        <v>BAC</v>
      </c>
      <c r="AS7" s="734" t="str">
        <f>'BASE DE DATOS'!AS7</f>
        <v>BUENOS AIRES</v>
      </c>
      <c r="AT7" s="734">
        <f>'BASE DE DATOS'!AT7</f>
        <v>6.5</v>
      </c>
      <c r="AU7" s="734">
        <f>'BASE DE DATOS'!AU7</f>
        <v>5.5</v>
      </c>
      <c r="AV7" s="734">
        <f>'BASE DE DATOS'!AV7</f>
        <v>4.5</v>
      </c>
      <c r="AW7" s="734">
        <f>'BASE DE DATOS'!AW7</f>
        <v>3</v>
      </c>
      <c r="AX7" s="734">
        <f>'BASE DE DATOS'!AX7</f>
        <v>2.5</v>
      </c>
      <c r="AY7" s="734">
        <f>'BASE DE DATOS'!AY7</f>
        <v>2</v>
      </c>
      <c r="AZ7" s="734">
        <f>'BASE DE DATOS'!AZ7</f>
        <v>2</v>
      </c>
      <c r="BA7" s="734">
        <f>'BASE DE DATOS'!BA7</f>
        <v>3</v>
      </c>
      <c r="BB7" s="734">
        <f>'BASE DE DATOS'!BB7</f>
        <v>4</v>
      </c>
      <c r="BC7" s="734">
        <f>'BASE DE DATOS'!BC7</f>
        <v>5</v>
      </c>
      <c r="BD7" s="734">
        <f>'BASE DE DATOS'!BD7</f>
        <v>6</v>
      </c>
      <c r="BE7" s="734">
        <f>'BASE DE DATOS'!BE7</f>
        <v>6.5</v>
      </c>
      <c r="BG7" s="734" t="s">
        <v>98</v>
      </c>
      <c r="BH7" s="734" t="s">
        <v>723</v>
      </c>
      <c r="BI7" s="734" t="s">
        <v>723</v>
      </c>
      <c r="BJ7" s="734" t="s">
        <v>724</v>
      </c>
      <c r="BK7" s="734" t="s">
        <v>214</v>
      </c>
      <c r="BL7" s="734" t="s">
        <v>725</v>
      </c>
      <c r="BM7" s="734" t="s">
        <v>7</v>
      </c>
      <c r="BN7" s="734" t="s">
        <v>724</v>
      </c>
      <c r="BO7" s="734" t="s">
        <v>6</v>
      </c>
      <c r="BQ7" s="747" t="s">
        <v>1067</v>
      </c>
      <c r="BR7" s="747" t="s">
        <v>1067</v>
      </c>
      <c r="BS7" s="749" t="s">
        <v>1293</v>
      </c>
      <c r="BT7" s="750" t="s">
        <v>1074</v>
      </c>
      <c r="BU7" s="750" t="s">
        <v>1074</v>
      </c>
      <c r="BV7" s="750" t="s">
        <v>1074</v>
      </c>
      <c r="BX7" s="745" t="s">
        <v>1153</v>
      </c>
      <c r="BY7" s="734">
        <v>0.7</v>
      </c>
      <c r="BZ7" s="734">
        <v>1.25</v>
      </c>
      <c r="CA7" s="734">
        <v>1</v>
      </c>
      <c r="CB7" s="745" t="s">
        <v>1172</v>
      </c>
      <c r="CC7" s="734">
        <v>2.6</v>
      </c>
      <c r="CD7" s="734">
        <v>3.3</v>
      </c>
      <c r="CE7" s="734">
        <v>0</v>
      </c>
      <c r="CF7" s="734" t="s">
        <v>1196</v>
      </c>
      <c r="CG7" s="734">
        <v>3.81</v>
      </c>
      <c r="CI7" s="1207" t="s">
        <v>757</v>
      </c>
      <c r="CJ7" s="734">
        <v>0</v>
      </c>
      <c r="CK7" s="734">
        <v>50</v>
      </c>
      <c r="CL7" s="734">
        <v>51</v>
      </c>
      <c r="CM7" s="734">
        <v>60</v>
      </c>
      <c r="CN7" s="734">
        <v>61</v>
      </c>
      <c r="CO7" s="734">
        <v>70</v>
      </c>
      <c r="CP7" s="734">
        <v>71</v>
      </c>
      <c r="CQ7" s="734">
        <v>90</v>
      </c>
      <c r="CR7" s="734">
        <v>91</v>
      </c>
      <c r="CS7" s="734">
        <v>110</v>
      </c>
      <c r="CT7" s="734">
        <v>111</v>
      </c>
      <c r="CU7" s="734">
        <v>130</v>
      </c>
      <c r="CV7" s="734">
        <v>131</v>
      </c>
      <c r="CW7" s="734">
        <v>500</v>
      </c>
      <c r="DA7" s="734" t="s">
        <v>1355</v>
      </c>
      <c r="DB7" s="734">
        <v>1</v>
      </c>
      <c r="DD7" s="734" t="s">
        <v>1371</v>
      </c>
      <c r="DE7" s="734">
        <v>0.2</v>
      </c>
      <c r="DF7" s="734">
        <v>0.5</v>
      </c>
      <c r="DG7" s="734">
        <v>0.7</v>
      </c>
      <c r="DH7" s="734">
        <v>0.5</v>
      </c>
      <c r="DI7" s="734">
        <v>1</v>
      </c>
      <c r="DJ7" s="734">
        <v>1.1000000000000001</v>
      </c>
      <c r="DK7" s="734">
        <v>0.5</v>
      </c>
      <c r="DL7" s="734">
        <v>1</v>
      </c>
      <c r="DM7" s="734">
        <v>1.2</v>
      </c>
      <c r="DO7" s="733" t="str">
        <f>'BASE DE DATOS'!BG7</f>
        <v>BAC</v>
      </c>
      <c r="DP7" s="733" t="str">
        <f>'BASE DE DATOS'!BH7</f>
        <v>BUENOS AIRES</v>
      </c>
      <c r="DQ7" s="733">
        <f>'BASE DE DATOS'!BI7</f>
        <v>104</v>
      </c>
      <c r="DR7" s="733">
        <f>'BASE DE DATOS'!BJ7</f>
        <v>98</v>
      </c>
      <c r="DS7" s="733">
        <f>'BASE DE DATOS'!BK7</f>
        <v>115</v>
      </c>
      <c r="DT7" s="733">
        <f>'BASE DE DATOS'!BL7</f>
        <v>97</v>
      </c>
      <c r="DU7" s="733">
        <f>'BASE DE DATOS'!BM7</f>
        <v>80</v>
      </c>
      <c r="DV7" s="733">
        <f>'BASE DE DATOS'!BN7</f>
        <v>61</v>
      </c>
      <c r="DW7" s="733">
        <f>'BASE DE DATOS'!BO7</f>
        <v>59</v>
      </c>
      <c r="DX7" s="733">
        <f>'BASE DE DATOS'!BP7</f>
        <v>63</v>
      </c>
      <c r="DY7" s="733">
        <f>'BASE DE DATOS'!BQ7</f>
        <v>68</v>
      </c>
      <c r="DZ7" s="733">
        <f>'BASE DE DATOS'!BR7</f>
        <v>104</v>
      </c>
      <c r="EA7" s="733">
        <f>'BASE DE DATOS'!BS7</f>
        <v>98</v>
      </c>
      <c r="EB7" s="733">
        <f>'BASE DE DATOS'!BT7</f>
        <v>93</v>
      </c>
      <c r="ED7" s="734">
        <v>3</v>
      </c>
      <c r="EE7" s="734" t="s">
        <v>1498</v>
      </c>
      <c r="EF7" s="734">
        <v>43.8</v>
      </c>
      <c r="EG7" s="743"/>
      <c r="EH7" s="1210" t="s">
        <v>1552</v>
      </c>
      <c r="EI7" s="1210"/>
      <c r="EJ7" s="1210"/>
      <c r="EK7" s="1210"/>
      <c r="EL7" s="1210"/>
      <c r="EM7" s="1210"/>
      <c r="EN7" s="1210"/>
      <c r="EO7" s="1210"/>
      <c r="EP7" s="1210"/>
      <c r="ER7" s="734" t="s">
        <v>210</v>
      </c>
      <c r="ES7" s="748">
        <v>0.25</v>
      </c>
      <c r="ET7" s="737" t="e">
        <f>'Materiales Personalizados'!$BM$22</f>
        <v>#N/A</v>
      </c>
      <c r="EU7" s="748">
        <v>0.2</v>
      </c>
      <c r="EV7" s="737" t="e">
        <f t="shared" si="0"/>
        <v>#N/A</v>
      </c>
      <c r="EW7" s="748">
        <v>0.2</v>
      </c>
      <c r="EX7" s="737">
        <v>0</v>
      </c>
      <c r="EY7" s="734" t="s">
        <v>983</v>
      </c>
      <c r="EZ7" s="748">
        <f t="shared" si="1"/>
        <v>0.2</v>
      </c>
      <c r="FA7" s="734">
        <v>0</v>
      </c>
      <c r="FB7" s="734" t="s">
        <v>983</v>
      </c>
      <c r="FC7" s="748">
        <f t="shared" si="2"/>
        <v>0.2</v>
      </c>
      <c r="FD7" s="734">
        <v>0</v>
      </c>
      <c r="FE7" s="734" t="s">
        <v>983</v>
      </c>
      <c r="FG7" s="734">
        <v>4</v>
      </c>
      <c r="FH7" s="737" t="e">
        <f>'LINEAS BASE 4'!AT145</f>
        <v>#N/A</v>
      </c>
      <c r="FI7" s="737" t="e">
        <f>'LINEAS BASE 4'!AT143</f>
        <v>#N/A</v>
      </c>
      <c r="FK7" s="731" t="str">
        <f>'BASE DE DATOS'!BV7</f>
        <v>JUJUY</v>
      </c>
      <c r="FL7" s="731">
        <f>'BASE DE DATOS'!BW7</f>
        <v>24.18</v>
      </c>
      <c r="FM7" s="731">
        <f>'BASE DE DATOS'!BX7</f>
        <v>8</v>
      </c>
      <c r="FN7" s="731">
        <f>'BASE DE DATOS'!BY7</f>
        <v>49</v>
      </c>
      <c r="FO7" s="731">
        <f>'BASE DE DATOS'!BZ7</f>
        <v>8</v>
      </c>
      <c r="FP7" s="731">
        <f>'BASE DE DATOS'!CA7</f>
        <v>-1</v>
      </c>
      <c r="FQ7" s="731">
        <f>'BASE DE DATOS'!CB7</f>
        <v>57</v>
      </c>
      <c r="FR7" s="731">
        <f>'BASE DE DATOS'!CC7</f>
        <v>49</v>
      </c>
      <c r="FS7" s="731">
        <f>'BASE DE DATOS'!CD7</f>
        <v>0</v>
      </c>
      <c r="FT7" s="731">
        <f>'BASE DE DATOS'!CE7</f>
        <v>0</v>
      </c>
      <c r="FU7" s="731">
        <f>'BASE DE DATOS'!CF7</f>
        <v>61</v>
      </c>
      <c r="FV7" s="731">
        <f>'BASE DE DATOS'!CG7</f>
        <v>57</v>
      </c>
      <c r="FW7" s="731">
        <f>'BASE DE DATOS'!CH7</f>
        <v>0</v>
      </c>
      <c r="FX7" s="731">
        <f>'BASE DE DATOS'!CI7</f>
        <v>0</v>
      </c>
      <c r="FY7" s="731">
        <f>'BASE DE DATOS'!CJ7</f>
        <v>69</v>
      </c>
      <c r="FZ7" s="731">
        <f>'BASE DE DATOS'!CK7</f>
        <v>61</v>
      </c>
      <c r="GA7" s="731">
        <f>'BASE DE DATOS'!CL7</f>
        <v>0</v>
      </c>
      <c r="GB7" s="731">
        <f>'BASE DE DATOS'!CM7</f>
        <v>0</v>
      </c>
      <c r="GC7" s="731">
        <f>'BASE DE DATOS'!CN7</f>
        <v>73</v>
      </c>
      <c r="GD7" s="731">
        <f>'BASE DE DATOS'!CO7</f>
        <v>69</v>
      </c>
      <c r="GE7" s="731">
        <f>'BASE DE DATOS'!CP7</f>
        <v>0</v>
      </c>
      <c r="GF7" s="731">
        <f>'BASE DE DATOS'!CQ7</f>
        <v>79</v>
      </c>
      <c r="GG7" s="731">
        <f>'BASE DE DATOS'!CR7</f>
        <v>73</v>
      </c>
      <c r="GH7" s="731">
        <f>'BASE DE DATOS'!CS7</f>
        <v>0</v>
      </c>
      <c r="GI7" s="731">
        <f>'BASE DE DATOS'!CT7</f>
        <v>82</v>
      </c>
      <c r="GJ7" s="731">
        <f>'BASE DE DATOS'!CU7</f>
        <v>79</v>
      </c>
      <c r="GM7" s="741"/>
      <c r="GN7" s="741"/>
      <c r="GO7" s="741"/>
      <c r="GP7" s="741"/>
      <c r="GQ7" s="741"/>
      <c r="GR7" s="741"/>
      <c r="GS7" s="741"/>
      <c r="GT7" s="741"/>
      <c r="GU7" s="741"/>
      <c r="GV7" s="741"/>
      <c r="GW7" s="741"/>
      <c r="GX7" s="741"/>
      <c r="GY7" s="741"/>
      <c r="HE7" s="743" t="s">
        <v>554</v>
      </c>
      <c r="HF7" s="734">
        <v>0.6</v>
      </c>
      <c r="HH7" s="734">
        <v>4</v>
      </c>
      <c r="HI7" s="734">
        <v>2</v>
      </c>
      <c r="HJ7" s="734">
        <v>2</v>
      </c>
      <c r="HK7" s="734">
        <v>3</v>
      </c>
      <c r="HL7" s="734">
        <v>2</v>
      </c>
      <c r="HM7" s="734">
        <v>3</v>
      </c>
      <c r="HN7" s="734">
        <v>3</v>
      </c>
      <c r="HO7" s="734"/>
      <c r="HP7" s="734"/>
    </row>
    <row r="8" spans="2:224" ht="15" customHeight="1">
      <c r="B8" s="734" t="str">
        <f>'BASE DE DATOS'!B8</f>
        <v>BAP</v>
      </c>
      <c r="C8" s="734" t="str">
        <f>'BASE DE DATOS'!C8</f>
        <v>CASTELAR</v>
      </c>
      <c r="D8" s="734">
        <f>'BASE DE DATOS'!D8</f>
        <v>34.67</v>
      </c>
      <c r="E8" s="734">
        <f>'BASE DE DATOS'!E8</f>
        <v>58.65</v>
      </c>
      <c r="F8" s="734">
        <f>'BASE DE DATOS'!F8</f>
        <v>22</v>
      </c>
      <c r="G8" s="734" t="str">
        <f>'BASE DE DATOS'!G8</f>
        <v>IIIB</v>
      </c>
      <c r="H8" s="734">
        <f>'BASE DE DATOS'!H8</f>
        <v>-0.3</v>
      </c>
      <c r="I8" s="734">
        <f>'BASE DE DATOS'!I8</f>
        <v>10.5</v>
      </c>
      <c r="J8" s="734">
        <f>'BASE DE DATOS'!J8</f>
        <v>22.7</v>
      </c>
      <c r="K8" s="734">
        <f>'BASE DE DATOS'!K8</f>
        <v>32.5</v>
      </c>
      <c r="L8" s="734">
        <f>'BASE DE DATOS'!L8</f>
        <v>64</v>
      </c>
      <c r="M8" s="734">
        <f>'BASE DE DATOS'!M8</f>
        <v>78</v>
      </c>
      <c r="N8" s="734">
        <f>'BASE DE DATOS'!N8</f>
        <v>64</v>
      </c>
      <c r="O8" s="734">
        <f>'BASE DE DATOS'!O8</f>
        <v>55</v>
      </c>
      <c r="P8" s="734">
        <f>'BASE DE DATOS'!P8</f>
        <v>95</v>
      </c>
      <c r="Q8" s="734">
        <f>'BASE DE DATOS'!Q8</f>
        <v>3</v>
      </c>
      <c r="R8" s="734">
        <f>'BASE DE DATOS'!R8</f>
        <v>22.2</v>
      </c>
      <c r="S8" s="734">
        <f>'BASE DE DATOS'!S8</f>
        <v>0.53</v>
      </c>
      <c r="T8" s="734">
        <f>'BASE DE DATOS'!T8</f>
        <v>36.9</v>
      </c>
      <c r="U8" s="734">
        <f>'BASE DE DATOS'!U8</f>
        <v>3.4</v>
      </c>
      <c r="V8" s="734">
        <f>'BASE DE DATOS'!V8</f>
        <v>185</v>
      </c>
      <c r="W8" s="734">
        <f>'BASE DE DATOS'!W8</f>
        <v>41</v>
      </c>
      <c r="X8" s="734">
        <f>'BASE DE DATOS'!X8</f>
        <v>1.4E-2</v>
      </c>
      <c r="Y8" s="734">
        <f>'BASE DE DATOS'!Y8</f>
        <v>1.9E-2</v>
      </c>
      <c r="Z8" s="734">
        <f>'BASE DE DATOS'!Z8</f>
        <v>130</v>
      </c>
      <c r="AA8" s="734">
        <f>'BASE DE DATOS'!AA8</f>
        <v>1.3</v>
      </c>
      <c r="AB8" s="734">
        <f>'BASE DE DATOS'!AB8</f>
        <v>35</v>
      </c>
      <c r="AD8" s="734" t="str">
        <f>'BASE DE DATOS'!AD8</f>
        <v>CASTELAR</v>
      </c>
      <c r="AE8" s="734">
        <f>'BASE DE DATOS'!AE8</f>
        <v>24.4</v>
      </c>
      <c r="AF8" s="734">
        <f>'BASE DE DATOS'!AF8</f>
        <v>22.8</v>
      </c>
      <c r="AG8" s="734">
        <f>'BASE DE DATOS'!AG8</f>
        <v>20.3</v>
      </c>
      <c r="AH8" s="734">
        <f>'BASE DE DATOS'!AH8</f>
        <v>16.600000000000001</v>
      </c>
      <c r="AI8" s="734">
        <f>'BASE DE DATOS'!AI8</f>
        <v>13</v>
      </c>
      <c r="AJ8" s="734">
        <f>'BASE DE DATOS'!AJ8</f>
        <v>10</v>
      </c>
      <c r="AK8" s="734">
        <f>'BASE DE DATOS'!AK8</f>
        <v>9.8000000000000007</v>
      </c>
      <c r="AL8" s="734">
        <f>'BASE DE DATOS'!AL8</f>
        <v>11.8</v>
      </c>
      <c r="AM8" s="734">
        <f>'BASE DE DATOS'!AM8</f>
        <v>13.6</v>
      </c>
      <c r="AN8" s="734">
        <f>'BASE DE DATOS'!AN8</f>
        <v>16.7</v>
      </c>
      <c r="AO8" s="734">
        <f>'BASE DE DATOS'!AO8</f>
        <v>19.600000000000001</v>
      </c>
      <c r="AP8" s="734">
        <f>'BASE DE DATOS'!AP8</f>
        <v>22.2</v>
      </c>
      <c r="AR8" s="734" t="str">
        <f>'BASE DE DATOS'!AR8</f>
        <v>BAP</v>
      </c>
      <c r="AS8" s="734" t="str">
        <f>'BASE DE DATOS'!AS8</f>
        <v>CASTELAR</v>
      </c>
      <c r="AT8" s="734">
        <f>'BASE DE DATOS'!AT8</f>
        <v>6.5</v>
      </c>
      <c r="AU8" s="734">
        <f>'BASE DE DATOS'!AU8</f>
        <v>5.5</v>
      </c>
      <c r="AV8" s="734">
        <f>'BASE DE DATOS'!AV8</f>
        <v>4.5</v>
      </c>
      <c r="AW8" s="734">
        <f>'BASE DE DATOS'!AW8</f>
        <v>3</v>
      </c>
      <c r="AX8" s="734">
        <f>'BASE DE DATOS'!AX8</f>
        <v>2.5</v>
      </c>
      <c r="AY8" s="734">
        <f>'BASE DE DATOS'!AY8</f>
        <v>2</v>
      </c>
      <c r="AZ8" s="734">
        <f>'BASE DE DATOS'!AZ8</f>
        <v>2</v>
      </c>
      <c r="BA8" s="734">
        <f>'BASE DE DATOS'!BA8</f>
        <v>3</v>
      </c>
      <c r="BB8" s="734">
        <f>'BASE DE DATOS'!BB8</f>
        <v>4</v>
      </c>
      <c r="BC8" s="734">
        <f>'BASE DE DATOS'!BC8</f>
        <v>5</v>
      </c>
      <c r="BD8" s="734">
        <f>'BASE DE DATOS'!BD8</f>
        <v>6</v>
      </c>
      <c r="BE8" s="734">
        <f>'BASE DE DATOS'!BE8</f>
        <v>6.5</v>
      </c>
      <c r="BG8" s="734" t="s">
        <v>88</v>
      </c>
      <c r="BH8" s="734" t="s">
        <v>723</v>
      </c>
      <c r="BI8" s="734" t="s">
        <v>723</v>
      </c>
      <c r="BJ8" s="734" t="s">
        <v>724</v>
      </c>
      <c r="BK8" s="734" t="s">
        <v>214</v>
      </c>
      <c r="BL8" s="734" t="s">
        <v>725</v>
      </c>
      <c r="BM8" s="734" t="s">
        <v>7</v>
      </c>
      <c r="BN8" s="734" t="s">
        <v>724</v>
      </c>
      <c r="BO8" s="734" t="s">
        <v>6</v>
      </c>
      <c r="BQ8" s="747" t="s">
        <v>2005</v>
      </c>
      <c r="BR8" s="747" t="s">
        <v>2005</v>
      </c>
      <c r="BS8" s="747" t="s">
        <v>2005</v>
      </c>
      <c r="BT8" s="747" t="s">
        <v>2005</v>
      </c>
      <c r="BU8" s="747" t="s">
        <v>2005</v>
      </c>
      <c r="BV8" s="747" t="s">
        <v>2005</v>
      </c>
      <c r="BX8" s="745" t="s">
        <v>1294</v>
      </c>
      <c r="BY8" s="734">
        <v>1</v>
      </c>
      <c r="BZ8" s="734">
        <v>3.3</v>
      </c>
      <c r="CA8" s="734">
        <v>0</v>
      </c>
      <c r="CB8" s="745" t="s">
        <v>1173</v>
      </c>
      <c r="CC8" s="734">
        <v>2.5</v>
      </c>
      <c r="CD8" s="734">
        <v>3.3</v>
      </c>
      <c r="CE8" s="734">
        <v>0</v>
      </c>
      <c r="CF8" s="734" t="s">
        <v>791</v>
      </c>
      <c r="CG8" s="734">
        <v>3.81</v>
      </c>
      <c r="CI8" s="1207"/>
      <c r="CJ8" s="734" t="s">
        <v>1215</v>
      </c>
      <c r="CK8" s="734" t="s">
        <v>1215</v>
      </c>
      <c r="CL8" s="734" t="s">
        <v>1216</v>
      </c>
      <c r="CM8" s="734" t="s">
        <v>1216</v>
      </c>
      <c r="CN8" s="734" t="s">
        <v>1217</v>
      </c>
      <c r="CO8" s="734" t="s">
        <v>1217</v>
      </c>
      <c r="CP8" s="734" t="s">
        <v>1218</v>
      </c>
      <c r="CQ8" s="734" t="s">
        <v>1218</v>
      </c>
      <c r="CR8" s="734" t="s">
        <v>1219</v>
      </c>
      <c r="CS8" s="734" t="s">
        <v>1219</v>
      </c>
      <c r="CT8" s="734" t="s">
        <v>1220</v>
      </c>
      <c r="CU8" s="734" t="s">
        <v>1220</v>
      </c>
      <c r="CV8" s="734" t="s">
        <v>1221</v>
      </c>
      <c r="CW8" s="734" t="s">
        <v>1221</v>
      </c>
      <c r="DA8" s="734" t="s">
        <v>1360</v>
      </c>
      <c r="DB8" s="734">
        <v>1</v>
      </c>
      <c r="DD8" s="734" t="s">
        <v>1372</v>
      </c>
      <c r="DE8" s="734">
        <v>0.2</v>
      </c>
      <c r="DF8" s="734">
        <v>0.5</v>
      </c>
      <c r="DG8" s="734">
        <v>0.9</v>
      </c>
      <c r="DH8" s="734">
        <v>0.6</v>
      </c>
      <c r="DI8" s="734">
        <v>1.1000000000000001</v>
      </c>
      <c r="DJ8" s="734">
        <v>1.3</v>
      </c>
      <c r="DK8" s="734">
        <v>0.5</v>
      </c>
      <c r="DL8" s="734">
        <v>1</v>
      </c>
      <c r="DM8" s="734">
        <v>1.4</v>
      </c>
      <c r="DO8" s="733" t="str">
        <f>'BASE DE DATOS'!BG8</f>
        <v>BAP</v>
      </c>
      <c r="DP8" s="733" t="str">
        <f>'BASE DE DATOS'!BH8</f>
        <v>CASTELAR</v>
      </c>
      <c r="DQ8" s="733">
        <f>'BASE DE DATOS'!BI8</f>
        <v>104</v>
      </c>
      <c r="DR8" s="733">
        <f>'BASE DE DATOS'!BJ8</f>
        <v>98</v>
      </c>
      <c r="DS8" s="733">
        <f>'BASE DE DATOS'!BK8</f>
        <v>115</v>
      </c>
      <c r="DT8" s="733">
        <f>'BASE DE DATOS'!BL8</f>
        <v>97</v>
      </c>
      <c r="DU8" s="733">
        <f>'BASE DE DATOS'!BM8</f>
        <v>80</v>
      </c>
      <c r="DV8" s="733">
        <f>'BASE DE DATOS'!BN8</f>
        <v>61</v>
      </c>
      <c r="DW8" s="733">
        <f>'BASE DE DATOS'!BO8</f>
        <v>59</v>
      </c>
      <c r="DX8" s="733">
        <f>'BASE DE DATOS'!BP8</f>
        <v>63</v>
      </c>
      <c r="DY8" s="733">
        <f>'BASE DE DATOS'!BQ8</f>
        <v>68</v>
      </c>
      <c r="DZ8" s="733">
        <f>'BASE DE DATOS'!BR8</f>
        <v>104</v>
      </c>
      <c r="EA8" s="733">
        <f>'BASE DE DATOS'!BS8</f>
        <v>98</v>
      </c>
      <c r="EB8" s="733">
        <f>'BASE DE DATOS'!BT8</f>
        <v>93</v>
      </c>
      <c r="EG8" s="743"/>
      <c r="EH8" s="734">
        <v>0</v>
      </c>
      <c r="EI8" s="734">
        <v>50</v>
      </c>
      <c r="EJ8" s="734">
        <v>200</v>
      </c>
      <c r="EK8" s="734">
        <v>201</v>
      </c>
      <c r="EL8" s="734">
        <v>400</v>
      </c>
      <c r="EM8" s="734">
        <v>401</v>
      </c>
      <c r="EN8" s="734">
        <v>700</v>
      </c>
      <c r="EO8" s="734">
        <v>1000</v>
      </c>
      <c r="EP8" s="734">
        <v>5000</v>
      </c>
      <c r="ER8" s="734" t="s">
        <v>554</v>
      </c>
      <c r="ES8" s="748">
        <v>0.15</v>
      </c>
      <c r="ET8" s="734">
        <v>0</v>
      </c>
      <c r="EU8" s="748">
        <v>0.2</v>
      </c>
      <c r="EV8" s="737">
        <f t="shared" si="0"/>
        <v>0</v>
      </c>
      <c r="EW8" s="748">
        <v>0.15</v>
      </c>
      <c r="EX8" s="737">
        <v>0</v>
      </c>
      <c r="EY8" s="734" t="s">
        <v>983</v>
      </c>
      <c r="EZ8" s="748">
        <f t="shared" si="1"/>
        <v>0.15</v>
      </c>
      <c r="FA8" s="734">
        <v>0</v>
      </c>
      <c r="FB8" s="734" t="s">
        <v>983</v>
      </c>
      <c r="FC8" s="748">
        <f t="shared" si="2"/>
        <v>0.15</v>
      </c>
      <c r="FD8" s="734">
        <v>0</v>
      </c>
      <c r="FE8" s="734" t="s">
        <v>983</v>
      </c>
      <c r="FG8" s="734">
        <v>5</v>
      </c>
      <c r="FH8" s="737" t="e">
        <f>'LINEAS BASE 5'!AT145</f>
        <v>#N/A</v>
      </c>
      <c r="FI8" s="737" t="e">
        <f>'LINEAS BASE 5'!AT143</f>
        <v>#N/A</v>
      </c>
      <c r="FK8" s="731" t="str">
        <f>'BASE DE DATOS'!BV8</f>
        <v>MISIONES</v>
      </c>
      <c r="FL8" s="731">
        <f>'BASE DE DATOS'!BW8</f>
        <v>25.68</v>
      </c>
      <c r="FM8" s="731">
        <f>'BASE DE DATOS'!BX8</f>
        <v>8</v>
      </c>
      <c r="FN8" s="731">
        <f>'BASE DE DATOS'!BY8</f>
        <v>49</v>
      </c>
      <c r="FO8" s="731">
        <f>'BASE DE DATOS'!BZ8</f>
        <v>8</v>
      </c>
      <c r="FP8" s="731">
        <f>'BASE DE DATOS'!CA8</f>
        <v>0</v>
      </c>
      <c r="FQ8" s="731">
        <f>'BASE DE DATOS'!CB8</f>
        <v>58</v>
      </c>
      <c r="FR8" s="731">
        <f>'BASE DE DATOS'!CC8</f>
        <v>49</v>
      </c>
      <c r="FS8" s="731">
        <f>'BASE DE DATOS'!CD8</f>
        <v>0</v>
      </c>
      <c r="FT8" s="731">
        <f>'BASE DE DATOS'!CE8</f>
        <v>0</v>
      </c>
      <c r="FU8" s="731">
        <f>'BASE DE DATOS'!CF8</f>
        <v>65</v>
      </c>
      <c r="FV8" s="731">
        <f>'BASE DE DATOS'!CG8</f>
        <v>58</v>
      </c>
      <c r="FW8" s="731">
        <f>'BASE DE DATOS'!CH8</f>
        <v>0</v>
      </c>
      <c r="FX8" s="731">
        <f>'BASE DE DATOS'!CI8</f>
        <v>0</v>
      </c>
      <c r="FY8" s="731">
        <f>'BASE DE DATOS'!CJ8</f>
        <v>70</v>
      </c>
      <c r="FZ8" s="731">
        <f>'BASE DE DATOS'!CK8</f>
        <v>65</v>
      </c>
      <c r="GA8" s="731">
        <f>'BASE DE DATOS'!CL8</f>
        <v>0</v>
      </c>
      <c r="GB8" s="731">
        <f>'BASE DE DATOS'!CM8</f>
        <v>0</v>
      </c>
      <c r="GC8" s="731">
        <f>'BASE DE DATOS'!CN8</f>
        <v>75</v>
      </c>
      <c r="GD8" s="731">
        <f>'BASE DE DATOS'!CO8</f>
        <v>70</v>
      </c>
      <c r="GE8" s="731">
        <f>'BASE DE DATOS'!CP8</f>
        <v>0</v>
      </c>
      <c r="GF8" s="731">
        <f>'BASE DE DATOS'!CQ8</f>
        <v>80</v>
      </c>
      <c r="GG8" s="731">
        <f>'BASE DE DATOS'!CR8</f>
        <v>75</v>
      </c>
      <c r="GH8" s="731">
        <f>'BASE DE DATOS'!CS8</f>
        <v>0</v>
      </c>
      <c r="GI8" s="731">
        <f>'BASE DE DATOS'!CT8</f>
        <v>85</v>
      </c>
      <c r="GJ8" s="731">
        <f>'BASE DE DATOS'!CU8</f>
        <v>80</v>
      </c>
      <c r="GM8" s="741"/>
      <c r="GN8" s="741"/>
      <c r="GO8" s="741"/>
      <c r="GP8" s="741"/>
      <c r="GQ8" s="741"/>
      <c r="GR8" s="741"/>
      <c r="GS8" s="741"/>
      <c r="GT8" s="741"/>
      <c r="GU8" s="741"/>
      <c r="GV8" s="741"/>
      <c r="GW8" s="741"/>
      <c r="GX8" s="741"/>
      <c r="GY8" s="741"/>
      <c r="HE8" s="743" t="s">
        <v>555</v>
      </c>
      <c r="HF8" s="734">
        <v>0.6</v>
      </c>
      <c r="HH8" s="734">
        <v>5</v>
      </c>
      <c r="HI8" s="734">
        <v>4</v>
      </c>
      <c r="HJ8" s="734">
        <v>4</v>
      </c>
      <c r="HK8" s="734">
        <v>4</v>
      </c>
      <c r="HL8" s="734">
        <v>5</v>
      </c>
      <c r="HM8" s="734">
        <v>5</v>
      </c>
      <c r="HN8" s="734">
        <v>5</v>
      </c>
      <c r="HO8" s="734"/>
      <c r="HP8" s="734"/>
    </row>
    <row r="9" spans="2:224" ht="16">
      <c r="B9" s="734" t="str">
        <f>'BASE DE DATOS'!B9</f>
        <v>GBA</v>
      </c>
      <c r="C9" s="734" t="str">
        <f>'BASE DE DATOS'!C9</f>
        <v>DON TORCUATO</v>
      </c>
      <c r="D9" s="734">
        <f>'BASE DE DATOS'!D9</f>
        <v>34.29</v>
      </c>
      <c r="E9" s="734">
        <f>'BASE DE DATOS'!E9</f>
        <v>58.37</v>
      </c>
      <c r="F9" s="734">
        <f>'BASE DE DATOS'!F9</f>
        <v>4</v>
      </c>
      <c r="G9" s="734" t="str">
        <f>'BASE DE DATOS'!G9</f>
        <v>IIIB</v>
      </c>
      <c r="H9" s="734">
        <f>'BASE DE DATOS'!H9</f>
        <v>0</v>
      </c>
      <c r="I9" s="734">
        <f>'BASE DE DATOS'!I9</f>
        <v>1499</v>
      </c>
      <c r="J9" s="734">
        <f>'BASE DE DATOS'!J9</f>
        <v>22.2</v>
      </c>
      <c r="K9" s="734">
        <f>'BASE DE DATOS'!K9</f>
        <v>32.5</v>
      </c>
      <c r="L9" s="734">
        <f>'BASE DE DATOS'!L9</f>
        <v>64</v>
      </c>
      <c r="M9" s="734">
        <f>'BASE DE DATOS'!M9</f>
        <v>78</v>
      </c>
      <c r="N9" s="734">
        <f>'BASE DE DATOS'!N9</f>
        <v>64</v>
      </c>
      <c r="O9" s="734">
        <f>'BASE DE DATOS'!O9</f>
        <v>50</v>
      </c>
      <c r="P9" s="734">
        <f>'BASE DE DATOS'!P9</f>
        <v>100</v>
      </c>
      <c r="Q9" s="734">
        <f>'BASE DE DATOS'!Q9</f>
        <v>3</v>
      </c>
      <c r="R9" s="734">
        <f>'BASE DE DATOS'!R9</f>
        <v>22.2</v>
      </c>
      <c r="S9" s="734">
        <f>'BASE DE DATOS'!S9</f>
        <v>0.53</v>
      </c>
      <c r="T9" s="734">
        <f>'BASE DE DATOS'!T9</f>
        <v>36.9</v>
      </c>
      <c r="U9" s="734">
        <f>'BASE DE DATOS'!U9</f>
        <v>3.4</v>
      </c>
      <c r="V9" s="734">
        <f>'BASE DE DATOS'!V9</f>
        <v>185</v>
      </c>
      <c r="W9" s="734">
        <f>'BASE DE DATOS'!W9</f>
        <v>41</v>
      </c>
      <c r="X9" s="734">
        <f>'BASE DE DATOS'!X9</f>
        <v>1.4E-2</v>
      </c>
      <c r="Y9" s="734">
        <f>'BASE DE DATOS'!Y9</f>
        <v>1.9E-2</v>
      </c>
      <c r="Z9" s="734">
        <f>'BASE DE DATOS'!Z9</f>
        <v>130</v>
      </c>
      <c r="AA9" s="734">
        <f>'BASE DE DATOS'!AA9</f>
        <v>1.3</v>
      </c>
      <c r="AB9" s="734">
        <f>'BASE DE DATOS'!AB9</f>
        <v>35</v>
      </c>
      <c r="AD9" s="734" t="str">
        <f>'BASE DE DATOS'!AD9</f>
        <v>DON TORCUATO</v>
      </c>
      <c r="AE9" s="734">
        <f>'BASE DE DATOS'!AE9</f>
        <v>25.1</v>
      </c>
      <c r="AF9" s="734">
        <f>'BASE DE DATOS'!AF9</f>
        <v>23.4</v>
      </c>
      <c r="AG9" s="734">
        <f>'BASE DE DATOS'!AG9</f>
        <v>21.1</v>
      </c>
      <c r="AH9" s="734">
        <f>'BASE DE DATOS'!AH9</f>
        <v>17.399999999999999</v>
      </c>
      <c r="AI9" s="734">
        <f>'BASE DE DATOS'!AI9</f>
        <v>13.4</v>
      </c>
      <c r="AJ9" s="734">
        <f>'BASE DE DATOS'!AJ9</f>
        <v>10.8</v>
      </c>
      <c r="AK9" s="734">
        <f>'BASE DE DATOS'!AK9</f>
        <v>10.5</v>
      </c>
      <c r="AL9" s="734">
        <f>'BASE DE DATOS'!AL9</f>
        <v>12.3</v>
      </c>
      <c r="AM9" s="734">
        <f>'BASE DE DATOS'!AM9</f>
        <v>14.1</v>
      </c>
      <c r="AN9" s="734">
        <f>'BASE DE DATOS'!AN9</f>
        <v>17.3</v>
      </c>
      <c r="AO9" s="734">
        <f>'BASE DE DATOS'!AO9</f>
        <v>20.3</v>
      </c>
      <c r="AP9" s="734">
        <f>'BASE DE DATOS'!AP9</f>
        <v>22.6</v>
      </c>
      <c r="AR9" s="734" t="str">
        <f>'BASE DE DATOS'!AR9</f>
        <v>GBA</v>
      </c>
      <c r="AS9" s="734" t="str">
        <f>'BASE DE DATOS'!AS9</f>
        <v>DON TORCUATO</v>
      </c>
      <c r="AT9" s="734">
        <f>'BASE DE DATOS'!AT9</f>
        <v>6.5</v>
      </c>
      <c r="AU9" s="734">
        <f>'BASE DE DATOS'!AU9</f>
        <v>5.5</v>
      </c>
      <c r="AV9" s="734">
        <f>'BASE DE DATOS'!AV9</f>
        <v>4.5</v>
      </c>
      <c r="AW9" s="734">
        <f>'BASE DE DATOS'!AW9</f>
        <v>3</v>
      </c>
      <c r="AX9" s="734">
        <f>'BASE DE DATOS'!AX9</f>
        <v>2.5</v>
      </c>
      <c r="AY9" s="734">
        <f>'BASE DE DATOS'!AY9</f>
        <v>2</v>
      </c>
      <c r="AZ9" s="734">
        <f>'BASE DE DATOS'!AZ9</f>
        <v>2</v>
      </c>
      <c r="BA9" s="734">
        <f>'BASE DE DATOS'!BA9</f>
        <v>3</v>
      </c>
      <c r="BB9" s="734">
        <f>'BASE DE DATOS'!BB9</f>
        <v>4</v>
      </c>
      <c r="BC9" s="734">
        <f>'BASE DE DATOS'!BC9</f>
        <v>5</v>
      </c>
      <c r="BD9" s="734">
        <f>'BASE DE DATOS'!BD9</f>
        <v>6</v>
      </c>
      <c r="BE9" s="734">
        <f>'BASE DE DATOS'!BE9</f>
        <v>6.5</v>
      </c>
      <c r="BG9" s="734" t="s">
        <v>69</v>
      </c>
      <c r="BH9" s="734" t="s">
        <v>723</v>
      </c>
      <c r="BI9" s="734" t="s">
        <v>723</v>
      </c>
      <c r="BJ9" s="734" t="s">
        <v>724</v>
      </c>
      <c r="BK9" s="734" t="s">
        <v>214</v>
      </c>
      <c r="BL9" s="734" t="s">
        <v>725</v>
      </c>
      <c r="BM9" s="734" t="s">
        <v>7</v>
      </c>
      <c r="BN9" s="734" t="s">
        <v>724</v>
      </c>
      <c r="BO9" s="734" t="s">
        <v>6</v>
      </c>
      <c r="BQ9" s="747" t="s">
        <v>2006</v>
      </c>
      <c r="BR9" s="747" t="s">
        <v>2006</v>
      </c>
      <c r="BS9" s="747" t="s">
        <v>2006</v>
      </c>
      <c r="BT9" s="747" t="s">
        <v>2006</v>
      </c>
      <c r="BU9" s="750" t="s">
        <v>1070</v>
      </c>
      <c r="BV9" s="750" t="s">
        <v>1073</v>
      </c>
      <c r="BX9" s="745" t="s">
        <v>1154</v>
      </c>
      <c r="BY9" s="734">
        <v>0.2</v>
      </c>
      <c r="BZ9" s="734">
        <v>1.25</v>
      </c>
      <c r="CA9" s="734">
        <v>0</v>
      </c>
      <c r="CB9" s="745" t="s">
        <v>1174</v>
      </c>
      <c r="CC9" s="734">
        <v>2.2999999999999998</v>
      </c>
      <c r="CD9" s="734">
        <v>3.3</v>
      </c>
      <c r="CE9" s="734">
        <v>0</v>
      </c>
      <c r="CF9" s="734" t="s">
        <v>1197</v>
      </c>
      <c r="CG9" s="734">
        <v>9.5299999999999994</v>
      </c>
      <c r="DA9" s="734"/>
      <c r="DB9" s="734"/>
      <c r="DD9" s="734" t="s">
        <v>1768</v>
      </c>
      <c r="DE9" s="734">
        <v>0.6</v>
      </c>
      <c r="DF9" s="734">
        <v>0.7</v>
      </c>
      <c r="DG9" s="734">
        <v>0.8</v>
      </c>
      <c r="DH9" s="734">
        <v>0.6</v>
      </c>
      <c r="DI9" s="734">
        <v>1</v>
      </c>
      <c r="DJ9" s="734">
        <v>1</v>
      </c>
      <c r="DK9" s="734">
        <v>0.8</v>
      </c>
      <c r="DL9" s="734">
        <v>1</v>
      </c>
      <c r="DM9" s="734">
        <v>1.2</v>
      </c>
      <c r="DO9" s="733" t="str">
        <f>'BASE DE DATOS'!BG9</f>
        <v>GBA</v>
      </c>
      <c r="DP9" s="733" t="str">
        <f>'BASE DE DATOS'!BH9</f>
        <v>DON TORCUATO</v>
      </c>
      <c r="DQ9" s="733">
        <f>'BASE DE DATOS'!BI9</f>
        <v>104</v>
      </c>
      <c r="DR9" s="733">
        <f>'BASE DE DATOS'!BJ9</f>
        <v>98</v>
      </c>
      <c r="DS9" s="733">
        <f>'BASE DE DATOS'!BK9</f>
        <v>115</v>
      </c>
      <c r="DT9" s="733">
        <f>'BASE DE DATOS'!BL9</f>
        <v>97</v>
      </c>
      <c r="DU9" s="733">
        <f>'BASE DE DATOS'!BM9</f>
        <v>80</v>
      </c>
      <c r="DV9" s="733">
        <f>'BASE DE DATOS'!BN9</f>
        <v>61</v>
      </c>
      <c r="DW9" s="733">
        <f>'BASE DE DATOS'!BO9</f>
        <v>59</v>
      </c>
      <c r="DX9" s="733">
        <f>'BASE DE DATOS'!BP9</f>
        <v>63</v>
      </c>
      <c r="DY9" s="733">
        <f>'BASE DE DATOS'!BQ9</f>
        <v>68</v>
      </c>
      <c r="DZ9" s="733">
        <f>'BASE DE DATOS'!BR9</f>
        <v>104</v>
      </c>
      <c r="EA9" s="733">
        <f>'BASE DE DATOS'!BS9</f>
        <v>98</v>
      </c>
      <c r="EB9" s="733">
        <f>'BASE DE DATOS'!BT9</f>
        <v>93</v>
      </c>
      <c r="EG9" s="743"/>
      <c r="EH9" s="734" t="s">
        <v>1548</v>
      </c>
      <c r="EI9" s="734" t="s">
        <v>1548</v>
      </c>
      <c r="EJ9" s="734" t="s">
        <v>1549</v>
      </c>
      <c r="EK9" s="734" t="s">
        <v>1550</v>
      </c>
      <c r="EL9" s="734" t="s">
        <v>1550</v>
      </c>
      <c r="EM9" s="734" t="s">
        <v>1551</v>
      </c>
      <c r="EN9" s="734" t="s">
        <v>1551</v>
      </c>
      <c r="EO9" s="734" t="s">
        <v>1551</v>
      </c>
      <c r="EP9" s="734" t="s">
        <v>1551</v>
      </c>
      <c r="ER9" s="734" t="s">
        <v>555</v>
      </c>
      <c r="ES9" s="748">
        <v>0.15</v>
      </c>
      <c r="ET9" s="737" t="e">
        <f>'Materiales Personalizados'!$BM$22</f>
        <v>#N/A</v>
      </c>
      <c r="EU9" s="748">
        <v>0.2</v>
      </c>
      <c r="EV9" s="737" t="e">
        <f t="shared" si="0"/>
        <v>#N/A</v>
      </c>
      <c r="EW9" s="748">
        <v>0.15</v>
      </c>
      <c r="EX9" s="737">
        <v>0</v>
      </c>
      <c r="EY9" s="734" t="s">
        <v>983</v>
      </c>
      <c r="EZ9" s="748">
        <f t="shared" si="1"/>
        <v>0.15</v>
      </c>
      <c r="FA9" s="734">
        <v>0</v>
      </c>
      <c r="FB9" s="734" t="s">
        <v>983</v>
      </c>
      <c r="FC9" s="748">
        <f t="shared" si="2"/>
        <v>0.15</v>
      </c>
      <c r="FD9" s="734">
        <v>0</v>
      </c>
      <c r="FE9" s="734" t="s">
        <v>983</v>
      </c>
      <c r="FG9" s="734">
        <v>6</v>
      </c>
      <c r="FH9" s="737" t="e">
        <f>'LINEAS BASE 6'!AT145</f>
        <v>#N/A</v>
      </c>
      <c r="FI9" s="737" t="e">
        <f>'LINEAS BASE 6'!AT143</f>
        <v>#N/A</v>
      </c>
      <c r="FK9" s="731" t="str">
        <f>'BASE DE DATOS'!BV9</f>
        <v>FORMOSA</v>
      </c>
      <c r="FL9" s="731">
        <f>'BASE DE DATOS'!BW9</f>
        <v>26.2</v>
      </c>
      <c r="FM9" s="731">
        <f>'BASE DE DATOS'!BX9</f>
        <v>8</v>
      </c>
      <c r="FN9" s="731">
        <f>'BASE DE DATOS'!BY9</f>
        <v>49</v>
      </c>
      <c r="FO9" s="731">
        <f>'BASE DE DATOS'!BZ9</f>
        <v>8</v>
      </c>
      <c r="FP9" s="731">
        <f>'BASE DE DATOS'!CA9</f>
        <v>-1</v>
      </c>
      <c r="FQ9" s="731">
        <f>'BASE DE DATOS'!CB9</f>
        <v>57</v>
      </c>
      <c r="FR9" s="731">
        <f>'BASE DE DATOS'!CC9</f>
        <v>49</v>
      </c>
      <c r="FS9" s="731">
        <f>'BASE DE DATOS'!CD9</f>
        <v>0</v>
      </c>
      <c r="FT9" s="731">
        <f>'BASE DE DATOS'!CE9</f>
        <v>0</v>
      </c>
      <c r="FU9" s="731">
        <f>'BASE DE DATOS'!CF9</f>
        <v>60</v>
      </c>
      <c r="FV9" s="731">
        <f>'BASE DE DATOS'!CG9</f>
        <v>57</v>
      </c>
      <c r="FW9" s="731">
        <f>'BASE DE DATOS'!CH9</f>
        <v>0</v>
      </c>
      <c r="FX9" s="731">
        <f>'BASE DE DATOS'!CI9</f>
        <v>0</v>
      </c>
      <c r="FY9" s="731">
        <f>'BASE DE DATOS'!CJ9</f>
        <v>68</v>
      </c>
      <c r="FZ9" s="731">
        <f>'BASE DE DATOS'!CK9</f>
        <v>60</v>
      </c>
      <c r="GA9" s="731">
        <f>'BASE DE DATOS'!CL9</f>
        <v>0</v>
      </c>
      <c r="GB9" s="731">
        <f>'BASE DE DATOS'!CM9</f>
        <v>0</v>
      </c>
      <c r="GC9" s="731">
        <f>'BASE DE DATOS'!CN9</f>
        <v>71</v>
      </c>
      <c r="GD9" s="731">
        <f>'BASE DE DATOS'!CO9</f>
        <v>68</v>
      </c>
      <c r="GE9" s="731">
        <f>'BASE DE DATOS'!CP9</f>
        <v>0</v>
      </c>
      <c r="GF9" s="731">
        <f>'BASE DE DATOS'!CQ9</f>
        <v>78</v>
      </c>
      <c r="GG9" s="731">
        <f>'BASE DE DATOS'!CR9</f>
        <v>71</v>
      </c>
      <c r="GH9" s="731">
        <f>'BASE DE DATOS'!CS9</f>
        <v>0</v>
      </c>
      <c r="GI9" s="731">
        <f>'BASE DE DATOS'!CT9</f>
        <v>81</v>
      </c>
      <c r="GJ9" s="731">
        <f>'BASE DE DATOS'!CU9</f>
        <v>78</v>
      </c>
      <c r="GM9" s="741"/>
      <c r="GN9" s="741"/>
      <c r="GO9" s="741"/>
      <c r="GP9" s="741"/>
      <c r="GQ9" s="741"/>
      <c r="GR9" s="741"/>
      <c r="GS9" s="741"/>
      <c r="GT9" s="741"/>
      <c r="GU9" s="741"/>
      <c r="GV9" s="741"/>
      <c r="GW9" s="741"/>
      <c r="GX9" s="741"/>
      <c r="GY9" s="741"/>
      <c r="HE9" s="743" t="s">
        <v>556</v>
      </c>
      <c r="HF9" s="734">
        <v>0.6</v>
      </c>
      <c r="HH9" s="734">
        <v>6</v>
      </c>
      <c r="HI9" s="734">
        <v>2</v>
      </c>
      <c r="HJ9" s="734">
        <v>2</v>
      </c>
      <c r="HK9" s="734"/>
      <c r="HL9" s="734">
        <v>2</v>
      </c>
      <c r="HM9" s="734"/>
      <c r="HN9" s="734"/>
      <c r="HO9" s="734"/>
      <c r="HP9" s="734"/>
    </row>
    <row r="10" spans="2:224" ht="28">
      <c r="B10" s="734" t="str">
        <f>'BASE DE DATOS'!B10</f>
        <v>GBA</v>
      </c>
      <c r="C10" s="734" t="str">
        <f>'BASE DE DATOS'!C10</f>
        <v>EL PALOMAR</v>
      </c>
      <c r="D10" s="734">
        <f>'BASE DE DATOS'!D10</f>
        <v>34.6</v>
      </c>
      <c r="E10" s="734">
        <f>'BASE DE DATOS'!E10</f>
        <v>58.6</v>
      </c>
      <c r="F10" s="734">
        <f>'BASE DE DATOS'!F10</f>
        <v>21</v>
      </c>
      <c r="G10" s="734" t="str">
        <f>'BASE DE DATOS'!G10</f>
        <v>IIIB</v>
      </c>
      <c r="H10" s="734">
        <f>'BASE DE DATOS'!H10</f>
        <v>0.3</v>
      </c>
      <c r="I10" s="734">
        <f>'BASE DE DATOS'!I10</f>
        <v>10.5</v>
      </c>
      <c r="J10" s="734">
        <f>'BASE DE DATOS'!J10</f>
        <v>22.7</v>
      </c>
      <c r="K10" s="734">
        <f>'BASE DE DATOS'!K10</f>
        <v>32.5</v>
      </c>
      <c r="L10" s="734">
        <f>'BASE DE DATOS'!L10</f>
        <v>65</v>
      </c>
      <c r="M10" s="734">
        <f>'BASE DE DATOS'!M10</f>
        <v>79</v>
      </c>
      <c r="N10" s="734">
        <f>'BASE DE DATOS'!N10</f>
        <v>65</v>
      </c>
      <c r="O10" s="734">
        <f>'BASE DE DATOS'!O10</f>
        <v>60</v>
      </c>
      <c r="P10" s="734">
        <f>'BASE DE DATOS'!P10</f>
        <v>100</v>
      </c>
      <c r="Q10" s="734">
        <f>'BASE DE DATOS'!Q10</f>
        <v>3</v>
      </c>
      <c r="R10" s="734">
        <f>'BASE DE DATOS'!R10</f>
        <v>22.4</v>
      </c>
      <c r="S10" s="734">
        <f>'BASE DE DATOS'!S10</f>
        <v>0.53</v>
      </c>
      <c r="T10" s="734">
        <f>'BASE DE DATOS'!T10</f>
        <v>36.9</v>
      </c>
      <c r="U10" s="734">
        <f>'BASE DE DATOS'!U10</f>
        <v>3.4</v>
      </c>
      <c r="V10" s="734">
        <f>'BASE DE DATOS'!V10</f>
        <v>185</v>
      </c>
      <c r="W10" s="734">
        <f>'BASE DE DATOS'!W10</f>
        <v>41</v>
      </c>
      <c r="X10" s="734">
        <f>'BASE DE DATOS'!X10</f>
        <v>1.4E-2</v>
      </c>
      <c r="Y10" s="734">
        <f>'BASE DE DATOS'!Y10</f>
        <v>1.9E-2</v>
      </c>
      <c r="Z10" s="734">
        <f>'BASE DE DATOS'!Z10</f>
        <v>130</v>
      </c>
      <c r="AA10" s="734">
        <f>'BASE DE DATOS'!AA10</f>
        <v>1.3</v>
      </c>
      <c r="AB10" s="734">
        <f>'BASE DE DATOS'!AB10</f>
        <v>35</v>
      </c>
      <c r="AD10" s="734" t="str">
        <f>'BASE DE DATOS'!AD10</f>
        <v>EL PALOMAR</v>
      </c>
      <c r="AE10" s="734">
        <f>'BASE DE DATOS'!AE10</f>
        <v>24.6</v>
      </c>
      <c r="AF10" s="734">
        <f>'BASE DE DATOS'!AF10</f>
        <v>23.3</v>
      </c>
      <c r="AG10" s="734">
        <f>'BASE DE DATOS'!AG10</f>
        <v>20.6</v>
      </c>
      <c r="AH10" s="734">
        <f>'BASE DE DATOS'!AH10</f>
        <v>16.899999999999999</v>
      </c>
      <c r="AI10" s="734">
        <f>'BASE DE DATOS'!AI10</f>
        <v>13.2</v>
      </c>
      <c r="AJ10" s="734">
        <f>'BASE DE DATOS'!AJ10</f>
        <v>10.1</v>
      </c>
      <c r="AK10" s="734">
        <f>'BASE DE DATOS'!AK10</f>
        <v>9.9</v>
      </c>
      <c r="AL10" s="734">
        <f>'BASE DE DATOS'!AL10</f>
        <v>11.9</v>
      </c>
      <c r="AM10" s="734">
        <f>'BASE DE DATOS'!AM10</f>
        <v>13.6</v>
      </c>
      <c r="AN10" s="734">
        <f>'BASE DE DATOS'!AN10</f>
        <v>16.8</v>
      </c>
      <c r="AO10" s="734">
        <f>'BASE DE DATOS'!AO10</f>
        <v>19.8</v>
      </c>
      <c r="AP10" s="734">
        <f>'BASE DE DATOS'!AP10</f>
        <v>22.4</v>
      </c>
      <c r="AR10" s="734" t="str">
        <f>'BASE DE DATOS'!AR10</f>
        <v>GBA</v>
      </c>
      <c r="AS10" s="734" t="str">
        <f>'BASE DE DATOS'!AS10</f>
        <v>EL PALOMAR</v>
      </c>
      <c r="AT10" s="734">
        <f>'BASE DE DATOS'!AT10</f>
        <v>6.5</v>
      </c>
      <c r="AU10" s="734">
        <f>'BASE DE DATOS'!AU10</f>
        <v>5.5</v>
      </c>
      <c r="AV10" s="734">
        <f>'BASE DE DATOS'!AV10</f>
        <v>4.5</v>
      </c>
      <c r="AW10" s="734">
        <f>'BASE DE DATOS'!AW10</f>
        <v>3</v>
      </c>
      <c r="AX10" s="734">
        <f>'BASE DE DATOS'!AX10</f>
        <v>2.5</v>
      </c>
      <c r="AY10" s="734">
        <f>'BASE DE DATOS'!AY10</f>
        <v>2</v>
      </c>
      <c r="AZ10" s="734">
        <f>'BASE DE DATOS'!AZ10</f>
        <v>2</v>
      </c>
      <c r="BA10" s="734">
        <f>'BASE DE DATOS'!BA10</f>
        <v>3</v>
      </c>
      <c r="BB10" s="734">
        <f>'BASE DE DATOS'!BB10</f>
        <v>4</v>
      </c>
      <c r="BC10" s="734">
        <f>'BASE DE DATOS'!BC10</f>
        <v>5</v>
      </c>
      <c r="BD10" s="734">
        <f>'BASE DE DATOS'!BD10</f>
        <v>6</v>
      </c>
      <c r="BE10" s="734">
        <f>'BASE DE DATOS'!BE10</f>
        <v>6.5</v>
      </c>
      <c r="BG10" s="734" t="s">
        <v>78</v>
      </c>
      <c r="BH10" s="734" t="s">
        <v>723</v>
      </c>
      <c r="BI10" s="734" t="s">
        <v>723</v>
      </c>
      <c r="BJ10" s="734" t="s">
        <v>724</v>
      </c>
      <c r="BK10" s="734" t="s">
        <v>214</v>
      </c>
      <c r="BL10" s="734" t="s">
        <v>725</v>
      </c>
      <c r="BM10" s="734" t="s">
        <v>7</v>
      </c>
      <c r="BN10" s="734" t="s">
        <v>724</v>
      </c>
      <c r="BO10" s="734" t="s">
        <v>6</v>
      </c>
      <c r="BQ10" s="747" t="s">
        <v>1069</v>
      </c>
      <c r="BR10" s="747" t="s">
        <v>1069</v>
      </c>
      <c r="BS10" s="745" t="s">
        <v>1114</v>
      </c>
      <c r="BT10" s="750" t="s">
        <v>1255</v>
      </c>
      <c r="BU10" s="745" t="s">
        <v>1114</v>
      </c>
      <c r="BV10" s="745" t="s">
        <v>1114</v>
      </c>
      <c r="BX10" s="745" t="s">
        <v>1155</v>
      </c>
      <c r="BY10" s="734">
        <v>0.71</v>
      </c>
      <c r="BZ10" s="734">
        <v>1.25</v>
      </c>
      <c r="CA10" s="734">
        <v>0</v>
      </c>
      <c r="CB10" s="745" t="s">
        <v>1175</v>
      </c>
      <c r="CC10" s="734">
        <v>2.2000000000000002</v>
      </c>
      <c r="CD10" s="734">
        <v>3.3</v>
      </c>
      <c r="CE10" s="734">
        <v>0</v>
      </c>
      <c r="CF10" s="734" t="s">
        <v>792</v>
      </c>
      <c r="CG10" s="734">
        <v>9.5299999999999994</v>
      </c>
      <c r="CI10" s="1207" t="s">
        <v>650</v>
      </c>
      <c r="CJ10" s="734">
        <v>-1000</v>
      </c>
      <c r="CK10" s="734">
        <v>-501</v>
      </c>
      <c r="CL10" s="734">
        <v>-500</v>
      </c>
      <c r="CM10" s="734">
        <v>-351</v>
      </c>
      <c r="CN10" s="734">
        <v>-350</v>
      </c>
      <c r="CO10" s="734">
        <v>-251</v>
      </c>
      <c r="CP10" s="734">
        <v>-250</v>
      </c>
      <c r="CQ10" s="734">
        <v>-201</v>
      </c>
      <c r="CR10" s="734">
        <v>-200</v>
      </c>
      <c r="CS10" s="734">
        <v>-151</v>
      </c>
      <c r="CT10" s="734">
        <v>-150</v>
      </c>
      <c r="CU10" s="734">
        <v>-101</v>
      </c>
      <c r="CV10" s="734">
        <v>-100</v>
      </c>
      <c r="CW10" s="734">
        <v>-50</v>
      </c>
      <c r="CX10" s="734">
        <v>0</v>
      </c>
      <c r="CY10" s="734">
        <v>200</v>
      </c>
      <c r="DA10" s="734"/>
      <c r="DB10" s="734"/>
      <c r="DD10" s="734"/>
      <c r="DE10" s="734"/>
      <c r="DF10" s="734"/>
      <c r="DG10" s="734"/>
      <c r="DH10" s="734"/>
      <c r="DI10" s="734"/>
      <c r="DJ10" s="734"/>
      <c r="DO10" s="733" t="str">
        <f>'BASE DE DATOS'!BG10</f>
        <v>GBA</v>
      </c>
      <c r="DP10" s="733" t="str">
        <f>'BASE DE DATOS'!BH10</f>
        <v>EL PALOMAR</v>
      </c>
      <c r="DQ10" s="733">
        <f>'BASE DE DATOS'!BI10</f>
        <v>104</v>
      </c>
      <c r="DR10" s="733">
        <f>'BASE DE DATOS'!BJ10</f>
        <v>98</v>
      </c>
      <c r="DS10" s="733">
        <f>'BASE DE DATOS'!BK10</f>
        <v>115</v>
      </c>
      <c r="DT10" s="733">
        <f>'BASE DE DATOS'!BL10</f>
        <v>97</v>
      </c>
      <c r="DU10" s="733">
        <f>'BASE DE DATOS'!BM10</f>
        <v>80</v>
      </c>
      <c r="DV10" s="733">
        <f>'BASE DE DATOS'!BN10</f>
        <v>61</v>
      </c>
      <c r="DW10" s="733">
        <f>'BASE DE DATOS'!BO10</f>
        <v>59</v>
      </c>
      <c r="DX10" s="733">
        <f>'BASE DE DATOS'!BP10</f>
        <v>63</v>
      </c>
      <c r="DY10" s="733">
        <f>'BASE DE DATOS'!BQ10</f>
        <v>68</v>
      </c>
      <c r="DZ10" s="733">
        <f>'BASE DE DATOS'!BR10</f>
        <v>104</v>
      </c>
      <c r="EA10" s="733">
        <f>'BASE DE DATOS'!BS10</f>
        <v>98</v>
      </c>
      <c r="EB10" s="733">
        <f>'BASE DE DATOS'!BT10</f>
        <v>93</v>
      </c>
      <c r="EG10" s="743"/>
      <c r="ER10" s="734" t="s">
        <v>556</v>
      </c>
      <c r="ES10" s="748">
        <v>0.15</v>
      </c>
      <c r="ET10" s="734">
        <v>0</v>
      </c>
      <c r="EU10" s="748">
        <v>0.2</v>
      </c>
      <c r="EV10" s="737">
        <f t="shared" si="0"/>
        <v>0</v>
      </c>
      <c r="EW10" s="748">
        <v>0.15</v>
      </c>
      <c r="EX10" s="737">
        <v>0</v>
      </c>
      <c r="EY10" s="734" t="s">
        <v>983</v>
      </c>
      <c r="EZ10" s="748">
        <f t="shared" si="1"/>
        <v>0.15</v>
      </c>
      <c r="FA10" s="734">
        <v>0</v>
      </c>
      <c r="FB10" s="734" t="s">
        <v>983</v>
      </c>
      <c r="FC10" s="748">
        <f t="shared" si="2"/>
        <v>0.15</v>
      </c>
      <c r="FD10" s="734">
        <v>0</v>
      </c>
      <c r="FE10" s="734" t="s">
        <v>983</v>
      </c>
      <c r="FK10" s="731" t="str">
        <f>'BASE DE DATOS'!BV10</f>
        <v>CORRIENTES</v>
      </c>
      <c r="FL10" s="731">
        <f>'BASE DE DATOS'!BW10</f>
        <v>27.47</v>
      </c>
      <c r="FM10" s="731">
        <f>'BASE DE DATOS'!BX10</f>
        <v>9</v>
      </c>
      <c r="FN10" s="731">
        <f>'BASE DE DATOS'!BY10</f>
        <v>49</v>
      </c>
      <c r="FO10" s="731">
        <f>'BASE DE DATOS'!BZ10</f>
        <v>9</v>
      </c>
      <c r="FP10" s="731">
        <f>'BASE DE DATOS'!CA10</f>
        <v>0</v>
      </c>
      <c r="FQ10" s="731">
        <f>'BASE DE DATOS'!CB10</f>
        <v>58</v>
      </c>
      <c r="FR10" s="731">
        <f>'BASE DE DATOS'!CC10</f>
        <v>49</v>
      </c>
      <c r="FS10" s="731">
        <f>'BASE DE DATOS'!CD10</f>
        <v>0</v>
      </c>
      <c r="FT10" s="731">
        <f>'BASE DE DATOS'!CE10</f>
        <v>0</v>
      </c>
      <c r="FU10" s="731">
        <f>'BASE DE DATOS'!CF10</f>
        <v>61</v>
      </c>
      <c r="FV10" s="731">
        <f>'BASE DE DATOS'!CG10</f>
        <v>58</v>
      </c>
      <c r="FW10" s="731">
        <f>'BASE DE DATOS'!CH10</f>
        <v>0</v>
      </c>
      <c r="FX10" s="731">
        <f>'BASE DE DATOS'!CI10</f>
        <v>0</v>
      </c>
      <c r="FY10" s="731">
        <f>'BASE DE DATOS'!CJ10</f>
        <v>69</v>
      </c>
      <c r="FZ10" s="731">
        <f>'BASE DE DATOS'!CK10</f>
        <v>61</v>
      </c>
      <c r="GA10" s="731">
        <f>'BASE DE DATOS'!CL10</f>
        <v>0</v>
      </c>
      <c r="GB10" s="731">
        <f>'BASE DE DATOS'!CM10</f>
        <v>0</v>
      </c>
      <c r="GC10" s="731">
        <f>'BASE DE DATOS'!CN10</f>
        <v>72</v>
      </c>
      <c r="GD10" s="731">
        <f>'BASE DE DATOS'!CO10</f>
        <v>69</v>
      </c>
      <c r="GE10" s="731">
        <f>'BASE DE DATOS'!CP10</f>
        <v>0</v>
      </c>
      <c r="GF10" s="731">
        <f>'BASE DE DATOS'!CQ10</f>
        <v>79</v>
      </c>
      <c r="GG10" s="731">
        <f>'BASE DE DATOS'!CR10</f>
        <v>72</v>
      </c>
      <c r="GH10" s="731">
        <f>'BASE DE DATOS'!CS10</f>
        <v>0</v>
      </c>
      <c r="GI10" s="731">
        <f>'BASE DE DATOS'!CT10</f>
        <v>82</v>
      </c>
      <c r="GJ10" s="731">
        <f>'BASE DE DATOS'!CU10</f>
        <v>79</v>
      </c>
      <c r="GM10" s="741"/>
      <c r="GN10" s="741"/>
      <c r="GO10" s="1182" t="s">
        <v>2092</v>
      </c>
      <c r="GP10" s="1182"/>
      <c r="GQ10" s="1182"/>
      <c r="GR10" s="1182"/>
      <c r="GS10" s="1182"/>
      <c r="GT10" s="741"/>
      <c r="GU10" s="741"/>
      <c r="GV10" s="741"/>
      <c r="GW10" s="741"/>
      <c r="GX10" s="741"/>
      <c r="GY10" s="741"/>
      <c r="HE10" s="743" t="s">
        <v>212</v>
      </c>
      <c r="HF10" s="734">
        <v>0.3</v>
      </c>
      <c r="HH10" s="734">
        <v>7</v>
      </c>
      <c r="HI10" s="734">
        <v>5</v>
      </c>
      <c r="HJ10" s="734">
        <v>5</v>
      </c>
      <c r="HK10" s="734"/>
      <c r="HL10" s="734"/>
      <c r="HM10" s="734"/>
      <c r="HN10" s="734"/>
      <c r="HO10" s="734"/>
      <c r="HP10" s="734"/>
    </row>
    <row r="11" spans="2:224" ht="32" customHeight="1">
      <c r="B11" s="734" t="str">
        <f>'BASE DE DATOS'!B11</f>
        <v>GBA</v>
      </c>
      <c r="C11" s="734" t="str">
        <f>'BASE DE DATOS'!C11</f>
        <v>EZEIZA</v>
      </c>
      <c r="D11" s="734">
        <f>'BASE DE DATOS'!D11</f>
        <v>34.82</v>
      </c>
      <c r="E11" s="734">
        <f>'BASE DE DATOS'!E11</f>
        <v>58.53</v>
      </c>
      <c r="F11" s="734">
        <f>'BASE DE DATOS'!F11</f>
        <v>20</v>
      </c>
      <c r="G11" s="734" t="str">
        <f>'BASE DE DATOS'!G11</f>
        <v>IIIB</v>
      </c>
      <c r="H11" s="734">
        <f>'BASE DE DATOS'!H11</f>
        <v>-0.2</v>
      </c>
      <c r="I11" s="734">
        <f>'BASE DE DATOS'!I11</f>
        <v>10</v>
      </c>
      <c r="J11" s="734">
        <f>'BASE DE DATOS'!J11</f>
        <v>22.3</v>
      </c>
      <c r="K11" s="734">
        <f>'BASE DE DATOS'!K11</f>
        <v>32.6</v>
      </c>
      <c r="L11" s="734">
        <f>'BASE DE DATOS'!L11</f>
        <v>67</v>
      </c>
      <c r="M11" s="734">
        <f>'BASE DE DATOS'!M11</f>
        <v>81</v>
      </c>
      <c r="N11" s="734">
        <f>'BASE DE DATOS'!N11</f>
        <v>67</v>
      </c>
      <c r="O11" s="734">
        <f>'BASE DE DATOS'!O11</f>
        <v>50</v>
      </c>
      <c r="P11" s="734">
        <f>'BASE DE DATOS'!P11</f>
        <v>92</v>
      </c>
      <c r="Q11" s="734">
        <f>'BASE DE DATOS'!Q11</f>
        <v>3</v>
      </c>
      <c r="R11" s="734">
        <f>'BASE DE DATOS'!R11</f>
        <v>22</v>
      </c>
      <c r="S11" s="734">
        <f>'BASE DE DATOS'!S11</f>
        <v>0.53</v>
      </c>
      <c r="T11" s="734">
        <f>'BASE DE DATOS'!T11</f>
        <v>36.9</v>
      </c>
      <c r="U11" s="734">
        <f>'BASE DE DATOS'!U11</f>
        <v>3.4</v>
      </c>
      <c r="V11" s="734">
        <f>'BASE DE DATOS'!V11</f>
        <v>185</v>
      </c>
      <c r="W11" s="734">
        <f>'BASE DE DATOS'!W11</f>
        <v>41</v>
      </c>
      <c r="X11" s="734">
        <f>'BASE DE DATOS'!X11</f>
        <v>1.4E-2</v>
      </c>
      <c r="Y11" s="734">
        <f>'BASE DE DATOS'!Y11</f>
        <v>1.9E-2</v>
      </c>
      <c r="Z11" s="734">
        <f>'BASE DE DATOS'!Z11</f>
        <v>130</v>
      </c>
      <c r="AA11" s="734">
        <f>'BASE DE DATOS'!AA11</f>
        <v>1.3</v>
      </c>
      <c r="AB11" s="734">
        <f>'BASE DE DATOS'!AB11</f>
        <v>35</v>
      </c>
      <c r="AD11" s="734" t="str">
        <f>'BASE DE DATOS'!AD11</f>
        <v>EZEIZA</v>
      </c>
      <c r="AE11" s="734">
        <f>'BASE DE DATOS'!AE11</f>
        <v>24.1</v>
      </c>
      <c r="AF11" s="734">
        <f>'BASE DE DATOS'!AF11</f>
        <v>22.8</v>
      </c>
      <c r="AG11" s="734">
        <f>'BASE DE DATOS'!AG11</f>
        <v>20.2</v>
      </c>
      <c r="AH11" s="734">
        <f>'BASE DE DATOS'!AH11</f>
        <v>16.5</v>
      </c>
      <c r="AI11" s="734">
        <f>'BASE DE DATOS'!AI11</f>
        <v>12.9</v>
      </c>
      <c r="AJ11" s="734">
        <f>'BASE DE DATOS'!AJ11</f>
        <v>9.8000000000000007</v>
      </c>
      <c r="AK11" s="734">
        <f>'BASE DE DATOS'!AK11</f>
        <v>9.4</v>
      </c>
      <c r="AL11" s="734">
        <f>'BASE DE DATOS'!AL11</f>
        <v>11.3</v>
      </c>
      <c r="AM11" s="734">
        <f>'BASE DE DATOS'!AM11</f>
        <v>13</v>
      </c>
      <c r="AN11" s="734">
        <f>'BASE DE DATOS'!AN11</f>
        <v>16.5</v>
      </c>
      <c r="AO11" s="734">
        <f>'BASE DE DATOS'!AO11</f>
        <v>19.5</v>
      </c>
      <c r="AP11" s="734">
        <f>'BASE DE DATOS'!AP11</f>
        <v>22.1</v>
      </c>
      <c r="AR11" s="734" t="str">
        <f>'BASE DE DATOS'!AR11</f>
        <v>GBA</v>
      </c>
      <c r="AS11" s="734" t="str">
        <f>'BASE DE DATOS'!AS11</f>
        <v>EZEIZA</v>
      </c>
      <c r="AT11" s="734">
        <f>'BASE DE DATOS'!AT11</f>
        <v>6.5</v>
      </c>
      <c r="AU11" s="734">
        <f>'BASE DE DATOS'!AU11</f>
        <v>5.5</v>
      </c>
      <c r="AV11" s="734">
        <f>'BASE DE DATOS'!AV11</f>
        <v>4.5</v>
      </c>
      <c r="AW11" s="734">
        <f>'BASE DE DATOS'!AW11</f>
        <v>3</v>
      </c>
      <c r="AX11" s="734">
        <f>'BASE DE DATOS'!AX11</f>
        <v>2.5</v>
      </c>
      <c r="AY11" s="734">
        <f>'BASE DE DATOS'!AY11</f>
        <v>2</v>
      </c>
      <c r="AZ11" s="734">
        <f>'BASE DE DATOS'!AZ11</f>
        <v>2</v>
      </c>
      <c r="BA11" s="734">
        <f>'BASE DE DATOS'!BA11</f>
        <v>3</v>
      </c>
      <c r="BB11" s="734">
        <f>'BASE DE DATOS'!BB11</f>
        <v>4</v>
      </c>
      <c r="BC11" s="734">
        <f>'BASE DE DATOS'!BC11</f>
        <v>5</v>
      </c>
      <c r="BD11" s="734">
        <f>'BASE DE DATOS'!BD11</f>
        <v>6</v>
      </c>
      <c r="BE11" s="734">
        <f>'BASE DE DATOS'!BE11</f>
        <v>6.5</v>
      </c>
      <c r="BG11" s="734" t="s">
        <v>42</v>
      </c>
      <c r="BH11" s="734" t="s">
        <v>723</v>
      </c>
      <c r="BI11" s="734" t="s">
        <v>723</v>
      </c>
      <c r="BJ11" s="734" t="s">
        <v>724</v>
      </c>
      <c r="BK11" s="734" t="s">
        <v>214</v>
      </c>
      <c r="BL11" s="734" t="s">
        <v>725</v>
      </c>
      <c r="BM11" s="734" t="s">
        <v>6</v>
      </c>
      <c r="BN11" s="734" t="s">
        <v>724</v>
      </c>
      <c r="BO11" s="734" t="s">
        <v>6</v>
      </c>
      <c r="BQ11" s="747" t="s">
        <v>1068</v>
      </c>
      <c r="BR11" s="747" t="s">
        <v>1068</v>
      </c>
      <c r="BS11" s="745" t="s">
        <v>1114</v>
      </c>
      <c r="BT11" s="745" t="s">
        <v>1114</v>
      </c>
      <c r="BU11" s="745" t="s">
        <v>1114</v>
      </c>
      <c r="BV11" s="745" t="s">
        <v>1114</v>
      </c>
      <c r="BX11" s="745" t="s">
        <v>1157</v>
      </c>
      <c r="BY11" s="734">
        <v>0.69</v>
      </c>
      <c r="BZ11" s="734">
        <v>1.25</v>
      </c>
      <c r="CA11" s="734">
        <v>0</v>
      </c>
      <c r="CB11" s="745" t="s">
        <v>1170</v>
      </c>
      <c r="CC11" s="734">
        <v>3</v>
      </c>
      <c r="CD11" s="734">
        <v>3.3</v>
      </c>
      <c r="CE11" s="734">
        <v>0</v>
      </c>
      <c r="CI11" s="1207"/>
      <c r="CJ11" s="734" t="s">
        <v>1221</v>
      </c>
      <c r="CK11" s="734" t="s">
        <v>1221</v>
      </c>
      <c r="CL11" s="734" t="s">
        <v>1220</v>
      </c>
      <c r="CM11" s="734" t="s">
        <v>1220</v>
      </c>
      <c r="CN11" s="734" t="s">
        <v>1219</v>
      </c>
      <c r="CO11" s="734" t="s">
        <v>1219</v>
      </c>
      <c r="CP11" s="734" t="s">
        <v>1218</v>
      </c>
      <c r="CQ11" s="734" t="s">
        <v>1218</v>
      </c>
      <c r="CR11" s="734" t="s">
        <v>1217</v>
      </c>
      <c r="CS11" s="734" t="s">
        <v>1217</v>
      </c>
      <c r="CT11" s="734" t="s">
        <v>1216</v>
      </c>
      <c r="CU11" s="734" t="s">
        <v>1216</v>
      </c>
      <c r="CV11" s="734" t="s">
        <v>1215</v>
      </c>
      <c r="CW11" s="734" t="s">
        <v>1215</v>
      </c>
      <c r="CX11" s="734" t="s">
        <v>1215</v>
      </c>
      <c r="CY11" s="734" t="s">
        <v>1215</v>
      </c>
      <c r="DA11" s="734"/>
      <c r="DB11" s="734"/>
      <c r="DD11" s="734"/>
      <c r="DE11" s="734"/>
      <c r="DF11" s="734"/>
      <c r="DG11" s="734"/>
      <c r="DH11" s="734"/>
      <c r="DI11" s="734">
        <v>0</v>
      </c>
      <c r="DJ11" s="734" t="s">
        <v>1768</v>
      </c>
      <c r="DO11" s="733" t="str">
        <f>'BASE DE DATOS'!BG11</f>
        <v>GBA</v>
      </c>
      <c r="DP11" s="733" t="str">
        <f>'BASE DE DATOS'!BH11</f>
        <v>EZEIZA</v>
      </c>
      <c r="DQ11" s="733">
        <f>'BASE DE DATOS'!BI11</f>
        <v>104</v>
      </c>
      <c r="DR11" s="733">
        <f>'BASE DE DATOS'!BJ11</f>
        <v>98</v>
      </c>
      <c r="DS11" s="733">
        <f>'BASE DE DATOS'!BK11</f>
        <v>115</v>
      </c>
      <c r="DT11" s="733">
        <f>'BASE DE DATOS'!BL11</f>
        <v>97</v>
      </c>
      <c r="DU11" s="733">
        <f>'BASE DE DATOS'!BM11</f>
        <v>80</v>
      </c>
      <c r="DV11" s="733">
        <f>'BASE DE DATOS'!BN11</f>
        <v>61</v>
      </c>
      <c r="DW11" s="733">
        <f>'BASE DE DATOS'!BO11</f>
        <v>59</v>
      </c>
      <c r="DX11" s="733">
        <f>'BASE DE DATOS'!BP11</f>
        <v>63</v>
      </c>
      <c r="DY11" s="733">
        <f>'BASE DE DATOS'!BQ11</f>
        <v>68</v>
      </c>
      <c r="DZ11" s="733">
        <f>'BASE DE DATOS'!BR11</f>
        <v>104</v>
      </c>
      <c r="EA11" s="733">
        <f>'BASE DE DATOS'!BS11</f>
        <v>98</v>
      </c>
      <c r="EB11" s="733">
        <f>'BASE DE DATOS'!BT11</f>
        <v>93</v>
      </c>
      <c r="EG11" s="743"/>
      <c r="EH11" s="1207" t="s">
        <v>1553</v>
      </c>
      <c r="EI11" s="1207"/>
      <c r="EJ11" s="1207"/>
      <c r="EK11" s="1207"/>
      <c r="EL11" s="1207"/>
      <c r="EM11" s="1207"/>
      <c r="EN11" s="1207"/>
      <c r="EO11" s="1207"/>
      <c r="EP11" s="1207"/>
      <c r="ER11" s="734" t="s">
        <v>212</v>
      </c>
      <c r="ES11" s="748">
        <v>0.25</v>
      </c>
      <c r="ET11" s="737" t="e">
        <f>'Materiales Personalizados'!$BM$22</f>
        <v>#N/A</v>
      </c>
      <c r="EU11" s="748">
        <v>0.2</v>
      </c>
      <c r="EV11" s="737" t="e">
        <f t="shared" si="0"/>
        <v>#N/A</v>
      </c>
      <c r="EW11" s="748">
        <v>0.15</v>
      </c>
      <c r="EX11" s="737">
        <v>0</v>
      </c>
      <c r="EY11" s="734" t="s">
        <v>983</v>
      </c>
      <c r="EZ11" s="748">
        <f t="shared" si="1"/>
        <v>0.15</v>
      </c>
      <c r="FA11" s="734">
        <v>0</v>
      </c>
      <c r="FB11" s="734" t="s">
        <v>983</v>
      </c>
      <c r="FC11" s="748">
        <f t="shared" si="2"/>
        <v>0.15</v>
      </c>
      <c r="FD11" s="734">
        <v>0</v>
      </c>
      <c r="FE11" s="734" t="s">
        <v>983</v>
      </c>
      <c r="FK11" s="731" t="str">
        <f>'BASE DE DATOS'!BV11</f>
        <v>CHACO</v>
      </c>
      <c r="FL11" s="731">
        <f>'BASE DE DATOS'!BW11</f>
        <v>27.45</v>
      </c>
      <c r="FM11" s="731">
        <f>'BASE DE DATOS'!BX11</f>
        <v>10</v>
      </c>
      <c r="FN11" s="731">
        <f>'BASE DE DATOS'!BY11</f>
        <v>50</v>
      </c>
      <c r="FO11" s="731">
        <f>'BASE DE DATOS'!BZ11</f>
        <v>10</v>
      </c>
      <c r="FP11" s="731">
        <f>'BASE DE DATOS'!CA11</f>
        <v>0</v>
      </c>
      <c r="FQ11" s="731">
        <f>'BASE DE DATOS'!CB11</f>
        <v>59</v>
      </c>
      <c r="FR11" s="731">
        <f>'BASE DE DATOS'!CC11</f>
        <v>50</v>
      </c>
      <c r="FS11" s="731">
        <f>'BASE DE DATOS'!CD11</f>
        <v>0</v>
      </c>
      <c r="FT11" s="731">
        <f>'BASE DE DATOS'!CE11</f>
        <v>0</v>
      </c>
      <c r="FU11" s="731">
        <f>'BASE DE DATOS'!CF11</f>
        <v>65</v>
      </c>
      <c r="FV11" s="731">
        <f>'BASE DE DATOS'!CG11</f>
        <v>59</v>
      </c>
      <c r="FW11" s="731">
        <f>'BASE DE DATOS'!CH11</f>
        <v>0</v>
      </c>
      <c r="FX11" s="731">
        <f>'BASE DE DATOS'!CI11</f>
        <v>0</v>
      </c>
      <c r="FY11" s="731">
        <f>'BASE DE DATOS'!CJ11</f>
        <v>70</v>
      </c>
      <c r="FZ11" s="731">
        <f>'BASE DE DATOS'!CK11</f>
        <v>65</v>
      </c>
      <c r="GA11" s="731">
        <f>'BASE DE DATOS'!CL11</f>
        <v>0</v>
      </c>
      <c r="GB11" s="731">
        <f>'BASE DE DATOS'!CM11</f>
        <v>0</v>
      </c>
      <c r="GC11" s="731">
        <f>'BASE DE DATOS'!CN11</f>
        <v>74</v>
      </c>
      <c r="GD11" s="731">
        <f>'BASE DE DATOS'!CO11</f>
        <v>70</v>
      </c>
      <c r="GE11" s="731">
        <f>'BASE DE DATOS'!CP11</f>
        <v>0</v>
      </c>
      <c r="GF11" s="731">
        <f>'BASE DE DATOS'!CQ11</f>
        <v>80</v>
      </c>
      <c r="GG11" s="731">
        <f>'BASE DE DATOS'!CR11</f>
        <v>74</v>
      </c>
      <c r="GH11" s="731">
        <f>'BASE DE DATOS'!CS11</f>
        <v>0</v>
      </c>
      <c r="GI11" s="731">
        <f>'BASE DE DATOS'!CT11</f>
        <v>84</v>
      </c>
      <c r="GJ11" s="731">
        <f>'BASE DE DATOS'!CU11</f>
        <v>80</v>
      </c>
      <c r="GM11" s="751"/>
      <c r="GN11" s="751"/>
      <c r="GO11" s="727" t="s">
        <v>1996</v>
      </c>
      <c r="GP11" s="756">
        <f>SITIO!Y53</f>
        <v>0</v>
      </c>
      <c r="GQ11" s="727"/>
      <c r="GR11" s="727"/>
      <c r="GS11" s="727"/>
      <c r="GT11" s="727"/>
      <c r="GU11" s="727"/>
      <c r="GV11" s="751"/>
      <c r="GW11" s="751"/>
      <c r="GX11" s="751"/>
      <c r="GY11" s="751"/>
      <c r="HE11" s="743" t="s">
        <v>557</v>
      </c>
      <c r="HF11" s="734">
        <v>0.3</v>
      </c>
      <c r="HH11" s="734">
        <v>8</v>
      </c>
      <c r="HI11" s="734">
        <v>2</v>
      </c>
      <c r="HJ11" s="734">
        <v>2</v>
      </c>
      <c r="HK11" s="734">
        <v>2</v>
      </c>
      <c r="HL11" s="734"/>
      <c r="HM11" s="734"/>
      <c r="HN11" s="734"/>
      <c r="HO11" s="734"/>
      <c r="HP11" s="734"/>
    </row>
    <row r="12" spans="2:224" ht="15" customHeight="1">
      <c r="B12" s="734" t="str">
        <f>'BASE DE DATOS'!B12</f>
        <v>GBA</v>
      </c>
      <c r="C12" s="734" t="str">
        <f>'BASE DE DATOS'!C12</f>
        <v>LOMAS DE ZAMORA</v>
      </c>
      <c r="D12" s="734">
        <f>'BASE DE DATOS'!D12</f>
        <v>34.479999999999997</v>
      </c>
      <c r="E12" s="734">
        <f>'BASE DE DATOS'!E12</f>
        <v>58.31</v>
      </c>
      <c r="F12" s="734">
        <f>'BASE DE DATOS'!F12</f>
        <v>22</v>
      </c>
      <c r="G12" s="734" t="str">
        <f>'BASE DE DATOS'!G12</f>
        <v>IIIB</v>
      </c>
      <c r="H12" s="734">
        <f>'BASE DE DATOS'!H12</f>
        <v>0</v>
      </c>
      <c r="I12" s="734">
        <f>'BASE DE DATOS'!I12</f>
        <v>1499</v>
      </c>
      <c r="J12" s="734">
        <f>'BASE DE DATOS'!J12</f>
        <v>22.2</v>
      </c>
      <c r="K12" s="734">
        <f>'BASE DE DATOS'!K12</f>
        <v>32.5</v>
      </c>
      <c r="L12" s="734">
        <f>'BASE DE DATOS'!L12</f>
        <v>64</v>
      </c>
      <c r="M12" s="734">
        <f>'BASE DE DATOS'!M12</f>
        <v>78</v>
      </c>
      <c r="N12" s="734">
        <f>'BASE DE DATOS'!N12</f>
        <v>64</v>
      </c>
      <c r="O12" s="734">
        <f>'BASE DE DATOS'!O12</f>
        <v>50</v>
      </c>
      <c r="P12" s="734">
        <f>'BASE DE DATOS'!P12</f>
        <v>100</v>
      </c>
      <c r="Q12" s="734">
        <f>'BASE DE DATOS'!Q12</f>
        <v>3</v>
      </c>
      <c r="R12" s="734">
        <f>'BASE DE DATOS'!R12</f>
        <v>22.2</v>
      </c>
      <c r="S12" s="734">
        <f>'BASE DE DATOS'!S12</f>
        <v>0.53</v>
      </c>
      <c r="T12" s="734">
        <f>'BASE DE DATOS'!T12</f>
        <v>36.9</v>
      </c>
      <c r="U12" s="734">
        <f>'BASE DE DATOS'!U12</f>
        <v>3.4</v>
      </c>
      <c r="V12" s="734">
        <f>'BASE DE DATOS'!V12</f>
        <v>185</v>
      </c>
      <c r="W12" s="734">
        <f>'BASE DE DATOS'!W12</f>
        <v>41</v>
      </c>
      <c r="X12" s="734">
        <f>'BASE DE DATOS'!X12</f>
        <v>1.4E-2</v>
      </c>
      <c r="Y12" s="734">
        <f>'BASE DE DATOS'!Y12</f>
        <v>1.9E-2</v>
      </c>
      <c r="Z12" s="734">
        <f>'BASE DE DATOS'!Z12</f>
        <v>130</v>
      </c>
      <c r="AA12" s="734">
        <f>'BASE DE DATOS'!AA12</f>
        <v>1.3</v>
      </c>
      <c r="AB12" s="734">
        <f>'BASE DE DATOS'!AB12</f>
        <v>35</v>
      </c>
      <c r="AD12" s="734" t="str">
        <f>'BASE DE DATOS'!AD12</f>
        <v>LOMAS DE ZAMORA</v>
      </c>
      <c r="AE12" s="734">
        <f>'BASE DE DATOS'!AE12</f>
        <v>23.8</v>
      </c>
      <c r="AF12" s="734">
        <f>'BASE DE DATOS'!AF12</f>
        <v>22.7</v>
      </c>
      <c r="AG12" s="734">
        <f>'BASE DE DATOS'!AG12</f>
        <v>20.100000000000001</v>
      </c>
      <c r="AH12" s="734">
        <f>'BASE DE DATOS'!AH12</f>
        <v>16.399999999999999</v>
      </c>
      <c r="AI12" s="734">
        <f>'BASE DE DATOS'!AI12</f>
        <v>12.8</v>
      </c>
      <c r="AJ12" s="734">
        <f>'BASE DE DATOS'!AJ12</f>
        <v>9.8000000000000007</v>
      </c>
      <c r="AK12" s="734">
        <f>'BASE DE DATOS'!AK12</f>
        <v>9.8000000000000007</v>
      </c>
      <c r="AL12" s="734">
        <f>'BASE DE DATOS'!AL12</f>
        <v>11.3</v>
      </c>
      <c r="AM12" s="734">
        <f>'BASE DE DATOS'!AM12</f>
        <v>13.3</v>
      </c>
      <c r="AN12" s="734">
        <f>'BASE DE DATOS'!AN12</f>
        <v>16.5</v>
      </c>
      <c r="AO12" s="734">
        <f>'BASE DE DATOS'!AO12</f>
        <v>19.3</v>
      </c>
      <c r="AP12" s="734">
        <f>'BASE DE DATOS'!AP12</f>
        <v>21.5</v>
      </c>
      <c r="AR12" s="734" t="str">
        <f>'BASE DE DATOS'!AR12</f>
        <v>GBA</v>
      </c>
      <c r="AS12" s="734" t="str">
        <f>'BASE DE DATOS'!AS12</f>
        <v>LOMAS DE ZAMORA</v>
      </c>
      <c r="AT12" s="734">
        <f>'BASE DE DATOS'!AT12</f>
        <v>6.5</v>
      </c>
      <c r="AU12" s="734">
        <f>'BASE DE DATOS'!AU12</f>
        <v>5.5</v>
      </c>
      <c r="AV12" s="734">
        <f>'BASE DE DATOS'!AV12</f>
        <v>4.5</v>
      </c>
      <c r="AW12" s="734">
        <f>'BASE DE DATOS'!AW12</f>
        <v>3</v>
      </c>
      <c r="AX12" s="734">
        <f>'BASE DE DATOS'!AX12</f>
        <v>2.5</v>
      </c>
      <c r="AY12" s="734">
        <f>'BASE DE DATOS'!AY12</f>
        <v>2</v>
      </c>
      <c r="AZ12" s="734">
        <f>'BASE DE DATOS'!AZ12</f>
        <v>2</v>
      </c>
      <c r="BA12" s="734">
        <f>'BASE DE DATOS'!BA12</f>
        <v>3</v>
      </c>
      <c r="BB12" s="734">
        <f>'BASE DE DATOS'!BB12</f>
        <v>4</v>
      </c>
      <c r="BC12" s="734">
        <f>'BASE DE DATOS'!BC12</f>
        <v>5</v>
      </c>
      <c r="BD12" s="734">
        <f>'BASE DE DATOS'!BD12</f>
        <v>6</v>
      </c>
      <c r="BE12" s="734">
        <f>'BASE DE DATOS'!BE12</f>
        <v>6.5</v>
      </c>
      <c r="BG12" s="734" t="s">
        <v>23</v>
      </c>
      <c r="BH12" s="734" t="s">
        <v>723</v>
      </c>
      <c r="BI12" s="734" t="s">
        <v>723</v>
      </c>
      <c r="BJ12" s="734" t="s">
        <v>724</v>
      </c>
      <c r="BK12" s="734" t="s">
        <v>214</v>
      </c>
      <c r="BL12" s="734" t="s">
        <v>725</v>
      </c>
      <c r="BM12" s="734" t="s">
        <v>6</v>
      </c>
      <c r="BN12" s="734" t="s">
        <v>724</v>
      </c>
      <c r="BO12" s="734" t="s">
        <v>6</v>
      </c>
      <c r="BQ12" s="747" t="s">
        <v>1142</v>
      </c>
      <c r="BR12" s="747" t="s">
        <v>1142</v>
      </c>
      <c r="BS12" s="747" t="s">
        <v>1142</v>
      </c>
      <c r="BT12" s="745" t="s">
        <v>1114</v>
      </c>
      <c r="BU12" s="745" t="s">
        <v>1114</v>
      </c>
      <c r="BV12" s="745" t="s">
        <v>1114</v>
      </c>
      <c r="BX12" s="745" t="s">
        <v>1158</v>
      </c>
      <c r="BY12" s="734">
        <v>0.65</v>
      </c>
      <c r="BZ12" s="734">
        <v>1.25</v>
      </c>
      <c r="CA12" s="734">
        <v>0</v>
      </c>
      <c r="CB12" s="745" t="s">
        <v>1176</v>
      </c>
      <c r="CC12" s="734">
        <v>2.9</v>
      </c>
      <c r="CD12" s="734">
        <v>3.3</v>
      </c>
      <c r="CE12" s="734">
        <v>0</v>
      </c>
      <c r="DA12" s="734"/>
      <c r="DB12" s="734"/>
      <c r="DD12" s="734"/>
      <c r="DE12" s="734" t="s">
        <v>1383</v>
      </c>
      <c r="DF12" s="734"/>
      <c r="DG12" s="734"/>
      <c r="DH12" s="734"/>
      <c r="DI12" s="734">
        <v>5</v>
      </c>
      <c r="DJ12" s="734" t="s">
        <v>1371</v>
      </c>
      <c r="DO12" s="733" t="str">
        <f>'BASE DE DATOS'!BG12</f>
        <v>GBA</v>
      </c>
      <c r="DP12" s="733" t="str">
        <f>'BASE DE DATOS'!BH12</f>
        <v>LOMAS DE ZAMORA</v>
      </c>
      <c r="DQ12" s="733">
        <f>'BASE DE DATOS'!BI12</f>
        <v>104</v>
      </c>
      <c r="DR12" s="733">
        <f>'BASE DE DATOS'!BJ12</f>
        <v>98</v>
      </c>
      <c r="DS12" s="733">
        <f>'BASE DE DATOS'!BK12</f>
        <v>115</v>
      </c>
      <c r="DT12" s="733">
        <f>'BASE DE DATOS'!BL12</f>
        <v>97</v>
      </c>
      <c r="DU12" s="733">
        <f>'BASE DE DATOS'!BM12</f>
        <v>80</v>
      </c>
      <c r="DV12" s="733">
        <f>'BASE DE DATOS'!BN12</f>
        <v>61</v>
      </c>
      <c r="DW12" s="733">
        <f>'BASE DE DATOS'!BO12</f>
        <v>59</v>
      </c>
      <c r="DX12" s="733">
        <f>'BASE DE DATOS'!BP12</f>
        <v>63</v>
      </c>
      <c r="DY12" s="733">
        <f>'BASE DE DATOS'!BQ12</f>
        <v>68</v>
      </c>
      <c r="DZ12" s="733">
        <f>'BASE DE DATOS'!BR12</f>
        <v>104</v>
      </c>
      <c r="EA12" s="733">
        <f>'BASE DE DATOS'!BS12</f>
        <v>98</v>
      </c>
      <c r="EB12" s="733">
        <f>'BASE DE DATOS'!BT12</f>
        <v>93</v>
      </c>
      <c r="EG12" s="752"/>
      <c r="EH12" s="734">
        <v>0</v>
      </c>
      <c r="EI12" s="734">
        <v>20</v>
      </c>
      <c r="EJ12" s="734">
        <v>21</v>
      </c>
      <c r="EK12" s="734">
        <v>50</v>
      </c>
      <c r="EL12" s="734">
        <v>51</v>
      </c>
      <c r="EM12" s="734">
        <v>100</v>
      </c>
      <c r="EN12" s="734">
        <v>101</v>
      </c>
      <c r="EO12" s="734">
        <v>500</v>
      </c>
      <c r="EP12" s="734">
        <v>5000</v>
      </c>
      <c r="ER12" s="734" t="s">
        <v>557</v>
      </c>
      <c r="ES12" s="748">
        <v>0.25</v>
      </c>
      <c r="ET12" s="737" t="e">
        <f>'Materiales Personalizados'!$BM$22</f>
        <v>#N/A</v>
      </c>
      <c r="EU12" s="748">
        <v>0.2</v>
      </c>
      <c r="EV12" s="737" t="e">
        <f t="shared" si="0"/>
        <v>#N/A</v>
      </c>
      <c r="EW12" s="748">
        <v>0.15</v>
      </c>
      <c r="EX12" s="734">
        <v>0</v>
      </c>
      <c r="EY12" s="734" t="s">
        <v>983</v>
      </c>
      <c r="EZ12" s="748">
        <f t="shared" si="1"/>
        <v>0.15</v>
      </c>
      <c r="FA12" s="734">
        <v>0</v>
      </c>
      <c r="FB12" s="734" t="s">
        <v>983</v>
      </c>
      <c r="FC12" s="748">
        <f t="shared" si="2"/>
        <v>0.15</v>
      </c>
      <c r="FD12" s="734">
        <v>0</v>
      </c>
      <c r="FE12" s="734" t="s">
        <v>983</v>
      </c>
      <c r="FK12" s="731" t="str">
        <f>'BASE DE DATOS'!BV12</f>
        <v>SANTIAGO DEL ESTERO</v>
      </c>
      <c r="FL12" s="731">
        <f>'BASE DE DATOS'!BW12</f>
        <v>27.77</v>
      </c>
      <c r="FM12" s="731">
        <f>'BASE DE DATOS'!BX12</f>
        <v>10</v>
      </c>
      <c r="FN12" s="731">
        <f>'BASE DE DATOS'!BY12</f>
        <v>50</v>
      </c>
      <c r="FO12" s="731">
        <f>'BASE DE DATOS'!BZ12</f>
        <v>10</v>
      </c>
      <c r="FP12" s="731">
        <f>'BASE DE DATOS'!CA12</f>
        <v>0</v>
      </c>
      <c r="FQ12" s="731">
        <f>'BASE DE DATOS'!CB12</f>
        <v>58</v>
      </c>
      <c r="FR12" s="731">
        <f>'BASE DE DATOS'!CC12</f>
        <v>50</v>
      </c>
      <c r="FS12" s="731">
        <f>'BASE DE DATOS'!CD12</f>
        <v>0</v>
      </c>
      <c r="FT12" s="731">
        <f>'BASE DE DATOS'!CE12</f>
        <v>0</v>
      </c>
      <c r="FU12" s="731">
        <f>'BASE DE DATOS'!CF12</f>
        <v>64</v>
      </c>
      <c r="FV12" s="731">
        <f>'BASE DE DATOS'!CG12</f>
        <v>58</v>
      </c>
      <c r="FW12" s="731">
        <f>'BASE DE DATOS'!CH12</f>
        <v>0</v>
      </c>
      <c r="FX12" s="731">
        <f>'BASE DE DATOS'!CI12</f>
        <v>0</v>
      </c>
      <c r="FY12" s="731">
        <f>'BASE DE DATOS'!CJ12</f>
        <v>70</v>
      </c>
      <c r="FZ12" s="731">
        <f>'BASE DE DATOS'!CK12</f>
        <v>64</v>
      </c>
      <c r="GA12" s="731">
        <f>'BASE DE DATOS'!CL12</f>
        <v>0</v>
      </c>
      <c r="GB12" s="731">
        <f>'BASE DE DATOS'!CM12</f>
        <v>0</v>
      </c>
      <c r="GC12" s="731">
        <f>'BASE DE DATOS'!CN12</f>
        <v>76</v>
      </c>
      <c r="GD12" s="731">
        <f>'BASE DE DATOS'!CO12</f>
        <v>70</v>
      </c>
      <c r="GE12" s="731">
        <f>'BASE DE DATOS'!CP12</f>
        <v>0</v>
      </c>
      <c r="GF12" s="731">
        <f>'BASE DE DATOS'!CQ12</f>
        <v>80</v>
      </c>
      <c r="GG12" s="731">
        <f>'BASE DE DATOS'!CR12</f>
        <v>76</v>
      </c>
      <c r="GH12" s="731">
        <f>'BASE DE DATOS'!CS12</f>
        <v>0</v>
      </c>
      <c r="GI12" s="731">
        <f>'BASE DE DATOS'!CT12</f>
        <v>86</v>
      </c>
      <c r="GJ12" s="731">
        <f>'BASE DE DATOS'!CU12</f>
        <v>80</v>
      </c>
      <c r="GM12" s="741"/>
      <c r="GN12" s="741"/>
      <c r="GO12" s="727" t="s">
        <v>1963</v>
      </c>
      <c r="GP12" s="727">
        <f>IF(DATOS!C11=0,0,1)</f>
        <v>0</v>
      </c>
      <c r="GQ12" s="1218" t="s">
        <v>1966</v>
      </c>
      <c r="GR12" s="1218"/>
      <c r="GS12" s="1218"/>
      <c r="GT12" s="1218"/>
      <c r="GU12" s="1218"/>
      <c r="GV12" s="741"/>
      <c r="GW12" s="741"/>
      <c r="GX12" s="741"/>
      <c r="GY12" s="741"/>
      <c r="HE12" s="743" t="s">
        <v>213</v>
      </c>
      <c r="HF12" s="734">
        <v>0.3</v>
      </c>
      <c r="HH12" s="734">
        <v>9</v>
      </c>
      <c r="HI12" s="734"/>
      <c r="HJ12" s="734"/>
      <c r="HK12" s="734"/>
      <c r="HL12" s="734">
        <v>5</v>
      </c>
      <c r="HM12" s="734">
        <v>4</v>
      </c>
      <c r="HN12" s="734">
        <v>4</v>
      </c>
      <c r="HO12" s="734"/>
      <c r="HP12" s="734"/>
    </row>
    <row r="13" spans="2:224" ht="15" customHeight="1">
      <c r="B13" s="734" t="str">
        <f>'BASE DE DATOS'!B13</f>
        <v>GBA</v>
      </c>
      <c r="C13" s="734" t="str">
        <f>'BASE DE DATOS'!C13</f>
        <v>SAN MIGUEL</v>
      </c>
      <c r="D13" s="734">
        <f>'BASE DE DATOS'!D13</f>
        <v>34.549999999999997</v>
      </c>
      <c r="E13" s="734">
        <f>'BASE DE DATOS'!E13</f>
        <v>58.73</v>
      </c>
      <c r="F13" s="734">
        <f>'BASE DE DATOS'!F13</f>
        <v>26</v>
      </c>
      <c r="G13" s="734" t="str">
        <f>'BASE DE DATOS'!G13</f>
        <v>IIIB</v>
      </c>
      <c r="H13" s="734">
        <f>'BASE DE DATOS'!H13</f>
        <v>0</v>
      </c>
      <c r="I13" s="734">
        <f>'BASE DE DATOS'!I13</f>
        <v>10.3</v>
      </c>
      <c r="J13" s="734">
        <f>'BASE DE DATOS'!J13</f>
        <v>22.2</v>
      </c>
      <c r="K13" s="734">
        <f>'BASE DE DATOS'!K13</f>
        <v>32.200000000000003</v>
      </c>
      <c r="L13" s="734">
        <f>'BASE DE DATOS'!L13</f>
        <v>65</v>
      </c>
      <c r="M13" s="734">
        <f>'BASE DE DATOS'!M13</f>
        <v>79</v>
      </c>
      <c r="N13" s="734">
        <f>'BASE DE DATOS'!N13</f>
        <v>65</v>
      </c>
      <c r="O13" s="734">
        <f>'BASE DE DATOS'!O13</f>
        <v>67</v>
      </c>
      <c r="P13" s="734">
        <f>'BASE DE DATOS'!P13</f>
        <v>114</v>
      </c>
      <c r="Q13" s="734">
        <f>'BASE DE DATOS'!Q13</f>
        <v>3</v>
      </c>
      <c r="R13" s="734">
        <f>'BASE DE DATOS'!R13</f>
        <v>21.9</v>
      </c>
      <c r="S13" s="734">
        <f>'BASE DE DATOS'!S13</f>
        <v>0.53</v>
      </c>
      <c r="T13" s="734">
        <f>'BASE DE DATOS'!T13</f>
        <v>36.9</v>
      </c>
      <c r="U13" s="734">
        <f>'BASE DE DATOS'!U13</f>
        <v>3.4</v>
      </c>
      <c r="V13" s="734">
        <f>'BASE DE DATOS'!V13</f>
        <v>185</v>
      </c>
      <c r="W13" s="734">
        <f>'BASE DE DATOS'!W13</f>
        <v>41</v>
      </c>
      <c r="X13" s="734">
        <f>'BASE DE DATOS'!X13</f>
        <v>1.4E-2</v>
      </c>
      <c r="Y13" s="734">
        <f>'BASE DE DATOS'!Y13</f>
        <v>1.9E-2</v>
      </c>
      <c r="Z13" s="734">
        <f>'BASE DE DATOS'!Z13</f>
        <v>130</v>
      </c>
      <c r="AA13" s="734">
        <f>'BASE DE DATOS'!AA13</f>
        <v>1.3</v>
      </c>
      <c r="AB13" s="734">
        <f>'BASE DE DATOS'!AB13</f>
        <v>35</v>
      </c>
      <c r="AD13" s="734" t="str">
        <f>'BASE DE DATOS'!AD13</f>
        <v>SAN MIGUEL</v>
      </c>
      <c r="AE13" s="734">
        <f>'BASE DE DATOS'!AE13</f>
        <v>24.4</v>
      </c>
      <c r="AF13" s="734">
        <f>'BASE DE DATOS'!AF13</f>
        <v>22.8</v>
      </c>
      <c r="AG13" s="734">
        <f>'BASE DE DATOS'!AG13</f>
        <v>20.399999999999999</v>
      </c>
      <c r="AH13" s="734">
        <f>'BASE DE DATOS'!AH13</f>
        <v>16.8</v>
      </c>
      <c r="AI13" s="734">
        <f>'BASE DE DATOS'!AI13</f>
        <v>13.2</v>
      </c>
      <c r="AJ13" s="734">
        <f>'BASE DE DATOS'!AJ13</f>
        <v>10.199999999999999</v>
      </c>
      <c r="AK13" s="734">
        <f>'BASE DE DATOS'!AK13</f>
        <v>10</v>
      </c>
      <c r="AL13" s="734">
        <f>'BASE DE DATOS'!AL13</f>
        <v>12</v>
      </c>
      <c r="AM13" s="734">
        <f>'BASE DE DATOS'!AM13</f>
        <v>13.7</v>
      </c>
      <c r="AN13" s="734">
        <f>'BASE DE DATOS'!AN13</f>
        <v>16.899999999999999</v>
      </c>
      <c r="AO13" s="734">
        <f>'BASE DE DATOS'!AO13</f>
        <v>19.8</v>
      </c>
      <c r="AP13" s="734">
        <f>'BASE DE DATOS'!AP13</f>
        <v>22.4</v>
      </c>
      <c r="AR13" s="734" t="str">
        <f>'BASE DE DATOS'!AR13</f>
        <v>GBA</v>
      </c>
      <c r="AS13" s="734" t="str">
        <f>'BASE DE DATOS'!AS13</f>
        <v>SAN MIGUEL</v>
      </c>
      <c r="AT13" s="734">
        <f>'BASE DE DATOS'!AT13</f>
        <v>6.5</v>
      </c>
      <c r="AU13" s="734">
        <f>'BASE DE DATOS'!AU13</f>
        <v>5.5</v>
      </c>
      <c r="AV13" s="734">
        <f>'BASE DE DATOS'!AV13</f>
        <v>4.5</v>
      </c>
      <c r="AW13" s="734">
        <f>'BASE DE DATOS'!AW13</f>
        <v>3</v>
      </c>
      <c r="AX13" s="734">
        <f>'BASE DE DATOS'!AX13</f>
        <v>2.5</v>
      </c>
      <c r="AY13" s="734">
        <f>'BASE DE DATOS'!AY13</f>
        <v>2</v>
      </c>
      <c r="AZ13" s="734">
        <f>'BASE DE DATOS'!AZ13</f>
        <v>2</v>
      </c>
      <c r="BA13" s="734">
        <f>'BASE DE DATOS'!BA13</f>
        <v>3</v>
      </c>
      <c r="BB13" s="734">
        <f>'BASE DE DATOS'!BB13</f>
        <v>4</v>
      </c>
      <c r="BC13" s="734">
        <f>'BASE DE DATOS'!BC13</f>
        <v>5</v>
      </c>
      <c r="BD13" s="734">
        <f>'BASE DE DATOS'!BD13</f>
        <v>6</v>
      </c>
      <c r="BE13" s="734">
        <f>'BASE DE DATOS'!BE13</f>
        <v>6.5</v>
      </c>
      <c r="BG13" s="734" t="s">
        <v>72</v>
      </c>
      <c r="BH13" s="734" t="s">
        <v>723</v>
      </c>
      <c r="BI13" s="734" t="s">
        <v>723</v>
      </c>
      <c r="BJ13" s="734" t="s">
        <v>214</v>
      </c>
      <c r="BK13" s="734"/>
      <c r="BL13" s="734"/>
      <c r="BM13" s="734" t="s">
        <v>6</v>
      </c>
      <c r="BN13" s="734" t="s">
        <v>214</v>
      </c>
      <c r="BO13" s="734" t="s">
        <v>7</v>
      </c>
      <c r="BQ13" s="745" t="s">
        <v>1114</v>
      </c>
      <c r="BR13" s="745" t="s">
        <v>1114</v>
      </c>
      <c r="BS13" s="745" t="s">
        <v>1114</v>
      </c>
      <c r="BT13" s="745" t="s">
        <v>1114</v>
      </c>
      <c r="BU13" s="745" t="s">
        <v>1114</v>
      </c>
      <c r="BV13" s="745" t="s">
        <v>1114</v>
      </c>
      <c r="BX13" s="745" t="s">
        <v>1159</v>
      </c>
      <c r="BY13" s="734">
        <v>0.61</v>
      </c>
      <c r="BZ13" s="734">
        <v>1.25</v>
      </c>
      <c r="CA13" s="734">
        <v>0</v>
      </c>
      <c r="CB13" s="745" t="s">
        <v>1177</v>
      </c>
      <c r="CC13" s="734">
        <v>2.7</v>
      </c>
      <c r="CD13" s="734">
        <v>3.3</v>
      </c>
      <c r="CE13" s="734">
        <v>0</v>
      </c>
      <c r="DA13" s="734"/>
      <c r="DB13" s="734"/>
      <c r="DD13" s="734" t="s">
        <v>714</v>
      </c>
      <c r="DE13" s="734">
        <v>0.9</v>
      </c>
      <c r="DF13" s="734"/>
      <c r="DG13" s="734"/>
      <c r="DH13" s="734"/>
      <c r="DI13" s="734">
        <v>10</v>
      </c>
      <c r="DJ13" s="734" t="s">
        <v>1370</v>
      </c>
      <c r="DO13" s="733" t="str">
        <f>'BASE DE DATOS'!BG13</f>
        <v>GBA</v>
      </c>
      <c r="DP13" s="733" t="str">
        <f>'BASE DE DATOS'!BH13</f>
        <v>SAN MIGUEL</v>
      </c>
      <c r="DQ13" s="733">
        <f>'BASE DE DATOS'!BI13</f>
        <v>104</v>
      </c>
      <c r="DR13" s="733">
        <f>'BASE DE DATOS'!BJ13</f>
        <v>98</v>
      </c>
      <c r="DS13" s="733">
        <f>'BASE DE DATOS'!BK13</f>
        <v>115</v>
      </c>
      <c r="DT13" s="733">
        <f>'BASE DE DATOS'!BL13</f>
        <v>97</v>
      </c>
      <c r="DU13" s="733">
        <f>'BASE DE DATOS'!BM13</f>
        <v>80</v>
      </c>
      <c r="DV13" s="733">
        <f>'BASE DE DATOS'!BN13</f>
        <v>61</v>
      </c>
      <c r="DW13" s="733">
        <f>'BASE DE DATOS'!BO13</f>
        <v>59</v>
      </c>
      <c r="DX13" s="733">
        <f>'BASE DE DATOS'!BP13</f>
        <v>63</v>
      </c>
      <c r="DY13" s="733">
        <f>'BASE DE DATOS'!BQ13</f>
        <v>68</v>
      </c>
      <c r="DZ13" s="733">
        <f>'BASE DE DATOS'!BR13</f>
        <v>104</v>
      </c>
      <c r="EA13" s="733">
        <f>'BASE DE DATOS'!BS13</f>
        <v>98</v>
      </c>
      <c r="EB13" s="733">
        <f>'BASE DE DATOS'!BT13</f>
        <v>93</v>
      </c>
      <c r="EG13" s="752"/>
      <c r="EH13" s="734" t="s">
        <v>1548</v>
      </c>
      <c r="EI13" s="734" t="s">
        <v>1548</v>
      </c>
      <c r="EJ13" s="734" t="s">
        <v>1549</v>
      </c>
      <c r="EK13" s="734" t="s">
        <v>1549</v>
      </c>
      <c r="EL13" s="734" t="s">
        <v>1550</v>
      </c>
      <c r="EM13" s="734" t="s">
        <v>1550</v>
      </c>
      <c r="EN13" s="734" t="s">
        <v>1551</v>
      </c>
      <c r="EO13" s="734" t="s">
        <v>1551</v>
      </c>
      <c r="EP13" s="734" t="s">
        <v>1551</v>
      </c>
      <c r="ER13" s="734" t="s">
        <v>213</v>
      </c>
      <c r="ES13" s="748">
        <v>0.25</v>
      </c>
      <c r="ET13" s="737" t="e">
        <f>'Materiales Personalizados'!$BM$22</f>
        <v>#N/A</v>
      </c>
      <c r="EU13" s="748">
        <v>0.2</v>
      </c>
      <c r="EV13" s="737" t="e">
        <f t="shared" si="0"/>
        <v>#N/A</v>
      </c>
      <c r="EW13" s="748">
        <v>0.15</v>
      </c>
      <c r="EX13" s="734">
        <v>0</v>
      </c>
      <c r="EY13" s="734" t="s">
        <v>983</v>
      </c>
      <c r="EZ13" s="748">
        <f t="shared" si="1"/>
        <v>0.15</v>
      </c>
      <c r="FA13" s="734">
        <v>0</v>
      </c>
      <c r="FB13" s="734" t="s">
        <v>983</v>
      </c>
      <c r="FC13" s="748">
        <f t="shared" si="2"/>
        <v>0.15</v>
      </c>
      <c r="FD13" s="734">
        <v>0</v>
      </c>
      <c r="FE13" s="734" t="s">
        <v>983</v>
      </c>
      <c r="FK13" s="731" t="str">
        <f>'BASE DE DATOS'!BV13</f>
        <v>TUCUMAN</v>
      </c>
      <c r="FL13" s="731">
        <f>'BASE DE DATOS'!BW13</f>
        <v>26.8</v>
      </c>
      <c r="FM13" s="731">
        <f>'BASE DE DATOS'!BX13</f>
        <v>10</v>
      </c>
      <c r="FN13" s="731">
        <f>'BASE DE DATOS'!BY13</f>
        <v>50</v>
      </c>
      <c r="FO13" s="731">
        <f>'BASE DE DATOS'!BZ13</f>
        <v>10</v>
      </c>
      <c r="FP13" s="731">
        <f>'BASE DE DATOS'!CA13</f>
        <v>0</v>
      </c>
      <c r="FQ13" s="731">
        <f>'BASE DE DATOS'!CB13</f>
        <v>58</v>
      </c>
      <c r="FR13" s="731">
        <f>'BASE DE DATOS'!CC13</f>
        <v>50</v>
      </c>
      <c r="FS13" s="731">
        <f>'BASE DE DATOS'!CD13</f>
        <v>0</v>
      </c>
      <c r="FT13" s="731">
        <f>'BASE DE DATOS'!CE13</f>
        <v>0</v>
      </c>
      <c r="FU13" s="731">
        <f>'BASE DE DATOS'!CF13</f>
        <v>64</v>
      </c>
      <c r="FV13" s="731">
        <f>'BASE DE DATOS'!CG13</f>
        <v>58</v>
      </c>
      <c r="FW13" s="731">
        <f>'BASE DE DATOS'!CH13</f>
        <v>0</v>
      </c>
      <c r="FX13" s="731">
        <f>'BASE DE DATOS'!CI13</f>
        <v>0</v>
      </c>
      <c r="FY13" s="731">
        <f>'BASE DE DATOS'!CJ13</f>
        <v>70</v>
      </c>
      <c r="FZ13" s="731">
        <f>'BASE DE DATOS'!CK13</f>
        <v>64</v>
      </c>
      <c r="GA13" s="731">
        <f>'BASE DE DATOS'!CL13</f>
        <v>0</v>
      </c>
      <c r="GB13" s="731">
        <f>'BASE DE DATOS'!CM13</f>
        <v>0</v>
      </c>
      <c r="GC13" s="731">
        <f>'BASE DE DATOS'!CN13</f>
        <v>76</v>
      </c>
      <c r="GD13" s="731">
        <f>'BASE DE DATOS'!CO13</f>
        <v>70</v>
      </c>
      <c r="GE13" s="731">
        <f>'BASE DE DATOS'!CP13</f>
        <v>0</v>
      </c>
      <c r="GF13" s="731">
        <f>'BASE DE DATOS'!CQ13</f>
        <v>80</v>
      </c>
      <c r="GG13" s="731">
        <f>'BASE DE DATOS'!CR13</f>
        <v>76</v>
      </c>
      <c r="GH13" s="731">
        <f>'BASE DE DATOS'!CS13</f>
        <v>0</v>
      </c>
      <c r="GI13" s="731">
        <f>'BASE DE DATOS'!CT13</f>
        <v>87</v>
      </c>
      <c r="GJ13" s="731">
        <f>'BASE DE DATOS'!CU13</f>
        <v>80</v>
      </c>
      <c r="GM13" s="741"/>
      <c r="GN13" s="741"/>
      <c r="GO13" s="727" t="s">
        <v>1964</v>
      </c>
      <c r="GP13" s="727">
        <f>IF(DATOS!C26=0,0,1)</f>
        <v>0</v>
      </c>
      <c r="GQ13" s="1182">
        <f>IF(AVERAGE(GP13:GP16)=1,1,0)</f>
        <v>0</v>
      </c>
      <c r="GR13" s="1218" t="s">
        <v>1967</v>
      </c>
      <c r="GS13" s="1218"/>
      <c r="GT13" s="1218"/>
      <c r="GU13" s="1218"/>
      <c r="GV13" s="741"/>
      <c r="GW13" s="741"/>
      <c r="GX13" s="741"/>
      <c r="GY13" s="741"/>
      <c r="HE13" s="743" t="s">
        <v>558</v>
      </c>
      <c r="HF13" s="734">
        <v>0.3</v>
      </c>
      <c r="HH13" s="734">
        <v>10</v>
      </c>
      <c r="HI13" s="734">
        <v>5</v>
      </c>
      <c r="HJ13" s="734">
        <v>5</v>
      </c>
      <c r="HK13" s="734"/>
      <c r="HL13" s="734"/>
      <c r="HM13" s="734">
        <v>2</v>
      </c>
      <c r="HN13" s="734">
        <v>2</v>
      </c>
      <c r="HO13" s="734"/>
      <c r="HP13" s="734"/>
    </row>
    <row r="14" spans="2:224" ht="35" customHeight="1">
      <c r="B14" s="734" t="str">
        <f>'BASE DE DATOS'!B14</f>
        <v>BAP</v>
      </c>
      <c r="C14" s="734" t="str">
        <f>'BASE DE DATOS'!C14</f>
        <v>LA PLATA AERO</v>
      </c>
      <c r="D14" s="734">
        <f>'BASE DE DATOS'!D14</f>
        <v>34.97</v>
      </c>
      <c r="E14" s="734">
        <f>'BASE DE DATOS'!E14</f>
        <v>57.9</v>
      </c>
      <c r="F14" s="734">
        <f>'BASE DE DATOS'!F14</f>
        <v>23</v>
      </c>
      <c r="G14" s="734" t="str">
        <f>'BASE DE DATOS'!G14</f>
        <v>IIIB</v>
      </c>
      <c r="H14" s="734">
        <f>'BASE DE DATOS'!H14</f>
        <v>0.7</v>
      </c>
      <c r="I14" s="734">
        <f>'BASE DE DATOS'!I14</f>
        <v>9.6999999999999993</v>
      </c>
      <c r="J14" s="734">
        <f>'BASE DE DATOS'!J14</f>
        <v>21.7</v>
      </c>
      <c r="K14" s="734">
        <f>'BASE DE DATOS'!K14</f>
        <v>31.4</v>
      </c>
      <c r="L14" s="734">
        <f>'BASE DE DATOS'!L14</f>
        <v>70</v>
      </c>
      <c r="M14" s="734">
        <f>'BASE DE DATOS'!M14</f>
        <v>82</v>
      </c>
      <c r="N14" s="734">
        <f>'BASE DE DATOS'!N14</f>
        <v>70</v>
      </c>
      <c r="O14" s="734">
        <f>'BASE DE DATOS'!O14</f>
        <v>59</v>
      </c>
      <c r="P14" s="734">
        <f>'BASE DE DATOS'!P14</f>
        <v>79</v>
      </c>
      <c r="Q14" s="734">
        <f>'BASE DE DATOS'!Q14</f>
        <v>3</v>
      </c>
      <c r="R14" s="734">
        <f>'BASE DE DATOS'!R14</f>
        <v>21.4</v>
      </c>
      <c r="S14" s="734">
        <f>'BASE DE DATOS'!S14</f>
        <v>0.53</v>
      </c>
      <c r="T14" s="734">
        <f>'BASE DE DATOS'!T14</f>
        <v>36.9</v>
      </c>
      <c r="U14" s="734">
        <f>'BASE DE DATOS'!U14</f>
        <v>3.4</v>
      </c>
      <c r="V14" s="734">
        <f>'BASE DE DATOS'!V14</f>
        <v>185</v>
      </c>
      <c r="W14" s="734">
        <f>'BASE DE DATOS'!W14</f>
        <v>41</v>
      </c>
      <c r="X14" s="734">
        <f>'BASE DE DATOS'!X14</f>
        <v>1.4E-2</v>
      </c>
      <c r="Y14" s="734">
        <f>'BASE DE DATOS'!Y14</f>
        <v>1.9E-2</v>
      </c>
      <c r="Z14" s="734">
        <f>'BASE DE DATOS'!Z14</f>
        <v>130</v>
      </c>
      <c r="AA14" s="734">
        <f>'BASE DE DATOS'!AA14</f>
        <v>1.3</v>
      </c>
      <c r="AB14" s="734">
        <f>'BASE DE DATOS'!AB14</f>
        <v>35</v>
      </c>
      <c r="AD14" s="734" t="str">
        <f>'BASE DE DATOS'!AD14</f>
        <v>LA PLATA AERO</v>
      </c>
      <c r="AE14" s="734">
        <f>'BASE DE DATOS'!AE14</f>
        <v>23.1</v>
      </c>
      <c r="AF14" s="734">
        <f>'BASE DE DATOS'!AF14</f>
        <v>22</v>
      </c>
      <c r="AG14" s="734">
        <f>'BASE DE DATOS'!AG14</f>
        <v>19.8</v>
      </c>
      <c r="AH14" s="734">
        <f>'BASE DE DATOS'!AH14</f>
        <v>16.3</v>
      </c>
      <c r="AI14" s="734">
        <f>'BASE DE DATOS'!AI14</f>
        <v>12.6</v>
      </c>
      <c r="AJ14" s="734">
        <f>'BASE DE DATOS'!AJ14</f>
        <v>9.6999999999999993</v>
      </c>
      <c r="AK14" s="734">
        <f>'BASE DE DATOS'!AK14</f>
        <v>8.9</v>
      </c>
      <c r="AL14" s="734">
        <f>'BASE DE DATOS'!AL14</f>
        <v>10.7</v>
      </c>
      <c r="AM14" s="734">
        <f>'BASE DE DATOS'!AM14</f>
        <v>12.3</v>
      </c>
      <c r="AN14" s="734">
        <f>'BASE DE DATOS'!AN14</f>
        <v>15.6</v>
      </c>
      <c r="AO14" s="734">
        <f>'BASE DE DATOS'!AO14</f>
        <v>18.5</v>
      </c>
      <c r="AP14" s="734">
        <f>'BASE DE DATOS'!AP14</f>
        <v>21</v>
      </c>
      <c r="AR14" s="734" t="str">
        <f>'BASE DE DATOS'!AR14</f>
        <v>BAP</v>
      </c>
      <c r="AS14" s="734" t="str">
        <f>'BASE DE DATOS'!AS14</f>
        <v>LA PLATA AERO</v>
      </c>
      <c r="AT14" s="734">
        <f>'BASE DE DATOS'!AT14</f>
        <v>6.5</v>
      </c>
      <c r="AU14" s="734">
        <f>'BASE DE DATOS'!AU14</f>
        <v>5.5</v>
      </c>
      <c r="AV14" s="734">
        <f>'BASE DE DATOS'!AV14</f>
        <v>4.5</v>
      </c>
      <c r="AW14" s="734">
        <f>'BASE DE DATOS'!AW14</f>
        <v>3</v>
      </c>
      <c r="AX14" s="734">
        <f>'BASE DE DATOS'!AX14</f>
        <v>2.5</v>
      </c>
      <c r="AY14" s="734">
        <f>'BASE DE DATOS'!AY14</f>
        <v>1.5</v>
      </c>
      <c r="AZ14" s="734">
        <f>'BASE DE DATOS'!AZ14</f>
        <v>2</v>
      </c>
      <c r="BA14" s="734">
        <f>'BASE DE DATOS'!BA14</f>
        <v>3</v>
      </c>
      <c r="BB14" s="734">
        <f>'BASE DE DATOS'!BB14</f>
        <v>4</v>
      </c>
      <c r="BC14" s="734">
        <f>'BASE DE DATOS'!BC14</f>
        <v>5</v>
      </c>
      <c r="BD14" s="734">
        <f>'BASE DE DATOS'!BD14</f>
        <v>6</v>
      </c>
      <c r="BE14" s="734">
        <f>'BASE DE DATOS'!BE14</f>
        <v>6.5</v>
      </c>
      <c r="BG14" s="734" t="s">
        <v>61</v>
      </c>
      <c r="BH14" s="734" t="s">
        <v>723</v>
      </c>
      <c r="BI14" s="734" t="s">
        <v>723</v>
      </c>
      <c r="BJ14" s="734" t="s">
        <v>214</v>
      </c>
      <c r="BK14" s="734"/>
      <c r="BL14" s="734"/>
      <c r="BM14" s="734" t="s">
        <v>6</v>
      </c>
      <c r="BN14" s="734" t="s">
        <v>214</v>
      </c>
      <c r="BO14" s="734" t="s">
        <v>7</v>
      </c>
      <c r="BQ14" s="745" t="s">
        <v>1114</v>
      </c>
      <c r="BR14" s="745" t="s">
        <v>1114</v>
      </c>
      <c r="BS14" s="745" t="s">
        <v>1114</v>
      </c>
      <c r="BT14" s="750" t="s">
        <v>1144</v>
      </c>
      <c r="BU14" s="750" t="s">
        <v>1144</v>
      </c>
      <c r="BV14" s="750" t="s">
        <v>1144</v>
      </c>
      <c r="BX14" s="745" t="s">
        <v>1160</v>
      </c>
      <c r="BY14" s="734">
        <v>0.59</v>
      </c>
      <c r="BZ14" s="734">
        <v>1.25</v>
      </c>
      <c r="CA14" s="734">
        <v>0</v>
      </c>
      <c r="CB14" s="745" t="s">
        <v>1178</v>
      </c>
      <c r="CC14" s="734">
        <v>2.5</v>
      </c>
      <c r="CD14" s="734">
        <v>3.3</v>
      </c>
      <c r="CE14" s="734">
        <v>0</v>
      </c>
      <c r="DA14" s="734"/>
      <c r="DB14" s="734"/>
      <c r="DD14" s="734" t="s">
        <v>715</v>
      </c>
      <c r="DE14" s="734">
        <v>0.625</v>
      </c>
      <c r="DF14" s="734"/>
      <c r="DG14" s="734"/>
      <c r="DH14" s="734"/>
      <c r="DI14" s="734">
        <v>20</v>
      </c>
      <c r="DJ14" s="734" t="s">
        <v>1369</v>
      </c>
      <c r="DO14" s="733" t="str">
        <f>'BASE DE DATOS'!BG14</f>
        <v>BAP</v>
      </c>
      <c r="DP14" s="733" t="str">
        <f>'BASE DE DATOS'!BH14</f>
        <v>LA PLATA AERO</v>
      </c>
      <c r="DQ14" s="733">
        <f>'BASE DE DATOS'!BI14</f>
        <v>104</v>
      </c>
      <c r="DR14" s="733">
        <f>'BASE DE DATOS'!BJ14</f>
        <v>98</v>
      </c>
      <c r="DS14" s="733">
        <f>'BASE DE DATOS'!BK14</f>
        <v>115</v>
      </c>
      <c r="DT14" s="733">
        <f>'BASE DE DATOS'!BL14</f>
        <v>97</v>
      </c>
      <c r="DU14" s="733">
        <f>'BASE DE DATOS'!BM14</f>
        <v>80</v>
      </c>
      <c r="DV14" s="733">
        <f>'BASE DE DATOS'!BN14</f>
        <v>61</v>
      </c>
      <c r="DW14" s="733">
        <f>'BASE DE DATOS'!BO14</f>
        <v>59</v>
      </c>
      <c r="DX14" s="733">
        <f>'BASE DE DATOS'!BP14</f>
        <v>63</v>
      </c>
      <c r="DY14" s="733">
        <f>'BASE DE DATOS'!BQ14</f>
        <v>68</v>
      </c>
      <c r="DZ14" s="733">
        <f>'BASE DE DATOS'!BR14</f>
        <v>104</v>
      </c>
      <c r="EA14" s="733">
        <f>'BASE DE DATOS'!BS14</f>
        <v>98</v>
      </c>
      <c r="EB14" s="733">
        <f>'BASE DE DATOS'!BT14</f>
        <v>93</v>
      </c>
      <c r="ER14" s="734" t="s">
        <v>558</v>
      </c>
      <c r="ES14" s="748">
        <v>0.25</v>
      </c>
      <c r="ET14" s="737" t="e">
        <f>'Materiales Personalizados'!$BM$22</f>
        <v>#N/A</v>
      </c>
      <c r="EU14" s="748">
        <v>0.2</v>
      </c>
      <c r="EV14" s="737" t="e">
        <f t="shared" si="0"/>
        <v>#N/A</v>
      </c>
      <c r="EW14" s="748">
        <v>0.15</v>
      </c>
      <c r="EX14" s="734">
        <v>0</v>
      </c>
      <c r="EY14" s="734" t="s">
        <v>983</v>
      </c>
      <c r="EZ14" s="748">
        <f t="shared" si="1"/>
        <v>0.15</v>
      </c>
      <c r="FA14" s="734">
        <v>0</v>
      </c>
      <c r="FB14" s="734" t="s">
        <v>983</v>
      </c>
      <c r="FC14" s="748">
        <f t="shared" si="2"/>
        <v>0.15</v>
      </c>
      <c r="FD14" s="734">
        <v>0</v>
      </c>
      <c r="FE14" s="734" t="s">
        <v>983</v>
      </c>
      <c r="FK14" s="731" t="str">
        <f>'BASE DE DATOS'!BV14</f>
        <v>CATARARMA</v>
      </c>
      <c r="FL14" s="731">
        <f>'BASE DE DATOS'!BW14</f>
        <v>28.45</v>
      </c>
      <c r="FM14" s="731">
        <f>'BASE DE DATOS'!BX14</f>
        <v>10</v>
      </c>
      <c r="FN14" s="731">
        <f>'BASE DE DATOS'!BY14</f>
        <v>50</v>
      </c>
      <c r="FO14" s="731">
        <f>'BASE DE DATOS'!BZ14</f>
        <v>10</v>
      </c>
      <c r="FP14" s="731">
        <f>'BASE DE DATOS'!CA14</f>
        <v>0</v>
      </c>
      <c r="FQ14" s="731">
        <f>'BASE DE DATOS'!CB14</f>
        <v>60</v>
      </c>
      <c r="FR14" s="731">
        <f>'BASE DE DATOS'!CC14</f>
        <v>50</v>
      </c>
      <c r="FS14" s="731">
        <f>'BASE DE DATOS'!CD14</f>
        <v>5</v>
      </c>
      <c r="FT14" s="731">
        <f>'BASE DE DATOS'!CE14</f>
        <v>0</v>
      </c>
      <c r="FU14" s="731">
        <f>'BASE DE DATOS'!CF14</f>
        <v>65</v>
      </c>
      <c r="FV14" s="731">
        <f>'BASE DE DATOS'!CG14</f>
        <v>60</v>
      </c>
      <c r="FW14" s="731">
        <f>'BASE DE DATOS'!CH14</f>
        <v>0</v>
      </c>
      <c r="FX14" s="731">
        <f>'BASE DE DATOS'!CI14</f>
        <v>0</v>
      </c>
      <c r="FY14" s="731">
        <f>'BASE DE DATOS'!CJ14</f>
        <v>70</v>
      </c>
      <c r="FZ14" s="731">
        <f>'BASE DE DATOS'!CK14</f>
        <v>65</v>
      </c>
      <c r="GA14" s="731">
        <f>'BASE DE DATOS'!CL14</f>
        <v>0</v>
      </c>
      <c r="GB14" s="731">
        <f>'BASE DE DATOS'!CM14</f>
        <v>0</v>
      </c>
      <c r="GC14" s="731">
        <f>'BASE DE DATOS'!CN14</f>
        <v>75</v>
      </c>
      <c r="GD14" s="731">
        <f>'BASE DE DATOS'!CO14</f>
        <v>70</v>
      </c>
      <c r="GE14" s="731">
        <f>'BASE DE DATOS'!CP14</f>
        <v>0</v>
      </c>
      <c r="GF14" s="731">
        <f>'BASE DE DATOS'!CQ14</f>
        <v>80</v>
      </c>
      <c r="GG14" s="731">
        <f>'BASE DE DATOS'!CR14</f>
        <v>75</v>
      </c>
      <c r="GH14" s="731">
        <f>'BASE DE DATOS'!CS14</f>
        <v>0</v>
      </c>
      <c r="GI14" s="731">
        <f>'BASE DE DATOS'!CT14</f>
        <v>85</v>
      </c>
      <c r="GJ14" s="731">
        <f>'BASE DE DATOS'!CU14</f>
        <v>80</v>
      </c>
      <c r="GM14" s="741"/>
      <c r="GN14" s="741"/>
      <c r="GO14" s="727" t="s">
        <v>1965</v>
      </c>
      <c r="GP14" s="727">
        <f>IF(DATOS!G29=0,0,1)</f>
        <v>0</v>
      </c>
      <c r="GQ14" s="1182"/>
      <c r="GR14" s="1218"/>
      <c r="GS14" s="1218"/>
      <c r="GT14" s="1218"/>
      <c r="GU14" s="1218"/>
      <c r="GV14" s="741"/>
      <c r="GW14" s="741"/>
      <c r="GX14" s="741"/>
      <c r="GY14" s="741"/>
      <c r="HE14" s="743" t="s">
        <v>559</v>
      </c>
      <c r="HF14" s="734">
        <v>0.3</v>
      </c>
      <c r="HH14" s="734">
        <v>11</v>
      </c>
      <c r="HI14" s="734">
        <v>2</v>
      </c>
      <c r="HJ14" s="734">
        <v>2</v>
      </c>
      <c r="HK14" s="734">
        <v>2</v>
      </c>
      <c r="HL14" s="734">
        <v>1</v>
      </c>
      <c r="HM14" s="734"/>
      <c r="HN14" s="734"/>
      <c r="HO14" s="734"/>
      <c r="HP14" s="734"/>
    </row>
    <row r="15" spans="2:224" ht="30" customHeight="1">
      <c r="B15" s="734" t="str">
        <f>'BASE DE DATOS'!B15</f>
        <v>BAP</v>
      </c>
      <c r="C15" s="734" t="str">
        <f>'BASE DE DATOS'!C15</f>
        <v>LA PLATA OBS</v>
      </c>
      <c r="D15" s="734">
        <f>'BASE DE DATOS'!D15</f>
        <v>34.97</v>
      </c>
      <c r="E15" s="734">
        <f>'BASE DE DATOS'!E15</f>
        <v>57.93</v>
      </c>
      <c r="F15" s="734">
        <f>'BASE DE DATOS'!F15</f>
        <v>15</v>
      </c>
      <c r="G15" s="734" t="str">
        <f>'BASE DE DATOS'!G15</f>
        <v>IIIB</v>
      </c>
      <c r="H15" s="734">
        <f>'BASE DE DATOS'!H15</f>
        <v>2.5</v>
      </c>
      <c r="I15" s="734">
        <f>'BASE DE DATOS'!I15</f>
        <v>10.199999999999999</v>
      </c>
      <c r="J15" s="734">
        <f>'BASE DE DATOS'!J15</f>
        <v>21.8</v>
      </c>
      <c r="K15" s="734">
        <f>'BASE DE DATOS'!K15</f>
        <v>31.3</v>
      </c>
      <c r="L15" s="734">
        <f>'BASE DE DATOS'!L15</f>
        <v>72</v>
      </c>
      <c r="M15" s="734">
        <f>'BASE DE DATOS'!M15</f>
        <v>84</v>
      </c>
      <c r="N15" s="734">
        <f>'BASE DE DATOS'!N15</f>
        <v>72</v>
      </c>
      <c r="O15" s="734">
        <f>'BASE DE DATOS'!O15</f>
        <v>68</v>
      </c>
      <c r="P15" s="734">
        <f>'BASE DE DATOS'!P15</f>
        <v>85</v>
      </c>
      <c r="Q15" s="734">
        <f>'BASE DE DATOS'!Q15</f>
        <v>3</v>
      </c>
      <c r="R15" s="734">
        <f>'BASE DE DATOS'!R15</f>
        <v>21.5</v>
      </c>
      <c r="S15" s="734">
        <f>'BASE DE DATOS'!S15</f>
        <v>0.53</v>
      </c>
      <c r="T15" s="734">
        <f>'BASE DE DATOS'!T15</f>
        <v>36.9</v>
      </c>
      <c r="U15" s="734">
        <f>'BASE DE DATOS'!U15</f>
        <v>3.4</v>
      </c>
      <c r="V15" s="734">
        <f>'BASE DE DATOS'!V15</f>
        <v>185</v>
      </c>
      <c r="W15" s="734">
        <f>'BASE DE DATOS'!W15</f>
        <v>41</v>
      </c>
      <c r="X15" s="734">
        <f>'BASE DE DATOS'!X15</f>
        <v>1.4E-2</v>
      </c>
      <c r="Y15" s="734">
        <f>'BASE DE DATOS'!Y15</f>
        <v>1.9E-2</v>
      </c>
      <c r="Z15" s="734">
        <f>'BASE DE DATOS'!Z15</f>
        <v>130</v>
      </c>
      <c r="AA15" s="734">
        <f>'BASE DE DATOS'!AA15</f>
        <v>1.3</v>
      </c>
      <c r="AB15" s="734">
        <f>'BASE DE DATOS'!AB15</f>
        <v>35</v>
      </c>
      <c r="AD15" s="734" t="str">
        <f>'BASE DE DATOS'!AD15</f>
        <v>LA PLATA OBS</v>
      </c>
      <c r="AE15" s="734">
        <f>'BASE DE DATOS'!AE15</f>
        <v>23.1</v>
      </c>
      <c r="AF15" s="734">
        <f>'BASE DE DATOS'!AF15</f>
        <v>22.2</v>
      </c>
      <c r="AG15" s="734">
        <f>'BASE DE DATOS'!AG15</f>
        <v>20.399999999999999</v>
      </c>
      <c r="AH15" s="734">
        <f>'BASE DE DATOS'!AH15</f>
        <v>16.2</v>
      </c>
      <c r="AI15" s="734">
        <f>'BASE DE DATOS'!AI15</f>
        <v>13.3</v>
      </c>
      <c r="AJ15" s="734">
        <f>'BASE DE DATOS'!AJ15</f>
        <v>10.5</v>
      </c>
      <c r="AK15" s="734">
        <f>'BASE DE DATOS'!AK15</f>
        <v>10.199999999999999</v>
      </c>
      <c r="AL15" s="734">
        <f>'BASE DE DATOS'!AL15</f>
        <v>11.1</v>
      </c>
      <c r="AM15" s="734">
        <f>'BASE DE DATOS'!AM15</f>
        <v>12.9</v>
      </c>
      <c r="AN15" s="734">
        <f>'BASE DE DATOS'!AN15</f>
        <v>15.7</v>
      </c>
      <c r="AO15" s="734">
        <f>'BASE DE DATOS'!AO15</f>
        <v>18.600000000000001</v>
      </c>
      <c r="AP15" s="734">
        <f>'BASE DE DATOS'!AP15</f>
        <v>21.3</v>
      </c>
      <c r="AR15" s="734" t="str">
        <f>'BASE DE DATOS'!AR15</f>
        <v>BAP</v>
      </c>
      <c r="AS15" s="734" t="str">
        <f>'BASE DE DATOS'!AS15</f>
        <v>LA PLATA OBS</v>
      </c>
      <c r="AT15" s="734">
        <f>'BASE DE DATOS'!AT15</f>
        <v>6.5</v>
      </c>
      <c r="AU15" s="734">
        <f>'BASE DE DATOS'!AU15</f>
        <v>5.5</v>
      </c>
      <c r="AV15" s="734">
        <f>'BASE DE DATOS'!AV15</f>
        <v>4.5</v>
      </c>
      <c r="AW15" s="734">
        <f>'BASE DE DATOS'!AW15</f>
        <v>3</v>
      </c>
      <c r="AX15" s="734">
        <f>'BASE DE DATOS'!AX15</f>
        <v>2.5</v>
      </c>
      <c r="AY15" s="734">
        <f>'BASE DE DATOS'!AY15</f>
        <v>1.5</v>
      </c>
      <c r="AZ15" s="734">
        <f>'BASE DE DATOS'!AZ15</f>
        <v>2</v>
      </c>
      <c r="BA15" s="734">
        <f>'BASE DE DATOS'!BA15</f>
        <v>3</v>
      </c>
      <c r="BB15" s="734">
        <f>'BASE DE DATOS'!BB15</f>
        <v>4</v>
      </c>
      <c r="BC15" s="734">
        <f>'BASE DE DATOS'!BC15</f>
        <v>5</v>
      </c>
      <c r="BD15" s="734">
        <f>'BASE DE DATOS'!BD15</f>
        <v>6</v>
      </c>
      <c r="BE15" s="734">
        <f>'BASE DE DATOS'!BE15</f>
        <v>6.5</v>
      </c>
      <c r="BG15" s="734" t="s">
        <v>38</v>
      </c>
      <c r="BH15" s="734" t="s">
        <v>723</v>
      </c>
      <c r="BI15" s="734" t="s">
        <v>723</v>
      </c>
      <c r="BJ15" s="734" t="s">
        <v>214</v>
      </c>
      <c r="BK15" s="734"/>
      <c r="BL15" s="734"/>
      <c r="BM15" s="734" t="s">
        <v>6</v>
      </c>
      <c r="BN15" s="734" t="s">
        <v>214</v>
      </c>
      <c r="BO15" s="734" t="s">
        <v>7</v>
      </c>
      <c r="BQ15" s="747" t="s">
        <v>1256</v>
      </c>
      <c r="BR15" s="747" t="s">
        <v>1256</v>
      </c>
      <c r="BS15" s="745" t="s">
        <v>1114</v>
      </c>
      <c r="BT15" s="745" t="s">
        <v>1114</v>
      </c>
      <c r="BU15" s="750" t="s">
        <v>1076</v>
      </c>
      <c r="BV15" s="750" t="s">
        <v>1076</v>
      </c>
      <c r="BX15" s="745" t="s">
        <v>1257</v>
      </c>
      <c r="BY15" s="734">
        <v>1</v>
      </c>
      <c r="BZ15" s="734">
        <v>3.3</v>
      </c>
      <c r="CA15" s="734">
        <v>0</v>
      </c>
      <c r="CB15" s="745" t="s">
        <v>1179</v>
      </c>
      <c r="CC15" s="734">
        <v>2.2999999999999998</v>
      </c>
      <c r="CD15" s="734">
        <v>3.3</v>
      </c>
      <c r="CE15" s="734">
        <v>0</v>
      </c>
      <c r="DA15" s="734"/>
      <c r="DB15" s="734"/>
      <c r="DD15" s="734" t="s">
        <v>716</v>
      </c>
      <c r="DE15" s="734">
        <v>0.18</v>
      </c>
      <c r="DF15" s="734"/>
      <c r="DG15" s="734"/>
      <c r="DH15" s="734"/>
      <c r="DI15" s="734">
        <v>100</v>
      </c>
      <c r="DJ15" s="734" t="s">
        <v>1372</v>
      </c>
      <c r="DO15" s="733" t="str">
        <f>'BASE DE DATOS'!BG15</f>
        <v>BAP</v>
      </c>
      <c r="DP15" s="733" t="str">
        <f>'BASE DE DATOS'!BH15</f>
        <v>LA PLATA OBS</v>
      </c>
      <c r="DQ15" s="733">
        <f>'BASE DE DATOS'!BI15</f>
        <v>104</v>
      </c>
      <c r="DR15" s="733">
        <f>'BASE DE DATOS'!BJ15</f>
        <v>98</v>
      </c>
      <c r="DS15" s="733">
        <f>'BASE DE DATOS'!BK15</f>
        <v>115</v>
      </c>
      <c r="DT15" s="733">
        <f>'BASE DE DATOS'!BL15</f>
        <v>97</v>
      </c>
      <c r="DU15" s="733">
        <f>'BASE DE DATOS'!BM15</f>
        <v>80</v>
      </c>
      <c r="DV15" s="733">
        <f>'BASE DE DATOS'!BN15</f>
        <v>61</v>
      </c>
      <c r="DW15" s="733">
        <f>'BASE DE DATOS'!BO15</f>
        <v>59</v>
      </c>
      <c r="DX15" s="733">
        <f>'BASE DE DATOS'!BP15</f>
        <v>63</v>
      </c>
      <c r="DY15" s="733">
        <f>'BASE DE DATOS'!BQ15</f>
        <v>68</v>
      </c>
      <c r="DZ15" s="733">
        <f>'BASE DE DATOS'!BR15</f>
        <v>104</v>
      </c>
      <c r="EA15" s="733">
        <f>'BASE DE DATOS'!BS15</f>
        <v>98</v>
      </c>
      <c r="EB15" s="733">
        <f>'BASE DE DATOS'!BT15</f>
        <v>93</v>
      </c>
      <c r="EH15" s="1207" t="s">
        <v>1554</v>
      </c>
      <c r="EI15" s="1207"/>
      <c r="EJ15" s="1207"/>
      <c r="EK15" s="1207"/>
      <c r="EL15" s="1207"/>
      <c r="EM15" s="1207"/>
      <c r="EN15" s="1207"/>
      <c r="EO15" s="1207"/>
      <c r="EP15" s="1207"/>
      <c r="ER15" s="734" t="s">
        <v>559</v>
      </c>
      <c r="ES15" s="748">
        <v>0.25</v>
      </c>
      <c r="ET15" s="737" t="e">
        <f>'Materiales Personalizados'!$BM$22</f>
        <v>#N/A</v>
      </c>
      <c r="EU15" s="748">
        <v>0.2</v>
      </c>
      <c r="EV15" s="737" t="e">
        <f t="shared" si="0"/>
        <v>#N/A</v>
      </c>
      <c r="EW15" s="748">
        <v>0.15</v>
      </c>
      <c r="EX15" s="737">
        <v>0</v>
      </c>
      <c r="EY15" s="734" t="s">
        <v>983</v>
      </c>
      <c r="EZ15" s="748">
        <f t="shared" si="1"/>
        <v>0.15</v>
      </c>
      <c r="FA15" s="734">
        <v>0</v>
      </c>
      <c r="FB15" s="734" t="s">
        <v>983</v>
      </c>
      <c r="FC15" s="748">
        <f t="shared" si="2"/>
        <v>0.15</v>
      </c>
      <c r="FD15" s="734">
        <v>0</v>
      </c>
      <c r="FE15" s="734" t="s">
        <v>983</v>
      </c>
      <c r="FK15" s="731" t="str">
        <f>'BASE DE DATOS'!BV15</f>
        <v>LA RIOJA</v>
      </c>
      <c r="FL15" s="731">
        <f>'BASE DE DATOS'!BW15</f>
        <v>29.38</v>
      </c>
      <c r="FM15" s="731">
        <f>'BASE DE DATOS'!BX15</f>
        <v>10</v>
      </c>
      <c r="FN15" s="731">
        <f>'BASE DE DATOS'!BY15</f>
        <v>51</v>
      </c>
      <c r="FO15" s="731">
        <f>'BASE DE DATOS'!BZ15</f>
        <v>10</v>
      </c>
      <c r="FP15" s="731">
        <f>'BASE DE DATOS'!CA15</f>
        <v>2</v>
      </c>
      <c r="FQ15" s="731">
        <f>'BASE DE DATOS'!CB15</f>
        <v>60</v>
      </c>
      <c r="FR15" s="731">
        <f>'BASE DE DATOS'!CC15</f>
        <v>51</v>
      </c>
      <c r="FS15" s="731">
        <f>'BASE DE DATOS'!CD15</f>
        <v>0</v>
      </c>
      <c r="FT15" s="731">
        <f>'BASE DE DATOS'!CE15</f>
        <v>0</v>
      </c>
      <c r="FU15" s="731">
        <f>'BASE DE DATOS'!CF15</f>
        <v>68</v>
      </c>
      <c r="FV15" s="731">
        <f>'BASE DE DATOS'!CG15</f>
        <v>60</v>
      </c>
      <c r="FW15" s="731">
        <f>'BASE DE DATOS'!CH15</f>
        <v>0</v>
      </c>
      <c r="FX15" s="731">
        <f>'BASE DE DATOS'!CI15</f>
        <v>0</v>
      </c>
      <c r="FY15" s="731">
        <f>'BASE DE DATOS'!CJ15</f>
        <v>74</v>
      </c>
      <c r="FZ15" s="731">
        <f>'BASE DE DATOS'!CK15</f>
        <v>68</v>
      </c>
      <c r="GA15" s="731">
        <f>'BASE DE DATOS'!CL15</f>
        <v>0</v>
      </c>
      <c r="GB15" s="731">
        <f>'BASE DE DATOS'!CM15</f>
        <v>0</v>
      </c>
      <c r="GC15" s="731">
        <f>'BASE DE DATOS'!CN15</f>
        <v>78</v>
      </c>
      <c r="GD15" s="731">
        <f>'BASE DE DATOS'!CO15</f>
        <v>74</v>
      </c>
      <c r="GE15" s="731">
        <f>'BASE DE DATOS'!CP15</f>
        <v>0</v>
      </c>
      <c r="GF15" s="731">
        <f>'BASE DE DATOS'!CQ15</f>
        <v>82</v>
      </c>
      <c r="GG15" s="731">
        <f>'BASE DE DATOS'!CR15</f>
        <v>78</v>
      </c>
      <c r="GH15" s="731">
        <f>'BASE DE DATOS'!CS15</f>
        <v>0</v>
      </c>
      <c r="GI15" s="731">
        <f>'BASE DE DATOS'!CT15</f>
        <v>88</v>
      </c>
      <c r="GJ15" s="731">
        <f>'BASE DE DATOS'!CU15</f>
        <v>82</v>
      </c>
      <c r="GM15" s="741"/>
      <c r="GN15" s="741"/>
      <c r="GO15" s="727" t="s">
        <v>1968</v>
      </c>
      <c r="GP15" s="727">
        <f>IF(SUM(DATOS!C35:C46)=0,0,1)</f>
        <v>0</v>
      </c>
      <c r="GQ15" s="1182"/>
      <c r="GR15" s="1218"/>
      <c r="GS15" s="1218"/>
      <c r="GT15" s="1218"/>
      <c r="GU15" s="1218"/>
      <c r="GV15" s="741"/>
      <c r="GW15" s="741"/>
      <c r="GX15" s="741"/>
      <c r="GY15" s="741"/>
      <c r="HE15" s="743" t="s">
        <v>560</v>
      </c>
      <c r="HF15" s="734">
        <v>0.5</v>
      </c>
      <c r="HH15" s="734">
        <v>12</v>
      </c>
      <c r="HI15" s="734"/>
      <c r="HJ15" s="734"/>
      <c r="HK15" s="734"/>
      <c r="HL15" s="734"/>
      <c r="HM15" s="734">
        <v>2</v>
      </c>
      <c r="HN15" s="734">
        <v>2</v>
      </c>
      <c r="HO15" s="734"/>
      <c r="HP15" s="734"/>
    </row>
    <row r="16" spans="2:224" ht="15" customHeight="1">
      <c r="B16" s="734" t="str">
        <f>'BASE DE DATOS'!B16</f>
        <v>BAP</v>
      </c>
      <c r="C16" s="734" t="str">
        <f>'BASE DE DATOS'!C16</f>
        <v>ARGERICH</v>
      </c>
      <c r="D16" s="734">
        <f>'BASE DE DATOS'!D16</f>
        <v>38.770000000000003</v>
      </c>
      <c r="E16" s="734">
        <f>'BASE DE DATOS'!E16</f>
        <v>62.6</v>
      </c>
      <c r="F16" s="734">
        <f>'BASE DE DATOS'!F16</f>
        <v>10</v>
      </c>
      <c r="G16" s="734" t="str">
        <f>'BASE DE DATOS'!G16</f>
        <v>IVC</v>
      </c>
      <c r="H16" s="734">
        <f>'BASE DE DATOS'!H16</f>
        <v>-3.5</v>
      </c>
      <c r="I16" s="734">
        <f>'BASE DE DATOS'!I16</f>
        <v>8.6</v>
      </c>
      <c r="J16" s="734">
        <f>'BASE DE DATOS'!J16</f>
        <v>22.5</v>
      </c>
      <c r="K16" s="734">
        <f>'BASE DE DATOS'!K16</f>
        <v>34.200000000000003</v>
      </c>
      <c r="L16" s="734">
        <f>'BASE DE DATOS'!L16</f>
        <v>0</v>
      </c>
      <c r="M16" s="734">
        <f>'BASE DE DATOS'!M16</f>
        <v>71</v>
      </c>
      <c r="N16" s="734">
        <f>'BASE DE DATOS'!N16</f>
        <v>52</v>
      </c>
      <c r="O16" s="734">
        <f>'BASE DE DATOS'!O16</f>
        <v>31</v>
      </c>
      <c r="P16" s="734">
        <f>'BASE DE DATOS'!P16</f>
        <v>66</v>
      </c>
      <c r="Q16" s="734">
        <f>'BASE DE DATOS'!Q16</f>
        <v>4</v>
      </c>
      <c r="R16" s="734">
        <f>'BASE DE DATOS'!R16</f>
        <v>21.9</v>
      </c>
      <c r="S16" s="734">
        <f>'BASE DE DATOS'!S16</f>
        <v>0.53</v>
      </c>
      <c r="T16" s="734">
        <f>'BASE DE DATOS'!T16</f>
        <v>36.9</v>
      </c>
      <c r="U16" s="734">
        <f>'BASE DE DATOS'!U16</f>
        <v>3.4</v>
      </c>
      <c r="V16" s="734">
        <f>'BASE DE DATOS'!V16</f>
        <v>185</v>
      </c>
      <c r="W16" s="734">
        <f>'BASE DE DATOS'!W16</f>
        <v>41</v>
      </c>
      <c r="X16" s="734">
        <f>'BASE DE DATOS'!X16</f>
        <v>1.4E-2</v>
      </c>
      <c r="Y16" s="734">
        <f>'BASE DE DATOS'!Y16</f>
        <v>1.9E-2</v>
      </c>
      <c r="Z16" s="734">
        <f>'BASE DE DATOS'!Z16</f>
        <v>130</v>
      </c>
      <c r="AA16" s="734">
        <f>'BASE DE DATOS'!AA16</f>
        <v>1.3</v>
      </c>
      <c r="AB16" s="734">
        <f>'BASE DE DATOS'!AB16</f>
        <v>35</v>
      </c>
      <c r="AD16" s="734" t="str">
        <f>'BASE DE DATOS'!AD16</f>
        <v>ARGERICH</v>
      </c>
      <c r="AE16" s="734">
        <f>'BASE DE DATOS'!AE16</f>
        <v>23.5</v>
      </c>
      <c r="AF16" s="734">
        <f>'BASE DE DATOS'!AF16</f>
        <v>22.6</v>
      </c>
      <c r="AG16" s="734">
        <f>'BASE DE DATOS'!AG16</f>
        <v>20</v>
      </c>
      <c r="AH16" s="734">
        <f>'BASE DE DATOS'!AH16</f>
        <v>15.5</v>
      </c>
      <c r="AI16" s="734">
        <f>'BASE DE DATOS'!AI16</f>
        <v>11.7</v>
      </c>
      <c r="AJ16" s="734">
        <f>'BASE DE DATOS'!AJ16</f>
        <v>8.5</v>
      </c>
      <c r="AK16" s="734">
        <f>'BASE DE DATOS'!AK16</f>
        <v>8.1999999999999993</v>
      </c>
      <c r="AL16" s="734">
        <f>'BASE DE DATOS'!AL16</f>
        <v>9.8000000000000007</v>
      </c>
      <c r="AM16" s="734">
        <f>'BASE DE DATOS'!AM16</f>
        <v>12</v>
      </c>
      <c r="AN16" s="734">
        <f>'BASE DE DATOS'!AN16</f>
        <v>15.3</v>
      </c>
      <c r="AO16" s="734">
        <f>'BASE DE DATOS'!AO16</f>
        <v>19</v>
      </c>
      <c r="AP16" s="734">
        <f>'BASE DE DATOS'!AP16</f>
        <v>21.8</v>
      </c>
      <c r="AR16" s="734" t="str">
        <f>'BASE DE DATOS'!AR16</f>
        <v>BAP</v>
      </c>
      <c r="AS16" s="734" t="str">
        <f>'BASE DE DATOS'!AS16</f>
        <v>ARGERICH</v>
      </c>
      <c r="AT16" s="734">
        <f>'BASE DE DATOS'!AT16</f>
        <v>6.5</v>
      </c>
      <c r="AU16" s="734">
        <f>'BASE DE DATOS'!AU16</f>
        <v>6</v>
      </c>
      <c r="AV16" s="734">
        <f>'BASE DE DATOS'!AV16</f>
        <v>4.5</v>
      </c>
      <c r="AW16" s="734">
        <f>'BASE DE DATOS'!AW16</f>
        <v>3</v>
      </c>
      <c r="AX16" s="734">
        <f>'BASE DE DATOS'!AX16</f>
        <v>2</v>
      </c>
      <c r="AY16" s="734">
        <f>'BASE DE DATOS'!AY16</f>
        <v>1.5</v>
      </c>
      <c r="AZ16" s="734">
        <f>'BASE DE DATOS'!AZ16</f>
        <v>1.5</v>
      </c>
      <c r="BA16" s="734">
        <f>'BASE DE DATOS'!BA16</f>
        <v>2.5</v>
      </c>
      <c r="BB16" s="734">
        <f>'BASE DE DATOS'!BB16</f>
        <v>3.5</v>
      </c>
      <c r="BC16" s="734">
        <f>'BASE DE DATOS'!BC16</f>
        <v>5</v>
      </c>
      <c r="BD16" s="734">
        <f>'BASE DE DATOS'!BD16</f>
        <v>6</v>
      </c>
      <c r="BE16" s="734">
        <f>'BASE DE DATOS'!BE16</f>
        <v>7</v>
      </c>
      <c r="BG16" s="734" t="s">
        <v>47</v>
      </c>
      <c r="BH16" s="734" t="s">
        <v>723</v>
      </c>
      <c r="BI16" s="734" t="s">
        <v>723</v>
      </c>
      <c r="BJ16" s="734" t="s">
        <v>214</v>
      </c>
      <c r="BK16" s="734"/>
      <c r="BL16" s="734"/>
      <c r="BM16" s="734" t="s">
        <v>6</v>
      </c>
      <c r="BN16" s="734" t="s">
        <v>214</v>
      </c>
      <c r="BO16" s="734" t="s">
        <v>7</v>
      </c>
      <c r="BQ16" s="747" t="s">
        <v>853</v>
      </c>
      <c r="BR16" s="747" t="s">
        <v>853</v>
      </c>
      <c r="BS16" s="750" t="s">
        <v>1143</v>
      </c>
      <c r="BT16" s="750" t="s">
        <v>1897</v>
      </c>
      <c r="BU16" s="745" t="s">
        <v>1114</v>
      </c>
      <c r="BV16" s="745" t="s">
        <v>1114</v>
      </c>
      <c r="BX16" s="745" t="s">
        <v>1156</v>
      </c>
      <c r="BY16" s="734">
        <v>3.6</v>
      </c>
      <c r="BZ16" s="734">
        <v>3.3</v>
      </c>
      <c r="CA16" s="734">
        <v>0</v>
      </c>
      <c r="CB16" s="734" t="s">
        <v>2039</v>
      </c>
      <c r="CC16" s="734">
        <v>0</v>
      </c>
      <c r="CD16" s="734">
        <v>0</v>
      </c>
      <c r="CE16" s="734">
        <v>0</v>
      </c>
      <c r="DA16" s="734"/>
      <c r="DB16" s="734"/>
      <c r="DD16" s="734"/>
      <c r="DE16" s="734"/>
      <c r="DF16" s="734"/>
      <c r="DG16" s="734"/>
      <c r="DH16" s="734"/>
      <c r="DJ16" s="734"/>
      <c r="DO16" s="733" t="str">
        <f>'BASE DE DATOS'!BG16</f>
        <v>BAP</v>
      </c>
      <c r="DP16" s="733" t="str">
        <f>'BASE DE DATOS'!BH16</f>
        <v>ARGERICH</v>
      </c>
      <c r="DQ16" s="733">
        <f>'BASE DE DATOS'!BI16</f>
        <v>104</v>
      </c>
      <c r="DR16" s="733">
        <f>'BASE DE DATOS'!BJ16</f>
        <v>98</v>
      </c>
      <c r="DS16" s="733">
        <f>'BASE DE DATOS'!BK16</f>
        <v>115</v>
      </c>
      <c r="DT16" s="733">
        <f>'BASE DE DATOS'!BL16</f>
        <v>97</v>
      </c>
      <c r="DU16" s="733">
        <f>'BASE DE DATOS'!BM16</f>
        <v>80</v>
      </c>
      <c r="DV16" s="733">
        <f>'BASE DE DATOS'!BN16</f>
        <v>61</v>
      </c>
      <c r="DW16" s="733">
        <f>'BASE DE DATOS'!BO16</f>
        <v>59</v>
      </c>
      <c r="DX16" s="733">
        <f>'BASE DE DATOS'!BP16</f>
        <v>63</v>
      </c>
      <c r="DY16" s="733">
        <f>'BASE DE DATOS'!BQ16</f>
        <v>68</v>
      </c>
      <c r="DZ16" s="733">
        <f>'BASE DE DATOS'!BR16</f>
        <v>104</v>
      </c>
      <c r="EA16" s="733">
        <f>'BASE DE DATOS'!BS16</f>
        <v>98</v>
      </c>
      <c r="EB16" s="733">
        <f>'BASE DE DATOS'!BT16</f>
        <v>93</v>
      </c>
      <c r="EH16" s="734">
        <v>0</v>
      </c>
      <c r="EI16" s="734">
        <v>10</v>
      </c>
      <c r="EJ16" s="734">
        <v>11</v>
      </c>
      <c r="EK16" s="734">
        <v>25</v>
      </c>
      <c r="EL16" s="734">
        <v>26</v>
      </c>
      <c r="EM16" s="734">
        <v>50</v>
      </c>
      <c r="EN16" s="734">
        <v>51</v>
      </c>
      <c r="EO16" s="734">
        <v>500</v>
      </c>
      <c r="EP16" s="734">
        <v>1000</v>
      </c>
      <c r="ER16" s="734" t="s">
        <v>560</v>
      </c>
      <c r="ES16" s="748">
        <v>0.15</v>
      </c>
      <c r="ET16" s="734">
        <v>0</v>
      </c>
      <c r="EU16" s="748">
        <v>0.15</v>
      </c>
      <c r="EV16" s="737">
        <f t="shared" si="0"/>
        <v>0</v>
      </c>
      <c r="EW16" s="748">
        <v>0.15</v>
      </c>
      <c r="EX16" s="737">
        <v>0</v>
      </c>
      <c r="EY16" s="734" t="s">
        <v>983</v>
      </c>
      <c r="EZ16" s="748">
        <f t="shared" si="1"/>
        <v>0.15</v>
      </c>
      <c r="FA16" s="734">
        <v>0</v>
      </c>
      <c r="FB16" s="734" t="s">
        <v>983</v>
      </c>
      <c r="FC16" s="748">
        <f t="shared" si="2"/>
        <v>0.15</v>
      </c>
      <c r="FD16" s="734">
        <v>0</v>
      </c>
      <c r="FE16" s="734" t="s">
        <v>983</v>
      </c>
      <c r="FK16" s="731" t="str">
        <f>'BASE DE DATOS'!BV16</f>
        <v>CORDOBA</v>
      </c>
      <c r="FL16" s="731">
        <f>'BASE DE DATOS'!BW16</f>
        <v>31.4</v>
      </c>
      <c r="FM16" s="731">
        <f>'BASE DE DATOS'!BX16</f>
        <v>11</v>
      </c>
      <c r="FN16" s="731">
        <f>'BASE DE DATOS'!BY16</f>
        <v>50</v>
      </c>
      <c r="FO16" s="731">
        <f>'BASE DE DATOS'!BZ16</f>
        <v>11</v>
      </c>
      <c r="FP16" s="731">
        <f>'BASE DE DATOS'!CA16</f>
        <v>2</v>
      </c>
      <c r="FQ16" s="731">
        <f>'BASE DE DATOS'!CB16</f>
        <v>60</v>
      </c>
      <c r="FR16" s="731">
        <f>'BASE DE DATOS'!CC16</f>
        <v>50</v>
      </c>
      <c r="FS16" s="731">
        <f>'BASE DE DATOS'!CD16</f>
        <v>0</v>
      </c>
      <c r="FT16" s="731">
        <f>'BASE DE DATOS'!CE16</f>
        <v>0</v>
      </c>
      <c r="FU16" s="731">
        <f>'BASE DE DATOS'!CF16</f>
        <v>65</v>
      </c>
      <c r="FV16" s="731">
        <f>'BASE DE DATOS'!CG16</f>
        <v>60</v>
      </c>
      <c r="FW16" s="731">
        <f>'BASE DE DATOS'!CH16</f>
        <v>0</v>
      </c>
      <c r="FX16" s="731">
        <f>'BASE DE DATOS'!CI16</f>
        <v>0</v>
      </c>
      <c r="FY16" s="731">
        <f>'BASE DE DATOS'!CJ16</f>
        <v>70</v>
      </c>
      <c r="FZ16" s="731">
        <f>'BASE DE DATOS'!CK16</f>
        <v>65</v>
      </c>
      <c r="GA16" s="731">
        <f>'BASE DE DATOS'!CL16</f>
        <v>0</v>
      </c>
      <c r="GB16" s="731">
        <f>'BASE DE DATOS'!CM16</f>
        <v>0</v>
      </c>
      <c r="GC16" s="731">
        <f>'BASE DE DATOS'!CN16</f>
        <v>75</v>
      </c>
      <c r="GD16" s="731">
        <f>'BASE DE DATOS'!CO16</f>
        <v>70</v>
      </c>
      <c r="GE16" s="731">
        <f>'BASE DE DATOS'!CP16</f>
        <v>0</v>
      </c>
      <c r="GF16" s="731">
        <f>'BASE DE DATOS'!CQ16</f>
        <v>80</v>
      </c>
      <c r="GG16" s="731">
        <f>'BASE DE DATOS'!CR16</f>
        <v>75</v>
      </c>
      <c r="GH16" s="731">
        <f>'BASE DE DATOS'!CS16</f>
        <v>0</v>
      </c>
      <c r="GI16" s="731">
        <f>'BASE DE DATOS'!CT16</f>
        <v>85</v>
      </c>
      <c r="GJ16" s="731">
        <f>'BASE DE DATOS'!CU16</f>
        <v>80</v>
      </c>
      <c r="GM16" s="741"/>
      <c r="GN16" s="741"/>
      <c r="GO16" s="727" t="s">
        <v>1183</v>
      </c>
      <c r="GP16" s="727">
        <f>IF(DATOS!C29=0,0,1)</f>
        <v>0</v>
      </c>
      <c r="GQ16" s="1182"/>
      <c r="GR16" s="1218"/>
      <c r="GS16" s="1218"/>
      <c r="GT16" s="1218"/>
      <c r="GU16" s="1218"/>
      <c r="GV16" s="741"/>
      <c r="GW16" s="741"/>
      <c r="GX16" s="741"/>
      <c r="GY16" s="741"/>
      <c r="HE16" s="743" t="s">
        <v>214</v>
      </c>
      <c r="HF16" s="734">
        <v>0.5</v>
      </c>
      <c r="HH16" s="734"/>
      <c r="HI16" s="734"/>
      <c r="HJ16" s="734"/>
      <c r="HK16" s="734"/>
      <c r="HL16" s="734"/>
      <c r="HM16" s="734"/>
      <c r="HN16" s="734"/>
      <c r="HO16" s="734"/>
      <c r="HP16" s="734"/>
    </row>
    <row r="17" spans="2:224" ht="16">
      <c r="B17" s="734" t="str">
        <f>'BASE DE DATOS'!B17</f>
        <v>BAP</v>
      </c>
      <c r="C17" s="734" t="str">
        <f>'BASE DE DATOS'!C17</f>
        <v>AZUL</v>
      </c>
      <c r="D17" s="734">
        <f>'BASE DE DATOS'!D17</f>
        <v>36.75</v>
      </c>
      <c r="E17" s="734">
        <f>'BASE DE DATOS'!E17</f>
        <v>59.83</v>
      </c>
      <c r="F17" s="734">
        <f>'BASE DE DATOS'!F17</f>
        <v>132</v>
      </c>
      <c r="G17" s="734" t="str">
        <f>'BASE DE DATOS'!G17</f>
        <v>IVC</v>
      </c>
      <c r="H17" s="734">
        <f>'BASE DE DATOS'!H17</f>
        <v>-3</v>
      </c>
      <c r="I17" s="734">
        <f>'BASE DE DATOS'!I17</f>
        <v>7.7</v>
      </c>
      <c r="J17" s="734">
        <f>'BASE DE DATOS'!J17</f>
        <v>20.100000000000001</v>
      </c>
      <c r="K17" s="734">
        <f>'BASE DE DATOS'!K17</f>
        <v>31.7</v>
      </c>
      <c r="L17" s="734">
        <f>'BASE DE DATOS'!L17</f>
        <v>78</v>
      </c>
      <c r="M17" s="734">
        <f>'BASE DE DATOS'!M17</f>
        <v>84</v>
      </c>
      <c r="N17" s="734">
        <f>'BASE DE DATOS'!N17</f>
        <v>73</v>
      </c>
      <c r="O17" s="734">
        <f>'BASE DE DATOS'!O17</f>
        <v>42</v>
      </c>
      <c r="P17" s="734">
        <f>'BASE DE DATOS'!P17</f>
        <v>94</v>
      </c>
      <c r="Q17" s="734">
        <f>'BASE DE DATOS'!Q17</f>
        <v>4</v>
      </c>
      <c r="R17" s="734">
        <f>'BASE DE DATOS'!R17</f>
        <v>19.899999999999999</v>
      </c>
      <c r="S17" s="734">
        <f>'BASE DE DATOS'!S17</f>
        <v>0.53</v>
      </c>
      <c r="T17" s="734">
        <f>'BASE DE DATOS'!T17</f>
        <v>36.9</v>
      </c>
      <c r="U17" s="734">
        <f>'BASE DE DATOS'!U17</f>
        <v>3.4</v>
      </c>
      <c r="V17" s="734">
        <f>'BASE DE DATOS'!V17</f>
        <v>185</v>
      </c>
      <c r="W17" s="734">
        <f>'BASE DE DATOS'!W17</f>
        <v>41</v>
      </c>
      <c r="X17" s="734">
        <f>'BASE DE DATOS'!X17</f>
        <v>1.4E-2</v>
      </c>
      <c r="Y17" s="734">
        <f>'BASE DE DATOS'!Y17</f>
        <v>1.9E-2</v>
      </c>
      <c r="Z17" s="734">
        <f>'BASE DE DATOS'!Z17</f>
        <v>130</v>
      </c>
      <c r="AA17" s="734">
        <f>'BASE DE DATOS'!AA17</f>
        <v>1.3</v>
      </c>
      <c r="AB17" s="734">
        <f>'BASE DE DATOS'!AB17</f>
        <v>35</v>
      </c>
      <c r="AD17" s="734" t="str">
        <f>'BASE DE DATOS'!AD17</f>
        <v>AZUL</v>
      </c>
      <c r="AE17" s="734">
        <f>'BASE DE DATOS'!AE17</f>
        <v>21</v>
      </c>
      <c r="AF17" s="734">
        <f>'BASE DE DATOS'!AF17</f>
        <v>19.899999999999999</v>
      </c>
      <c r="AG17" s="734">
        <f>'BASE DE DATOS'!AG17</f>
        <v>17.8</v>
      </c>
      <c r="AH17" s="734">
        <f>'BASE DE DATOS'!AH17</f>
        <v>13.9</v>
      </c>
      <c r="AI17" s="734">
        <f>'BASE DE DATOS'!AI17</f>
        <v>10.6</v>
      </c>
      <c r="AJ17" s="734">
        <f>'BASE DE DATOS'!AJ17</f>
        <v>7.4</v>
      </c>
      <c r="AK17" s="734">
        <f>'BASE DE DATOS'!AK17</f>
        <v>7.4</v>
      </c>
      <c r="AL17" s="734">
        <f>'BASE DE DATOS'!AL17</f>
        <v>8.3000000000000007</v>
      </c>
      <c r="AM17" s="734">
        <f>'BASE DE DATOS'!AM17</f>
        <v>11</v>
      </c>
      <c r="AN17" s="734">
        <f>'BASE DE DATOS'!AN17</f>
        <v>13.7</v>
      </c>
      <c r="AO17" s="734">
        <f>'BASE DE DATOS'!AO17</f>
        <v>16.399999999999999</v>
      </c>
      <c r="AP17" s="734">
        <f>'BASE DE DATOS'!AP17</f>
        <v>19.899999999999999</v>
      </c>
      <c r="AR17" s="734" t="str">
        <f>'BASE DE DATOS'!AR17</f>
        <v>BAP</v>
      </c>
      <c r="AS17" s="734" t="str">
        <f>'BASE DE DATOS'!AS17</f>
        <v>AZUL</v>
      </c>
      <c r="AT17" s="734">
        <f>'BASE DE DATOS'!AT17</f>
        <v>6.5</v>
      </c>
      <c r="AU17" s="734">
        <f>'BASE DE DATOS'!AU17</f>
        <v>6</v>
      </c>
      <c r="AV17" s="734">
        <f>'BASE DE DATOS'!AV17</f>
        <v>4.5</v>
      </c>
      <c r="AW17" s="734">
        <f>'BASE DE DATOS'!AW17</f>
        <v>3</v>
      </c>
      <c r="AX17" s="734">
        <f>'BASE DE DATOS'!AX17</f>
        <v>2</v>
      </c>
      <c r="AY17" s="734">
        <f>'BASE DE DATOS'!AY17</f>
        <v>1.5</v>
      </c>
      <c r="AZ17" s="734">
        <f>'BASE DE DATOS'!AZ17</f>
        <v>1.5</v>
      </c>
      <c r="BA17" s="734">
        <f>'BASE DE DATOS'!BA17</f>
        <v>2.5</v>
      </c>
      <c r="BB17" s="734">
        <f>'BASE DE DATOS'!BB17</f>
        <v>3.5</v>
      </c>
      <c r="BC17" s="734">
        <f>'BASE DE DATOS'!BC17</f>
        <v>5</v>
      </c>
      <c r="BD17" s="734">
        <f>'BASE DE DATOS'!BD17</f>
        <v>6</v>
      </c>
      <c r="BE17" s="734">
        <f>'BASE DE DATOS'!BE17</f>
        <v>6.5</v>
      </c>
      <c r="BG17" s="734" t="s">
        <v>106</v>
      </c>
      <c r="BH17" s="734" t="s">
        <v>726</v>
      </c>
      <c r="BI17" s="734" t="s">
        <v>726</v>
      </c>
      <c r="BJ17" s="734" t="s">
        <v>724</v>
      </c>
      <c r="BK17" s="734"/>
      <c r="BL17" s="734"/>
      <c r="BM17" s="734" t="s">
        <v>6</v>
      </c>
      <c r="BN17" s="734" t="s">
        <v>730</v>
      </c>
      <c r="BO17" s="734" t="s">
        <v>7</v>
      </c>
      <c r="BQ17" s="745" t="s">
        <v>1114</v>
      </c>
      <c r="BR17" s="745" t="s">
        <v>1114</v>
      </c>
      <c r="BS17" s="745" t="s">
        <v>1114</v>
      </c>
      <c r="BT17" s="745" t="s">
        <v>1114</v>
      </c>
      <c r="BU17" s="749" t="s">
        <v>1075</v>
      </c>
      <c r="BV17" s="749" t="s">
        <v>1075</v>
      </c>
      <c r="BX17" s="745" t="s">
        <v>1161</v>
      </c>
      <c r="BY17" s="734">
        <v>3.5</v>
      </c>
      <c r="BZ17" s="734">
        <v>3.3</v>
      </c>
      <c r="CA17" s="734">
        <v>0</v>
      </c>
      <c r="CB17" s="734"/>
      <c r="CC17" s="734"/>
      <c r="CD17" s="734"/>
      <c r="CE17" s="734">
        <v>0</v>
      </c>
      <c r="DA17" s="734"/>
      <c r="DB17" s="734"/>
      <c r="DO17" s="733" t="str">
        <f>'BASE DE DATOS'!BG17</f>
        <v>BAP</v>
      </c>
      <c r="DP17" s="733" t="str">
        <f>'BASE DE DATOS'!BH17</f>
        <v>AZUL</v>
      </c>
      <c r="DQ17" s="733">
        <f>'BASE DE DATOS'!BI17</f>
        <v>104</v>
      </c>
      <c r="DR17" s="733">
        <f>'BASE DE DATOS'!BJ17</f>
        <v>98</v>
      </c>
      <c r="DS17" s="733">
        <f>'BASE DE DATOS'!BK17</f>
        <v>115</v>
      </c>
      <c r="DT17" s="733">
        <f>'BASE DE DATOS'!BL17</f>
        <v>97</v>
      </c>
      <c r="DU17" s="733">
        <f>'BASE DE DATOS'!BM17</f>
        <v>80</v>
      </c>
      <c r="DV17" s="733">
        <f>'BASE DE DATOS'!BN17</f>
        <v>61</v>
      </c>
      <c r="DW17" s="733">
        <f>'BASE DE DATOS'!BO17</f>
        <v>59</v>
      </c>
      <c r="DX17" s="733">
        <f>'BASE DE DATOS'!BP17</f>
        <v>63</v>
      </c>
      <c r="DY17" s="733">
        <f>'BASE DE DATOS'!BQ17</f>
        <v>68</v>
      </c>
      <c r="DZ17" s="733">
        <f>'BASE DE DATOS'!BR17</f>
        <v>104</v>
      </c>
      <c r="EA17" s="733">
        <f>'BASE DE DATOS'!BS17</f>
        <v>98</v>
      </c>
      <c r="EB17" s="733">
        <f>'BASE DE DATOS'!BT17</f>
        <v>93</v>
      </c>
      <c r="EH17" s="734" t="s">
        <v>1548</v>
      </c>
      <c r="EI17" s="734" t="s">
        <v>1548</v>
      </c>
      <c r="EJ17" s="734" t="s">
        <v>1549</v>
      </c>
      <c r="EK17" s="734" t="s">
        <v>1549</v>
      </c>
      <c r="EL17" s="734" t="s">
        <v>1550</v>
      </c>
      <c r="EM17" s="734" t="s">
        <v>1550</v>
      </c>
      <c r="EN17" s="734" t="s">
        <v>1551</v>
      </c>
      <c r="EO17" s="734" t="s">
        <v>1551</v>
      </c>
      <c r="EP17" s="734" t="s">
        <v>1551</v>
      </c>
      <c r="ER17" s="734" t="s">
        <v>214</v>
      </c>
      <c r="ES17" s="748">
        <v>0.15</v>
      </c>
      <c r="ET17" s="737" t="e">
        <f>'Materiales Personalizados'!$BM$22</f>
        <v>#N/A</v>
      </c>
      <c r="EU17" s="748">
        <v>0.15</v>
      </c>
      <c r="EV17" s="737" t="e">
        <f t="shared" si="0"/>
        <v>#N/A</v>
      </c>
      <c r="EW17" s="748">
        <v>0.15</v>
      </c>
      <c r="EX17" s="737">
        <v>0</v>
      </c>
      <c r="EY17" s="734" t="s">
        <v>983</v>
      </c>
      <c r="EZ17" s="748">
        <f t="shared" si="1"/>
        <v>0.15</v>
      </c>
      <c r="FA17" s="734">
        <v>0</v>
      </c>
      <c r="FB17" s="734" t="s">
        <v>983</v>
      </c>
      <c r="FC17" s="748">
        <f t="shared" si="2"/>
        <v>0.15</v>
      </c>
      <c r="FD17" s="734">
        <v>0</v>
      </c>
      <c r="FE17" s="734" t="s">
        <v>983</v>
      </c>
      <c r="FK17" s="731" t="str">
        <f>'BASE DE DATOS'!BV17</f>
        <v>SALTA</v>
      </c>
      <c r="FL17" s="731">
        <f>'BASE DE DATOS'!BW17</f>
        <v>31.57</v>
      </c>
      <c r="FM17" s="731">
        <f>'BASE DE DATOS'!BX17</f>
        <v>5</v>
      </c>
      <c r="FN17" s="731">
        <f>'BASE DE DATOS'!BY17</f>
        <v>47</v>
      </c>
      <c r="FO17" s="731">
        <f>'BASE DE DATOS'!BZ17</f>
        <v>5</v>
      </c>
      <c r="FP17" s="731">
        <f>'BASE DE DATOS'!CA17</f>
        <v>-4</v>
      </c>
      <c r="FQ17" s="731">
        <f>'BASE DE DATOS'!CB17</f>
        <v>55</v>
      </c>
      <c r="FR17" s="731">
        <f>'BASE DE DATOS'!CC17</f>
        <v>47</v>
      </c>
      <c r="FS17" s="731">
        <f>'BASE DE DATOS'!CD17</f>
        <v>0</v>
      </c>
      <c r="FT17" s="731">
        <f>'BASE DE DATOS'!CE17</f>
        <v>0</v>
      </c>
      <c r="FU17" s="731">
        <f>'BASE DE DATOS'!CF17</f>
        <v>61</v>
      </c>
      <c r="FV17" s="731">
        <f>'BASE DE DATOS'!CG17</f>
        <v>55</v>
      </c>
      <c r="FW17" s="731">
        <f>'BASE DE DATOS'!CH17</f>
        <v>0</v>
      </c>
      <c r="FX17" s="731">
        <f>'BASE DE DATOS'!CI17</f>
        <v>0</v>
      </c>
      <c r="FY17" s="731">
        <f>'BASE DE DATOS'!CJ17</f>
        <v>68</v>
      </c>
      <c r="FZ17" s="731">
        <f>'BASE DE DATOS'!CK17</f>
        <v>61</v>
      </c>
      <c r="GA17" s="731">
        <f>'BASE DE DATOS'!CL17</f>
        <v>0</v>
      </c>
      <c r="GB17" s="731">
        <f>'BASE DE DATOS'!CM17</f>
        <v>0</v>
      </c>
      <c r="GC17" s="731">
        <f>'BASE DE DATOS'!CN17</f>
        <v>72</v>
      </c>
      <c r="GD17" s="731">
        <f>'BASE DE DATOS'!CO17</f>
        <v>68</v>
      </c>
      <c r="GE17" s="731">
        <f>'BASE DE DATOS'!CP17</f>
        <v>0</v>
      </c>
      <c r="GF17" s="731">
        <f>'BASE DE DATOS'!CQ17</f>
        <v>79</v>
      </c>
      <c r="GG17" s="731">
        <f>'BASE DE DATOS'!CR17</f>
        <v>72</v>
      </c>
      <c r="GH17" s="731">
        <f>'BASE DE DATOS'!CS17</f>
        <v>0</v>
      </c>
      <c r="GI17" s="731">
        <f>'BASE DE DATOS'!CT17</f>
        <v>81</v>
      </c>
      <c r="GJ17" s="731">
        <f>'BASE DE DATOS'!CU17</f>
        <v>79</v>
      </c>
      <c r="GM17" s="741"/>
      <c r="GN17" s="741"/>
      <c r="GO17" s="727" t="s">
        <v>1969</v>
      </c>
      <c r="GP17" s="727">
        <f>IF(DATOS!G24=0,0,1)</f>
        <v>0</v>
      </c>
      <c r="GQ17" s="1218" t="s">
        <v>1970</v>
      </c>
      <c r="GR17" s="1218"/>
      <c r="GS17" s="1218"/>
      <c r="GT17" s="1218"/>
      <c r="GU17" s="1218"/>
      <c r="GV17" s="741"/>
      <c r="GW17" s="741"/>
      <c r="GX17" s="741"/>
      <c r="GY17" s="741"/>
      <c r="HE17" s="743" t="s">
        <v>561</v>
      </c>
      <c r="HF17" s="734">
        <v>0.5</v>
      </c>
      <c r="HH17" s="734" t="s">
        <v>896</v>
      </c>
      <c r="HI17" s="734">
        <f>SUM(HI4:HI15)</f>
        <v>30</v>
      </c>
      <c r="HJ17" s="734">
        <f t="shared" ref="HJ17:HN17" si="3">SUM(HJ4:HJ15)</f>
        <v>30</v>
      </c>
      <c r="HK17" s="734">
        <f t="shared" si="3"/>
        <v>15</v>
      </c>
      <c r="HL17" s="734">
        <f t="shared" si="3"/>
        <v>20</v>
      </c>
      <c r="HM17" s="734">
        <f t="shared" si="3"/>
        <v>20</v>
      </c>
      <c r="HN17" s="734">
        <f t="shared" si="3"/>
        <v>20</v>
      </c>
      <c r="HO17" s="734"/>
      <c r="HP17" s="734"/>
    </row>
    <row r="18" spans="2:224" ht="16">
      <c r="B18" s="734" t="str">
        <f>'BASE DE DATOS'!B18</f>
        <v>BAP</v>
      </c>
      <c r="C18" s="734" t="str">
        <f>'BASE DE DATOS'!C18</f>
        <v>BAHÍA BLANCA</v>
      </c>
      <c r="D18" s="734">
        <f>'BASE DE DATOS'!D18</f>
        <v>38.729999999999997</v>
      </c>
      <c r="E18" s="734">
        <f>'BASE DE DATOS'!E18</f>
        <v>62.18</v>
      </c>
      <c r="F18" s="734">
        <f>'BASE DE DATOS'!F18</f>
        <v>83</v>
      </c>
      <c r="G18" s="734" t="str">
        <f>'BASE DE DATOS'!G18</f>
        <v>IVC</v>
      </c>
      <c r="H18" s="734">
        <f>'BASE DE DATOS'!H18</f>
        <v>-1.5</v>
      </c>
      <c r="I18" s="734">
        <f>'BASE DE DATOS'!I18</f>
        <v>8.4</v>
      </c>
      <c r="J18" s="734">
        <f>'BASE DE DATOS'!J18</f>
        <v>21.7</v>
      </c>
      <c r="K18" s="734">
        <f>'BASE DE DATOS'!K18</f>
        <v>33</v>
      </c>
      <c r="L18" s="734">
        <f>'BASE DE DATOS'!L18</f>
        <v>51</v>
      </c>
      <c r="M18" s="734">
        <f>'BASE DE DATOS'!M18</f>
        <v>70</v>
      </c>
      <c r="N18" s="734">
        <f>'BASE DE DATOS'!N18</f>
        <v>51</v>
      </c>
      <c r="O18" s="734">
        <f>'BASE DE DATOS'!O18</f>
        <v>28</v>
      </c>
      <c r="P18" s="734">
        <f>'BASE DE DATOS'!P18</f>
        <v>62</v>
      </c>
      <c r="Q18" s="734">
        <f>'BASE DE DATOS'!Q18</f>
        <v>4</v>
      </c>
      <c r="R18" s="734">
        <f>'BASE DE DATOS'!R18</f>
        <v>21.6</v>
      </c>
      <c r="S18" s="734">
        <f>'BASE DE DATOS'!S18</f>
        <v>0.53</v>
      </c>
      <c r="T18" s="734">
        <f>'BASE DE DATOS'!T18</f>
        <v>35.799999999999997</v>
      </c>
      <c r="U18" s="734">
        <f>'BASE DE DATOS'!U18</f>
        <v>6</v>
      </c>
      <c r="V18" s="734">
        <f>'BASE DE DATOS'!V18</f>
        <v>203</v>
      </c>
      <c r="W18" s="734">
        <f>'BASE DE DATOS'!W18</f>
        <v>99</v>
      </c>
      <c r="X18" s="734">
        <f>'BASE DE DATOS'!X18</f>
        <v>3.1E-2</v>
      </c>
      <c r="Y18" s="734">
        <f>'BASE DE DATOS'!Y18</f>
        <v>3.5999999999999997E-2</v>
      </c>
      <c r="Z18" s="734">
        <f>'BASE DE DATOS'!Z18</f>
        <v>130</v>
      </c>
      <c r="AA18" s="734">
        <f>'BASE DE DATOS'!AA18</f>
        <v>1.3</v>
      </c>
      <c r="AB18" s="734">
        <f>'BASE DE DATOS'!AB18</f>
        <v>35</v>
      </c>
      <c r="AD18" s="734" t="str">
        <f>'BASE DE DATOS'!AD18</f>
        <v>BAHÍA BLANCA</v>
      </c>
      <c r="AE18" s="734">
        <f>'BASE DE DATOS'!AE18</f>
        <v>23.6</v>
      </c>
      <c r="AF18" s="734">
        <f>'BASE DE DATOS'!AF18</f>
        <v>22.3</v>
      </c>
      <c r="AG18" s="734">
        <f>'BASE DE DATOS'!AG18</f>
        <v>19.899999999999999</v>
      </c>
      <c r="AH18" s="734">
        <f>'BASE DE DATOS'!AH18</f>
        <v>15.6</v>
      </c>
      <c r="AI18" s="734">
        <f>'BASE DE DATOS'!AI18</f>
        <v>12</v>
      </c>
      <c r="AJ18" s="734">
        <f>'BASE DE DATOS'!AJ18</f>
        <v>8.6999999999999993</v>
      </c>
      <c r="AK18" s="734">
        <f>'BASE DE DATOS'!AK18</f>
        <v>8.6</v>
      </c>
      <c r="AL18" s="734">
        <f>'BASE DE DATOS'!AL18</f>
        <v>9.9</v>
      </c>
      <c r="AM18" s="734">
        <f>'BASE DE DATOS'!AM18</f>
        <v>12</v>
      </c>
      <c r="AN18" s="734">
        <f>'BASE DE DATOS'!AN18</f>
        <v>15.2</v>
      </c>
      <c r="AO18" s="734">
        <f>'BASE DE DATOS'!AO18</f>
        <v>18.899999999999999</v>
      </c>
      <c r="AP18" s="734">
        <f>'BASE DE DATOS'!AP18</f>
        <v>21.8</v>
      </c>
      <c r="AR18" s="734" t="str">
        <f>'BASE DE DATOS'!AR18</f>
        <v>BAP</v>
      </c>
      <c r="AS18" s="734" t="str">
        <f>'BASE DE DATOS'!AS18</f>
        <v>BAHÍA BLANCA</v>
      </c>
      <c r="AT18" s="734">
        <f>'BASE DE DATOS'!AT18</f>
        <v>6.5</v>
      </c>
      <c r="AU18" s="734">
        <f>'BASE DE DATOS'!AU18</f>
        <v>5.5</v>
      </c>
      <c r="AV18" s="734">
        <f>'BASE DE DATOS'!AV18</f>
        <v>4.5</v>
      </c>
      <c r="AW18" s="734">
        <f>'BASE DE DATOS'!AW18</f>
        <v>3</v>
      </c>
      <c r="AX18" s="734">
        <f>'BASE DE DATOS'!AX18</f>
        <v>2</v>
      </c>
      <c r="AY18" s="734">
        <f>'BASE DE DATOS'!AY18</f>
        <v>1.5</v>
      </c>
      <c r="AZ18" s="734">
        <f>'BASE DE DATOS'!AZ18</f>
        <v>1.5</v>
      </c>
      <c r="BA18" s="734">
        <f>'BASE DE DATOS'!BA18</f>
        <v>2.5</v>
      </c>
      <c r="BB18" s="734">
        <f>'BASE DE DATOS'!BB18</f>
        <v>3.5</v>
      </c>
      <c r="BC18" s="734">
        <f>'BASE DE DATOS'!BC18</f>
        <v>5</v>
      </c>
      <c r="BD18" s="734">
        <f>'BASE DE DATOS'!BD18</f>
        <v>6</v>
      </c>
      <c r="BE18" s="734">
        <f>'BASE DE DATOS'!BE18</f>
        <v>7</v>
      </c>
      <c r="BG18" s="734" t="s">
        <v>108</v>
      </c>
      <c r="BH18" s="734" t="s">
        <v>726</v>
      </c>
      <c r="BI18" s="734" t="s">
        <v>726</v>
      </c>
      <c r="BJ18" s="734" t="s">
        <v>724</v>
      </c>
      <c r="BK18" s="734"/>
      <c r="BL18" s="734"/>
      <c r="BM18" s="734" t="s">
        <v>6</v>
      </c>
      <c r="BN18" s="734" t="s">
        <v>730</v>
      </c>
      <c r="BO18" s="734" t="s">
        <v>7</v>
      </c>
      <c r="BQ18" s="745" t="s">
        <v>1114</v>
      </c>
      <c r="BR18" s="745" t="s">
        <v>1114</v>
      </c>
      <c r="BS18" s="745" t="s">
        <v>1114</v>
      </c>
      <c r="BT18" s="745" t="s">
        <v>1114</v>
      </c>
      <c r="BU18" s="745" t="s">
        <v>1114</v>
      </c>
      <c r="BV18" s="745" t="s">
        <v>1114</v>
      </c>
      <c r="BX18" s="745" t="s">
        <v>1890</v>
      </c>
      <c r="BY18" s="734">
        <v>1.2</v>
      </c>
      <c r="BZ18" s="734">
        <v>0</v>
      </c>
      <c r="CA18" s="734">
        <v>0</v>
      </c>
      <c r="CB18" s="734"/>
      <c r="CC18" s="734"/>
      <c r="CD18" s="734"/>
      <c r="CE18" s="734">
        <v>6.1199999999999996E-3</v>
      </c>
      <c r="DA18" s="734"/>
      <c r="DB18" s="734"/>
      <c r="DO18" s="733" t="str">
        <f>'BASE DE DATOS'!BG18</f>
        <v>BAP</v>
      </c>
      <c r="DP18" s="733" t="str">
        <f>'BASE DE DATOS'!BH18</f>
        <v>BAHÍA BLANCA</v>
      </c>
      <c r="DQ18" s="733">
        <f>'BASE DE DATOS'!BI18</f>
        <v>104</v>
      </c>
      <c r="DR18" s="733">
        <f>'BASE DE DATOS'!BJ18</f>
        <v>98</v>
      </c>
      <c r="DS18" s="733">
        <f>'BASE DE DATOS'!BK18</f>
        <v>115</v>
      </c>
      <c r="DT18" s="733">
        <f>'BASE DE DATOS'!BL18</f>
        <v>97</v>
      </c>
      <c r="DU18" s="733">
        <f>'BASE DE DATOS'!BM18</f>
        <v>80</v>
      </c>
      <c r="DV18" s="733">
        <f>'BASE DE DATOS'!BN18</f>
        <v>61</v>
      </c>
      <c r="DW18" s="733">
        <f>'BASE DE DATOS'!BO18</f>
        <v>59</v>
      </c>
      <c r="DX18" s="733">
        <f>'BASE DE DATOS'!BP18</f>
        <v>63</v>
      </c>
      <c r="DY18" s="733">
        <f>'BASE DE DATOS'!BQ18</f>
        <v>68</v>
      </c>
      <c r="DZ18" s="733">
        <f>'BASE DE DATOS'!BR18</f>
        <v>104</v>
      </c>
      <c r="EA18" s="733">
        <f>'BASE DE DATOS'!BS18</f>
        <v>98</v>
      </c>
      <c r="EB18" s="733">
        <f>'BASE DE DATOS'!BT18</f>
        <v>93</v>
      </c>
      <c r="ER18" s="734" t="s">
        <v>561</v>
      </c>
      <c r="ES18" s="748">
        <v>0.15</v>
      </c>
      <c r="ET18" s="734">
        <v>0</v>
      </c>
      <c r="EU18" s="748">
        <v>0.15</v>
      </c>
      <c r="EV18" s="737">
        <f t="shared" si="0"/>
        <v>0</v>
      </c>
      <c r="EW18" s="748">
        <v>0.15</v>
      </c>
      <c r="EX18" s="737">
        <v>0</v>
      </c>
      <c r="EY18" s="734" t="s">
        <v>983</v>
      </c>
      <c r="EZ18" s="748">
        <f t="shared" si="1"/>
        <v>0.15</v>
      </c>
      <c r="FA18" s="734">
        <v>0</v>
      </c>
      <c r="FB18" s="734" t="s">
        <v>983</v>
      </c>
      <c r="FC18" s="748">
        <f t="shared" si="2"/>
        <v>0.15</v>
      </c>
      <c r="FD18" s="734">
        <v>0</v>
      </c>
      <c r="FE18" s="734" t="s">
        <v>983</v>
      </c>
      <c r="FK18" s="731" t="str">
        <f>'BASE DE DATOS'!BV18</f>
        <v>SAN JUAN</v>
      </c>
      <c r="FL18" s="731">
        <f>'BASE DE DATOS'!BW18</f>
        <v>31.62</v>
      </c>
      <c r="FM18" s="731">
        <f>'BASE DE DATOS'!BX18</f>
        <v>11</v>
      </c>
      <c r="FN18" s="731">
        <f>'BASE DE DATOS'!BY18</f>
        <v>50</v>
      </c>
      <c r="FO18" s="731">
        <f>'BASE DE DATOS'!BZ18</f>
        <v>11</v>
      </c>
      <c r="FP18" s="731">
        <f>'BASE DE DATOS'!CA18</f>
        <v>0</v>
      </c>
      <c r="FQ18" s="731">
        <f>'BASE DE DATOS'!CB18</f>
        <v>61</v>
      </c>
      <c r="FR18" s="731">
        <f>'BASE DE DATOS'!CC18</f>
        <v>55</v>
      </c>
      <c r="FS18" s="731">
        <f>'BASE DE DATOS'!CD18</f>
        <v>0</v>
      </c>
      <c r="FT18" s="731">
        <f>'BASE DE DATOS'!CE18</f>
        <v>0</v>
      </c>
      <c r="FU18" s="731">
        <f>'BASE DE DATOS'!CF18</f>
        <v>65</v>
      </c>
      <c r="FV18" s="731">
        <f>'BASE DE DATOS'!CG18</f>
        <v>61</v>
      </c>
      <c r="FW18" s="731">
        <f>'BASE DE DATOS'!CH18</f>
        <v>0</v>
      </c>
      <c r="FX18" s="731">
        <f>'BASE DE DATOS'!CI18</f>
        <v>0</v>
      </c>
      <c r="FY18" s="731">
        <f>'BASE DE DATOS'!CJ18</f>
        <v>74</v>
      </c>
      <c r="FZ18" s="731">
        <f>'BASE DE DATOS'!CK18</f>
        <v>65</v>
      </c>
      <c r="GA18" s="731">
        <f>'BASE DE DATOS'!CL18</f>
        <v>0</v>
      </c>
      <c r="GB18" s="731">
        <f>'BASE DE DATOS'!CM18</f>
        <v>0</v>
      </c>
      <c r="GC18" s="731">
        <f>'BASE DE DATOS'!CN18</f>
        <v>78</v>
      </c>
      <c r="GD18" s="731">
        <f>'BASE DE DATOS'!CO18</f>
        <v>74</v>
      </c>
      <c r="GE18" s="731">
        <f>'BASE DE DATOS'!CP18</f>
        <v>0</v>
      </c>
      <c r="GF18" s="731">
        <f>'BASE DE DATOS'!CQ18</f>
        <v>82</v>
      </c>
      <c r="GG18" s="731">
        <f>'BASE DE DATOS'!CR18</f>
        <v>78</v>
      </c>
      <c r="GH18" s="731">
        <f>'BASE DE DATOS'!CS18</f>
        <v>0</v>
      </c>
      <c r="GI18" s="731">
        <f>'BASE DE DATOS'!CT18</f>
        <v>85</v>
      </c>
      <c r="GJ18" s="731">
        <f>'BASE DE DATOS'!CU18</f>
        <v>82</v>
      </c>
      <c r="GM18" s="741"/>
      <c r="GN18" s="741"/>
      <c r="GO18" s="727" t="s">
        <v>1971</v>
      </c>
      <c r="GP18" s="727">
        <f>IF(DATOS!R62=0,0,1)</f>
        <v>1</v>
      </c>
      <c r="GQ18" s="1218" t="s">
        <v>1972</v>
      </c>
      <c r="GR18" s="1218"/>
      <c r="GS18" s="1218"/>
      <c r="GT18" s="1218"/>
      <c r="GU18" s="1218"/>
      <c r="GV18" s="741"/>
      <c r="GW18" s="741"/>
      <c r="GX18" s="741"/>
      <c r="GY18" s="741"/>
      <c r="HE18" s="743" t="s">
        <v>211</v>
      </c>
      <c r="HF18" s="734">
        <v>0.8</v>
      </c>
      <c r="HH18" s="734" t="s">
        <v>2004</v>
      </c>
      <c r="HI18" s="734">
        <v>8</v>
      </c>
      <c r="HJ18" s="734">
        <v>8</v>
      </c>
      <c r="HK18" s="734">
        <v>3</v>
      </c>
      <c r="HL18" s="734">
        <v>5</v>
      </c>
      <c r="HM18" s="734">
        <v>5</v>
      </c>
      <c r="HN18" s="734">
        <v>5</v>
      </c>
      <c r="HO18" s="734"/>
      <c r="HP18" s="734"/>
    </row>
    <row r="19" spans="2:224" ht="48" customHeight="1">
      <c r="B19" s="734" t="str">
        <f>'BASE DE DATOS'!B19</f>
        <v>BAP</v>
      </c>
      <c r="C19" s="734" t="str">
        <f>'BASE DE DATOS'!C19</f>
        <v>BALCARCE</v>
      </c>
      <c r="D19" s="734">
        <f>'BASE DE DATOS'!D19</f>
        <v>37.75</v>
      </c>
      <c r="E19" s="734">
        <f>'BASE DE DATOS'!E19</f>
        <v>58.3</v>
      </c>
      <c r="F19" s="734">
        <f>'BASE DE DATOS'!F19</f>
        <v>130</v>
      </c>
      <c r="G19" s="734" t="str">
        <f>'BASE DE DATOS'!G19</f>
        <v>IVC</v>
      </c>
      <c r="H19" s="734">
        <f>'BASE DE DATOS'!H19</f>
        <v>0</v>
      </c>
      <c r="I19" s="734">
        <f>'BASE DE DATOS'!I19</f>
        <v>8.1</v>
      </c>
      <c r="J19" s="734">
        <f>'BASE DE DATOS'!J19</f>
        <v>19.100000000000001</v>
      </c>
      <c r="K19" s="734">
        <f>'BASE DE DATOS'!K19</f>
        <v>30.1</v>
      </c>
      <c r="L19" s="734">
        <f>'BASE DE DATOS'!L19</f>
        <v>74</v>
      </c>
      <c r="M19" s="734">
        <f>'BASE DE DATOS'!M19</f>
        <v>85</v>
      </c>
      <c r="N19" s="734">
        <f>'BASE DE DATOS'!N19</f>
        <v>74</v>
      </c>
      <c r="O19" s="734">
        <f>'BASE DE DATOS'!O19</f>
        <v>53</v>
      </c>
      <c r="P19" s="734">
        <f>'BASE DE DATOS'!P19</f>
        <v>109</v>
      </c>
      <c r="Q19" s="734">
        <f>'BASE DE DATOS'!Q19</f>
        <v>4</v>
      </c>
      <c r="R19" s="734">
        <f>'BASE DE DATOS'!R19</f>
        <v>19.2</v>
      </c>
      <c r="S19" s="734">
        <f>'BASE DE DATOS'!S19</f>
        <v>0.53</v>
      </c>
      <c r="T19" s="734">
        <f>'BASE DE DATOS'!T19</f>
        <v>36.9</v>
      </c>
      <c r="U19" s="734">
        <f>'BASE DE DATOS'!U19</f>
        <v>3.4</v>
      </c>
      <c r="V19" s="734">
        <f>'BASE DE DATOS'!V19</f>
        <v>185</v>
      </c>
      <c r="W19" s="734">
        <f>'BASE DE DATOS'!W19</f>
        <v>41</v>
      </c>
      <c r="X19" s="734">
        <f>'BASE DE DATOS'!X19</f>
        <v>1.4E-2</v>
      </c>
      <c r="Y19" s="734">
        <f>'BASE DE DATOS'!Y19</f>
        <v>1.9E-2</v>
      </c>
      <c r="Z19" s="734">
        <f>'BASE DE DATOS'!Z19</f>
        <v>130</v>
      </c>
      <c r="AA19" s="734">
        <f>'BASE DE DATOS'!AA19</f>
        <v>1.3</v>
      </c>
      <c r="AB19" s="734">
        <f>'BASE DE DATOS'!AB19</f>
        <v>35</v>
      </c>
      <c r="AD19" s="734" t="str">
        <f>'BASE DE DATOS'!AD19</f>
        <v>BALCARCE</v>
      </c>
      <c r="AE19" s="734">
        <f>'BASE DE DATOS'!AE19</f>
        <v>21.1</v>
      </c>
      <c r="AF19" s="734">
        <f>'BASE DE DATOS'!AF19</f>
        <v>20.3</v>
      </c>
      <c r="AG19" s="734">
        <f>'BASE DE DATOS'!AG19</f>
        <v>18.3</v>
      </c>
      <c r="AH19" s="734">
        <f>'BASE DE DATOS'!AH19</f>
        <v>13.7</v>
      </c>
      <c r="AI19" s="734">
        <f>'BASE DE DATOS'!AI19</f>
        <v>10.6</v>
      </c>
      <c r="AJ19" s="734">
        <f>'BASE DE DATOS'!AJ19</f>
        <v>8.1</v>
      </c>
      <c r="AK19" s="734">
        <f>'BASE DE DATOS'!AK19</f>
        <v>7.6</v>
      </c>
      <c r="AL19" s="734">
        <f>'BASE DE DATOS'!AL19</f>
        <v>8.6</v>
      </c>
      <c r="AM19" s="734">
        <f>'BASE DE DATOS'!AM19</f>
        <v>10.3</v>
      </c>
      <c r="AN19" s="734">
        <f>'BASE DE DATOS'!AN19</f>
        <v>13.3</v>
      </c>
      <c r="AO19" s="734">
        <f>'BASE DE DATOS'!AO19</f>
        <v>16.8</v>
      </c>
      <c r="AP19" s="734">
        <f>'BASE DE DATOS'!AP19</f>
        <v>18.7</v>
      </c>
      <c r="AR19" s="734" t="str">
        <f>'BASE DE DATOS'!AR19</f>
        <v>BAP</v>
      </c>
      <c r="AS19" s="734" t="str">
        <f>'BASE DE DATOS'!AS19</f>
        <v>BALCARCE</v>
      </c>
      <c r="AT19" s="734">
        <f>'BASE DE DATOS'!AT19</f>
        <v>6.5</v>
      </c>
      <c r="AU19" s="734">
        <f>'BASE DE DATOS'!AU19</f>
        <v>6</v>
      </c>
      <c r="AV19" s="734">
        <f>'BASE DE DATOS'!AV19</f>
        <v>4.5</v>
      </c>
      <c r="AW19" s="734">
        <f>'BASE DE DATOS'!AW19</f>
        <v>3</v>
      </c>
      <c r="AX19" s="734">
        <f>'BASE DE DATOS'!AX19</f>
        <v>2</v>
      </c>
      <c r="AY19" s="734">
        <f>'BASE DE DATOS'!AY19</f>
        <v>1.5</v>
      </c>
      <c r="AZ19" s="734">
        <f>'BASE DE DATOS'!AZ19</f>
        <v>1.5</v>
      </c>
      <c r="BA19" s="734">
        <f>'BASE DE DATOS'!BA19</f>
        <v>2.5</v>
      </c>
      <c r="BB19" s="734">
        <f>'BASE DE DATOS'!BB19</f>
        <v>3.5</v>
      </c>
      <c r="BC19" s="734">
        <f>'BASE DE DATOS'!BC19</f>
        <v>5</v>
      </c>
      <c r="BD19" s="734">
        <f>'BASE DE DATOS'!BD19</f>
        <v>6</v>
      </c>
      <c r="BE19" s="734">
        <f>'BASE DE DATOS'!BE19</f>
        <v>6.5</v>
      </c>
      <c r="BS19" s="745"/>
      <c r="BT19" s="753"/>
      <c r="BX19" s="745" t="s">
        <v>1891</v>
      </c>
      <c r="BY19" s="734">
        <v>1</v>
      </c>
      <c r="BZ19" s="734">
        <v>0</v>
      </c>
      <c r="CA19" s="734">
        <v>0</v>
      </c>
      <c r="CB19" s="734"/>
      <c r="CC19" s="734"/>
      <c r="CD19" s="734"/>
      <c r="CE19" s="734">
        <v>1.6E-2</v>
      </c>
      <c r="DA19" s="734"/>
      <c r="DB19" s="734"/>
      <c r="DO19" s="733" t="str">
        <f>'BASE DE DATOS'!BG19</f>
        <v>BAP</v>
      </c>
      <c r="DP19" s="733" t="str">
        <f>'BASE DE DATOS'!BH19</f>
        <v>BALCARCE</v>
      </c>
      <c r="DQ19" s="733">
        <f>'BASE DE DATOS'!BI19</f>
        <v>104</v>
      </c>
      <c r="DR19" s="733">
        <f>'BASE DE DATOS'!BJ19</f>
        <v>98</v>
      </c>
      <c r="DS19" s="733">
        <f>'BASE DE DATOS'!BK19</f>
        <v>115</v>
      </c>
      <c r="DT19" s="733">
        <f>'BASE DE DATOS'!BL19</f>
        <v>97</v>
      </c>
      <c r="DU19" s="733">
        <f>'BASE DE DATOS'!BM19</f>
        <v>80</v>
      </c>
      <c r="DV19" s="733">
        <f>'BASE DE DATOS'!BN19</f>
        <v>61</v>
      </c>
      <c r="DW19" s="733">
        <f>'BASE DE DATOS'!BO19</f>
        <v>59</v>
      </c>
      <c r="DX19" s="733">
        <f>'BASE DE DATOS'!BP19</f>
        <v>63</v>
      </c>
      <c r="DY19" s="733">
        <f>'BASE DE DATOS'!BQ19</f>
        <v>68</v>
      </c>
      <c r="DZ19" s="733">
        <f>'BASE DE DATOS'!BR19</f>
        <v>104</v>
      </c>
      <c r="EA19" s="733">
        <f>'BASE DE DATOS'!BS19</f>
        <v>98</v>
      </c>
      <c r="EB19" s="733">
        <f>'BASE DE DATOS'!BT19</f>
        <v>93</v>
      </c>
      <c r="ER19" s="734" t="s">
        <v>211</v>
      </c>
      <c r="ES19" s="748">
        <v>0.25</v>
      </c>
      <c r="ET19" s="737" t="e">
        <f>'Materiales Personalizados'!$BM$22</f>
        <v>#N/A</v>
      </c>
      <c r="EU19" s="748">
        <v>0.2</v>
      </c>
      <c r="EV19" s="737" t="e">
        <f t="shared" si="0"/>
        <v>#N/A</v>
      </c>
      <c r="EW19" s="748">
        <v>0.2</v>
      </c>
      <c r="EX19" s="737">
        <v>0</v>
      </c>
      <c r="EY19" s="734" t="s">
        <v>983</v>
      </c>
      <c r="EZ19" s="748">
        <f t="shared" si="1"/>
        <v>0.2</v>
      </c>
      <c r="FA19" s="734">
        <v>0</v>
      </c>
      <c r="FB19" s="734" t="s">
        <v>983</v>
      </c>
      <c r="FC19" s="748">
        <f t="shared" si="2"/>
        <v>0.2</v>
      </c>
      <c r="FD19" s="734">
        <v>0</v>
      </c>
      <c r="FE19" s="734" t="s">
        <v>983</v>
      </c>
      <c r="FK19" s="731" t="str">
        <f>'BASE DE DATOS'!BV19</f>
        <v>ENTRE RIOS</v>
      </c>
      <c r="FL19" s="731">
        <f>'BASE DE DATOS'!BW19</f>
        <v>31.83</v>
      </c>
      <c r="FM19" s="731">
        <f>'BASE DE DATOS'!BX19</f>
        <v>11</v>
      </c>
      <c r="FN19" s="731">
        <f>'BASE DE DATOS'!BY19</f>
        <v>51</v>
      </c>
      <c r="FO19" s="731">
        <f>'BASE DE DATOS'!BZ19</f>
        <v>11</v>
      </c>
      <c r="FP19" s="731">
        <f>'BASE DE DATOS'!CA19</f>
        <v>2</v>
      </c>
      <c r="FQ19" s="731">
        <f>'BASE DE DATOS'!CB19</f>
        <v>60</v>
      </c>
      <c r="FR19" s="731">
        <f>'BASE DE DATOS'!CC19</f>
        <v>51</v>
      </c>
      <c r="FS19" s="731">
        <f>'BASE DE DATOS'!CD19</f>
        <v>0</v>
      </c>
      <c r="FT19" s="731">
        <f>'BASE DE DATOS'!CE19</f>
        <v>0</v>
      </c>
      <c r="FU19" s="731">
        <f>'BASE DE DATOS'!CF19</f>
        <v>68</v>
      </c>
      <c r="FV19" s="731">
        <f>'BASE DE DATOS'!CG19</f>
        <v>60</v>
      </c>
      <c r="FW19" s="731">
        <f>'BASE DE DATOS'!CH19</f>
        <v>0</v>
      </c>
      <c r="FX19" s="731">
        <f>'BASE DE DATOS'!CI19</f>
        <v>0</v>
      </c>
      <c r="FY19" s="731">
        <f>'BASE DE DATOS'!CJ19</f>
        <v>72</v>
      </c>
      <c r="FZ19" s="731">
        <f>'BASE DE DATOS'!CK19</f>
        <v>68</v>
      </c>
      <c r="GA19" s="731">
        <f>'BASE DE DATOS'!CL19</f>
        <v>0</v>
      </c>
      <c r="GB19" s="731">
        <f>'BASE DE DATOS'!CM19</f>
        <v>0</v>
      </c>
      <c r="GC19" s="731">
        <f>'BASE DE DATOS'!CN19</f>
        <v>79</v>
      </c>
      <c r="GD19" s="731">
        <f>'BASE DE DATOS'!CO19</f>
        <v>72</v>
      </c>
      <c r="GE19" s="731">
        <f>'BASE DE DATOS'!CP19</f>
        <v>0</v>
      </c>
      <c r="GF19" s="731">
        <f>'BASE DE DATOS'!CQ19</f>
        <v>82</v>
      </c>
      <c r="GG19" s="731">
        <f>'BASE DE DATOS'!CR19</f>
        <v>79</v>
      </c>
      <c r="GH19" s="731">
        <f>'BASE DE DATOS'!CS19</f>
        <v>0</v>
      </c>
      <c r="GI19" s="731">
        <f>'BASE DE DATOS'!CT19</f>
        <v>90</v>
      </c>
      <c r="GJ19" s="731">
        <f>'BASE DE DATOS'!CU19</f>
        <v>82</v>
      </c>
      <c r="GM19" s="741"/>
      <c r="GN19" s="741"/>
      <c r="GO19" s="741"/>
      <c r="GP19" s="741"/>
      <c r="GQ19" s="741"/>
      <c r="GR19" s="741"/>
      <c r="GS19" s="741"/>
      <c r="GT19" s="741"/>
      <c r="GU19" s="741"/>
      <c r="GV19" s="741"/>
      <c r="GW19" s="741"/>
      <c r="GX19" s="741"/>
      <c r="GY19" s="741"/>
      <c r="HE19" s="743" t="s">
        <v>562</v>
      </c>
      <c r="HF19" s="734">
        <v>0.9</v>
      </c>
      <c r="HH19" s="734"/>
      <c r="HI19" s="734"/>
      <c r="HJ19" s="734"/>
      <c r="HK19" s="734"/>
      <c r="HL19" s="734"/>
      <c r="HM19" s="734"/>
      <c r="HN19" s="734"/>
      <c r="HO19" s="734"/>
      <c r="HP19" s="734"/>
    </row>
    <row r="20" spans="2:224" ht="15" customHeight="1">
      <c r="B20" s="734" t="str">
        <f>'BASE DE DATOS'!B20</f>
        <v>BAP</v>
      </c>
      <c r="C20" s="734" t="str">
        <f>'BASE DE DATOS'!C20</f>
        <v>BARROW</v>
      </c>
      <c r="D20" s="734">
        <f>'BASE DE DATOS'!D20</f>
        <v>38.32</v>
      </c>
      <c r="E20" s="734">
        <f>'BASE DE DATOS'!E20</f>
        <v>60.25</v>
      </c>
      <c r="F20" s="734">
        <f>'BASE DE DATOS'!F20</f>
        <v>120</v>
      </c>
      <c r="G20" s="734" t="str">
        <f>'BASE DE DATOS'!G20</f>
        <v>IVC</v>
      </c>
      <c r="H20" s="734">
        <f>'BASE DE DATOS'!H20</f>
        <v>-3.6</v>
      </c>
      <c r="I20" s="734">
        <f>'BASE DE DATOS'!I20</f>
        <v>7.9</v>
      </c>
      <c r="J20" s="734">
        <f>'BASE DE DATOS'!J20</f>
        <v>20.100000000000001</v>
      </c>
      <c r="K20" s="734">
        <f>'BASE DE DATOS'!K20</f>
        <v>31.6</v>
      </c>
      <c r="L20" s="734">
        <f>'BASE DE DATOS'!L20</f>
        <v>62</v>
      </c>
      <c r="M20" s="734">
        <f>'BASE DE DATOS'!M20</f>
        <v>79</v>
      </c>
      <c r="N20" s="734">
        <f>'BASE DE DATOS'!N20</f>
        <v>62</v>
      </c>
      <c r="O20" s="734">
        <f>'BASE DE DATOS'!O20</f>
        <v>38</v>
      </c>
      <c r="P20" s="734">
        <f>'BASE DE DATOS'!P20</f>
        <v>76</v>
      </c>
      <c r="Q20" s="734">
        <f>'BASE DE DATOS'!Q20</f>
        <v>4</v>
      </c>
      <c r="R20" s="734">
        <f>'BASE DE DATOS'!R20</f>
        <v>19.899999999999999</v>
      </c>
      <c r="S20" s="734">
        <f>'BASE DE DATOS'!S20</f>
        <v>0.53</v>
      </c>
      <c r="T20" s="734">
        <f>'BASE DE DATOS'!T20</f>
        <v>36.9</v>
      </c>
      <c r="U20" s="734">
        <f>'BASE DE DATOS'!U20</f>
        <v>3.4</v>
      </c>
      <c r="V20" s="734">
        <f>'BASE DE DATOS'!V20</f>
        <v>185</v>
      </c>
      <c r="W20" s="734">
        <f>'BASE DE DATOS'!W20</f>
        <v>41</v>
      </c>
      <c r="X20" s="734">
        <f>'BASE DE DATOS'!X20</f>
        <v>1.4E-2</v>
      </c>
      <c r="Y20" s="734">
        <f>'BASE DE DATOS'!Y20</f>
        <v>1.9E-2</v>
      </c>
      <c r="Z20" s="734">
        <f>'BASE DE DATOS'!Z20</f>
        <v>130</v>
      </c>
      <c r="AA20" s="734">
        <f>'BASE DE DATOS'!AA20</f>
        <v>1.3</v>
      </c>
      <c r="AB20" s="734">
        <f>'BASE DE DATOS'!AB20</f>
        <v>35</v>
      </c>
      <c r="AD20" s="734" t="str">
        <f>'BASE DE DATOS'!AD20</f>
        <v>BARROW</v>
      </c>
      <c r="AE20" s="734">
        <f>'BASE DE DATOS'!AE20</f>
        <v>22.1</v>
      </c>
      <c r="AF20" s="734">
        <f>'BASE DE DATOS'!AF20</f>
        <v>21.1</v>
      </c>
      <c r="AG20" s="734">
        <f>'BASE DE DATOS'!AG20</f>
        <v>19</v>
      </c>
      <c r="AH20" s="734">
        <f>'BASE DE DATOS'!AH20</f>
        <v>13.8</v>
      </c>
      <c r="AI20" s="734">
        <f>'BASE DE DATOS'!AI20</f>
        <v>10.9</v>
      </c>
      <c r="AJ20" s="734">
        <f>'BASE DE DATOS'!AJ20</f>
        <v>7.8</v>
      </c>
      <c r="AK20" s="734">
        <f>'BASE DE DATOS'!AK20</f>
        <v>7.5</v>
      </c>
      <c r="AL20" s="734">
        <f>'BASE DE DATOS'!AL20</f>
        <v>8.8000000000000007</v>
      </c>
      <c r="AM20" s="734">
        <f>'BASE DE DATOS'!AM20</f>
        <v>10.4</v>
      </c>
      <c r="AN20" s="734">
        <f>'BASE DE DATOS'!AN20</f>
        <v>13.2</v>
      </c>
      <c r="AO20" s="734">
        <f>'BASE DE DATOS'!AO20</f>
        <v>16.899999999999999</v>
      </c>
      <c r="AP20" s="734">
        <f>'BASE DE DATOS'!AP20</f>
        <v>19.399999999999999</v>
      </c>
      <c r="AR20" s="734" t="str">
        <f>'BASE DE DATOS'!AR20</f>
        <v>BAP</v>
      </c>
      <c r="AS20" s="734" t="str">
        <f>'BASE DE DATOS'!AS20</f>
        <v>BARROW</v>
      </c>
      <c r="AT20" s="734">
        <f>'BASE DE DATOS'!AT20</f>
        <v>6.5</v>
      </c>
      <c r="AU20" s="734">
        <f>'BASE DE DATOS'!AU20</f>
        <v>6</v>
      </c>
      <c r="AV20" s="734">
        <f>'BASE DE DATOS'!AV20</f>
        <v>4.5</v>
      </c>
      <c r="AW20" s="734">
        <f>'BASE DE DATOS'!AW20</f>
        <v>3</v>
      </c>
      <c r="AX20" s="734">
        <f>'BASE DE DATOS'!AX20</f>
        <v>2</v>
      </c>
      <c r="AY20" s="734">
        <f>'BASE DE DATOS'!AY20</f>
        <v>1.5</v>
      </c>
      <c r="AZ20" s="734">
        <f>'BASE DE DATOS'!AZ20</f>
        <v>1.5</v>
      </c>
      <c r="BA20" s="734">
        <f>'BASE DE DATOS'!BA20</f>
        <v>2.5</v>
      </c>
      <c r="BB20" s="734">
        <f>'BASE DE DATOS'!BB20</f>
        <v>3.5</v>
      </c>
      <c r="BC20" s="734">
        <f>'BASE DE DATOS'!BC20</f>
        <v>5</v>
      </c>
      <c r="BD20" s="734">
        <f>'BASE DE DATOS'!BD20</f>
        <v>6</v>
      </c>
      <c r="BE20" s="734">
        <f>'BASE DE DATOS'!BE20</f>
        <v>7</v>
      </c>
      <c r="BG20" s="1207" t="s">
        <v>721</v>
      </c>
      <c r="BH20" s="1207"/>
      <c r="BS20" s="745"/>
      <c r="BX20" s="745" t="s">
        <v>1892</v>
      </c>
      <c r="BY20" s="734">
        <v>0.8</v>
      </c>
      <c r="BZ20" s="734">
        <v>0</v>
      </c>
      <c r="CA20" s="734">
        <v>0</v>
      </c>
      <c r="CB20" s="734"/>
      <c r="CC20" s="734"/>
      <c r="CD20" s="734"/>
      <c r="CE20" s="734">
        <v>6.1199999999999996E-3</v>
      </c>
      <c r="DA20" s="734"/>
      <c r="DB20" s="734"/>
      <c r="DO20" s="733" t="str">
        <f>'BASE DE DATOS'!BG20</f>
        <v>BAP</v>
      </c>
      <c r="DP20" s="733" t="str">
        <f>'BASE DE DATOS'!BH20</f>
        <v>BARROW</v>
      </c>
      <c r="DQ20" s="733">
        <f>'BASE DE DATOS'!BI20</f>
        <v>104</v>
      </c>
      <c r="DR20" s="733">
        <f>'BASE DE DATOS'!BJ20</f>
        <v>98</v>
      </c>
      <c r="DS20" s="733">
        <f>'BASE DE DATOS'!BK20</f>
        <v>115</v>
      </c>
      <c r="DT20" s="733">
        <f>'BASE DE DATOS'!BL20</f>
        <v>97</v>
      </c>
      <c r="DU20" s="733">
        <f>'BASE DE DATOS'!BM20</f>
        <v>80</v>
      </c>
      <c r="DV20" s="733">
        <f>'BASE DE DATOS'!BN20</f>
        <v>61</v>
      </c>
      <c r="DW20" s="733">
        <f>'BASE DE DATOS'!BO20</f>
        <v>59</v>
      </c>
      <c r="DX20" s="733">
        <f>'BASE DE DATOS'!BP20</f>
        <v>63</v>
      </c>
      <c r="DY20" s="733">
        <f>'BASE DE DATOS'!BQ20</f>
        <v>68</v>
      </c>
      <c r="DZ20" s="733">
        <f>'BASE DE DATOS'!BR20</f>
        <v>104</v>
      </c>
      <c r="EA20" s="733">
        <f>'BASE DE DATOS'!BS20</f>
        <v>98</v>
      </c>
      <c r="EB20" s="733">
        <f>'BASE DE DATOS'!BT20</f>
        <v>93</v>
      </c>
      <c r="ER20" s="734" t="s">
        <v>562</v>
      </c>
      <c r="ES20" s="748">
        <v>0.25</v>
      </c>
      <c r="ET20" s="737" t="e">
        <f>'Materiales Personalizados'!$BM$22</f>
        <v>#N/A</v>
      </c>
      <c r="EU20" s="748">
        <v>0.2</v>
      </c>
      <c r="EV20" s="737" t="e">
        <f t="shared" si="0"/>
        <v>#N/A</v>
      </c>
      <c r="EW20" s="748">
        <v>0.2</v>
      </c>
      <c r="EX20" s="734">
        <v>0</v>
      </c>
      <c r="EY20" s="734" t="s">
        <v>983</v>
      </c>
      <c r="EZ20" s="748">
        <f t="shared" si="1"/>
        <v>0.2</v>
      </c>
      <c r="FA20" s="734">
        <v>0</v>
      </c>
      <c r="FB20" s="734" t="s">
        <v>983</v>
      </c>
      <c r="FC20" s="748">
        <f t="shared" si="2"/>
        <v>0.2</v>
      </c>
      <c r="FD20" s="734">
        <v>0</v>
      </c>
      <c r="FE20" s="734" t="s">
        <v>983</v>
      </c>
      <c r="FK20" s="731" t="str">
        <f>'BASE DE DATOS'!BV20</f>
        <v>SANTA FE</v>
      </c>
      <c r="FL20" s="731">
        <f>'BASE DE DATOS'!BW20</f>
        <v>32.92</v>
      </c>
      <c r="FM20" s="731">
        <f>'BASE DE DATOS'!BX20</f>
        <v>10</v>
      </c>
      <c r="FN20" s="731">
        <f>'BASE DE DATOS'!BY20</f>
        <v>50</v>
      </c>
      <c r="FO20" s="731">
        <f>'BASE DE DATOS'!BZ20</f>
        <v>10</v>
      </c>
      <c r="FP20" s="731">
        <f>'BASE DE DATOS'!CA20</f>
        <v>1</v>
      </c>
      <c r="FQ20" s="731">
        <f>'BASE DE DATOS'!CB20</f>
        <v>60</v>
      </c>
      <c r="FR20" s="731">
        <f>'BASE DE DATOS'!CC20</f>
        <v>50</v>
      </c>
      <c r="FS20" s="731">
        <f>'BASE DE DATOS'!CD20</f>
        <v>0</v>
      </c>
      <c r="FT20" s="731">
        <f>'BASE DE DATOS'!CE20</f>
        <v>0</v>
      </c>
      <c r="FU20" s="731">
        <f>'BASE DE DATOS'!CF20</f>
        <v>65</v>
      </c>
      <c r="FV20" s="731">
        <f>'BASE DE DATOS'!CG20</f>
        <v>60</v>
      </c>
      <c r="FW20" s="731">
        <f>'BASE DE DATOS'!CH20</f>
        <v>0</v>
      </c>
      <c r="FX20" s="731">
        <f>'BASE DE DATOS'!CI20</f>
        <v>0</v>
      </c>
      <c r="FY20" s="731">
        <f>'BASE DE DATOS'!CJ20</f>
        <v>70</v>
      </c>
      <c r="FZ20" s="731">
        <f>'BASE DE DATOS'!CK20</f>
        <v>65</v>
      </c>
      <c r="GA20" s="731">
        <f>'BASE DE DATOS'!CL20</f>
        <v>0</v>
      </c>
      <c r="GB20" s="731">
        <f>'BASE DE DATOS'!CM20</f>
        <v>0</v>
      </c>
      <c r="GC20" s="731">
        <f>'BASE DE DATOS'!CN20</f>
        <v>78</v>
      </c>
      <c r="GD20" s="731">
        <f>'BASE DE DATOS'!CO20</f>
        <v>70</v>
      </c>
      <c r="GE20" s="731">
        <f>'BASE DE DATOS'!CP20</f>
        <v>0</v>
      </c>
      <c r="GF20" s="731">
        <f>'BASE DE DATOS'!CQ20</f>
        <v>82</v>
      </c>
      <c r="GG20" s="731">
        <f>'BASE DE DATOS'!CR20</f>
        <v>78</v>
      </c>
      <c r="GH20" s="731">
        <f>'BASE DE DATOS'!CS20</f>
        <v>0</v>
      </c>
      <c r="GI20" s="731">
        <f>'BASE DE DATOS'!CT20</f>
        <v>87</v>
      </c>
      <c r="GJ20" s="731">
        <f>'BASE DE DATOS'!CU20</f>
        <v>82</v>
      </c>
      <c r="GM20" s="741"/>
      <c r="GN20" s="741"/>
      <c r="GO20" s="741"/>
      <c r="GP20" s="741"/>
      <c r="GQ20" s="741"/>
      <c r="GR20" s="741"/>
      <c r="GS20" s="741"/>
      <c r="GT20" s="741"/>
      <c r="GU20" s="741"/>
      <c r="GV20" s="741"/>
      <c r="GW20" s="741"/>
      <c r="GX20" s="741"/>
      <c r="GY20" s="741"/>
      <c r="HH20" s="734"/>
      <c r="HI20" s="734"/>
      <c r="HJ20" s="734"/>
      <c r="HK20" s="734"/>
      <c r="HL20" s="734"/>
      <c r="HM20" s="734"/>
      <c r="HN20" s="734"/>
      <c r="HO20" s="734"/>
      <c r="HP20" s="734"/>
    </row>
    <row r="21" spans="2:224" ht="16">
      <c r="B21" s="734" t="str">
        <f>'BASE DE DATOS'!B21</f>
        <v>BAP</v>
      </c>
      <c r="C21" s="734" t="str">
        <f>'BASE DE DATOS'!C21</f>
        <v>BOLÍVAR</v>
      </c>
      <c r="D21" s="734">
        <f>'BASE DE DATOS'!D21</f>
        <v>36.25</v>
      </c>
      <c r="E21" s="734">
        <f>'BASE DE DATOS'!E21</f>
        <v>61.1</v>
      </c>
      <c r="F21" s="734">
        <f>'BASE DE DATOS'!F21</f>
        <v>93</v>
      </c>
      <c r="G21" s="734" t="str">
        <f>'BASE DE DATOS'!G21</f>
        <v>IIIA</v>
      </c>
      <c r="H21" s="734">
        <f>'BASE DE DATOS'!H21</f>
        <v>-1.7</v>
      </c>
      <c r="I21" s="734">
        <f>'BASE DE DATOS'!I21</f>
        <v>9.5</v>
      </c>
      <c r="J21" s="734">
        <f>'BASE DE DATOS'!J21</f>
        <v>22.4</v>
      </c>
      <c r="K21" s="734">
        <f>'BASE DE DATOS'!K21</f>
        <v>33.299999999999997</v>
      </c>
      <c r="L21" s="734">
        <f>'BASE DE DATOS'!L21</f>
        <v>74</v>
      </c>
      <c r="M21" s="734">
        <f>'BASE DE DATOS'!M21</f>
        <v>83</v>
      </c>
      <c r="N21" s="734">
        <f>'BASE DE DATOS'!N21</f>
        <v>74</v>
      </c>
      <c r="O21" s="734">
        <f>'BASE DE DATOS'!O21</f>
        <v>41</v>
      </c>
      <c r="P21" s="734">
        <f>'BASE DE DATOS'!P21</f>
        <v>95</v>
      </c>
      <c r="Q21" s="734">
        <f>'BASE DE DATOS'!Q21</f>
        <v>3</v>
      </c>
      <c r="R21" s="734">
        <f>'BASE DE DATOS'!R21</f>
        <v>21.6</v>
      </c>
      <c r="S21" s="734">
        <f>'BASE DE DATOS'!S21</f>
        <v>0.55000000000000004</v>
      </c>
      <c r="T21" s="734">
        <f>'BASE DE DATOS'!T21</f>
        <v>36.9</v>
      </c>
      <c r="U21" s="734">
        <f>'BASE DE DATOS'!U21</f>
        <v>3.4</v>
      </c>
      <c r="V21" s="734">
        <f>'BASE DE DATOS'!V21</f>
        <v>185</v>
      </c>
      <c r="W21" s="734">
        <f>'BASE DE DATOS'!W21</f>
        <v>41</v>
      </c>
      <c r="X21" s="734">
        <f>'BASE DE DATOS'!X21</f>
        <v>1.4E-2</v>
      </c>
      <c r="Y21" s="734">
        <f>'BASE DE DATOS'!Y21</f>
        <v>1.9E-2</v>
      </c>
      <c r="Z21" s="734">
        <f>'BASE DE DATOS'!Z21</f>
        <v>130</v>
      </c>
      <c r="AA21" s="734">
        <f>'BASE DE DATOS'!AA21</f>
        <v>1.3</v>
      </c>
      <c r="AB21" s="734">
        <f>'BASE DE DATOS'!AB21</f>
        <v>35</v>
      </c>
      <c r="AD21" s="734" t="str">
        <f>'BASE DE DATOS'!AD21</f>
        <v>BOLÍVAR</v>
      </c>
      <c r="AE21" s="734">
        <f>'BASE DE DATOS'!AE21</f>
        <v>22.9</v>
      </c>
      <c r="AF21" s="734">
        <f>'BASE DE DATOS'!AF21</f>
        <v>21.7</v>
      </c>
      <c r="AG21" s="734">
        <f>'BASE DE DATOS'!AG21</f>
        <v>19.399999999999999</v>
      </c>
      <c r="AH21" s="734">
        <f>'BASE DE DATOS'!AH21</f>
        <v>14.6</v>
      </c>
      <c r="AI21" s="734">
        <f>'BASE DE DATOS'!AI21</f>
        <v>11.6</v>
      </c>
      <c r="AJ21" s="734">
        <f>'BASE DE DATOS'!AJ21</f>
        <v>8.5</v>
      </c>
      <c r="AK21" s="734">
        <f>'BASE DE DATOS'!AK21</f>
        <v>8.3000000000000007</v>
      </c>
      <c r="AL21" s="734">
        <f>'BASE DE DATOS'!AL21</f>
        <v>9.6</v>
      </c>
      <c r="AM21" s="734">
        <f>'BASE DE DATOS'!AM21</f>
        <v>11.7</v>
      </c>
      <c r="AN21" s="734">
        <f>'BASE DE DATOS'!AN21</f>
        <v>14.7</v>
      </c>
      <c r="AO21" s="734">
        <f>'BASE DE DATOS'!AO21</f>
        <v>18.399999999999999</v>
      </c>
      <c r="AP21" s="734">
        <f>'BASE DE DATOS'!AP21</f>
        <v>20.9</v>
      </c>
      <c r="AR21" s="734" t="str">
        <f>'BASE DE DATOS'!AR21</f>
        <v>BAP</v>
      </c>
      <c r="AS21" s="734" t="str">
        <f>'BASE DE DATOS'!AS21</f>
        <v>BOLÍVAR</v>
      </c>
      <c r="AT21" s="734">
        <f>'BASE DE DATOS'!AT21</f>
        <v>6.5</v>
      </c>
      <c r="AU21" s="734">
        <f>'BASE DE DATOS'!AU21</f>
        <v>6</v>
      </c>
      <c r="AV21" s="734">
        <f>'BASE DE DATOS'!AV21</f>
        <v>4.5</v>
      </c>
      <c r="AW21" s="734">
        <f>'BASE DE DATOS'!AW21</f>
        <v>3</v>
      </c>
      <c r="AX21" s="734">
        <f>'BASE DE DATOS'!AX21</f>
        <v>2</v>
      </c>
      <c r="AY21" s="734">
        <f>'BASE DE DATOS'!AY21</f>
        <v>1.5</v>
      </c>
      <c r="AZ21" s="734">
        <f>'BASE DE DATOS'!AZ21</f>
        <v>2</v>
      </c>
      <c r="BA21" s="734">
        <f>'BASE DE DATOS'!BA21</f>
        <v>2.5</v>
      </c>
      <c r="BB21" s="734">
        <f>'BASE DE DATOS'!BB21</f>
        <v>4</v>
      </c>
      <c r="BC21" s="734">
        <f>'BASE DE DATOS'!BC21</f>
        <v>5</v>
      </c>
      <c r="BD21" s="734">
        <f>'BASE DE DATOS'!BD21</f>
        <v>6</v>
      </c>
      <c r="BE21" s="734">
        <f>'BASE DE DATOS'!BE21</f>
        <v>6.5</v>
      </c>
      <c r="BG21" s="1207"/>
      <c r="BH21" s="1207"/>
      <c r="BS21" s="745"/>
      <c r="BT21" s="753"/>
      <c r="BX21" s="745" t="s">
        <v>1893</v>
      </c>
      <c r="BY21" s="734">
        <v>0.6</v>
      </c>
      <c r="BZ21" s="734">
        <v>0</v>
      </c>
      <c r="CA21" s="734">
        <v>0</v>
      </c>
      <c r="CB21" s="734"/>
      <c r="CC21" s="734"/>
      <c r="CD21" s="734"/>
      <c r="CE21" s="734">
        <v>1.6E-2</v>
      </c>
      <c r="DA21" s="734"/>
      <c r="DB21" s="734"/>
      <c r="DO21" s="733" t="str">
        <f>'BASE DE DATOS'!BG21</f>
        <v>BAP</v>
      </c>
      <c r="DP21" s="733" t="str">
        <f>'BASE DE DATOS'!BH21</f>
        <v>BOLÍVAR</v>
      </c>
      <c r="DQ21" s="733">
        <f>'BASE DE DATOS'!BI21</f>
        <v>104</v>
      </c>
      <c r="DR21" s="733">
        <f>'BASE DE DATOS'!BJ21</f>
        <v>98</v>
      </c>
      <c r="DS21" s="733">
        <f>'BASE DE DATOS'!BK21</f>
        <v>115</v>
      </c>
      <c r="DT21" s="733">
        <f>'BASE DE DATOS'!BL21</f>
        <v>97</v>
      </c>
      <c r="DU21" s="733">
        <f>'BASE DE DATOS'!BM21</f>
        <v>80</v>
      </c>
      <c r="DV21" s="733">
        <f>'BASE DE DATOS'!BN21</f>
        <v>61</v>
      </c>
      <c r="DW21" s="733">
        <f>'BASE DE DATOS'!BO21</f>
        <v>59</v>
      </c>
      <c r="DX21" s="733">
        <f>'BASE DE DATOS'!BP21</f>
        <v>63</v>
      </c>
      <c r="DY21" s="733">
        <f>'BASE DE DATOS'!BQ21</f>
        <v>68</v>
      </c>
      <c r="DZ21" s="733">
        <f>'BASE DE DATOS'!BR21</f>
        <v>104</v>
      </c>
      <c r="EA21" s="733">
        <f>'BASE DE DATOS'!BS21</f>
        <v>98</v>
      </c>
      <c r="EB21" s="733">
        <f>'BASE DE DATOS'!BT21</f>
        <v>93</v>
      </c>
      <c r="ER21" s="538">
        <v>1</v>
      </c>
      <c r="ES21" s="538">
        <v>2</v>
      </c>
      <c r="ET21" s="538">
        <v>3</v>
      </c>
      <c r="EU21" s="538">
        <v>4</v>
      </c>
      <c r="EV21" s="538">
        <v>5</v>
      </c>
      <c r="EW21" s="538">
        <v>6</v>
      </c>
      <c r="EX21" s="538">
        <v>7</v>
      </c>
      <c r="EY21" s="538">
        <v>8</v>
      </c>
      <c r="EZ21" s="538">
        <v>9</v>
      </c>
      <c r="FA21" s="538">
        <v>10</v>
      </c>
      <c r="FB21" s="538">
        <v>11</v>
      </c>
      <c r="FC21" s="538">
        <v>12</v>
      </c>
      <c r="FD21" s="538">
        <v>13</v>
      </c>
      <c r="FK21" s="731" t="str">
        <f>'BASE DE DATOS'!BV21</f>
        <v>SAN LUIS</v>
      </c>
      <c r="FL21" s="731">
        <f>'BASE DE DATOS'!BW21</f>
        <v>33.270000000000003</v>
      </c>
      <c r="FM21" s="731">
        <f>'BASE DE DATOS'!BX21</f>
        <v>12</v>
      </c>
      <c r="FN21" s="731">
        <f>'BASE DE DATOS'!BY21</f>
        <v>53</v>
      </c>
      <c r="FO21" s="731">
        <f>'BASE DE DATOS'!BZ21</f>
        <v>12</v>
      </c>
      <c r="FP21" s="731">
        <f>'BASE DE DATOS'!CA21</f>
        <v>5</v>
      </c>
      <c r="FQ21" s="731">
        <f>'BASE DE DATOS'!CB21</f>
        <v>61</v>
      </c>
      <c r="FR21" s="731">
        <f>'BASE DE DATOS'!CC21</f>
        <v>53</v>
      </c>
      <c r="FS21" s="731">
        <f>'BASE DE DATOS'!CD21</f>
        <v>5</v>
      </c>
      <c r="FT21" s="731">
        <f>'BASE DE DATOS'!CE21</f>
        <v>-1</v>
      </c>
      <c r="FU21" s="731">
        <f>'BASE DE DATOS'!CF21</f>
        <v>70</v>
      </c>
      <c r="FV21" s="731">
        <f>'BASE DE DATOS'!CG21</f>
        <v>61</v>
      </c>
      <c r="FW21" s="731">
        <f>'BASE DE DATOS'!CH21</f>
        <v>0</v>
      </c>
      <c r="FX21" s="731">
        <f>'BASE DE DATOS'!CI21</f>
        <v>0</v>
      </c>
      <c r="FY21" s="731">
        <f>'BASE DE DATOS'!CJ21</f>
        <v>75</v>
      </c>
      <c r="FZ21" s="731">
        <f>'BASE DE DATOS'!CK21</f>
        <v>70</v>
      </c>
      <c r="GA21" s="731">
        <f>'BASE DE DATOS'!CL21</f>
        <v>0</v>
      </c>
      <c r="GB21" s="731">
        <f>'BASE DE DATOS'!CM21</f>
        <v>0</v>
      </c>
      <c r="GC21" s="731">
        <f>'BASE DE DATOS'!CN21</f>
        <v>80</v>
      </c>
      <c r="GD21" s="731">
        <f>'BASE DE DATOS'!CO21</f>
        <v>75</v>
      </c>
      <c r="GE21" s="731">
        <f>'BASE DE DATOS'!CP21</f>
        <v>0</v>
      </c>
      <c r="GF21" s="731">
        <f>'BASE DE DATOS'!CQ21</f>
        <v>85</v>
      </c>
      <c r="GG21" s="731">
        <f>'BASE DE DATOS'!CR21</f>
        <v>80</v>
      </c>
      <c r="GH21" s="731">
        <f>'BASE DE DATOS'!CS21</f>
        <v>0</v>
      </c>
      <c r="GI21" s="731">
        <f>'BASE DE DATOS'!CT21</f>
        <v>90</v>
      </c>
      <c r="GJ21" s="731">
        <f>'BASE DE DATOS'!CU21</f>
        <v>85</v>
      </c>
      <c r="GM21" s="741"/>
      <c r="GN21" s="741"/>
      <c r="GO21" s="1182" t="s">
        <v>1983</v>
      </c>
      <c r="GP21" s="1182"/>
      <c r="GQ21" s="1182"/>
      <c r="GR21" s="1182"/>
      <c r="GS21" s="1182"/>
      <c r="GT21" s="1182"/>
      <c r="GU21" s="1182"/>
      <c r="GV21" s="741"/>
      <c r="GW21" s="741"/>
      <c r="GX21" s="741"/>
      <c r="GY21" s="741"/>
      <c r="HH21" s="734"/>
      <c r="HI21" s="734"/>
      <c r="HJ21" s="734"/>
      <c r="HK21" s="734"/>
      <c r="HL21" s="734"/>
      <c r="HM21" s="734"/>
      <c r="HN21" s="734"/>
      <c r="HO21" s="734"/>
      <c r="HP21" s="734"/>
    </row>
    <row r="22" spans="2:224" ht="15" customHeight="1">
      <c r="B22" s="734" t="str">
        <f>'BASE DE DATOS'!B22</f>
        <v>BAP</v>
      </c>
      <c r="C22" s="734" t="str">
        <f>'BASE DE DATOS'!C22</f>
        <v>BORDENAVE</v>
      </c>
      <c r="D22" s="734">
        <f>'BASE DE DATOS'!D22</f>
        <v>37.85</v>
      </c>
      <c r="E22" s="734">
        <f>'BASE DE DATOS'!E22</f>
        <v>63.02</v>
      </c>
      <c r="F22" s="734">
        <f>'BASE DE DATOS'!F22</f>
        <v>212</v>
      </c>
      <c r="G22" s="734" t="str">
        <f>'BASE DE DATOS'!G22</f>
        <v>IVC</v>
      </c>
      <c r="H22" s="734">
        <f>'BASE DE DATOS'!H22</f>
        <v>-3.5</v>
      </c>
      <c r="I22" s="734">
        <f>'BASE DE DATOS'!I22</f>
        <v>7.5</v>
      </c>
      <c r="J22" s="734">
        <f>'BASE DE DATOS'!J22</f>
        <v>21.3</v>
      </c>
      <c r="K22" s="734">
        <f>'BASE DE DATOS'!K22</f>
        <v>32.700000000000003</v>
      </c>
      <c r="L22" s="734">
        <f>'BASE DE DATOS'!L22</f>
        <v>54</v>
      </c>
      <c r="M22" s="734">
        <f>'BASE DE DATOS'!M22</f>
        <v>74</v>
      </c>
      <c r="N22" s="734">
        <f>'BASE DE DATOS'!N22</f>
        <v>54</v>
      </c>
      <c r="O22" s="734">
        <f>'BASE DE DATOS'!O22</f>
        <v>22</v>
      </c>
      <c r="P22" s="734">
        <f>'BASE DE DATOS'!P22</f>
        <v>61</v>
      </c>
      <c r="Q22" s="734">
        <f>'BASE DE DATOS'!Q22</f>
        <v>4</v>
      </c>
      <c r="R22" s="734">
        <f>'BASE DE DATOS'!R22</f>
        <v>21</v>
      </c>
      <c r="S22" s="734">
        <f>'BASE DE DATOS'!S22</f>
        <v>0.55000000000000004</v>
      </c>
      <c r="T22" s="734">
        <f>'BASE DE DATOS'!T22</f>
        <v>36.9</v>
      </c>
      <c r="U22" s="734">
        <f>'BASE DE DATOS'!U22</f>
        <v>3.4</v>
      </c>
      <c r="V22" s="734">
        <f>'BASE DE DATOS'!V22</f>
        <v>185</v>
      </c>
      <c r="W22" s="734">
        <f>'BASE DE DATOS'!W22</f>
        <v>41</v>
      </c>
      <c r="X22" s="734">
        <f>'BASE DE DATOS'!X22</f>
        <v>1.4E-2</v>
      </c>
      <c r="Y22" s="734">
        <f>'BASE DE DATOS'!Y22</f>
        <v>1.9E-2</v>
      </c>
      <c r="Z22" s="734">
        <f>'BASE DE DATOS'!Z22</f>
        <v>130</v>
      </c>
      <c r="AA22" s="734">
        <f>'BASE DE DATOS'!AA22</f>
        <v>1.3</v>
      </c>
      <c r="AB22" s="734">
        <f>'BASE DE DATOS'!AB22</f>
        <v>35</v>
      </c>
      <c r="AD22" s="734" t="str">
        <f>'BASE DE DATOS'!AD22</f>
        <v>BORDENAVE</v>
      </c>
      <c r="AE22" s="734">
        <f>'BASE DE DATOS'!AE22</f>
        <v>22.9</v>
      </c>
      <c r="AF22" s="734">
        <f>'BASE DE DATOS'!AF22</f>
        <v>22</v>
      </c>
      <c r="AG22" s="734">
        <f>'BASE DE DATOS'!AG22</f>
        <v>18.8</v>
      </c>
      <c r="AH22" s="734">
        <f>'BASE DE DATOS'!AH22</f>
        <v>13.8</v>
      </c>
      <c r="AI22" s="734">
        <f>'BASE DE DATOS'!AI22</f>
        <v>10.199999999999999</v>
      </c>
      <c r="AJ22" s="734">
        <f>'BASE DE DATOS'!AJ22</f>
        <v>7.3</v>
      </c>
      <c r="AK22" s="734">
        <f>'BASE DE DATOS'!AK22</f>
        <v>6.8</v>
      </c>
      <c r="AL22" s="734">
        <f>'BASE DE DATOS'!AL22</f>
        <v>8.5</v>
      </c>
      <c r="AM22" s="734">
        <f>'BASE DE DATOS'!AM22</f>
        <v>10.8</v>
      </c>
      <c r="AN22" s="734">
        <f>'BASE DE DATOS'!AN22</f>
        <v>13.9</v>
      </c>
      <c r="AO22" s="734">
        <f>'BASE DE DATOS'!AO22</f>
        <v>18</v>
      </c>
      <c r="AP22" s="734">
        <f>'BASE DE DATOS'!AP22</f>
        <v>20.9</v>
      </c>
      <c r="AR22" s="734" t="str">
        <f>'BASE DE DATOS'!AR22</f>
        <v>BAP</v>
      </c>
      <c r="AS22" s="734" t="str">
        <f>'BASE DE DATOS'!AS22</f>
        <v>BORDENAVE</v>
      </c>
      <c r="AT22" s="734">
        <f>'BASE DE DATOS'!AT22</f>
        <v>6.5</v>
      </c>
      <c r="AU22" s="734">
        <f>'BASE DE DATOS'!AU22</f>
        <v>6</v>
      </c>
      <c r="AV22" s="734">
        <f>'BASE DE DATOS'!AV22</f>
        <v>4.5</v>
      </c>
      <c r="AW22" s="734">
        <f>'BASE DE DATOS'!AW22</f>
        <v>3</v>
      </c>
      <c r="AX22" s="734">
        <f>'BASE DE DATOS'!AX22</f>
        <v>2</v>
      </c>
      <c r="AY22" s="734">
        <f>'BASE DE DATOS'!AY22</f>
        <v>1.5</v>
      </c>
      <c r="AZ22" s="734">
        <f>'BASE DE DATOS'!AZ22</f>
        <v>1.5</v>
      </c>
      <c r="BA22" s="734">
        <f>'BASE DE DATOS'!BA22</f>
        <v>2.5</v>
      </c>
      <c r="BB22" s="734">
        <f>'BASE DE DATOS'!BB22</f>
        <v>3.5</v>
      </c>
      <c r="BC22" s="734">
        <f>'BASE DE DATOS'!BC22</f>
        <v>5</v>
      </c>
      <c r="BD22" s="734">
        <f>'BASE DE DATOS'!BD22</f>
        <v>6</v>
      </c>
      <c r="BE22" s="734">
        <f>'BASE DE DATOS'!BE22</f>
        <v>7</v>
      </c>
      <c r="BG22" s="734" t="s">
        <v>98</v>
      </c>
      <c r="BH22" s="538" t="s">
        <v>1348</v>
      </c>
      <c r="BS22" s="745"/>
      <c r="BT22" s="753"/>
      <c r="BX22" s="734" t="s">
        <v>2039</v>
      </c>
      <c r="BY22" s="734">
        <v>0</v>
      </c>
      <c r="BZ22" s="734">
        <v>0</v>
      </c>
      <c r="CA22" s="734">
        <v>0</v>
      </c>
      <c r="CB22" s="734"/>
      <c r="CC22" s="734"/>
      <c r="CD22" s="734"/>
      <c r="CE22" s="734">
        <v>0</v>
      </c>
      <c r="DA22" s="734"/>
      <c r="DB22" s="734"/>
      <c r="DO22" s="733" t="str">
        <f>'BASE DE DATOS'!BG22</f>
        <v>BAP</v>
      </c>
      <c r="DP22" s="733" t="str">
        <f>'BASE DE DATOS'!BH22</f>
        <v>BORDENAVE</v>
      </c>
      <c r="DQ22" s="733">
        <f>'BASE DE DATOS'!BI22</f>
        <v>104</v>
      </c>
      <c r="DR22" s="733">
        <f>'BASE DE DATOS'!BJ22</f>
        <v>98</v>
      </c>
      <c r="DS22" s="733">
        <f>'BASE DE DATOS'!BK22</f>
        <v>115</v>
      </c>
      <c r="DT22" s="733">
        <f>'BASE DE DATOS'!BL22</f>
        <v>97</v>
      </c>
      <c r="DU22" s="733">
        <f>'BASE DE DATOS'!BM22</f>
        <v>80</v>
      </c>
      <c r="DV22" s="733">
        <f>'BASE DE DATOS'!BN22</f>
        <v>61</v>
      </c>
      <c r="DW22" s="733">
        <f>'BASE DE DATOS'!BO22</f>
        <v>59</v>
      </c>
      <c r="DX22" s="733">
        <f>'BASE DE DATOS'!BP22</f>
        <v>63</v>
      </c>
      <c r="DY22" s="733">
        <f>'BASE DE DATOS'!BQ22</f>
        <v>68</v>
      </c>
      <c r="DZ22" s="733">
        <f>'BASE DE DATOS'!BR22</f>
        <v>104</v>
      </c>
      <c r="EA22" s="733">
        <f>'BASE DE DATOS'!BS22</f>
        <v>98</v>
      </c>
      <c r="EB22" s="733">
        <f>'BASE DE DATOS'!BT22</f>
        <v>93</v>
      </c>
      <c r="FK22" s="731" t="str">
        <f>'BASE DE DATOS'!BV22</f>
        <v>BUENOS AIRES</v>
      </c>
      <c r="FL22" s="731">
        <f>'BASE DE DATOS'!BW22</f>
        <v>34.58</v>
      </c>
      <c r="FM22" s="731">
        <f>'BASE DE DATOS'!BX22</f>
        <v>15</v>
      </c>
      <c r="FN22" s="731">
        <f>'BASE DE DATOS'!BY22</f>
        <v>50</v>
      </c>
      <c r="FO22" s="731">
        <f>'BASE DE DATOS'!BZ22</f>
        <v>15</v>
      </c>
      <c r="FP22" s="731">
        <f>'BASE DE DATOS'!CA22</f>
        <v>10</v>
      </c>
      <c r="FQ22" s="731">
        <f>'BASE DE DATOS'!CB22</f>
        <v>60</v>
      </c>
      <c r="FR22" s="731">
        <f>'BASE DE DATOS'!CC22</f>
        <v>50</v>
      </c>
      <c r="FS22" s="731">
        <f>'BASE DE DATOS'!CD22</f>
        <v>10</v>
      </c>
      <c r="FT22" s="731">
        <f>'BASE DE DATOS'!CE22</f>
        <v>0</v>
      </c>
      <c r="FU22" s="731">
        <f>'BASE DE DATOS'!CF22</f>
        <v>65</v>
      </c>
      <c r="FV22" s="731">
        <f>'BASE DE DATOS'!CG22</f>
        <v>60</v>
      </c>
      <c r="FW22" s="731">
        <f>'BASE DE DATOS'!CH22</f>
        <v>0</v>
      </c>
      <c r="FX22" s="731">
        <f>'BASE DE DATOS'!CI22</f>
        <v>0</v>
      </c>
      <c r="FY22" s="731">
        <f>'BASE DE DATOS'!CJ22</f>
        <v>70</v>
      </c>
      <c r="FZ22" s="731">
        <f>'BASE DE DATOS'!CK22</f>
        <v>65</v>
      </c>
      <c r="GA22" s="731">
        <f>'BASE DE DATOS'!CL22</f>
        <v>0</v>
      </c>
      <c r="GB22" s="731">
        <f>'BASE DE DATOS'!CM22</f>
        <v>0</v>
      </c>
      <c r="GC22" s="731">
        <f>'BASE DE DATOS'!CN22</f>
        <v>75</v>
      </c>
      <c r="GD22" s="731">
        <f>'BASE DE DATOS'!CO22</f>
        <v>70</v>
      </c>
      <c r="GE22" s="731">
        <f>'BASE DE DATOS'!CP22</f>
        <v>0</v>
      </c>
      <c r="GF22" s="731">
        <f>'BASE DE DATOS'!CQ22</f>
        <v>80</v>
      </c>
      <c r="GG22" s="731">
        <f>'BASE DE DATOS'!CR22</f>
        <v>75</v>
      </c>
      <c r="GH22" s="731">
        <f>'BASE DE DATOS'!CS22</f>
        <v>0</v>
      </c>
      <c r="GI22" s="731">
        <f>'BASE DE DATOS'!CT22</f>
        <v>90</v>
      </c>
      <c r="GJ22" s="731">
        <f>'BASE DE DATOS'!CU22</f>
        <v>80</v>
      </c>
      <c r="GM22" s="741"/>
      <c r="GN22" s="741"/>
      <c r="GO22" s="1182" t="s">
        <v>1971</v>
      </c>
      <c r="GP22" s="727" t="s">
        <v>1979</v>
      </c>
      <c r="GQ22" s="727">
        <f>ENERGÍA!AV18</f>
        <v>0</v>
      </c>
      <c r="GR22" s="1182">
        <f>IF(AVERAGE(GQ22:GQ25)=1,1,0)</f>
        <v>0</v>
      </c>
      <c r="GS22" s="754" t="s">
        <v>1983</v>
      </c>
      <c r="GT22" s="1182">
        <f>IF(AVERAGE(GQ22:GQ25)=1,1,0)</f>
        <v>0</v>
      </c>
      <c r="GU22" s="1182">
        <f>AVERAGE(GT22:GT28)</f>
        <v>0</v>
      </c>
      <c r="GV22" s="741"/>
      <c r="GW22" s="741"/>
      <c r="GX22" s="741"/>
      <c r="GY22" s="741"/>
      <c r="HH22" s="734"/>
      <c r="HI22" s="734"/>
      <c r="HJ22" s="734"/>
      <c r="HK22" s="734"/>
      <c r="HL22" s="734"/>
      <c r="HM22" s="734"/>
      <c r="HN22" s="734"/>
      <c r="HO22" s="734"/>
      <c r="HP22" s="734"/>
    </row>
    <row r="23" spans="2:224" ht="16">
      <c r="B23" s="734" t="str">
        <f>'BASE DE DATOS'!B23</f>
        <v>BAP</v>
      </c>
      <c r="C23" s="734" t="str">
        <f>'BASE DE DATOS'!C23</f>
        <v>COMANDANTE ESPORA</v>
      </c>
      <c r="D23" s="734">
        <f>'BASE DE DATOS'!D23</f>
        <v>38.729999999999997</v>
      </c>
      <c r="E23" s="734">
        <f>'BASE DE DATOS'!E23</f>
        <v>62.17</v>
      </c>
      <c r="F23" s="734">
        <f>'BASE DE DATOS'!F23</f>
        <v>74</v>
      </c>
      <c r="G23" s="734" t="str">
        <f>'BASE DE DATOS'!G23</f>
        <v>IVC</v>
      </c>
      <c r="H23" s="734">
        <f>'BASE DE DATOS'!H23</f>
        <v>-2</v>
      </c>
      <c r="I23" s="734">
        <f>'BASE DE DATOS'!I23</f>
        <v>8.1999999999999993</v>
      </c>
      <c r="J23" s="734">
        <f>'BASE DE DATOS'!J23</f>
        <v>21.8</v>
      </c>
      <c r="K23" s="734">
        <f>'BASE DE DATOS'!K23</f>
        <v>33.1</v>
      </c>
      <c r="L23" s="734">
        <f>'BASE DE DATOS'!L23</f>
        <v>55</v>
      </c>
      <c r="M23" s="734">
        <f>'BASE DE DATOS'!M23</f>
        <v>74</v>
      </c>
      <c r="N23" s="734">
        <f>'BASE DE DATOS'!N23</f>
        <v>55</v>
      </c>
      <c r="O23" s="734">
        <f>'BASE DE DATOS'!O23</f>
        <v>31</v>
      </c>
      <c r="P23" s="734">
        <f>'BASE DE DATOS'!P23</f>
        <v>62</v>
      </c>
      <c r="Q23" s="734">
        <f>'BASE DE DATOS'!Q23</f>
        <v>4</v>
      </c>
      <c r="R23" s="734">
        <f>'BASE DE DATOS'!R23</f>
        <v>21.5</v>
      </c>
      <c r="S23" s="734">
        <f>'BASE DE DATOS'!S23</f>
        <v>0.53</v>
      </c>
      <c r="T23" s="734">
        <f>'BASE DE DATOS'!T23</f>
        <v>36.9</v>
      </c>
      <c r="U23" s="734">
        <f>'BASE DE DATOS'!U23</f>
        <v>3.4</v>
      </c>
      <c r="V23" s="734">
        <f>'BASE DE DATOS'!V23</f>
        <v>185</v>
      </c>
      <c r="W23" s="734">
        <f>'BASE DE DATOS'!W23</f>
        <v>41</v>
      </c>
      <c r="X23" s="734">
        <f>'BASE DE DATOS'!X23</f>
        <v>1.4E-2</v>
      </c>
      <c r="Y23" s="734">
        <f>'BASE DE DATOS'!Y23</f>
        <v>1.9E-2</v>
      </c>
      <c r="Z23" s="734">
        <f>'BASE DE DATOS'!Z23</f>
        <v>130</v>
      </c>
      <c r="AA23" s="734">
        <f>'BASE DE DATOS'!AA23</f>
        <v>1.3</v>
      </c>
      <c r="AB23" s="734">
        <f>'BASE DE DATOS'!AB23</f>
        <v>35</v>
      </c>
      <c r="AD23" s="734" t="str">
        <f>'BASE DE DATOS'!AD23</f>
        <v>COMANDANTE ESPORA</v>
      </c>
      <c r="AE23" s="734">
        <f>'BASE DE DATOS'!AE23</f>
        <v>23.5</v>
      </c>
      <c r="AF23" s="734">
        <f>'BASE DE DATOS'!AF23</f>
        <v>22</v>
      </c>
      <c r="AG23" s="734">
        <f>'BASE DE DATOS'!AG23</f>
        <v>21</v>
      </c>
      <c r="AH23" s="734">
        <f>'BASE DE DATOS'!AH23</f>
        <v>16</v>
      </c>
      <c r="AI23" s="734">
        <f>'BASE DE DATOS'!AI23</f>
        <v>12</v>
      </c>
      <c r="AJ23" s="734">
        <f>'BASE DE DATOS'!AJ23</f>
        <v>8.5</v>
      </c>
      <c r="AK23" s="734">
        <f>'BASE DE DATOS'!AK23</f>
        <v>8</v>
      </c>
      <c r="AL23" s="734">
        <f>'BASE DE DATOS'!AL23</f>
        <v>10.5</v>
      </c>
      <c r="AM23" s="734">
        <f>'BASE DE DATOS'!AM23</f>
        <v>13</v>
      </c>
      <c r="AN23" s="734">
        <f>'BASE DE DATOS'!AN23</f>
        <v>16</v>
      </c>
      <c r="AO23" s="734">
        <f>'BASE DE DATOS'!AO23</f>
        <v>18.5</v>
      </c>
      <c r="AP23" s="734">
        <f>'BASE DE DATOS'!AP23</f>
        <v>23</v>
      </c>
      <c r="AR23" s="734" t="str">
        <f>'BASE DE DATOS'!AR23</f>
        <v>BAP</v>
      </c>
      <c r="AS23" s="734" t="str">
        <f>'BASE DE DATOS'!AS23</f>
        <v>COMANDANTE ESPORA</v>
      </c>
      <c r="AT23" s="734">
        <f>'BASE DE DATOS'!AT23</f>
        <v>6.5</v>
      </c>
      <c r="AU23" s="734">
        <f>'BASE DE DATOS'!AU23</f>
        <v>6</v>
      </c>
      <c r="AV23" s="734">
        <f>'BASE DE DATOS'!AV23</f>
        <v>4.5</v>
      </c>
      <c r="AW23" s="734">
        <f>'BASE DE DATOS'!AW23</f>
        <v>3</v>
      </c>
      <c r="AX23" s="734">
        <f>'BASE DE DATOS'!AX23</f>
        <v>2.5</v>
      </c>
      <c r="AY23" s="734">
        <f>'BASE DE DATOS'!AY23</f>
        <v>1.5</v>
      </c>
      <c r="AZ23" s="734">
        <f>'BASE DE DATOS'!AZ23</f>
        <v>2</v>
      </c>
      <c r="BA23" s="734">
        <f>'BASE DE DATOS'!BA23</f>
        <v>3</v>
      </c>
      <c r="BB23" s="734">
        <f>'BASE DE DATOS'!BB23</f>
        <v>4</v>
      </c>
      <c r="BC23" s="734">
        <f>'BASE DE DATOS'!BC23</f>
        <v>5</v>
      </c>
      <c r="BD23" s="734">
        <f>'BASE DE DATOS'!BD23</f>
        <v>6</v>
      </c>
      <c r="BE23" s="734">
        <f>'BASE DE DATOS'!BE23</f>
        <v>6.5</v>
      </c>
      <c r="BG23" s="734" t="s">
        <v>88</v>
      </c>
      <c r="BH23" s="538" t="s">
        <v>1348</v>
      </c>
      <c r="BS23" s="745"/>
      <c r="BT23" s="753"/>
      <c r="BX23" s="734"/>
      <c r="BY23" s="734"/>
      <c r="BZ23" s="734"/>
      <c r="CA23" s="734"/>
      <c r="CB23" s="734"/>
      <c r="CC23" s="734"/>
      <c r="CD23" s="734"/>
      <c r="CE23" s="734">
        <v>0</v>
      </c>
      <c r="DA23" s="734"/>
      <c r="DB23" s="734"/>
      <c r="DO23" s="733" t="str">
        <f>'BASE DE DATOS'!BG23</f>
        <v>BAP</v>
      </c>
      <c r="DP23" s="733" t="str">
        <f>'BASE DE DATOS'!BH23</f>
        <v>COMANDANTE ESPORA</v>
      </c>
      <c r="DQ23" s="733">
        <f>'BASE DE DATOS'!BI23</f>
        <v>104</v>
      </c>
      <c r="DR23" s="733">
        <f>'BASE DE DATOS'!BJ23</f>
        <v>98</v>
      </c>
      <c r="DS23" s="733">
        <f>'BASE DE DATOS'!BK23</f>
        <v>115</v>
      </c>
      <c r="DT23" s="733">
        <f>'BASE DE DATOS'!BL23</f>
        <v>97</v>
      </c>
      <c r="DU23" s="733">
        <f>'BASE DE DATOS'!BM23</f>
        <v>80</v>
      </c>
      <c r="DV23" s="733">
        <f>'BASE DE DATOS'!BN23</f>
        <v>61</v>
      </c>
      <c r="DW23" s="733">
        <f>'BASE DE DATOS'!BO23</f>
        <v>59</v>
      </c>
      <c r="DX23" s="733">
        <f>'BASE DE DATOS'!BP23</f>
        <v>63</v>
      </c>
      <c r="DY23" s="733">
        <f>'BASE DE DATOS'!BQ23</f>
        <v>68</v>
      </c>
      <c r="DZ23" s="733">
        <f>'BASE DE DATOS'!BR23</f>
        <v>104</v>
      </c>
      <c r="EA23" s="733">
        <f>'BASE DE DATOS'!BS23</f>
        <v>98</v>
      </c>
      <c r="EB23" s="733">
        <f>'BASE DE DATOS'!BT23</f>
        <v>93</v>
      </c>
      <c r="FK23" s="731" t="str">
        <f>'BASE DE DATOS'!BV23</f>
        <v>MENDOZA</v>
      </c>
      <c r="FL23" s="731">
        <f>'BASE DE DATOS'!BW23</f>
        <v>35.5</v>
      </c>
      <c r="FM23" s="731">
        <f>'BASE DE DATOS'!BX23</f>
        <v>12</v>
      </c>
      <c r="FN23" s="731">
        <f>'BASE DE DATOS'!BY23</f>
        <v>52</v>
      </c>
      <c r="FO23" s="731">
        <f>'BASE DE DATOS'!BZ23</f>
        <v>12</v>
      </c>
      <c r="FP23" s="731">
        <f>'BASE DE DATOS'!CA23</f>
        <v>3</v>
      </c>
      <c r="FQ23" s="731">
        <f>'BASE DE DATOS'!CB23</f>
        <v>61</v>
      </c>
      <c r="FR23" s="731">
        <f>'BASE DE DATOS'!CC23</f>
        <v>52</v>
      </c>
      <c r="FS23" s="731">
        <f>'BASE DE DATOS'!CD23</f>
        <v>0</v>
      </c>
      <c r="FT23" s="731">
        <f>'BASE DE DATOS'!CE23</f>
        <v>0</v>
      </c>
      <c r="FU23" s="731">
        <f>'BASE DE DATOS'!CF23</f>
        <v>69</v>
      </c>
      <c r="FV23" s="731">
        <f>'BASE DE DATOS'!CG23</f>
        <v>61</v>
      </c>
      <c r="FW23" s="731">
        <f>'BASE DE DATOS'!CH23</f>
        <v>0</v>
      </c>
      <c r="FX23" s="731">
        <f>'BASE DE DATOS'!CI23</f>
        <v>0</v>
      </c>
      <c r="FY23" s="731">
        <f>'BASE DE DATOS'!CJ23</f>
        <v>75</v>
      </c>
      <c r="FZ23" s="731">
        <f>'BASE DE DATOS'!CK23</f>
        <v>69</v>
      </c>
      <c r="GA23" s="731">
        <f>'BASE DE DATOS'!CL23</f>
        <v>0</v>
      </c>
      <c r="GB23" s="731">
        <f>'BASE DE DATOS'!CM23</f>
        <v>0</v>
      </c>
      <c r="GC23" s="731">
        <f>'BASE DE DATOS'!CN23</f>
        <v>79</v>
      </c>
      <c r="GD23" s="731">
        <f>'BASE DE DATOS'!CO23</f>
        <v>75</v>
      </c>
      <c r="GE23" s="731">
        <f>'BASE DE DATOS'!CP23</f>
        <v>0</v>
      </c>
      <c r="GF23" s="731">
        <f>'BASE DE DATOS'!CQ23</f>
        <v>83</v>
      </c>
      <c r="GG23" s="731">
        <f>'BASE DE DATOS'!CR23</f>
        <v>79</v>
      </c>
      <c r="GH23" s="731">
        <f>'BASE DE DATOS'!CS23</f>
        <v>0</v>
      </c>
      <c r="GI23" s="731">
        <f>'BASE DE DATOS'!CT23</f>
        <v>90</v>
      </c>
      <c r="GJ23" s="731">
        <f>'BASE DE DATOS'!CU23</f>
        <v>83</v>
      </c>
      <c r="GM23" s="741"/>
      <c r="GN23" s="741"/>
      <c r="GO23" s="1182"/>
      <c r="GP23" s="727" t="str">
        <f>ENERGÍA!AS31</f>
        <v>Iluminacion</v>
      </c>
      <c r="GQ23" s="727">
        <f>ENERGÍA!AU31</f>
        <v>1</v>
      </c>
      <c r="GR23" s="1182"/>
      <c r="GS23" s="754" t="s">
        <v>1983</v>
      </c>
      <c r="GT23" s="1182"/>
      <c r="GU23" s="1182"/>
      <c r="GV23" s="741"/>
      <c r="GW23" s="741"/>
      <c r="GX23" s="741"/>
      <c r="GY23" s="741"/>
      <c r="HH23" s="734"/>
      <c r="HI23" s="734"/>
      <c r="HJ23" s="734"/>
      <c r="HK23" s="734"/>
      <c r="HL23" s="734"/>
      <c r="HM23" s="734"/>
      <c r="HN23" s="734"/>
      <c r="HO23" s="734"/>
      <c r="HP23" s="734"/>
    </row>
    <row r="24" spans="2:224" ht="15" customHeight="1">
      <c r="B24" s="734" t="str">
        <f>'BASE DE DATOS'!B24</f>
        <v>BAP</v>
      </c>
      <c r="C24" s="734" t="str">
        <f>'BASE DE DATOS'!C24</f>
        <v>CORONEL SUAREZ</v>
      </c>
      <c r="D24" s="734">
        <f>'BASE DE DATOS'!D24</f>
        <v>37.5</v>
      </c>
      <c r="E24" s="734">
        <f>'BASE DE DATOS'!E24</f>
        <v>61.95</v>
      </c>
      <c r="F24" s="734">
        <f>'BASE DE DATOS'!F24</f>
        <v>234</v>
      </c>
      <c r="G24" s="734" t="str">
        <f>'BASE DE DATOS'!G24</f>
        <v>IVC</v>
      </c>
      <c r="H24" s="734">
        <f>'BASE DE DATOS'!H24</f>
        <v>-3.4</v>
      </c>
      <c r="I24" s="734">
        <f>'BASE DE DATOS'!I24</f>
        <v>7.2</v>
      </c>
      <c r="J24" s="734">
        <f>'BASE DE DATOS'!J24</f>
        <v>20.2</v>
      </c>
      <c r="K24" s="734">
        <f>'BASE DE DATOS'!K24</f>
        <v>31.9</v>
      </c>
      <c r="L24" s="734">
        <f>'BASE DE DATOS'!L24</f>
        <v>63</v>
      </c>
      <c r="M24" s="734">
        <f>'BASE DE DATOS'!M24</f>
        <v>79</v>
      </c>
      <c r="N24" s="734">
        <f>'BASE DE DATOS'!N24</f>
        <v>63</v>
      </c>
      <c r="O24" s="734">
        <f>'BASE DE DATOS'!O24</f>
        <v>35</v>
      </c>
      <c r="P24" s="734">
        <f>'BASE DE DATOS'!P24</f>
        <v>56</v>
      </c>
      <c r="Q24" s="734">
        <f>'BASE DE DATOS'!Q24</f>
        <v>4</v>
      </c>
      <c r="R24" s="734">
        <f>'BASE DE DATOS'!R24</f>
        <v>20.100000000000001</v>
      </c>
      <c r="S24" s="734">
        <f>'BASE DE DATOS'!S24</f>
        <v>0.55000000000000004</v>
      </c>
      <c r="T24" s="734">
        <f>'BASE DE DATOS'!T24</f>
        <v>36.9</v>
      </c>
      <c r="U24" s="734">
        <f>'BASE DE DATOS'!U24</f>
        <v>3.4</v>
      </c>
      <c r="V24" s="734">
        <f>'BASE DE DATOS'!V24</f>
        <v>185</v>
      </c>
      <c r="W24" s="734">
        <f>'BASE DE DATOS'!W24</f>
        <v>41</v>
      </c>
      <c r="X24" s="734">
        <f>'BASE DE DATOS'!X24</f>
        <v>1.4E-2</v>
      </c>
      <c r="Y24" s="734">
        <f>'BASE DE DATOS'!Y24</f>
        <v>1.9E-2</v>
      </c>
      <c r="Z24" s="734">
        <f>'BASE DE DATOS'!Z24</f>
        <v>130</v>
      </c>
      <c r="AA24" s="734">
        <f>'BASE DE DATOS'!AA24</f>
        <v>1.3</v>
      </c>
      <c r="AB24" s="734">
        <f>'BASE DE DATOS'!AB24</f>
        <v>35</v>
      </c>
      <c r="AD24" s="734" t="str">
        <f>'BASE DE DATOS'!AD24</f>
        <v>CORONEL SUAREZ</v>
      </c>
      <c r="AE24" s="734">
        <f>'BASE DE DATOS'!AE24</f>
        <v>22</v>
      </c>
      <c r="AF24" s="734">
        <f>'BASE DE DATOS'!AF24</f>
        <v>20.8</v>
      </c>
      <c r="AG24" s="734">
        <f>'BASE DE DATOS'!AG24</f>
        <v>18.3</v>
      </c>
      <c r="AH24" s="734">
        <f>'BASE DE DATOS'!AH24</f>
        <v>12.8</v>
      </c>
      <c r="AI24" s="734">
        <f>'BASE DE DATOS'!AI24</f>
        <v>10.199999999999999</v>
      </c>
      <c r="AJ24" s="734">
        <f>'BASE DE DATOS'!AJ24</f>
        <v>7.2</v>
      </c>
      <c r="AK24" s="734">
        <f>'BASE DE DATOS'!AK24</f>
        <v>7</v>
      </c>
      <c r="AL24" s="734">
        <f>'BASE DE DATOS'!AL24</f>
        <v>8.1</v>
      </c>
      <c r="AM24" s="734">
        <f>'BASE DE DATOS'!AM24</f>
        <v>10.1</v>
      </c>
      <c r="AN24" s="734">
        <f>'BASE DE DATOS'!AN24</f>
        <v>13.2</v>
      </c>
      <c r="AO24" s="734">
        <f>'BASE DE DATOS'!AO24</f>
        <v>16.8</v>
      </c>
      <c r="AP24" s="734">
        <f>'BASE DE DATOS'!AP24</f>
        <v>19.7</v>
      </c>
      <c r="AR24" s="734" t="str">
        <f>'BASE DE DATOS'!AR24</f>
        <v>BAP</v>
      </c>
      <c r="AS24" s="734" t="str">
        <f>'BASE DE DATOS'!AS24</f>
        <v>CORONEL SUAREZ</v>
      </c>
      <c r="AT24" s="734">
        <f>'BASE DE DATOS'!AT24</f>
        <v>6.5</v>
      </c>
      <c r="AU24" s="734">
        <f>'BASE DE DATOS'!AU24</f>
        <v>6</v>
      </c>
      <c r="AV24" s="734">
        <f>'BASE DE DATOS'!AV24</f>
        <v>4.5</v>
      </c>
      <c r="AW24" s="734">
        <f>'BASE DE DATOS'!AW24</f>
        <v>3</v>
      </c>
      <c r="AX24" s="734">
        <f>'BASE DE DATOS'!AX24</f>
        <v>2</v>
      </c>
      <c r="AY24" s="734">
        <f>'BASE DE DATOS'!AY24</f>
        <v>1.5</v>
      </c>
      <c r="AZ24" s="734">
        <f>'BASE DE DATOS'!AZ24</f>
        <v>1.5</v>
      </c>
      <c r="BA24" s="734">
        <f>'BASE DE DATOS'!BA24</f>
        <v>2.5</v>
      </c>
      <c r="BB24" s="734">
        <f>'BASE DE DATOS'!BB24</f>
        <v>3.5</v>
      </c>
      <c r="BC24" s="734">
        <f>'BASE DE DATOS'!BC24</f>
        <v>5</v>
      </c>
      <c r="BD24" s="734">
        <f>'BASE DE DATOS'!BD24</f>
        <v>6</v>
      </c>
      <c r="BE24" s="734">
        <f>'BASE DE DATOS'!BE24</f>
        <v>7</v>
      </c>
      <c r="BG24" s="734" t="s">
        <v>69</v>
      </c>
      <c r="BH24" s="538" t="s">
        <v>1349</v>
      </c>
      <c r="BS24" s="745"/>
      <c r="BT24" s="753"/>
      <c r="BX24" s="734"/>
      <c r="BY24" s="734"/>
      <c r="BZ24" s="734"/>
      <c r="CA24" s="734"/>
      <c r="CB24" s="734"/>
      <c r="CC24" s="734"/>
      <c r="CD24" s="734"/>
      <c r="CE24" s="734">
        <v>0</v>
      </c>
      <c r="DA24" s="734"/>
      <c r="DB24" s="734"/>
      <c r="DO24" s="733" t="str">
        <f>'BASE DE DATOS'!BG24</f>
        <v>BAP</v>
      </c>
      <c r="DP24" s="733" t="str">
        <f>'BASE DE DATOS'!BH24</f>
        <v>CORONEL SUAREZ</v>
      </c>
      <c r="DQ24" s="733">
        <f>'BASE DE DATOS'!BI24</f>
        <v>104</v>
      </c>
      <c r="DR24" s="733">
        <f>'BASE DE DATOS'!BJ24</f>
        <v>98</v>
      </c>
      <c r="DS24" s="733">
        <f>'BASE DE DATOS'!BK24</f>
        <v>115</v>
      </c>
      <c r="DT24" s="733">
        <f>'BASE DE DATOS'!BL24</f>
        <v>97</v>
      </c>
      <c r="DU24" s="733">
        <f>'BASE DE DATOS'!BM24</f>
        <v>80</v>
      </c>
      <c r="DV24" s="733">
        <f>'BASE DE DATOS'!BN24</f>
        <v>61</v>
      </c>
      <c r="DW24" s="733">
        <f>'BASE DE DATOS'!BO24</f>
        <v>59</v>
      </c>
      <c r="DX24" s="733">
        <f>'BASE DE DATOS'!BP24</f>
        <v>63</v>
      </c>
      <c r="DY24" s="733">
        <f>'BASE DE DATOS'!BQ24</f>
        <v>68</v>
      </c>
      <c r="DZ24" s="733">
        <f>'BASE DE DATOS'!BR24</f>
        <v>104</v>
      </c>
      <c r="EA24" s="733">
        <f>'BASE DE DATOS'!BS24</f>
        <v>98</v>
      </c>
      <c r="EB24" s="733">
        <f>'BASE DE DATOS'!BT24</f>
        <v>93</v>
      </c>
      <c r="FK24" s="731" t="str">
        <f>'BASE DE DATOS'!BV24</f>
        <v>LA PAMPA</v>
      </c>
      <c r="FL24" s="731">
        <f>'BASE DE DATOS'!BW24</f>
        <v>36.57</v>
      </c>
      <c r="FM24" s="731">
        <f>'BASE DE DATOS'!BX24</f>
        <v>15</v>
      </c>
      <c r="FN24" s="731">
        <f>'BASE DE DATOS'!BY24</f>
        <v>54</v>
      </c>
      <c r="FO24" s="731">
        <f>'BASE DE DATOS'!BZ24</f>
        <v>15</v>
      </c>
      <c r="FP24" s="731">
        <f>'BASE DE DATOS'!CA24</f>
        <v>6</v>
      </c>
      <c r="FQ24" s="731">
        <f>'BASE DE DATOS'!CB24</f>
        <v>62</v>
      </c>
      <c r="FR24" s="731">
        <f>'BASE DE DATOS'!CC24</f>
        <v>54</v>
      </c>
      <c r="FS24" s="731">
        <f>'BASE DE DATOS'!CD24</f>
        <v>6</v>
      </c>
      <c r="FT24" s="731">
        <f>'BASE DE DATOS'!CE24</f>
        <v>0</v>
      </c>
      <c r="FU24" s="731">
        <f>'BASE DE DATOS'!CF24</f>
        <v>70</v>
      </c>
      <c r="FV24" s="731">
        <f>'BASE DE DATOS'!CG24</f>
        <v>62</v>
      </c>
      <c r="FW24" s="731">
        <f>'BASE DE DATOS'!CH24</f>
        <v>0</v>
      </c>
      <c r="FX24" s="731">
        <f>'BASE DE DATOS'!CI24</f>
        <v>0</v>
      </c>
      <c r="FY24" s="731">
        <f>'BASE DE DATOS'!CJ24</f>
        <v>75</v>
      </c>
      <c r="FZ24" s="731">
        <f>'BASE DE DATOS'!CK24</f>
        <v>70</v>
      </c>
      <c r="GA24" s="731">
        <f>'BASE DE DATOS'!CL24</f>
        <v>0</v>
      </c>
      <c r="GB24" s="731">
        <f>'BASE DE DATOS'!CM24</f>
        <v>0</v>
      </c>
      <c r="GC24" s="731">
        <f>'BASE DE DATOS'!CN24</f>
        <v>80</v>
      </c>
      <c r="GD24" s="731">
        <f>'BASE DE DATOS'!CO24</f>
        <v>75</v>
      </c>
      <c r="GE24" s="731">
        <f>'BASE DE DATOS'!CP24</f>
        <v>0</v>
      </c>
      <c r="GF24" s="731">
        <f>'BASE DE DATOS'!CQ24</f>
        <v>86</v>
      </c>
      <c r="GG24" s="731">
        <f>'BASE DE DATOS'!CR24</f>
        <v>80</v>
      </c>
      <c r="GH24" s="731">
        <f>'BASE DE DATOS'!CS24</f>
        <v>0</v>
      </c>
      <c r="GI24" s="731">
        <f>'BASE DE DATOS'!CT24</f>
        <v>90</v>
      </c>
      <c r="GJ24" s="731">
        <f>'BASE DE DATOS'!CU24</f>
        <v>86</v>
      </c>
      <c r="GM24" s="741"/>
      <c r="GN24" s="741"/>
      <c r="GO24" s="1182"/>
      <c r="GP24" s="727" t="str">
        <f>ENERGÍA!AS32</f>
        <v>Equipamiento</v>
      </c>
      <c r="GQ24" s="727">
        <f>ENERGÍA!AU32</f>
        <v>1</v>
      </c>
      <c r="GR24" s="1182"/>
      <c r="GS24" s="754" t="s">
        <v>1983</v>
      </c>
      <c r="GT24" s="1182"/>
      <c r="GU24" s="1182"/>
      <c r="GV24" s="741"/>
      <c r="GW24" s="741"/>
      <c r="GX24" s="741"/>
      <c r="GY24" s="741"/>
    </row>
    <row r="25" spans="2:224" ht="16">
      <c r="B25" s="734" t="str">
        <f>'BASE DE DATOS'!B25</f>
        <v>BAP</v>
      </c>
      <c r="C25" s="734" t="str">
        <f>'BASE DE DATOS'!C25</f>
        <v>DOLORES</v>
      </c>
      <c r="D25" s="734">
        <f>'BASE DE DATOS'!D25</f>
        <v>36.35</v>
      </c>
      <c r="E25" s="734">
        <f>'BASE DE DATOS'!E25</f>
        <v>57.73</v>
      </c>
      <c r="F25" s="734">
        <f>'BASE DE DATOS'!F25</f>
        <v>9</v>
      </c>
      <c r="G25" s="734" t="str">
        <f>'BASE DE DATOS'!G25</f>
        <v>IVD</v>
      </c>
      <c r="H25" s="734">
        <f>'BASE DE DATOS'!H25</f>
        <v>-0.8</v>
      </c>
      <c r="I25" s="734">
        <f>'BASE DE DATOS'!I25</f>
        <v>8.8000000000000007</v>
      </c>
      <c r="J25" s="734">
        <f>'BASE DE DATOS'!J25</f>
        <v>20.8</v>
      </c>
      <c r="K25" s="734">
        <f>'BASE DE DATOS'!K25</f>
        <v>31.4</v>
      </c>
      <c r="L25" s="734">
        <f>'BASE DE DATOS'!L25</f>
        <v>72</v>
      </c>
      <c r="M25" s="734">
        <f>'BASE DE DATOS'!M25</f>
        <v>81</v>
      </c>
      <c r="N25" s="734">
        <f>'BASE DE DATOS'!N25</f>
        <v>72</v>
      </c>
      <c r="O25" s="734">
        <f>'BASE DE DATOS'!O25</f>
        <v>57</v>
      </c>
      <c r="P25" s="734">
        <f>'BASE DE DATOS'!P25</f>
        <v>85</v>
      </c>
      <c r="Q25" s="734">
        <f>'BASE DE DATOS'!Q25</f>
        <v>4</v>
      </c>
      <c r="R25" s="734">
        <f>'BASE DE DATOS'!R25</f>
        <v>20.399999999999999</v>
      </c>
      <c r="S25" s="734">
        <f>'BASE DE DATOS'!S25</f>
        <v>0.53</v>
      </c>
      <c r="T25" s="734">
        <f>'BASE DE DATOS'!T25</f>
        <v>36.9</v>
      </c>
      <c r="U25" s="734">
        <f>'BASE DE DATOS'!U25</f>
        <v>3.4</v>
      </c>
      <c r="V25" s="734">
        <f>'BASE DE DATOS'!V25</f>
        <v>185</v>
      </c>
      <c r="W25" s="734">
        <f>'BASE DE DATOS'!W25</f>
        <v>41</v>
      </c>
      <c r="X25" s="734">
        <f>'BASE DE DATOS'!X25</f>
        <v>1.4E-2</v>
      </c>
      <c r="Y25" s="734">
        <f>'BASE DE DATOS'!Y25</f>
        <v>1.9E-2</v>
      </c>
      <c r="Z25" s="734">
        <f>'BASE DE DATOS'!Z25</f>
        <v>130</v>
      </c>
      <c r="AA25" s="734">
        <f>'BASE DE DATOS'!AA25</f>
        <v>1.3</v>
      </c>
      <c r="AB25" s="734">
        <f>'BASE DE DATOS'!AB25</f>
        <v>35</v>
      </c>
      <c r="AD25" s="734" t="str">
        <f>'BASE DE DATOS'!AD25</f>
        <v>DOLORES</v>
      </c>
      <c r="AE25" s="734">
        <f>'BASE DE DATOS'!AE25</f>
        <v>21.9</v>
      </c>
      <c r="AF25" s="734">
        <f>'BASE DE DATOS'!AF25</f>
        <v>20.8</v>
      </c>
      <c r="AG25" s="734">
        <f>'BASE DE DATOS'!AG25</f>
        <v>19.600000000000001</v>
      </c>
      <c r="AH25" s="734">
        <f>'BASE DE DATOS'!AH25</f>
        <v>14.7</v>
      </c>
      <c r="AI25" s="734">
        <f>'BASE DE DATOS'!AI25</f>
        <v>11.6</v>
      </c>
      <c r="AJ25" s="734">
        <f>'BASE DE DATOS'!AJ25</f>
        <v>9</v>
      </c>
      <c r="AK25" s="734">
        <f>'BASE DE DATOS'!AK25</f>
        <v>8.8000000000000007</v>
      </c>
      <c r="AL25" s="734">
        <f>'BASE DE DATOS'!AL25</f>
        <v>9.9</v>
      </c>
      <c r="AM25" s="734">
        <f>'BASE DE DATOS'!AM25</f>
        <v>11.6</v>
      </c>
      <c r="AN25" s="734">
        <f>'BASE DE DATOS'!AN25</f>
        <v>14.4</v>
      </c>
      <c r="AO25" s="734">
        <f>'BASE DE DATOS'!AO25</f>
        <v>17.399999999999999</v>
      </c>
      <c r="AP25" s="734">
        <f>'BASE DE DATOS'!AP25</f>
        <v>19.8</v>
      </c>
      <c r="AR25" s="734" t="str">
        <f>'BASE DE DATOS'!AR25</f>
        <v>BAP</v>
      </c>
      <c r="AS25" s="734" t="str">
        <f>'BASE DE DATOS'!AS25</f>
        <v>DOLORES</v>
      </c>
      <c r="AT25" s="734">
        <f>'BASE DE DATOS'!AT25</f>
        <v>6.5</v>
      </c>
      <c r="AU25" s="734">
        <f>'BASE DE DATOS'!AU25</f>
        <v>6</v>
      </c>
      <c r="AV25" s="734">
        <f>'BASE DE DATOS'!AV25</f>
        <v>4.5</v>
      </c>
      <c r="AW25" s="734">
        <f>'BASE DE DATOS'!AW25</f>
        <v>3</v>
      </c>
      <c r="AX25" s="734">
        <f>'BASE DE DATOS'!AX25</f>
        <v>2</v>
      </c>
      <c r="AY25" s="734">
        <f>'BASE DE DATOS'!AY25</f>
        <v>1.5</v>
      </c>
      <c r="AZ25" s="734">
        <f>'BASE DE DATOS'!AZ25</f>
        <v>2</v>
      </c>
      <c r="BA25" s="734">
        <f>'BASE DE DATOS'!BA25</f>
        <v>2.5</v>
      </c>
      <c r="BB25" s="734">
        <f>'BASE DE DATOS'!BB25</f>
        <v>3.5</v>
      </c>
      <c r="BC25" s="734">
        <f>'BASE DE DATOS'!BC25</f>
        <v>5</v>
      </c>
      <c r="BD25" s="734">
        <f>'BASE DE DATOS'!BD25</f>
        <v>6</v>
      </c>
      <c r="BE25" s="734">
        <f>'BASE DE DATOS'!BE25</f>
        <v>6.5</v>
      </c>
      <c r="BG25" s="734" t="s">
        <v>78</v>
      </c>
      <c r="BH25" s="538" t="s">
        <v>1349</v>
      </c>
      <c r="BQ25" s="745"/>
      <c r="BS25" s="745"/>
      <c r="BT25" s="753"/>
      <c r="BX25" s="734"/>
      <c r="BY25" s="734"/>
      <c r="BZ25" s="734"/>
      <c r="CA25" s="734"/>
      <c r="CB25" s="734"/>
      <c r="CC25" s="734"/>
      <c r="CD25" s="734"/>
      <c r="CE25" s="734">
        <v>0</v>
      </c>
      <c r="DA25" s="734"/>
      <c r="DB25" s="734"/>
      <c r="DO25" s="733" t="str">
        <f>'BASE DE DATOS'!BG25</f>
        <v>BAP</v>
      </c>
      <c r="DP25" s="733" t="str">
        <f>'BASE DE DATOS'!BH25</f>
        <v>DOLORES</v>
      </c>
      <c r="DQ25" s="733">
        <f>'BASE DE DATOS'!BI25</f>
        <v>104</v>
      </c>
      <c r="DR25" s="733">
        <f>'BASE DE DATOS'!BJ25</f>
        <v>98</v>
      </c>
      <c r="DS25" s="733">
        <f>'BASE DE DATOS'!BK25</f>
        <v>115</v>
      </c>
      <c r="DT25" s="733">
        <f>'BASE DE DATOS'!BL25</f>
        <v>97</v>
      </c>
      <c r="DU25" s="733">
        <f>'BASE DE DATOS'!BM25</f>
        <v>80</v>
      </c>
      <c r="DV25" s="733">
        <f>'BASE DE DATOS'!BN25</f>
        <v>61</v>
      </c>
      <c r="DW25" s="733">
        <f>'BASE DE DATOS'!BO25</f>
        <v>59</v>
      </c>
      <c r="DX25" s="733">
        <f>'BASE DE DATOS'!BP25</f>
        <v>63</v>
      </c>
      <c r="DY25" s="733">
        <f>'BASE DE DATOS'!BQ25</f>
        <v>68</v>
      </c>
      <c r="DZ25" s="733">
        <f>'BASE DE DATOS'!BR25</f>
        <v>104</v>
      </c>
      <c r="EA25" s="733">
        <f>'BASE DE DATOS'!BS25</f>
        <v>98</v>
      </c>
      <c r="EB25" s="733">
        <f>'BASE DE DATOS'!BT25</f>
        <v>93</v>
      </c>
      <c r="FK25" s="731" t="str">
        <f>'BASE DE DATOS'!BV25</f>
        <v>NEUQUEN</v>
      </c>
      <c r="FL25" s="731">
        <f>'BASE DE DATOS'!BW25</f>
        <v>38.950000000000003</v>
      </c>
      <c r="FM25" s="731">
        <f>'BASE DE DATOS'!BX25</f>
        <v>18</v>
      </c>
      <c r="FN25" s="731">
        <f>'BASE DE DATOS'!BY25</f>
        <v>58</v>
      </c>
      <c r="FO25" s="731">
        <f>'BASE DE DATOS'!BZ25</f>
        <v>18</v>
      </c>
      <c r="FP25" s="731">
        <f>'BASE DE DATOS'!CA25</f>
        <v>9</v>
      </c>
      <c r="FQ25" s="731">
        <f>'BASE DE DATOS'!CB25</f>
        <v>65</v>
      </c>
      <c r="FR25" s="731">
        <f>'BASE DE DATOS'!CC25</f>
        <v>58</v>
      </c>
      <c r="FS25" s="731">
        <f>'BASE DE DATOS'!CD25</f>
        <v>9</v>
      </c>
      <c r="FT25" s="731">
        <f>'BASE DE DATOS'!CE25</f>
        <v>0</v>
      </c>
      <c r="FU25" s="731">
        <f>'BASE DE DATOS'!CF25</f>
        <v>71</v>
      </c>
      <c r="FV25" s="731">
        <f>'BASE DE DATOS'!CG25</f>
        <v>65</v>
      </c>
      <c r="FW25" s="731">
        <f>'BASE DE DATOS'!CH25</f>
        <v>0</v>
      </c>
      <c r="FX25" s="731">
        <f>'BASE DE DATOS'!CI25</f>
        <v>0</v>
      </c>
      <c r="FY25" s="731">
        <f>'BASE DE DATOS'!CJ25</f>
        <v>79</v>
      </c>
      <c r="FZ25" s="731">
        <f>'BASE DE DATOS'!CK25</f>
        <v>71</v>
      </c>
      <c r="GA25" s="731">
        <f>'BASE DE DATOS'!CL25</f>
        <v>0</v>
      </c>
      <c r="GB25" s="731">
        <f>'BASE DE DATOS'!CM25</f>
        <v>0</v>
      </c>
      <c r="GC25" s="731">
        <f>'BASE DE DATOS'!CN25</f>
        <v>82</v>
      </c>
      <c r="GD25" s="731">
        <f>'BASE DE DATOS'!CO25</f>
        <v>79</v>
      </c>
      <c r="GE25" s="731">
        <f>'BASE DE DATOS'!CP25</f>
        <v>0</v>
      </c>
      <c r="GF25" s="731">
        <f>'BASE DE DATOS'!CQ25</f>
        <v>88</v>
      </c>
      <c r="GG25" s="731">
        <f>'BASE DE DATOS'!CR25</f>
        <v>82</v>
      </c>
      <c r="GH25" s="731">
        <f>'BASE DE DATOS'!CS25</f>
        <v>0</v>
      </c>
      <c r="GI25" s="731">
        <f>'BASE DE DATOS'!CT25</f>
        <v>90</v>
      </c>
      <c r="GJ25" s="731">
        <f>'BASE DE DATOS'!CU25</f>
        <v>88</v>
      </c>
      <c r="GM25" s="741"/>
      <c r="GN25" s="741"/>
      <c r="GO25" s="727"/>
      <c r="GP25" s="727" t="s">
        <v>2090</v>
      </c>
      <c r="GQ25" s="727">
        <f>ENERGÍA!AI194</f>
        <v>1</v>
      </c>
      <c r="GR25" s="1182"/>
      <c r="GS25" s="754" t="s">
        <v>1983</v>
      </c>
      <c r="GT25" s="1182"/>
      <c r="GU25" s="1182"/>
      <c r="GV25" s="741"/>
      <c r="GW25" s="741"/>
      <c r="GX25" s="741"/>
      <c r="GY25" s="741"/>
    </row>
    <row r="26" spans="2:224" ht="15" customHeight="1">
      <c r="B26" s="734" t="str">
        <f>'BASE DE DATOS'!B26</f>
        <v>BAP</v>
      </c>
      <c r="C26" s="734" t="str">
        <f>'BASE DE DATOS'!C26</f>
        <v>HILARIO ASCASUBI</v>
      </c>
      <c r="D26" s="734">
        <f>'BASE DE DATOS'!D26</f>
        <v>39.380000000000003</v>
      </c>
      <c r="E26" s="734">
        <f>'BASE DE DATOS'!E26</f>
        <v>62.62</v>
      </c>
      <c r="F26" s="734">
        <f>'BASE DE DATOS'!F26</f>
        <v>22</v>
      </c>
      <c r="G26" s="734" t="str">
        <f>'BASE DE DATOS'!G26</f>
        <v>IVC</v>
      </c>
      <c r="H26" s="734">
        <f>'BASE DE DATOS'!H26</f>
        <v>-3.1</v>
      </c>
      <c r="I26" s="734">
        <f>'BASE DE DATOS'!I26</f>
        <v>8.6</v>
      </c>
      <c r="J26" s="734">
        <f>'BASE DE DATOS'!J26</f>
        <v>21.4</v>
      </c>
      <c r="K26" s="734">
        <f>'BASE DE DATOS'!K26</f>
        <v>32.299999999999997</v>
      </c>
      <c r="L26" s="734">
        <f>'BASE DE DATOS'!L26</f>
        <v>59</v>
      </c>
      <c r="M26" s="734">
        <f>'BASE DE DATOS'!M26</f>
        <v>69</v>
      </c>
      <c r="N26" s="734">
        <f>'BASE DE DATOS'!N26</f>
        <v>59</v>
      </c>
      <c r="O26" s="734">
        <f>'BASE DE DATOS'!O26</f>
        <v>25</v>
      </c>
      <c r="P26" s="734">
        <f>'BASE DE DATOS'!P26</f>
        <v>54</v>
      </c>
      <c r="Q26" s="734">
        <f>'BASE DE DATOS'!Q26</f>
        <v>4</v>
      </c>
      <c r="R26" s="734">
        <f>'BASE DE DATOS'!R26</f>
        <v>20.399999999999999</v>
      </c>
      <c r="S26" s="734">
        <f>'BASE DE DATOS'!S26</f>
        <v>0.53</v>
      </c>
      <c r="T26" s="734">
        <f>'BASE DE DATOS'!T26</f>
        <v>36.9</v>
      </c>
      <c r="U26" s="734">
        <f>'BASE DE DATOS'!U26</f>
        <v>3.4</v>
      </c>
      <c r="V26" s="734">
        <f>'BASE DE DATOS'!V26</f>
        <v>185</v>
      </c>
      <c r="W26" s="734">
        <f>'BASE DE DATOS'!W26</f>
        <v>41</v>
      </c>
      <c r="X26" s="734">
        <f>'BASE DE DATOS'!X26</f>
        <v>1.4E-2</v>
      </c>
      <c r="Y26" s="734">
        <f>'BASE DE DATOS'!Y26</f>
        <v>1.9E-2</v>
      </c>
      <c r="Z26" s="734">
        <f>'BASE DE DATOS'!Z26</f>
        <v>130</v>
      </c>
      <c r="AA26" s="734">
        <f>'BASE DE DATOS'!AA26</f>
        <v>1.3</v>
      </c>
      <c r="AB26" s="734">
        <f>'BASE DE DATOS'!AB26</f>
        <v>35</v>
      </c>
      <c r="AD26" s="734" t="str">
        <f>'BASE DE DATOS'!AD26</f>
        <v>HILARIO ASCASUBI</v>
      </c>
      <c r="AE26" s="734">
        <f>'BASE DE DATOS'!AE26</f>
        <v>22.4</v>
      </c>
      <c r="AF26" s="734">
        <f>'BASE DE DATOS'!AF26</f>
        <v>22</v>
      </c>
      <c r="AG26" s="734">
        <f>'BASE DE DATOS'!AG26</f>
        <v>19.5</v>
      </c>
      <c r="AH26" s="734">
        <f>'BASE DE DATOS'!AH26</f>
        <v>15.1</v>
      </c>
      <c r="AI26" s="734">
        <f>'BASE DE DATOS'!AI26</f>
        <v>11.5</v>
      </c>
      <c r="AJ26" s="734">
        <f>'BASE DE DATOS'!AJ26</f>
        <v>8.1999999999999993</v>
      </c>
      <c r="AK26" s="734">
        <f>'BASE DE DATOS'!AK26</f>
        <v>7.5</v>
      </c>
      <c r="AL26" s="734">
        <f>'BASE DE DATOS'!AL26</f>
        <v>9.4</v>
      </c>
      <c r="AM26" s="734">
        <f>'BASE DE DATOS'!AM26</f>
        <v>11.5</v>
      </c>
      <c r="AN26" s="734">
        <f>'BASE DE DATOS'!AN26</f>
        <v>14.9</v>
      </c>
      <c r="AO26" s="734">
        <f>'BASE DE DATOS'!AO26</f>
        <v>18.899999999999999</v>
      </c>
      <c r="AP26" s="734">
        <f>'BASE DE DATOS'!AP26</f>
        <v>21.2</v>
      </c>
      <c r="AR26" s="734" t="str">
        <f>'BASE DE DATOS'!AR26</f>
        <v>BAP</v>
      </c>
      <c r="AS26" s="734" t="str">
        <f>'BASE DE DATOS'!AS26</f>
        <v>HILARIO ASCASUBI</v>
      </c>
      <c r="AT26" s="734">
        <f>'BASE DE DATOS'!AT26</f>
        <v>6.5</v>
      </c>
      <c r="AU26" s="734">
        <f>'BASE DE DATOS'!AU26</f>
        <v>6</v>
      </c>
      <c r="AV26" s="734">
        <f>'BASE DE DATOS'!AV26</f>
        <v>4.5</v>
      </c>
      <c r="AW26" s="734">
        <f>'BASE DE DATOS'!AW26</f>
        <v>3</v>
      </c>
      <c r="AX26" s="734">
        <f>'BASE DE DATOS'!AX26</f>
        <v>2</v>
      </c>
      <c r="AY26" s="734">
        <f>'BASE DE DATOS'!AY26</f>
        <v>1.5</v>
      </c>
      <c r="AZ26" s="734">
        <f>'BASE DE DATOS'!AZ26</f>
        <v>1.5</v>
      </c>
      <c r="BA26" s="734">
        <f>'BASE DE DATOS'!BA26</f>
        <v>2.5</v>
      </c>
      <c r="BB26" s="734">
        <f>'BASE DE DATOS'!BB26</f>
        <v>3.5</v>
      </c>
      <c r="BC26" s="734">
        <f>'BASE DE DATOS'!BC26</f>
        <v>5</v>
      </c>
      <c r="BD26" s="734">
        <f>'BASE DE DATOS'!BD26</f>
        <v>6</v>
      </c>
      <c r="BE26" s="734">
        <f>'BASE DE DATOS'!BE26</f>
        <v>7</v>
      </c>
      <c r="BG26" s="734" t="s">
        <v>42</v>
      </c>
      <c r="BH26" s="538" t="s">
        <v>1350</v>
      </c>
      <c r="BQ26" s="745"/>
      <c r="BS26" s="745"/>
      <c r="BX26" s="734"/>
      <c r="BY26" s="734"/>
      <c r="BZ26" s="734"/>
      <c r="CA26" s="734"/>
      <c r="CB26" s="734"/>
      <c r="CC26" s="734"/>
      <c r="CD26" s="734"/>
      <c r="CE26" s="734">
        <v>0</v>
      </c>
      <c r="DA26" s="734"/>
      <c r="DB26" s="734"/>
      <c r="DO26" s="733" t="str">
        <f>'BASE DE DATOS'!BG26</f>
        <v>BAP</v>
      </c>
      <c r="DP26" s="733" t="str">
        <f>'BASE DE DATOS'!BH26</f>
        <v>HILARIO ASCASUBI</v>
      </c>
      <c r="DQ26" s="733">
        <f>'BASE DE DATOS'!BI26</f>
        <v>104</v>
      </c>
      <c r="DR26" s="733">
        <f>'BASE DE DATOS'!BJ26</f>
        <v>98</v>
      </c>
      <c r="DS26" s="733">
        <f>'BASE DE DATOS'!BK26</f>
        <v>115</v>
      </c>
      <c r="DT26" s="733">
        <f>'BASE DE DATOS'!BL26</f>
        <v>97</v>
      </c>
      <c r="DU26" s="733">
        <f>'BASE DE DATOS'!BM26</f>
        <v>80</v>
      </c>
      <c r="DV26" s="733">
        <f>'BASE DE DATOS'!BN26</f>
        <v>61</v>
      </c>
      <c r="DW26" s="733">
        <f>'BASE DE DATOS'!BO26</f>
        <v>59</v>
      </c>
      <c r="DX26" s="733">
        <f>'BASE DE DATOS'!BP26</f>
        <v>63</v>
      </c>
      <c r="DY26" s="733">
        <f>'BASE DE DATOS'!BQ26</f>
        <v>68</v>
      </c>
      <c r="DZ26" s="733">
        <f>'BASE DE DATOS'!BR26</f>
        <v>104</v>
      </c>
      <c r="EA26" s="733">
        <f>'BASE DE DATOS'!BS26</f>
        <v>98</v>
      </c>
      <c r="EB26" s="733">
        <f>'BASE DE DATOS'!BT26</f>
        <v>93</v>
      </c>
      <c r="FK26" s="731" t="str">
        <f>'BASE DE DATOS'!BV26</f>
        <v>RIO NEGRO</v>
      </c>
      <c r="FL26" s="731">
        <f>'BASE DE DATOS'!BW26</f>
        <v>41.15</v>
      </c>
      <c r="FM26" s="731">
        <f>'BASE DE DATOS'!BX26</f>
        <v>19</v>
      </c>
      <c r="FN26" s="731">
        <f>'BASE DE DATOS'!BY26</f>
        <v>60</v>
      </c>
      <c r="FO26" s="731">
        <f>'BASE DE DATOS'!BZ26</f>
        <v>19</v>
      </c>
      <c r="FP26" s="731">
        <f>'BASE DE DATOS'!CA26</f>
        <v>10</v>
      </c>
      <c r="FQ26" s="731">
        <f>'BASE DE DATOS'!CB26</f>
        <v>68</v>
      </c>
      <c r="FR26" s="731">
        <f>'BASE DE DATOS'!CC26</f>
        <v>60</v>
      </c>
      <c r="FS26" s="731">
        <f>'BASE DE DATOS'!CD26</f>
        <v>10</v>
      </c>
      <c r="FT26" s="731">
        <f>'BASE DE DATOS'!CE26</f>
        <v>2</v>
      </c>
      <c r="FU26" s="731">
        <f>'BASE DE DATOS'!CF26</f>
        <v>75</v>
      </c>
      <c r="FV26" s="731">
        <f>'BASE DE DATOS'!CG26</f>
        <v>68</v>
      </c>
      <c r="FW26" s="731">
        <f>'BASE DE DATOS'!CH26</f>
        <v>2</v>
      </c>
      <c r="FX26" s="731">
        <f>'BASE DE DATOS'!CI26</f>
        <v>-2</v>
      </c>
      <c r="FY26" s="731">
        <f>'BASE DE DATOS'!CJ26</f>
        <v>80</v>
      </c>
      <c r="FZ26" s="731">
        <f>'BASE DE DATOS'!CK26</f>
        <v>75</v>
      </c>
      <c r="GA26" s="731">
        <f>'BASE DE DATOS'!CL26</f>
        <v>0</v>
      </c>
      <c r="GB26" s="731">
        <f>'BASE DE DATOS'!CM26</f>
        <v>0</v>
      </c>
      <c r="GC26" s="731">
        <f>'BASE DE DATOS'!CN26</f>
        <v>85</v>
      </c>
      <c r="GD26" s="731">
        <f>'BASE DE DATOS'!CO26</f>
        <v>80</v>
      </c>
      <c r="GE26" s="731">
        <f>'BASE DE DATOS'!CP26</f>
        <v>0</v>
      </c>
      <c r="GF26" s="731">
        <f>'BASE DE DATOS'!CQ26</f>
        <v>90</v>
      </c>
      <c r="GG26" s="731">
        <f>'BASE DE DATOS'!CR26</f>
        <v>85</v>
      </c>
      <c r="GH26" s="731">
        <f>'BASE DE DATOS'!CS26</f>
        <v>0</v>
      </c>
      <c r="GI26" s="731">
        <f>'BASE DE DATOS'!CT26</f>
        <v>0</v>
      </c>
      <c r="GJ26" s="731">
        <f>'BASE DE DATOS'!CU26</f>
        <v>0</v>
      </c>
      <c r="GM26" s="741"/>
      <c r="GN26" s="741"/>
      <c r="GO26" s="727" t="s">
        <v>1560</v>
      </c>
      <c r="GP26" s="727" t="s">
        <v>762</v>
      </c>
      <c r="GQ26" s="727">
        <f>AGUA!W9</f>
        <v>0</v>
      </c>
      <c r="GR26" s="1182">
        <f>IF(AVERAGE(GQ26:GQ27)=1,1,0)</f>
        <v>0</v>
      </c>
      <c r="GS26" s="741" t="s">
        <v>1983</v>
      </c>
      <c r="GT26" s="1182">
        <f>IF(AVERAGE(GQ26:GQ28)=1,1,0)</f>
        <v>0</v>
      </c>
      <c r="GU26" s="1182"/>
      <c r="GV26" s="741"/>
      <c r="GW26" s="741"/>
      <c r="GX26" s="741"/>
      <c r="GY26" s="741"/>
    </row>
    <row r="27" spans="2:224" ht="16">
      <c r="B27" s="734" t="str">
        <f>'BASE DE DATOS'!B27</f>
        <v>BAP</v>
      </c>
      <c r="C27" s="734" t="str">
        <f>'BASE DE DATOS'!C27</f>
        <v>ISLA MARTIN GARCÍA</v>
      </c>
      <c r="D27" s="734">
        <f>'BASE DE DATOS'!D27</f>
        <v>34.18</v>
      </c>
      <c r="E27" s="734">
        <f>'BASE DE DATOS'!E27</f>
        <v>58.27</v>
      </c>
      <c r="F27" s="734">
        <f>'BASE DE DATOS'!F27</f>
        <v>36</v>
      </c>
      <c r="G27" s="734" t="str">
        <f>'BASE DE DATOS'!G27</f>
        <v>IIIB</v>
      </c>
      <c r="H27" s="734">
        <f>'BASE DE DATOS'!H27</f>
        <v>4</v>
      </c>
      <c r="I27" s="734">
        <f>'BASE DE DATOS'!I27</f>
        <v>11.8</v>
      </c>
      <c r="J27" s="734">
        <f>'BASE DE DATOS'!J27</f>
        <v>23.3</v>
      </c>
      <c r="K27" s="734">
        <f>'BASE DE DATOS'!K27</f>
        <v>32.1</v>
      </c>
      <c r="L27" s="734">
        <f>'BASE DE DATOS'!L27</f>
        <v>68</v>
      </c>
      <c r="M27" s="734">
        <f>'BASE DE DATOS'!M27</f>
        <v>80</v>
      </c>
      <c r="N27" s="734">
        <f>'BASE DE DATOS'!N27</f>
        <v>68</v>
      </c>
      <c r="O27" s="734">
        <f>'BASE DE DATOS'!O27</f>
        <v>59</v>
      </c>
      <c r="P27" s="734">
        <f>'BASE DE DATOS'!P27</f>
        <v>78</v>
      </c>
      <c r="Q27" s="734">
        <f>'BASE DE DATOS'!Q27</f>
        <v>3</v>
      </c>
      <c r="R27" s="734">
        <f>'BASE DE DATOS'!R27</f>
        <v>23</v>
      </c>
      <c r="S27" s="734">
        <f>'BASE DE DATOS'!S27</f>
        <v>0.53</v>
      </c>
      <c r="T27" s="734">
        <f>'BASE DE DATOS'!T27</f>
        <v>35.799999999999997</v>
      </c>
      <c r="U27" s="734">
        <f>'BASE DE DATOS'!U27</f>
        <v>6</v>
      </c>
      <c r="V27" s="734">
        <f>'BASE DE DATOS'!V27</f>
        <v>203</v>
      </c>
      <c r="W27" s="734">
        <f>'BASE DE DATOS'!W27</f>
        <v>99</v>
      </c>
      <c r="X27" s="734">
        <f>'BASE DE DATOS'!X27</f>
        <v>3.1E-2</v>
      </c>
      <c r="Y27" s="734">
        <f>'BASE DE DATOS'!Y27</f>
        <v>3.5999999999999997E-2</v>
      </c>
      <c r="Z27" s="734">
        <f>'BASE DE DATOS'!Z27</f>
        <v>130</v>
      </c>
      <c r="AA27" s="734">
        <f>'BASE DE DATOS'!AA27</f>
        <v>1.3</v>
      </c>
      <c r="AB27" s="734">
        <f>'BASE DE DATOS'!AB27</f>
        <v>35</v>
      </c>
      <c r="AD27" s="734" t="str">
        <f>'BASE DE DATOS'!AD27</f>
        <v>ISLA MARTIN GARCÍA</v>
      </c>
      <c r="AE27" s="734">
        <f>'BASE DE DATOS'!AE27</f>
        <v>27.6</v>
      </c>
      <c r="AF27" s="734">
        <f>'BASE DE DATOS'!AF27</f>
        <v>27.1</v>
      </c>
      <c r="AG27" s="734">
        <f>'BASE DE DATOS'!AG27</f>
        <v>24.6</v>
      </c>
      <c r="AH27" s="734">
        <f>'BASE DE DATOS'!AH27</f>
        <v>22.5</v>
      </c>
      <c r="AI27" s="734">
        <f>'BASE DE DATOS'!AI27</f>
        <v>19.8</v>
      </c>
      <c r="AJ27" s="734">
        <f>'BASE DE DATOS'!AJ27</f>
        <v>16.600000000000001</v>
      </c>
      <c r="AK27" s="734">
        <f>'BASE DE DATOS'!AK27</f>
        <v>16.600000000000001</v>
      </c>
      <c r="AL27" s="734">
        <f>'BASE DE DATOS'!AL27</f>
        <v>19.3</v>
      </c>
      <c r="AM27" s="734">
        <f>'BASE DE DATOS'!AM27</f>
        <v>22.4</v>
      </c>
      <c r="AN27" s="734">
        <f>'BASE DE DATOS'!AN27</f>
        <v>25.2</v>
      </c>
      <c r="AO27" s="734">
        <f>'BASE DE DATOS'!AO27</f>
        <v>26.6</v>
      </c>
      <c r="AP27" s="734">
        <f>'BASE DE DATOS'!AP27</f>
        <v>27.7</v>
      </c>
      <c r="AR27" s="734" t="str">
        <f>'BASE DE DATOS'!AR27</f>
        <v>BAP</v>
      </c>
      <c r="AS27" s="734" t="str">
        <f>'BASE DE DATOS'!AS27</f>
        <v>ISLA MARTIN GARCÍA</v>
      </c>
      <c r="AT27" s="734">
        <f>'BASE DE DATOS'!AT27</f>
        <v>6.5</v>
      </c>
      <c r="AU27" s="734">
        <f>'BASE DE DATOS'!AU27</f>
        <v>6</v>
      </c>
      <c r="AV27" s="734">
        <f>'BASE DE DATOS'!AV27</f>
        <v>4.5</v>
      </c>
      <c r="AW27" s="734">
        <f>'BASE DE DATOS'!AW27</f>
        <v>3</v>
      </c>
      <c r="AX27" s="734">
        <f>'BASE DE DATOS'!AX27</f>
        <v>2.5</v>
      </c>
      <c r="AY27" s="734">
        <f>'BASE DE DATOS'!AY27</f>
        <v>2</v>
      </c>
      <c r="AZ27" s="734">
        <f>'BASE DE DATOS'!AZ27</f>
        <v>2</v>
      </c>
      <c r="BA27" s="734">
        <f>'BASE DE DATOS'!BA27</f>
        <v>3</v>
      </c>
      <c r="BB27" s="734">
        <f>'BASE DE DATOS'!BB27</f>
        <v>4</v>
      </c>
      <c r="BC27" s="734">
        <f>'BASE DE DATOS'!BC27</f>
        <v>5</v>
      </c>
      <c r="BD27" s="734">
        <f>'BASE DE DATOS'!BD27</f>
        <v>6</v>
      </c>
      <c r="BE27" s="734">
        <f>'BASE DE DATOS'!BE27</f>
        <v>6.5</v>
      </c>
      <c r="BG27" s="734" t="s">
        <v>23</v>
      </c>
      <c r="BH27" s="538" t="s">
        <v>1350</v>
      </c>
      <c r="BQ27" s="745"/>
      <c r="BS27" s="745"/>
      <c r="BT27" s="753"/>
      <c r="BX27" s="734"/>
      <c r="BY27" s="734"/>
      <c r="BZ27" s="734"/>
      <c r="CA27" s="734"/>
      <c r="CB27" s="734"/>
      <c r="CC27" s="734"/>
      <c r="CD27" s="734"/>
      <c r="CE27" s="734">
        <v>0</v>
      </c>
      <c r="DA27" s="734"/>
      <c r="DB27" s="734"/>
      <c r="DO27" s="733" t="str">
        <f>'BASE DE DATOS'!BG27</f>
        <v>BAP</v>
      </c>
      <c r="DP27" s="733" t="str">
        <f>'BASE DE DATOS'!BH27</f>
        <v>ISLA MARTIN GARCÍA</v>
      </c>
      <c r="DQ27" s="733">
        <f>'BASE DE DATOS'!BI27</f>
        <v>104</v>
      </c>
      <c r="DR27" s="733">
        <f>'BASE DE DATOS'!BJ27</f>
        <v>98</v>
      </c>
      <c r="DS27" s="733">
        <f>'BASE DE DATOS'!BK27</f>
        <v>115</v>
      </c>
      <c r="DT27" s="733">
        <f>'BASE DE DATOS'!BL27</f>
        <v>97</v>
      </c>
      <c r="DU27" s="733">
        <f>'BASE DE DATOS'!BM27</f>
        <v>80</v>
      </c>
      <c r="DV27" s="733">
        <f>'BASE DE DATOS'!BN27</f>
        <v>61</v>
      </c>
      <c r="DW27" s="733">
        <f>'BASE DE DATOS'!BO27</f>
        <v>59</v>
      </c>
      <c r="DX27" s="733">
        <f>'BASE DE DATOS'!BP27</f>
        <v>63</v>
      </c>
      <c r="DY27" s="733">
        <f>'BASE DE DATOS'!BQ27</f>
        <v>68</v>
      </c>
      <c r="DZ27" s="733">
        <f>'BASE DE DATOS'!BR27</f>
        <v>104</v>
      </c>
      <c r="EA27" s="733">
        <f>'BASE DE DATOS'!BS27</f>
        <v>98</v>
      </c>
      <c r="EB27" s="733">
        <f>'BASE DE DATOS'!BT27</f>
        <v>93</v>
      </c>
      <c r="FK27" s="731" t="str">
        <f>'BASE DE DATOS'!BV27</f>
        <v>CHUBUT</v>
      </c>
      <c r="FL27" s="731">
        <f>'BASE DE DATOS'!BW27</f>
        <v>45.78</v>
      </c>
      <c r="FM27" s="731">
        <f>'BASE DE DATOS'!BX27</f>
        <v>20</v>
      </c>
      <c r="FN27" s="731">
        <f>'BASE DE DATOS'!BY27</f>
        <v>60</v>
      </c>
      <c r="FO27" s="731">
        <f>'BASE DE DATOS'!BZ27</f>
        <v>20</v>
      </c>
      <c r="FP27" s="731">
        <f>'BASE DE DATOS'!CA27</f>
        <v>10</v>
      </c>
      <c r="FQ27" s="731">
        <f>'BASE DE DATOS'!CB27</f>
        <v>68</v>
      </c>
      <c r="FR27" s="731">
        <f>'BASE DE DATOS'!CC27</f>
        <v>60</v>
      </c>
      <c r="FS27" s="731">
        <f>'BASE DE DATOS'!CD27</f>
        <v>10</v>
      </c>
      <c r="FT27" s="731">
        <f>'BASE DE DATOS'!CE27</f>
        <v>5</v>
      </c>
      <c r="FU27" s="731">
        <f>'BASE DE DATOS'!CF27</f>
        <v>75</v>
      </c>
      <c r="FV27" s="731">
        <f>'BASE DE DATOS'!CG27</f>
        <v>68</v>
      </c>
      <c r="FW27" s="731">
        <f>'BASE DE DATOS'!CH27</f>
        <v>5</v>
      </c>
      <c r="FX27" s="731">
        <f>'BASE DE DATOS'!CI27</f>
        <v>0</v>
      </c>
      <c r="FY27" s="731">
        <f>'BASE DE DATOS'!CJ27</f>
        <v>75</v>
      </c>
      <c r="FZ27" s="731">
        <f>'BASE DE DATOS'!CK27</f>
        <v>80</v>
      </c>
      <c r="GA27" s="731">
        <f>'BASE DE DATOS'!CL27</f>
        <v>0</v>
      </c>
      <c r="GB27" s="731">
        <f>'BASE DE DATOS'!CM27</f>
        <v>0</v>
      </c>
      <c r="GC27" s="731">
        <f>'BASE DE DATOS'!CN27</f>
        <v>85</v>
      </c>
      <c r="GD27" s="731">
        <f>'BASE DE DATOS'!CO27</f>
        <v>80</v>
      </c>
      <c r="GE27" s="731">
        <f>'BASE DE DATOS'!CP27</f>
        <v>0</v>
      </c>
      <c r="GF27" s="731">
        <f>'BASE DE DATOS'!CQ27</f>
        <v>90</v>
      </c>
      <c r="GG27" s="731">
        <f>'BASE DE DATOS'!CR27</f>
        <v>85</v>
      </c>
      <c r="GH27" s="731">
        <f>'BASE DE DATOS'!CS27</f>
        <v>0</v>
      </c>
      <c r="GI27" s="731">
        <f>'BASE DE DATOS'!CT27</f>
        <v>0</v>
      </c>
      <c r="GJ27" s="731">
        <f>'BASE DE DATOS'!CU27</f>
        <v>0</v>
      </c>
      <c r="GM27" s="741"/>
      <c r="GN27" s="741"/>
      <c r="GO27" s="727"/>
      <c r="GP27" s="727" t="s">
        <v>763</v>
      </c>
      <c r="GQ27" s="727">
        <f>IF(AGUA!AU19=1,0,1)</f>
        <v>1</v>
      </c>
      <c r="GR27" s="1182"/>
      <c r="GS27" s="741" t="s">
        <v>1983</v>
      </c>
      <c r="GT27" s="1182"/>
      <c r="GU27" s="1182"/>
      <c r="GV27" s="741"/>
      <c r="GW27" s="741"/>
      <c r="GX27" s="741"/>
      <c r="GY27" s="741"/>
    </row>
    <row r="28" spans="2:224" ht="16">
      <c r="B28" s="734" t="str">
        <f>'BASE DE DATOS'!B28</f>
        <v>BAP</v>
      </c>
      <c r="C28" s="734" t="str">
        <f>'BASE DE DATOS'!C28</f>
        <v>JUNÍN</v>
      </c>
      <c r="D28" s="734">
        <f>'BASE DE DATOS'!D28</f>
        <v>34.549999999999997</v>
      </c>
      <c r="E28" s="734">
        <f>'BASE DE DATOS'!E28</f>
        <v>60.95</v>
      </c>
      <c r="F28" s="734">
        <f>'BASE DE DATOS'!F28</f>
        <v>81</v>
      </c>
      <c r="G28" s="734" t="str">
        <f>'BASE DE DATOS'!G28</f>
        <v>IIIA</v>
      </c>
      <c r="H28" s="734">
        <f>'BASE DE DATOS'!H28</f>
        <v>-1.3</v>
      </c>
      <c r="I28" s="734">
        <f>'BASE DE DATOS'!I28</f>
        <v>9.4</v>
      </c>
      <c r="J28" s="734">
        <f>'BASE DE DATOS'!J28</f>
        <v>22.3</v>
      </c>
      <c r="K28" s="734">
        <f>'BASE DE DATOS'!K28</f>
        <v>33.4</v>
      </c>
      <c r="L28" s="734">
        <f>'BASE DE DATOS'!L28</f>
        <v>65</v>
      </c>
      <c r="M28" s="734">
        <f>'BASE DE DATOS'!M28</f>
        <v>80</v>
      </c>
      <c r="N28" s="734">
        <f>'BASE DE DATOS'!N28</f>
        <v>65</v>
      </c>
      <c r="O28" s="734">
        <f>'BASE DE DATOS'!O28</f>
        <v>32</v>
      </c>
      <c r="P28" s="734">
        <f>'BASE DE DATOS'!P28</f>
        <v>88</v>
      </c>
      <c r="Q28" s="734">
        <f>'BASE DE DATOS'!Q28</f>
        <v>3</v>
      </c>
      <c r="R28" s="734">
        <f>'BASE DE DATOS'!R28</f>
        <v>22</v>
      </c>
      <c r="S28" s="734">
        <f>'BASE DE DATOS'!S28</f>
        <v>0.55000000000000004</v>
      </c>
      <c r="T28" s="734">
        <f>'BASE DE DATOS'!T28</f>
        <v>35.799999999999997</v>
      </c>
      <c r="U28" s="734">
        <f>'BASE DE DATOS'!U28</f>
        <v>6</v>
      </c>
      <c r="V28" s="734">
        <f>'BASE DE DATOS'!V28</f>
        <v>203</v>
      </c>
      <c r="W28" s="734">
        <f>'BASE DE DATOS'!W28</f>
        <v>99</v>
      </c>
      <c r="X28" s="734">
        <f>'BASE DE DATOS'!X28</f>
        <v>3.1E-2</v>
      </c>
      <c r="Y28" s="734">
        <f>'BASE DE DATOS'!Y28</f>
        <v>3.5999999999999997E-2</v>
      </c>
      <c r="Z28" s="734">
        <f>'BASE DE DATOS'!Z28</f>
        <v>130</v>
      </c>
      <c r="AA28" s="734">
        <f>'BASE DE DATOS'!AA28</f>
        <v>1.3</v>
      </c>
      <c r="AB28" s="734">
        <f>'BASE DE DATOS'!AB28</f>
        <v>35</v>
      </c>
      <c r="AD28" s="734" t="str">
        <f>'BASE DE DATOS'!AD28</f>
        <v>JUNÍN</v>
      </c>
      <c r="AE28" s="734">
        <f>'BASE DE DATOS'!AE28</f>
        <v>23.3</v>
      </c>
      <c r="AF28" s="734">
        <f>'BASE DE DATOS'!AF28</f>
        <v>22</v>
      </c>
      <c r="AG28" s="734">
        <f>'BASE DE DATOS'!AG28</f>
        <v>19.5</v>
      </c>
      <c r="AH28" s="734">
        <f>'BASE DE DATOS'!AH28</f>
        <v>15.5</v>
      </c>
      <c r="AI28" s="734">
        <f>'BASE DE DATOS'!AI28</f>
        <v>12.7</v>
      </c>
      <c r="AJ28" s="734">
        <f>'BASE DE DATOS'!AJ28</f>
        <v>9.6999999999999993</v>
      </c>
      <c r="AK28" s="734">
        <f>'BASE DE DATOS'!AK28</f>
        <v>9.4</v>
      </c>
      <c r="AL28" s="734">
        <f>'BASE DE DATOS'!AL28</f>
        <v>10.3</v>
      </c>
      <c r="AM28" s="734">
        <f>'BASE DE DATOS'!AM28</f>
        <v>12.7</v>
      </c>
      <c r="AN28" s="734">
        <f>'BASE DE DATOS'!AN28</f>
        <v>15.5</v>
      </c>
      <c r="AO28" s="734">
        <f>'BASE DE DATOS'!AO28</f>
        <v>18.899999999999999</v>
      </c>
      <c r="AP28" s="734">
        <f>'BASE DE DATOS'!AP28</f>
        <v>21.7</v>
      </c>
      <c r="AR28" s="734" t="str">
        <f>'BASE DE DATOS'!AR28</f>
        <v>BAP</v>
      </c>
      <c r="AS28" s="734" t="str">
        <f>'BASE DE DATOS'!AS28</f>
        <v>JUNÍN</v>
      </c>
      <c r="AT28" s="734">
        <f>'BASE DE DATOS'!AT28</f>
        <v>6.5</v>
      </c>
      <c r="AU28" s="734">
        <f>'BASE DE DATOS'!AU28</f>
        <v>5.5</v>
      </c>
      <c r="AV28" s="734">
        <f>'BASE DE DATOS'!AV28</f>
        <v>4.5</v>
      </c>
      <c r="AW28" s="734">
        <f>'BASE DE DATOS'!AW28</f>
        <v>3</v>
      </c>
      <c r="AX28" s="734">
        <f>'BASE DE DATOS'!AX28</f>
        <v>2.5</v>
      </c>
      <c r="AY28" s="734">
        <f>'BASE DE DATOS'!AY28</f>
        <v>2</v>
      </c>
      <c r="AZ28" s="734">
        <f>'BASE DE DATOS'!AZ28</f>
        <v>2</v>
      </c>
      <c r="BA28" s="734">
        <f>'BASE DE DATOS'!BA28</f>
        <v>3</v>
      </c>
      <c r="BB28" s="734">
        <f>'BASE DE DATOS'!BB28</f>
        <v>4</v>
      </c>
      <c r="BC28" s="734">
        <f>'BASE DE DATOS'!BC28</f>
        <v>5</v>
      </c>
      <c r="BD28" s="734">
        <f>'BASE DE DATOS'!BD28</f>
        <v>6</v>
      </c>
      <c r="BE28" s="734">
        <f>'BASE DE DATOS'!BE28</f>
        <v>6.5</v>
      </c>
      <c r="BG28" s="734" t="s">
        <v>72</v>
      </c>
      <c r="BH28" s="538" t="s">
        <v>1351</v>
      </c>
      <c r="BX28" s="734"/>
      <c r="BY28" s="734"/>
      <c r="BZ28" s="734"/>
      <c r="CA28" s="734"/>
      <c r="CB28" s="734"/>
      <c r="CC28" s="734"/>
      <c r="CD28" s="734"/>
      <c r="CE28" s="734">
        <v>0</v>
      </c>
      <c r="DA28" s="734"/>
      <c r="DB28" s="734"/>
      <c r="DO28" s="733" t="str">
        <f>'BASE DE DATOS'!BG28</f>
        <v>BAP</v>
      </c>
      <c r="DP28" s="733" t="str">
        <f>'BASE DE DATOS'!BH28</f>
        <v>JUNÍN</v>
      </c>
      <c r="DQ28" s="733">
        <f>'BASE DE DATOS'!BI28</f>
        <v>104</v>
      </c>
      <c r="DR28" s="733">
        <f>'BASE DE DATOS'!BJ28</f>
        <v>98</v>
      </c>
      <c r="DS28" s="733">
        <f>'BASE DE DATOS'!BK28</f>
        <v>115</v>
      </c>
      <c r="DT28" s="733">
        <f>'BASE DE DATOS'!BL28</f>
        <v>97</v>
      </c>
      <c r="DU28" s="733">
        <f>'BASE DE DATOS'!BM28</f>
        <v>80</v>
      </c>
      <c r="DV28" s="733">
        <f>'BASE DE DATOS'!BN28</f>
        <v>61</v>
      </c>
      <c r="DW28" s="733">
        <f>'BASE DE DATOS'!BO28</f>
        <v>59</v>
      </c>
      <c r="DX28" s="733">
        <f>'BASE DE DATOS'!BP28</f>
        <v>63</v>
      </c>
      <c r="DY28" s="733">
        <f>'BASE DE DATOS'!BQ28</f>
        <v>68</v>
      </c>
      <c r="DZ28" s="733">
        <f>'BASE DE DATOS'!BR28</f>
        <v>104</v>
      </c>
      <c r="EA28" s="733">
        <f>'BASE DE DATOS'!BS28</f>
        <v>98</v>
      </c>
      <c r="EB28" s="733">
        <f>'BASE DE DATOS'!BT28</f>
        <v>93</v>
      </c>
      <c r="FK28" s="731" t="str">
        <f>'BASE DE DATOS'!BV28</f>
        <v>SANTA CRUZ</v>
      </c>
      <c r="FL28" s="731">
        <f>'BASE DE DATOS'!BW28</f>
        <v>51.62</v>
      </c>
      <c r="FM28" s="731">
        <f>'BASE DE DATOS'!BX28</f>
        <v>30</v>
      </c>
      <c r="FN28" s="731">
        <f>'BASE DE DATOS'!BY28</f>
        <v>70</v>
      </c>
      <c r="FO28" s="731">
        <f>'BASE DE DATOS'!BZ28</f>
        <v>30</v>
      </c>
      <c r="FP28" s="731">
        <f>'BASE DE DATOS'!CA28</f>
        <v>20</v>
      </c>
      <c r="FQ28" s="731">
        <f>'BASE DE DATOS'!CB28</f>
        <v>78</v>
      </c>
      <c r="FR28" s="731">
        <f>'BASE DE DATOS'!CC28</f>
        <v>70</v>
      </c>
      <c r="FS28" s="731">
        <f>'BASE DE DATOS'!CD28</f>
        <v>20</v>
      </c>
      <c r="FT28" s="731">
        <f>'BASE DE DATOS'!CE28</f>
        <v>12</v>
      </c>
      <c r="FU28" s="731">
        <f>'BASE DE DATOS'!CF28</f>
        <v>85</v>
      </c>
      <c r="FV28" s="731">
        <f>'BASE DE DATOS'!CG28</f>
        <v>78</v>
      </c>
      <c r="FW28" s="731">
        <f>'BASE DE DATOS'!CH28</f>
        <v>12</v>
      </c>
      <c r="FX28" s="731">
        <f>'BASE DE DATOS'!CI28</f>
        <v>7</v>
      </c>
      <c r="FY28" s="731">
        <f>'BASE DE DATOS'!CJ28</f>
        <v>90</v>
      </c>
      <c r="FZ28" s="731">
        <f>'BASE DE DATOS'!CK28</f>
        <v>85</v>
      </c>
      <c r="GA28" s="731">
        <f>'BASE DE DATOS'!CL28</f>
        <v>7</v>
      </c>
      <c r="GB28" s="731">
        <f>'BASE DE DATOS'!CM28</f>
        <v>0</v>
      </c>
      <c r="GC28" s="731">
        <f>'BASE DE DATOS'!CN28</f>
        <v>0</v>
      </c>
      <c r="GD28" s="731">
        <f>'BASE DE DATOS'!CO28</f>
        <v>0</v>
      </c>
      <c r="GE28" s="731">
        <f>'BASE DE DATOS'!CP28</f>
        <v>0</v>
      </c>
      <c r="GF28" s="731">
        <f>'BASE DE DATOS'!CQ28</f>
        <v>0</v>
      </c>
      <c r="GG28" s="731">
        <f>'BASE DE DATOS'!CR28</f>
        <v>0</v>
      </c>
      <c r="GH28" s="731">
        <f>'BASE DE DATOS'!CS28</f>
        <v>0</v>
      </c>
      <c r="GI28" s="731">
        <f>'BASE DE DATOS'!CT28</f>
        <v>0</v>
      </c>
      <c r="GJ28" s="731">
        <f>'BASE DE DATOS'!CU28</f>
        <v>0</v>
      </c>
      <c r="GM28" s="741"/>
      <c r="GN28" s="741"/>
      <c r="GO28" s="727" t="s">
        <v>1820</v>
      </c>
      <c r="GP28" s="727" t="s">
        <v>1508</v>
      </c>
      <c r="GQ28" s="727">
        <f>SITIO!Y62</f>
        <v>0</v>
      </c>
      <c r="GR28" s="1182"/>
      <c r="GS28" s="741" t="s">
        <v>1983</v>
      </c>
      <c r="GT28" s="727">
        <f>GQ28</f>
        <v>0</v>
      </c>
      <c r="GU28" s="1182"/>
      <c r="GV28" s="741"/>
      <c r="GW28" s="741"/>
      <c r="GX28" s="741"/>
      <c r="GY28" s="741"/>
    </row>
    <row r="29" spans="2:224" ht="16">
      <c r="B29" s="734" t="str">
        <f>'BASE DE DATOS'!B29</f>
        <v>BAP</v>
      </c>
      <c r="C29" s="734" t="str">
        <f>'BASE DE DATOS'!C29</f>
        <v>LAPRIDA</v>
      </c>
      <c r="D29" s="734">
        <f>'BASE DE DATOS'!D29</f>
        <v>37.57</v>
      </c>
      <c r="E29" s="734">
        <f>'BASE DE DATOS'!E29</f>
        <v>60.77</v>
      </c>
      <c r="F29" s="734">
        <f>'BASE DE DATOS'!F29</f>
        <v>212</v>
      </c>
      <c r="G29" s="734" t="str">
        <f>'BASE DE DATOS'!G29</f>
        <v>IVC</v>
      </c>
      <c r="H29" s="734">
        <f>'BASE DE DATOS'!H29</f>
        <v>-3</v>
      </c>
      <c r="I29" s="734">
        <f>'BASE DE DATOS'!I29</f>
        <v>7.9</v>
      </c>
      <c r="J29" s="734">
        <f>'BASE DE DATOS'!J29</f>
        <v>20.6</v>
      </c>
      <c r="K29" s="734">
        <f>'BASE DE DATOS'!K29</f>
        <v>32</v>
      </c>
      <c r="L29" s="734">
        <f>'BASE DE DATOS'!L29</f>
        <v>63</v>
      </c>
      <c r="M29" s="734">
        <f>'BASE DE DATOS'!M29</f>
        <v>68</v>
      </c>
      <c r="N29" s="734">
        <f>'BASE DE DATOS'!N29</f>
        <v>63</v>
      </c>
      <c r="O29" s="734">
        <f>'BASE DE DATOS'!O29</f>
        <v>40</v>
      </c>
      <c r="P29" s="734">
        <f>'BASE DE DATOS'!P29</f>
        <v>76</v>
      </c>
      <c r="Q29" s="734">
        <f>'BASE DE DATOS'!Q29</f>
        <v>4</v>
      </c>
      <c r="R29" s="734">
        <f>'BASE DE DATOS'!R29</f>
        <v>20.8</v>
      </c>
      <c r="S29" s="734">
        <f>'BASE DE DATOS'!S29</f>
        <v>0.53</v>
      </c>
      <c r="T29" s="734">
        <f>'BASE DE DATOS'!T29</f>
        <v>35.799999999999997</v>
      </c>
      <c r="U29" s="734">
        <f>'BASE DE DATOS'!U29</f>
        <v>6</v>
      </c>
      <c r="V29" s="734">
        <f>'BASE DE DATOS'!V29</f>
        <v>203</v>
      </c>
      <c r="W29" s="734">
        <f>'BASE DE DATOS'!W29</f>
        <v>99</v>
      </c>
      <c r="X29" s="734">
        <f>'BASE DE DATOS'!X29</f>
        <v>3.1E-2</v>
      </c>
      <c r="Y29" s="734">
        <f>'BASE DE DATOS'!Y29</f>
        <v>3.5999999999999997E-2</v>
      </c>
      <c r="Z29" s="734">
        <f>'BASE DE DATOS'!Z29</f>
        <v>130</v>
      </c>
      <c r="AA29" s="734">
        <f>'BASE DE DATOS'!AA29</f>
        <v>1.3</v>
      </c>
      <c r="AB29" s="734">
        <f>'BASE DE DATOS'!AB29</f>
        <v>35</v>
      </c>
      <c r="AD29" s="734" t="str">
        <f>'BASE DE DATOS'!AD29</f>
        <v>LAPRIDA</v>
      </c>
      <c r="AE29" s="734">
        <f>'BASE DE DATOS'!AE29</f>
        <v>22.1</v>
      </c>
      <c r="AF29" s="734">
        <f>'BASE DE DATOS'!AF29</f>
        <v>21</v>
      </c>
      <c r="AG29" s="734">
        <f>'BASE DE DATOS'!AG29</f>
        <v>18.600000000000001</v>
      </c>
      <c r="AH29" s="734">
        <f>'BASE DE DATOS'!AH29</f>
        <v>12.9</v>
      </c>
      <c r="AI29" s="734">
        <f>'BASE DE DATOS'!AI29</f>
        <v>10.3</v>
      </c>
      <c r="AJ29" s="734">
        <f>'BASE DE DATOS'!AJ29</f>
        <v>7.1</v>
      </c>
      <c r="AK29" s="734">
        <f>'BASE DE DATOS'!AK29</f>
        <v>7</v>
      </c>
      <c r="AL29" s="734">
        <f>'BASE DE DATOS'!AL29</f>
        <v>8.1999999999999993</v>
      </c>
      <c r="AM29" s="734">
        <f>'BASE DE DATOS'!AM29</f>
        <v>10.199999999999999</v>
      </c>
      <c r="AN29" s="734">
        <f>'BASE DE DATOS'!AN29</f>
        <v>13.2</v>
      </c>
      <c r="AO29" s="734">
        <f>'BASE DE DATOS'!AO29</f>
        <v>16.899999999999999</v>
      </c>
      <c r="AP29" s="734">
        <f>'BASE DE DATOS'!AP29</f>
        <v>19.5</v>
      </c>
      <c r="AR29" s="734" t="str">
        <f>'BASE DE DATOS'!AR29</f>
        <v>BAP</v>
      </c>
      <c r="AS29" s="734" t="str">
        <f>'BASE DE DATOS'!AS29</f>
        <v>LAPRIDA</v>
      </c>
      <c r="AT29" s="734">
        <f>'BASE DE DATOS'!AT29</f>
        <v>6.5</v>
      </c>
      <c r="AU29" s="734">
        <f>'BASE DE DATOS'!AU29</f>
        <v>6</v>
      </c>
      <c r="AV29" s="734">
        <f>'BASE DE DATOS'!AV29</f>
        <v>4.5</v>
      </c>
      <c r="AW29" s="734">
        <f>'BASE DE DATOS'!AW29</f>
        <v>3</v>
      </c>
      <c r="AX29" s="734">
        <f>'BASE DE DATOS'!AX29</f>
        <v>2</v>
      </c>
      <c r="AY29" s="734">
        <f>'BASE DE DATOS'!AY29</f>
        <v>1.5</v>
      </c>
      <c r="AZ29" s="734">
        <f>'BASE DE DATOS'!AZ29</f>
        <v>1.5</v>
      </c>
      <c r="BA29" s="734">
        <f>'BASE DE DATOS'!BA29</f>
        <v>2.5</v>
      </c>
      <c r="BB29" s="734">
        <f>'BASE DE DATOS'!BB29</f>
        <v>3.5</v>
      </c>
      <c r="BC29" s="734">
        <f>'BASE DE DATOS'!BC29</f>
        <v>5</v>
      </c>
      <c r="BD29" s="734">
        <f>'BASE DE DATOS'!BD29</f>
        <v>6</v>
      </c>
      <c r="BE29" s="734">
        <f>'BASE DE DATOS'!BE29</f>
        <v>7</v>
      </c>
      <c r="BG29" s="734" t="s">
        <v>61</v>
      </c>
      <c r="BH29" s="538" t="s">
        <v>1351</v>
      </c>
      <c r="BX29" s="734"/>
      <c r="BY29" s="734"/>
      <c r="BZ29" s="734"/>
      <c r="CA29" s="734"/>
      <c r="CE29" s="734">
        <v>0</v>
      </c>
      <c r="DA29" s="734"/>
      <c r="DB29" s="734"/>
      <c r="DO29" s="733" t="str">
        <f>'BASE DE DATOS'!BG29</f>
        <v>BAP</v>
      </c>
      <c r="DP29" s="733" t="str">
        <f>'BASE DE DATOS'!BH29</f>
        <v>LAPRIDA</v>
      </c>
      <c r="DQ29" s="733">
        <f>'BASE DE DATOS'!BI29</f>
        <v>104</v>
      </c>
      <c r="DR29" s="733">
        <f>'BASE DE DATOS'!BJ29</f>
        <v>98</v>
      </c>
      <c r="DS29" s="733">
        <f>'BASE DE DATOS'!BK29</f>
        <v>115</v>
      </c>
      <c r="DT29" s="733">
        <f>'BASE DE DATOS'!BL29</f>
        <v>97</v>
      </c>
      <c r="DU29" s="733">
        <f>'BASE DE DATOS'!BM29</f>
        <v>80</v>
      </c>
      <c r="DV29" s="733">
        <f>'BASE DE DATOS'!BN29</f>
        <v>61</v>
      </c>
      <c r="DW29" s="733">
        <f>'BASE DE DATOS'!BO29</f>
        <v>59</v>
      </c>
      <c r="DX29" s="733">
        <f>'BASE DE DATOS'!BP29</f>
        <v>63</v>
      </c>
      <c r="DY29" s="733">
        <f>'BASE DE DATOS'!BQ29</f>
        <v>68</v>
      </c>
      <c r="DZ29" s="733">
        <f>'BASE DE DATOS'!BR29</f>
        <v>104</v>
      </c>
      <c r="EA29" s="733">
        <f>'BASE DE DATOS'!BS29</f>
        <v>98</v>
      </c>
      <c r="EB29" s="733">
        <f>'BASE DE DATOS'!BT29</f>
        <v>93</v>
      </c>
      <c r="FK29" s="731" t="str">
        <f>'BASE DE DATOS'!BV29</f>
        <v>TIERRA DEL FUEGO</v>
      </c>
      <c r="FL29" s="731">
        <f>'BASE DE DATOS'!BW29</f>
        <v>54.8</v>
      </c>
      <c r="FM29" s="731">
        <f>'BASE DE DATOS'!BX29</f>
        <v>30</v>
      </c>
      <c r="FN29" s="731">
        <f>'BASE DE DATOS'!BY29</f>
        <v>70</v>
      </c>
      <c r="FO29" s="731">
        <f>'BASE DE DATOS'!BZ29</f>
        <v>30</v>
      </c>
      <c r="FP29" s="731">
        <f>'BASE DE DATOS'!CA29</f>
        <v>20</v>
      </c>
      <c r="FQ29" s="731">
        <f>'BASE DE DATOS'!CB29</f>
        <v>79</v>
      </c>
      <c r="FR29" s="731">
        <f>'BASE DE DATOS'!CC29</f>
        <v>70</v>
      </c>
      <c r="FS29" s="731">
        <f>'BASE DE DATOS'!CD29</f>
        <v>20</v>
      </c>
      <c r="FT29" s="731">
        <f>'BASE DE DATOS'!CE29</f>
        <v>12</v>
      </c>
      <c r="FU29" s="731">
        <f>'BASE DE DATOS'!CF29</f>
        <v>85</v>
      </c>
      <c r="FV29" s="731">
        <f>'BASE DE DATOS'!CG29</f>
        <v>79</v>
      </c>
      <c r="FW29" s="731">
        <f>'BASE DE DATOS'!CH29</f>
        <v>12</v>
      </c>
      <c r="FX29" s="731">
        <f>'BASE DE DATOS'!CI29</f>
        <v>5</v>
      </c>
      <c r="FY29" s="731">
        <f>'BASE DE DATOS'!CJ29</f>
        <v>90</v>
      </c>
      <c r="FZ29" s="731">
        <f>'BASE DE DATOS'!CK29</f>
        <v>85</v>
      </c>
      <c r="GA29" s="731">
        <f>'BASE DE DATOS'!CL29</f>
        <v>5</v>
      </c>
      <c r="GB29" s="731">
        <f>'BASE DE DATOS'!CM29</f>
        <v>1</v>
      </c>
      <c r="GC29" s="731">
        <f>'BASE DE DATOS'!CN29</f>
        <v>0</v>
      </c>
      <c r="GD29" s="731">
        <f>'BASE DE DATOS'!CO29</f>
        <v>0</v>
      </c>
      <c r="GE29" s="731">
        <f>'BASE DE DATOS'!CP29</f>
        <v>0</v>
      </c>
      <c r="GF29" s="731">
        <f>'BASE DE DATOS'!CQ29</f>
        <v>0</v>
      </c>
      <c r="GG29" s="731">
        <f>'BASE DE DATOS'!CR29</f>
        <v>0</v>
      </c>
      <c r="GH29" s="731">
        <f>'BASE DE DATOS'!CS29</f>
        <v>0</v>
      </c>
      <c r="GI29" s="731">
        <f>'BASE DE DATOS'!CT29</f>
        <v>0</v>
      </c>
      <c r="GJ29" s="731">
        <f>'BASE DE DATOS'!CU29</f>
        <v>0</v>
      </c>
      <c r="GM29" s="741"/>
      <c r="GN29" s="741"/>
      <c r="GO29" s="741"/>
      <c r="GP29" s="741"/>
      <c r="GQ29" s="741"/>
      <c r="GR29" s="741"/>
      <c r="GS29" s="741"/>
      <c r="GT29" s="741"/>
      <c r="GU29" s="741"/>
      <c r="GV29" s="741"/>
      <c r="GW29" s="741"/>
      <c r="GX29" s="741"/>
      <c r="GY29" s="741"/>
    </row>
    <row r="30" spans="2:224" ht="16">
      <c r="B30" s="734" t="str">
        <f>'BASE DE DATOS'!B30</f>
        <v>BAP</v>
      </c>
      <c r="C30" s="734" t="str">
        <f>'BASE DE DATOS'!C30</f>
        <v>LAS FLORES</v>
      </c>
      <c r="D30" s="734">
        <f>'BASE DE DATOS'!D30</f>
        <v>36.03</v>
      </c>
      <c r="E30" s="734">
        <f>'BASE DE DATOS'!E30</f>
        <v>59.1</v>
      </c>
      <c r="F30" s="734">
        <f>'BASE DE DATOS'!F30</f>
        <v>34</v>
      </c>
      <c r="G30" s="734" t="str">
        <f>'BASE DE DATOS'!G30</f>
        <v>IIIA</v>
      </c>
      <c r="H30" s="734">
        <f>'BASE DE DATOS'!H30</f>
        <v>-1.5</v>
      </c>
      <c r="I30" s="734">
        <f>'BASE DE DATOS'!I30</f>
        <v>9.1</v>
      </c>
      <c r="J30" s="734">
        <f>'BASE DE DATOS'!J30</f>
        <v>21.5</v>
      </c>
      <c r="K30" s="734">
        <f>'BASE DE DATOS'!K30</f>
        <v>32.299999999999997</v>
      </c>
      <c r="L30" s="734">
        <f>'BASE DE DATOS'!L30</f>
        <v>67</v>
      </c>
      <c r="M30" s="734">
        <f>'BASE DE DATOS'!M30</f>
        <v>81</v>
      </c>
      <c r="N30" s="734">
        <f>'BASE DE DATOS'!N30</f>
        <v>67</v>
      </c>
      <c r="O30" s="734">
        <f>'BASE DE DATOS'!O30</f>
        <v>51</v>
      </c>
      <c r="P30" s="734">
        <f>'BASE DE DATOS'!P30</f>
        <v>79</v>
      </c>
      <c r="Q30" s="734">
        <f>'BASE DE DATOS'!Q30</f>
        <v>3</v>
      </c>
      <c r="R30" s="734">
        <f>'BASE DE DATOS'!R30</f>
        <v>20.7</v>
      </c>
      <c r="S30" s="734">
        <f>'BASE DE DATOS'!S30</f>
        <v>0.53</v>
      </c>
      <c r="T30" s="734">
        <f>'BASE DE DATOS'!T30</f>
        <v>35.799999999999997</v>
      </c>
      <c r="U30" s="734">
        <f>'BASE DE DATOS'!U30</f>
        <v>6</v>
      </c>
      <c r="V30" s="734">
        <f>'BASE DE DATOS'!V30</f>
        <v>203</v>
      </c>
      <c r="W30" s="734">
        <f>'BASE DE DATOS'!W30</f>
        <v>99</v>
      </c>
      <c r="X30" s="734">
        <f>'BASE DE DATOS'!X30</f>
        <v>3.1E-2</v>
      </c>
      <c r="Y30" s="734">
        <f>'BASE DE DATOS'!Y30</f>
        <v>3.5999999999999997E-2</v>
      </c>
      <c r="Z30" s="734">
        <f>'BASE DE DATOS'!Z30</f>
        <v>130</v>
      </c>
      <c r="AA30" s="734">
        <f>'BASE DE DATOS'!AA30</f>
        <v>1.3</v>
      </c>
      <c r="AB30" s="734">
        <f>'BASE DE DATOS'!AB30</f>
        <v>35</v>
      </c>
      <c r="AD30" s="734" t="str">
        <f>'BASE DE DATOS'!AD30</f>
        <v>LAS FLORES</v>
      </c>
      <c r="AE30" s="734">
        <f>'BASE DE DATOS'!AE30</f>
        <v>22.8</v>
      </c>
      <c r="AF30" s="734">
        <f>'BASE DE DATOS'!AF30</f>
        <v>21.9</v>
      </c>
      <c r="AG30" s="734">
        <f>'BASE DE DATOS'!AG30</f>
        <v>19</v>
      </c>
      <c r="AH30" s="734">
        <f>'BASE DE DATOS'!AH30</f>
        <v>14.8</v>
      </c>
      <c r="AI30" s="734">
        <f>'BASE DE DATOS'!AI30</f>
        <v>11.8</v>
      </c>
      <c r="AJ30" s="734">
        <f>'BASE DE DATOS'!AJ30</f>
        <v>9</v>
      </c>
      <c r="AK30" s="734">
        <f>'BASE DE DATOS'!AK30</f>
        <v>9.1</v>
      </c>
      <c r="AL30" s="734">
        <f>'BASE DE DATOS'!AL30</f>
        <v>9.6</v>
      </c>
      <c r="AM30" s="734">
        <f>'BASE DE DATOS'!AM30</f>
        <v>12.1</v>
      </c>
      <c r="AN30" s="734">
        <f>'BASE DE DATOS'!AN30</f>
        <v>15</v>
      </c>
      <c r="AO30" s="734">
        <f>'BASE DE DATOS'!AO30</f>
        <v>18.399999999999999</v>
      </c>
      <c r="AP30" s="734">
        <f>'BASE DE DATOS'!AP30</f>
        <v>20.9</v>
      </c>
      <c r="AR30" s="734" t="str">
        <f>'BASE DE DATOS'!AR30</f>
        <v>BAP</v>
      </c>
      <c r="AS30" s="734" t="str">
        <f>'BASE DE DATOS'!AS30</f>
        <v>LAS FLORES</v>
      </c>
      <c r="AT30" s="734">
        <f>'BASE DE DATOS'!AT30</f>
        <v>6.5</v>
      </c>
      <c r="AU30" s="734">
        <f>'BASE DE DATOS'!AU30</f>
        <v>6</v>
      </c>
      <c r="AV30" s="734">
        <f>'BASE DE DATOS'!AV30</f>
        <v>4.5</v>
      </c>
      <c r="AW30" s="734">
        <f>'BASE DE DATOS'!AW30</f>
        <v>3</v>
      </c>
      <c r="AX30" s="734">
        <f>'BASE DE DATOS'!AX30</f>
        <v>2</v>
      </c>
      <c r="AY30" s="734">
        <f>'BASE DE DATOS'!AY30</f>
        <v>1.5</v>
      </c>
      <c r="AZ30" s="734">
        <f>'BASE DE DATOS'!AZ30</f>
        <v>2</v>
      </c>
      <c r="BA30" s="734">
        <f>'BASE DE DATOS'!BA30</f>
        <v>2.5</v>
      </c>
      <c r="BB30" s="734">
        <f>'BASE DE DATOS'!BB30</f>
        <v>3.5</v>
      </c>
      <c r="BC30" s="734">
        <f>'BASE DE DATOS'!BC30</f>
        <v>5</v>
      </c>
      <c r="BD30" s="734">
        <f>'BASE DE DATOS'!BD30</f>
        <v>6</v>
      </c>
      <c r="BE30" s="734">
        <f>'BASE DE DATOS'!BE30</f>
        <v>6.5</v>
      </c>
      <c r="BG30" s="734" t="s">
        <v>38</v>
      </c>
      <c r="BH30" s="538" t="s">
        <v>1351</v>
      </c>
      <c r="BX30" s="734"/>
      <c r="BY30" s="734"/>
      <c r="BZ30" s="734"/>
      <c r="CA30" s="734"/>
      <c r="CE30" s="734">
        <v>0</v>
      </c>
      <c r="DO30" s="733" t="str">
        <f>'BASE DE DATOS'!BG30</f>
        <v>BAP</v>
      </c>
      <c r="DP30" s="733" t="str">
        <f>'BASE DE DATOS'!BH30</f>
        <v>LAS FLORES</v>
      </c>
      <c r="DQ30" s="733">
        <f>'BASE DE DATOS'!BI30</f>
        <v>104</v>
      </c>
      <c r="DR30" s="733">
        <f>'BASE DE DATOS'!BJ30</f>
        <v>98</v>
      </c>
      <c r="DS30" s="733">
        <f>'BASE DE DATOS'!BK30</f>
        <v>115</v>
      </c>
      <c r="DT30" s="733">
        <f>'BASE DE DATOS'!BL30</f>
        <v>97</v>
      </c>
      <c r="DU30" s="733">
        <f>'BASE DE DATOS'!BM30</f>
        <v>80</v>
      </c>
      <c r="DV30" s="733">
        <f>'BASE DE DATOS'!BN30</f>
        <v>61</v>
      </c>
      <c r="DW30" s="733">
        <f>'BASE DE DATOS'!BO30</f>
        <v>59</v>
      </c>
      <c r="DX30" s="733">
        <f>'BASE DE DATOS'!BP30</f>
        <v>63</v>
      </c>
      <c r="DY30" s="733">
        <f>'BASE DE DATOS'!BQ30</f>
        <v>68</v>
      </c>
      <c r="DZ30" s="733">
        <f>'BASE DE DATOS'!BR30</f>
        <v>104</v>
      </c>
      <c r="EA30" s="733">
        <f>'BASE DE DATOS'!BS30</f>
        <v>98</v>
      </c>
      <c r="EB30" s="733">
        <f>'BASE DE DATOS'!BT30</f>
        <v>93</v>
      </c>
      <c r="FK30" s="734"/>
      <c r="FL30" s="734">
        <v>1</v>
      </c>
      <c r="FM30" s="734">
        <v>2</v>
      </c>
      <c r="FN30" s="734">
        <v>3</v>
      </c>
      <c r="FO30" s="734">
        <v>4</v>
      </c>
      <c r="FP30" s="734">
        <v>5</v>
      </c>
      <c r="FQ30" s="734">
        <v>6</v>
      </c>
      <c r="FR30" s="734">
        <v>7</v>
      </c>
      <c r="FS30" s="734">
        <v>8</v>
      </c>
      <c r="FT30" s="734">
        <v>9</v>
      </c>
      <c r="FU30" s="734">
        <v>10</v>
      </c>
      <c r="FV30" s="734">
        <v>11</v>
      </c>
      <c r="FW30" s="734">
        <v>12</v>
      </c>
      <c r="FX30" s="734">
        <v>13</v>
      </c>
      <c r="FY30" s="734">
        <v>14</v>
      </c>
      <c r="FZ30" s="734">
        <v>15</v>
      </c>
      <c r="GA30" s="734">
        <v>16</v>
      </c>
      <c r="GB30" s="734">
        <v>17</v>
      </c>
      <c r="GC30" s="734">
        <v>18</v>
      </c>
      <c r="GD30" s="734">
        <v>19</v>
      </c>
      <c r="GE30" s="734">
        <v>20</v>
      </c>
      <c r="GF30" s="734">
        <v>21</v>
      </c>
      <c r="GG30" s="734">
        <v>22</v>
      </c>
      <c r="GH30" s="734">
        <v>23</v>
      </c>
      <c r="GI30" s="734">
        <v>24</v>
      </c>
      <c r="GJ30" s="734">
        <v>25</v>
      </c>
      <c r="GM30" s="741"/>
      <c r="GN30" s="741"/>
      <c r="GO30" s="741"/>
      <c r="GP30" s="741"/>
      <c r="GQ30" s="741"/>
      <c r="GR30" s="741"/>
      <c r="GS30" s="741"/>
      <c r="GT30" s="741"/>
      <c r="GU30" s="741"/>
      <c r="GV30" s="741"/>
      <c r="GW30" s="741"/>
      <c r="GX30" s="741"/>
      <c r="GY30" s="741"/>
    </row>
    <row r="31" spans="2:224" ht="16">
      <c r="B31" s="734" t="str">
        <f>'BASE DE DATOS'!B31</f>
        <v>BAP</v>
      </c>
      <c r="C31" s="734" t="str">
        <f>'BASE DE DATOS'!C31</f>
        <v>LÓPEZ JUÁREZ</v>
      </c>
      <c r="D31" s="734">
        <f>'BASE DE DATOS'!D31</f>
        <v>37.53</v>
      </c>
      <c r="E31" s="734">
        <f>'BASE DE DATOS'!E31</f>
        <v>59.57</v>
      </c>
      <c r="F31" s="734">
        <f>'BASE DE DATOS'!F31</f>
        <v>233</v>
      </c>
      <c r="G31" s="734" t="str">
        <f>'BASE DE DATOS'!G31</f>
        <v>IVC</v>
      </c>
      <c r="H31" s="734">
        <f>'BASE DE DATOS'!H31</f>
        <v>-3.2</v>
      </c>
      <c r="I31" s="734">
        <f>'BASE DE DATOS'!I31</f>
        <v>7.1</v>
      </c>
      <c r="J31" s="734">
        <f>'BASE DE DATOS'!J31</f>
        <v>19.2</v>
      </c>
      <c r="K31" s="734">
        <f>'BASE DE DATOS'!K31</f>
        <v>30.8</v>
      </c>
      <c r="L31" s="734">
        <f>'BASE DE DATOS'!L31</f>
        <v>65</v>
      </c>
      <c r="M31" s="734">
        <f>'BASE DE DATOS'!M31</f>
        <v>83</v>
      </c>
      <c r="N31" s="734">
        <f>'BASE DE DATOS'!N31</f>
        <v>65</v>
      </c>
      <c r="O31" s="734">
        <f>'BASE DE DATOS'!O31</f>
        <v>46</v>
      </c>
      <c r="P31" s="734">
        <f>'BASE DE DATOS'!P31</f>
        <v>82</v>
      </c>
      <c r="Q31" s="734">
        <f>'BASE DE DATOS'!Q31</f>
        <v>4</v>
      </c>
      <c r="R31" s="734">
        <f>'BASE DE DATOS'!R31</f>
        <v>19.100000000000001</v>
      </c>
      <c r="S31" s="734">
        <f>'BASE DE DATOS'!S31</f>
        <v>0.53</v>
      </c>
      <c r="T31" s="734">
        <f>'BASE DE DATOS'!T31</f>
        <v>35.799999999999997</v>
      </c>
      <c r="U31" s="734">
        <f>'BASE DE DATOS'!U31</f>
        <v>6</v>
      </c>
      <c r="V31" s="734">
        <f>'BASE DE DATOS'!V31</f>
        <v>203</v>
      </c>
      <c r="W31" s="734">
        <f>'BASE DE DATOS'!W31</f>
        <v>99</v>
      </c>
      <c r="X31" s="734">
        <f>'BASE DE DATOS'!X31</f>
        <v>3.1E-2</v>
      </c>
      <c r="Y31" s="734">
        <f>'BASE DE DATOS'!Y31</f>
        <v>3.5999999999999997E-2</v>
      </c>
      <c r="Z31" s="734">
        <f>'BASE DE DATOS'!Z31</f>
        <v>130</v>
      </c>
      <c r="AA31" s="734">
        <f>'BASE DE DATOS'!AA31</f>
        <v>1.3</v>
      </c>
      <c r="AB31" s="734">
        <f>'BASE DE DATOS'!AB31</f>
        <v>35</v>
      </c>
      <c r="AD31" s="734" t="str">
        <f>'BASE DE DATOS'!AD31</f>
        <v>LÓPEZ JUÁREZ</v>
      </c>
      <c r="AE31" s="734">
        <f>'BASE DE DATOS'!AE31</f>
        <v>21.3</v>
      </c>
      <c r="AF31" s="734">
        <f>'BASE DE DATOS'!AF31</f>
        <v>20.5</v>
      </c>
      <c r="AG31" s="734">
        <f>'BASE DE DATOS'!AG31</f>
        <v>18.100000000000001</v>
      </c>
      <c r="AH31" s="734">
        <f>'BASE DE DATOS'!AH31</f>
        <v>12.8</v>
      </c>
      <c r="AI31" s="734">
        <f>'BASE DE DATOS'!AI31</f>
        <v>9.8000000000000007</v>
      </c>
      <c r="AJ31" s="734">
        <f>'BASE DE DATOS'!AJ31</f>
        <v>7.1</v>
      </c>
      <c r="AK31" s="734">
        <f>'BASE DE DATOS'!AK31</f>
        <v>7</v>
      </c>
      <c r="AL31" s="734">
        <f>'BASE DE DATOS'!AL31</f>
        <v>8.1</v>
      </c>
      <c r="AM31" s="734">
        <f>'BASE DE DATOS'!AM31</f>
        <v>9.8000000000000007</v>
      </c>
      <c r="AN31" s="734">
        <f>'BASE DE DATOS'!AN31</f>
        <v>12.6</v>
      </c>
      <c r="AO31" s="734">
        <f>'BASE DE DATOS'!AO31</f>
        <v>16.100000000000001</v>
      </c>
      <c r="AP31" s="734">
        <f>'BASE DE DATOS'!AP31</f>
        <v>18.5</v>
      </c>
      <c r="AR31" s="734" t="str">
        <f>'BASE DE DATOS'!AR31</f>
        <v>BAP</v>
      </c>
      <c r="AS31" s="734" t="str">
        <f>'BASE DE DATOS'!AS31</f>
        <v>LÓPEZ JUÁREZ</v>
      </c>
      <c r="AT31" s="734">
        <f>'BASE DE DATOS'!AT31</f>
        <v>6.5</v>
      </c>
      <c r="AU31" s="734">
        <f>'BASE DE DATOS'!AU31</f>
        <v>6</v>
      </c>
      <c r="AV31" s="734">
        <f>'BASE DE DATOS'!AV31</f>
        <v>4.5</v>
      </c>
      <c r="AW31" s="734">
        <f>'BASE DE DATOS'!AW31</f>
        <v>3</v>
      </c>
      <c r="AX31" s="734">
        <f>'BASE DE DATOS'!AX31</f>
        <v>2</v>
      </c>
      <c r="AY31" s="734">
        <f>'BASE DE DATOS'!AY31</f>
        <v>1.5</v>
      </c>
      <c r="AZ31" s="734">
        <f>'BASE DE DATOS'!AZ31</f>
        <v>1.5</v>
      </c>
      <c r="BA31" s="734">
        <f>'BASE DE DATOS'!BA31</f>
        <v>2.5</v>
      </c>
      <c r="BB31" s="734">
        <f>'BASE DE DATOS'!BB31</f>
        <v>3.5</v>
      </c>
      <c r="BC31" s="734">
        <f>'BASE DE DATOS'!BC31</f>
        <v>5</v>
      </c>
      <c r="BD31" s="734">
        <f>'BASE DE DATOS'!BD31</f>
        <v>6</v>
      </c>
      <c r="BE31" s="734">
        <f>'BASE DE DATOS'!BE31</f>
        <v>6.5</v>
      </c>
      <c r="BG31" s="734" t="s">
        <v>47</v>
      </c>
      <c r="BH31" s="538" t="s">
        <v>1351</v>
      </c>
      <c r="BX31" s="734"/>
      <c r="BY31" s="734"/>
      <c r="BZ31" s="734"/>
      <c r="CA31" s="734"/>
      <c r="CE31" s="734">
        <v>0</v>
      </c>
      <c r="DO31" s="733" t="str">
        <f>'BASE DE DATOS'!BG31</f>
        <v>BAP</v>
      </c>
      <c r="DP31" s="733" t="str">
        <f>'BASE DE DATOS'!BH31</f>
        <v>LÓPEZ JUÁREZ</v>
      </c>
      <c r="DQ31" s="733">
        <f>'BASE DE DATOS'!BI31</f>
        <v>104</v>
      </c>
      <c r="DR31" s="733">
        <f>'BASE DE DATOS'!BJ31</f>
        <v>98</v>
      </c>
      <c r="DS31" s="733">
        <f>'BASE DE DATOS'!BK31</f>
        <v>115</v>
      </c>
      <c r="DT31" s="733">
        <f>'BASE DE DATOS'!BL31</f>
        <v>97</v>
      </c>
      <c r="DU31" s="733">
        <f>'BASE DE DATOS'!BM31</f>
        <v>80</v>
      </c>
      <c r="DV31" s="733">
        <f>'BASE DE DATOS'!BN31</f>
        <v>61</v>
      </c>
      <c r="DW31" s="733">
        <f>'BASE DE DATOS'!BO31</f>
        <v>59</v>
      </c>
      <c r="DX31" s="733">
        <f>'BASE DE DATOS'!BP31</f>
        <v>63</v>
      </c>
      <c r="DY31" s="733">
        <f>'BASE DE DATOS'!BQ31</f>
        <v>68</v>
      </c>
      <c r="DZ31" s="733">
        <f>'BASE DE DATOS'!BR31</f>
        <v>104</v>
      </c>
      <c r="EA31" s="733">
        <f>'BASE DE DATOS'!BS31</f>
        <v>98</v>
      </c>
      <c r="EB31" s="733">
        <f>'BASE DE DATOS'!BT31</f>
        <v>93</v>
      </c>
      <c r="GM31" s="741"/>
      <c r="GN31" s="741"/>
      <c r="GO31" s="741"/>
      <c r="GP31" s="741"/>
      <c r="GQ31" s="741"/>
      <c r="GR31" s="741"/>
      <c r="GS31" s="741"/>
      <c r="GT31" s="741"/>
      <c r="GU31" s="741"/>
      <c r="GV31" s="741"/>
      <c r="GW31" s="741"/>
      <c r="GX31" s="741"/>
      <c r="GY31" s="741"/>
    </row>
    <row r="32" spans="2:224" ht="16">
      <c r="B32" s="734" t="str">
        <f>'BASE DE DATOS'!B32</f>
        <v>BAP</v>
      </c>
      <c r="C32" s="734" t="str">
        <f>'BASE DE DATOS'!C32</f>
        <v>MAR DEL PLATA AERO</v>
      </c>
      <c r="D32" s="734">
        <f>'BASE DE DATOS'!D32</f>
        <v>37.93</v>
      </c>
      <c r="E32" s="734">
        <f>'BASE DE DATOS'!E32</f>
        <v>57.58</v>
      </c>
      <c r="F32" s="734">
        <f>'BASE DE DATOS'!F32</f>
        <v>24</v>
      </c>
      <c r="G32" s="734" t="str">
        <f>'BASE DE DATOS'!G32</f>
        <v>IVD</v>
      </c>
      <c r="H32" s="734">
        <f>'BASE DE DATOS'!H32</f>
        <v>-1</v>
      </c>
      <c r="I32" s="734">
        <f>'BASE DE DATOS'!I32</f>
        <v>8.5</v>
      </c>
      <c r="J32" s="734">
        <f>'BASE DE DATOS'!J32</f>
        <v>19.2</v>
      </c>
      <c r="K32" s="734">
        <f>'BASE DE DATOS'!K32</f>
        <v>28.4</v>
      </c>
      <c r="L32" s="734">
        <f>'BASE DE DATOS'!L32</f>
        <v>76</v>
      </c>
      <c r="M32" s="734">
        <f>'BASE DE DATOS'!M32</f>
        <v>84</v>
      </c>
      <c r="N32" s="734">
        <f>'BASE DE DATOS'!N32</f>
        <v>76</v>
      </c>
      <c r="O32" s="734">
        <f>'BASE DE DATOS'!O32</f>
        <v>72</v>
      </c>
      <c r="P32" s="734">
        <f>'BASE DE DATOS'!P32</f>
        <v>87</v>
      </c>
      <c r="Q32" s="734">
        <f>'BASE DE DATOS'!Q32</f>
        <v>4</v>
      </c>
      <c r="R32" s="734">
        <f>'BASE DE DATOS'!R32</f>
        <v>19.100000000000001</v>
      </c>
      <c r="S32" s="734">
        <f>'BASE DE DATOS'!S32</f>
        <v>0.53</v>
      </c>
      <c r="T32" s="734">
        <f>'BASE DE DATOS'!T32</f>
        <v>35.799999999999997</v>
      </c>
      <c r="U32" s="734">
        <f>'BASE DE DATOS'!U32</f>
        <v>6</v>
      </c>
      <c r="V32" s="734">
        <f>'BASE DE DATOS'!V32</f>
        <v>203</v>
      </c>
      <c r="W32" s="734">
        <f>'BASE DE DATOS'!W32</f>
        <v>99</v>
      </c>
      <c r="X32" s="734">
        <f>'BASE DE DATOS'!X32</f>
        <v>3.1E-2</v>
      </c>
      <c r="Y32" s="734">
        <f>'BASE DE DATOS'!Y32</f>
        <v>3.5999999999999997E-2</v>
      </c>
      <c r="Z32" s="734">
        <f>'BASE DE DATOS'!Z32</f>
        <v>130</v>
      </c>
      <c r="AA32" s="734">
        <f>'BASE DE DATOS'!AA32</f>
        <v>1.3</v>
      </c>
      <c r="AB32" s="734">
        <f>'BASE DE DATOS'!AB32</f>
        <v>35</v>
      </c>
      <c r="AD32" s="734" t="str">
        <f>'BASE DE DATOS'!AD32</f>
        <v>MAR DEL PLATA AERO</v>
      </c>
      <c r="AE32" s="734">
        <f>'BASE DE DATOS'!AE32</f>
        <v>19.7</v>
      </c>
      <c r="AF32" s="734">
        <f>'BASE DE DATOS'!AF32</f>
        <v>19.600000000000001</v>
      </c>
      <c r="AG32" s="734">
        <f>'BASE DE DATOS'!AG32</f>
        <v>17.399999999999999</v>
      </c>
      <c r="AH32" s="734">
        <f>'BASE DE DATOS'!AH32</f>
        <v>14.2</v>
      </c>
      <c r="AI32" s="734">
        <f>'BASE DE DATOS'!AI32</f>
        <v>11.3</v>
      </c>
      <c r="AJ32" s="734">
        <f>'BASE DE DATOS'!AJ32</f>
        <v>8.5</v>
      </c>
      <c r="AK32" s="734">
        <f>'BASE DE DATOS'!AK32</f>
        <v>8.1999999999999993</v>
      </c>
      <c r="AL32" s="734">
        <f>'BASE DE DATOS'!AL32</f>
        <v>8.8000000000000007</v>
      </c>
      <c r="AM32" s="734">
        <f>'BASE DE DATOS'!AM32</f>
        <v>10.4</v>
      </c>
      <c r="AN32" s="734">
        <f>'BASE DE DATOS'!AN32</f>
        <v>12.6</v>
      </c>
      <c r="AO32" s="734">
        <f>'BASE DE DATOS'!AO32</f>
        <v>15.9</v>
      </c>
      <c r="AP32" s="734">
        <f>'BASE DE DATOS'!AP32</f>
        <v>18.3</v>
      </c>
      <c r="AR32" s="734" t="str">
        <f>'BASE DE DATOS'!AR32</f>
        <v>BAP</v>
      </c>
      <c r="AS32" s="734" t="str">
        <f>'BASE DE DATOS'!AS32</f>
        <v>MAR DEL PLATA AERO</v>
      </c>
      <c r="AT32" s="734">
        <f>'BASE DE DATOS'!AT32</f>
        <v>6.5</v>
      </c>
      <c r="AU32" s="734">
        <f>'BASE DE DATOS'!AU32</f>
        <v>5.5</v>
      </c>
      <c r="AV32" s="734">
        <f>'BASE DE DATOS'!AV32</f>
        <v>5</v>
      </c>
      <c r="AW32" s="734">
        <f>'BASE DE DATOS'!AW32</f>
        <v>3</v>
      </c>
      <c r="AX32" s="734">
        <f>'BASE DE DATOS'!AX32</f>
        <v>2</v>
      </c>
      <c r="AY32" s="734">
        <f>'BASE DE DATOS'!AY32</f>
        <v>1.5</v>
      </c>
      <c r="AZ32" s="734">
        <f>'BASE DE DATOS'!AZ32</f>
        <v>1.5</v>
      </c>
      <c r="BA32" s="734">
        <f>'BASE DE DATOS'!BA32</f>
        <v>2.5</v>
      </c>
      <c r="BB32" s="734">
        <f>'BASE DE DATOS'!BB32</f>
        <v>3.5</v>
      </c>
      <c r="BC32" s="734">
        <f>'BASE DE DATOS'!BC32</f>
        <v>5</v>
      </c>
      <c r="BD32" s="734">
        <f>'BASE DE DATOS'!BD32</f>
        <v>6</v>
      </c>
      <c r="BE32" s="734">
        <f>'BASE DE DATOS'!BE32</f>
        <v>6.5</v>
      </c>
      <c r="BG32" s="734" t="s">
        <v>106</v>
      </c>
      <c r="BH32" s="538" t="s">
        <v>1352</v>
      </c>
      <c r="BX32" s="734"/>
      <c r="BY32" s="734"/>
      <c r="BZ32" s="734"/>
      <c r="CA32" s="734"/>
      <c r="CE32" s="734">
        <v>0</v>
      </c>
      <c r="DO32" s="733" t="str">
        <f>'BASE DE DATOS'!BG32</f>
        <v>BAP</v>
      </c>
      <c r="DP32" s="733" t="str">
        <f>'BASE DE DATOS'!BH32</f>
        <v>MAR DEL PLATA AERO</v>
      </c>
      <c r="DQ32" s="733">
        <f>'BASE DE DATOS'!BI32</f>
        <v>104</v>
      </c>
      <c r="DR32" s="733">
        <f>'BASE DE DATOS'!BJ32</f>
        <v>98</v>
      </c>
      <c r="DS32" s="733">
        <f>'BASE DE DATOS'!BK32</f>
        <v>115</v>
      </c>
      <c r="DT32" s="733">
        <f>'BASE DE DATOS'!BL32</f>
        <v>97</v>
      </c>
      <c r="DU32" s="733">
        <f>'BASE DE DATOS'!BM32</f>
        <v>80</v>
      </c>
      <c r="DV32" s="733">
        <f>'BASE DE DATOS'!BN32</f>
        <v>61</v>
      </c>
      <c r="DW32" s="733">
        <f>'BASE DE DATOS'!BO32</f>
        <v>59</v>
      </c>
      <c r="DX32" s="733">
        <f>'BASE DE DATOS'!BP32</f>
        <v>63</v>
      </c>
      <c r="DY32" s="733">
        <f>'BASE DE DATOS'!BQ32</f>
        <v>68</v>
      </c>
      <c r="DZ32" s="733">
        <f>'BASE DE DATOS'!BR32</f>
        <v>104</v>
      </c>
      <c r="EA32" s="733">
        <f>'BASE DE DATOS'!BS32</f>
        <v>98</v>
      </c>
      <c r="EB32" s="733">
        <f>'BASE DE DATOS'!BT32</f>
        <v>93</v>
      </c>
      <c r="GM32" s="741"/>
      <c r="GN32" s="741"/>
      <c r="GO32" s="1182" t="s">
        <v>1985</v>
      </c>
      <c r="GP32" s="1182"/>
      <c r="GQ32" s="1218">
        <f>IF(AVERAGE(GP33:GP38)=1,1,0)</f>
        <v>0</v>
      </c>
      <c r="GR32" s="741"/>
      <c r="GS32" s="1219" t="s">
        <v>2054</v>
      </c>
      <c r="GT32" s="1219"/>
      <c r="GU32" s="1219"/>
      <c r="GV32" s="741"/>
      <c r="GW32" s="741"/>
      <c r="GX32" s="741"/>
      <c r="GY32" s="741"/>
    </row>
    <row r="33" spans="2:207" ht="16">
      <c r="B33" s="734" t="str">
        <f>'BASE DE DATOS'!B33</f>
        <v>BAP</v>
      </c>
      <c r="C33" s="734" t="str">
        <f>'BASE DE DATOS'!C33</f>
        <v>MAR DEL PLATA</v>
      </c>
      <c r="D33" s="734">
        <f>'BASE DE DATOS'!D33</f>
        <v>38.049999999999997</v>
      </c>
      <c r="E33" s="734">
        <f>'BASE DE DATOS'!E33</f>
        <v>57.55</v>
      </c>
      <c r="F33" s="734">
        <f>'BASE DE DATOS'!F33</f>
        <v>5</v>
      </c>
      <c r="G33" s="734" t="str">
        <f>'BASE DE DATOS'!G33</f>
        <v>IVD</v>
      </c>
      <c r="H33" s="734">
        <f>'BASE DE DATOS'!H33</f>
        <v>0</v>
      </c>
      <c r="I33" s="734">
        <f>'BASE DE DATOS'!I33</f>
        <v>9.5</v>
      </c>
      <c r="J33" s="734">
        <f>'BASE DE DATOS'!J33</f>
        <v>19.600000000000001</v>
      </c>
      <c r="K33" s="734">
        <f>'BASE DE DATOS'!K33</f>
        <v>28.7</v>
      </c>
      <c r="L33" s="734">
        <f>'BASE DE DATOS'!L33</f>
        <v>76</v>
      </c>
      <c r="M33" s="734">
        <f>'BASE DE DATOS'!M33</f>
        <v>83</v>
      </c>
      <c r="N33" s="734">
        <f>'BASE DE DATOS'!N33</f>
        <v>76</v>
      </c>
      <c r="O33" s="734">
        <f>'BASE DE DATOS'!O33</f>
        <v>73</v>
      </c>
      <c r="P33" s="734">
        <f>'BASE DE DATOS'!P33</f>
        <v>90</v>
      </c>
      <c r="Q33" s="734">
        <f>'BASE DE DATOS'!Q33</f>
        <v>4</v>
      </c>
      <c r="R33" s="734">
        <f>'BASE DE DATOS'!R33</f>
        <v>18.600000000000001</v>
      </c>
      <c r="S33" s="734">
        <f>'BASE DE DATOS'!S33</f>
        <v>0.53</v>
      </c>
      <c r="T33" s="734">
        <f>'BASE DE DATOS'!T33</f>
        <v>35.799999999999997</v>
      </c>
      <c r="U33" s="734">
        <f>'BASE DE DATOS'!U33</f>
        <v>6</v>
      </c>
      <c r="V33" s="734">
        <f>'BASE DE DATOS'!V33</f>
        <v>203</v>
      </c>
      <c r="W33" s="734">
        <f>'BASE DE DATOS'!W33</f>
        <v>99</v>
      </c>
      <c r="X33" s="734">
        <f>'BASE DE DATOS'!X33</f>
        <v>3.1E-2</v>
      </c>
      <c r="Y33" s="734">
        <f>'BASE DE DATOS'!Y33</f>
        <v>3.5999999999999997E-2</v>
      </c>
      <c r="Z33" s="734">
        <f>'BASE DE DATOS'!Z33</f>
        <v>130</v>
      </c>
      <c r="AA33" s="734">
        <f>'BASE DE DATOS'!AA33</f>
        <v>1.3</v>
      </c>
      <c r="AB33" s="734">
        <f>'BASE DE DATOS'!AB33</f>
        <v>35</v>
      </c>
      <c r="AD33" s="734" t="str">
        <f>'BASE DE DATOS'!AD33</f>
        <v>MAR DEL PLATA</v>
      </c>
      <c r="AE33" s="734">
        <f>'BASE DE DATOS'!AE33</f>
        <v>19.600000000000001</v>
      </c>
      <c r="AF33" s="734">
        <f>'BASE DE DATOS'!AF33</f>
        <v>19.100000000000001</v>
      </c>
      <c r="AG33" s="734">
        <f>'BASE DE DATOS'!AG33</f>
        <v>17.8</v>
      </c>
      <c r="AH33" s="734">
        <f>'BASE DE DATOS'!AH33</f>
        <v>14.4</v>
      </c>
      <c r="AI33" s="734">
        <f>'BASE DE DATOS'!AI33</f>
        <v>11.1</v>
      </c>
      <c r="AJ33" s="734">
        <f>'BASE DE DATOS'!AJ33</f>
        <v>8.6</v>
      </c>
      <c r="AK33" s="734">
        <f>'BASE DE DATOS'!AK33</f>
        <v>7.8</v>
      </c>
      <c r="AL33" s="734">
        <f>'BASE DE DATOS'!AL33</f>
        <v>8.5</v>
      </c>
      <c r="AM33" s="734">
        <f>'BASE DE DATOS'!AM33</f>
        <v>9.6999999999999993</v>
      </c>
      <c r="AN33" s="734">
        <f>'BASE DE DATOS'!AN33</f>
        <v>12</v>
      </c>
      <c r="AO33" s="734">
        <f>'BASE DE DATOS'!AO33</f>
        <v>15.2</v>
      </c>
      <c r="AP33" s="734">
        <f>'BASE DE DATOS'!AP33</f>
        <v>17.399999999999999</v>
      </c>
      <c r="AR33" s="734" t="str">
        <f>'BASE DE DATOS'!AR33</f>
        <v>BAP</v>
      </c>
      <c r="AS33" s="734" t="str">
        <f>'BASE DE DATOS'!AS33</f>
        <v>MAR DEL PLATA</v>
      </c>
      <c r="AT33" s="734">
        <f>'BASE DE DATOS'!AT33</f>
        <v>6.5</v>
      </c>
      <c r="AU33" s="734">
        <f>'BASE DE DATOS'!AU33</f>
        <v>5.5</v>
      </c>
      <c r="AV33" s="734">
        <f>'BASE DE DATOS'!AV33</f>
        <v>5</v>
      </c>
      <c r="AW33" s="734">
        <f>'BASE DE DATOS'!AW33</f>
        <v>3</v>
      </c>
      <c r="AX33" s="734">
        <f>'BASE DE DATOS'!AX33</f>
        <v>2</v>
      </c>
      <c r="AY33" s="734">
        <f>'BASE DE DATOS'!AY33</f>
        <v>1.5</v>
      </c>
      <c r="AZ33" s="734">
        <f>'BASE DE DATOS'!AZ33</f>
        <v>1.5</v>
      </c>
      <c r="BA33" s="734">
        <f>'BASE DE DATOS'!BA33</f>
        <v>2.5</v>
      </c>
      <c r="BB33" s="734">
        <f>'BASE DE DATOS'!BB33</f>
        <v>3.5</v>
      </c>
      <c r="BC33" s="734">
        <f>'BASE DE DATOS'!BC33</f>
        <v>5</v>
      </c>
      <c r="BD33" s="734">
        <f>'BASE DE DATOS'!BD33</f>
        <v>6</v>
      </c>
      <c r="BE33" s="734">
        <f>'BASE DE DATOS'!BE33</f>
        <v>6.5</v>
      </c>
      <c r="BG33" s="734" t="s">
        <v>108</v>
      </c>
      <c r="BH33" s="538" t="s">
        <v>1353</v>
      </c>
      <c r="BX33" s="734"/>
      <c r="BY33" s="734"/>
      <c r="BZ33" s="734"/>
      <c r="CA33" s="734"/>
      <c r="CE33" s="734">
        <v>0</v>
      </c>
      <c r="DA33" s="744" t="s">
        <v>747</v>
      </c>
      <c r="DO33" s="733" t="str">
        <f>'BASE DE DATOS'!BG33</f>
        <v>BAP</v>
      </c>
      <c r="DP33" s="733" t="str">
        <f>'BASE DE DATOS'!BH33</f>
        <v>MAR DEL PLATA</v>
      </c>
      <c r="DQ33" s="733">
        <f>'BASE DE DATOS'!BI33</f>
        <v>104</v>
      </c>
      <c r="DR33" s="733">
        <f>'BASE DE DATOS'!BJ33</f>
        <v>98</v>
      </c>
      <c r="DS33" s="733">
        <f>'BASE DE DATOS'!BK33</f>
        <v>115</v>
      </c>
      <c r="DT33" s="733">
        <f>'BASE DE DATOS'!BL33</f>
        <v>97</v>
      </c>
      <c r="DU33" s="733">
        <f>'BASE DE DATOS'!BM33</f>
        <v>80</v>
      </c>
      <c r="DV33" s="733">
        <f>'BASE DE DATOS'!BN33</f>
        <v>61</v>
      </c>
      <c r="DW33" s="733">
        <f>'BASE DE DATOS'!BO33</f>
        <v>59</v>
      </c>
      <c r="DX33" s="733">
        <f>'BASE DE DATOS'!BP33</f>
        <v>63</v>
      </c>
      <c r="DY33" s="733">
        <f>'BASE DE DATOS'!BQ33</f>
        <v>68</v>
      </c>
      <c r="DZ33" s="733">
        <f>'BASE DE DATOS'!BR33</f>
        <v>104</v>
      </c>
      <c r="EA33" s="733">
        <f>'BASE DE DATOS'!BS33</f>
        <v>98</v>
      </c>
      <c r="EB33" s="733">
        <f>'BASE DE DATOS'!BT33</f>
        <v>93</v>
      </c>
      <c r="GM33" s="741"/>
      <c r="GN33" s="741"/>
      <c r="GO33" s="741" t="s">
        <v>1501</v>
      </c>
      <c r="GP33" s="754">
        <f>IF(DATOS!I62=0,1,0)</f>
        <v>1</v>
      </c>
      <c r="GQ33" s="1218"/>
      <c r="GR33" s="741"/>
      <c r="GS33" s="727" t="s">
        <v>1951</v>
      </c>
      <c r="GT33" s="727" t="s">
        <v>1995</v>
      </c>
      <c r="GU33" s="727">
        <f>GX41</f>
        <v>0</v>
      </c>
      <c r="GV33" s="741"/>
      <c r="GW33" s="741"/>
      <c r="GX33" s="741"/>
      <c r="GY33" s="741"/>
    </row>
    <row r="34" spans="2:207" ht="16">
      <c r="B34" s="734" t="str">
        <f>'BASE DE DATOS'!B34</f>
        <v>BAP</v>
      </c>
      <c r="C34" s="734" t="str">
        <f>'BASE DE DATOS'!C34</f>
        <v>MERCEDES</v>
      </c>
      <c r="D34" s="734">
        <f>'BASE DE DATOS'!D34</f>
        <v>34.68</v>
      </c>
      <c r="E34" s="734">
        <f>'BASE DE DATOS'!E34</f>
        <v>59.38</v>
      </c>
      <c r="F34" s="734">
        <f>'BASE DE DATOS'!F34</f>
        <v>43</v>
      </c>
      <c r="G34" s="734" t="str">
        <f>'BASE DE DATOS'!G34</f>
        <v>IIIA</v>
      </c>
      <c r="H34" s="734">
        <f>'BASE DE DATOS'!H34</f>
        <v>-1.8</v>
      </c>
      <c r="I34" s="734">
        <f>'BASE DE DATOS'!I34</f>
        <v>10.6</v>
      </c>
      <c r="J34" s="734">
        <f>'BASE DE DATOS'!J34</f>
        <v>22.8</v>
      </c>
      <c r="K34" s="734">
        <f>'BASE DE DATOS'!K34</f>
        <v>33.200000000000003</v>
      </c>
      <c r="L34" s="734">
        <f>'BASE DE DATOS'!L34</f>
        <v>73</v>
      </c>
      <c r="M34" s="734">
        <f>'BASE DE DATOS'!M34</f>
        <v>84</v>
      </c>
      <c r="N34" s="734">
        <f>'BASE DE DATOS'!N34</f>
        <v>73</v>
      </c>
      <c r="O34" s="734">
        <f>'BASE DE DATOS'!O34</f>
        <v>56</v>
      </c>
      <c r="P34" s="734">
        <f>'BASE DE DATOS'!P34</f>
        <v>93</v>
      </c>
      <c r="Q34" s="734">
        <f>'BASE DE DATOS'!Q34</f>
        <v>3</v>
      </c>
      <c r="R34" s="734">
        <f>'BASE DE DATOS'!R34</f>
        <v>21.3</v>
      </c>
      <c r="S34" s="734">
        <f>'BASE DE DATOS'!S34</f>
        <v>0.53</v>
      </c>
      <c r="T34" s="734">
        <f>'BASE DE DATOS'!T34</f>
        <v>35.799999999999997</v>
      </c>
      <c r="U34" s="734">
        <f>'BASE DE DATOS'!U34</f>
        <v>6</v>
      </c>
      <c r="V34" s="734">
        <f>'BASE DE DATOS'!V34</f>
        <v>203</v>
      </c>
      <c r="W34" s="734">
        <f>'BASE DE DATOS'!W34</f>
        <v>99</v>
      </c>
      <c r="X34" s="734">
        <f>'BASE DE DATOS'!X34</f>
        <v>3.1E-2</v>
      </c>
      <c r="Y34" s="734">
        <f>'BASE DE DATOS'!Y34</f>
        <v>3.5999999999999997E-2</v>
      </c>
      <c r="Z34" s="734">
        <f>'BASE DE DATOS'!Z34</f>
        <v>130</v>
      </c>
      <c r="AA34" s="734">
        <f>'BASE DE DATOS'!AA34</f>
        <v>1.3</v>
      </c>
      <c r="AB34" s="734">
        <f>'BASE DE DATOS'!AB34</f>
        <v>35</v>
      </c>
      <c r="AD34" s="734" t="str">
        <f>'BASE DE DATOS'!AD34</f>
        <v>MERCEDES</v>
      </c>
      <c r="AE34" s="734">
        <f>'BASE DE DATOS'!AE34</f>
        <v>26.1</v>
      </c>
      <c r="AF34" s="734">
        <f>'BASE DE DATOS'!AF34</f>
        <v>26</v>
      </c>
      <c r="AG34" s="734">
        <f>'BASE DE DATOS'!AG34</f>
        <v>23.7</v>
      </c>
      <c r="AH34" s="734">
        <f>'BASE DE DATOS'!AH34</f>
        <v>19.3</v>
      </c>
      <c r="AI34" s="734">
        <f>'BASE DE DATOS'!AI34</f>
        <v>16.3</v>
      </c>
      <c r="AJ34" s="734">
        <f>'BASE DE DATOS'!AJ34</f>
        <v>14</v>
      </c>
      <c r="AK34" s="734">
        <f>'BASE DE DATOS'!AK34</f>
        <v>13.8</v>
      </c>
      <c r="AL34" s="734">
        <f>'BASE DE DATOS'!AL34</f>
        <v>15.3</v>
      </c>
      <c r="AM34" s="734">
        <f>'BASE DE DATOS'!AM34</f>
        <v>17.100000000000001</v>
      </c>
      <c r="AN34" s="734">
        <f>'BASE DE DATOS'!AN34</f>
        <v>19.3</v>
      </c>
      <c r="AO34" s="734">
        <f>'BASE DE DATOS'!AO34</f>
        <v>22.5</v>
      </c>
      <c r="AP34" s="734">
        <f>'BASE DE DATOS'!AP34</f>
        <v>24.8</v>
      </c>
      <c r="AR34" s="734" t="str">
        <f>'BASE DE DATOS'!AR34</f>
        <v>BAP</v>
      </c>
      <c r="AS34" s="734" t="str">
        <f>'BASE DE DATOS'!AS34</f>
        <v>MERCEDES</v>
      </c>
      <c r="AT34" s="734">
        <f>'BASE DE DATOS'!AT34</f>
        <v>6.5</v>
      </c>
      <c r="AU34" s="734">
        <f>'BASE DE DATOS'!AU34</f>
        <v>5.5</v>
      </c>
      <c r="AV34" s="734">
        <f>'BASE DE DATOS'!AV34</f>
        <v>4.5</v>
      </c>
      <c r="AW34" s="734">
        <f>'BASE DE DATOS'!AW34</f>
        <v>3</v>
      </c>
      <c r="AX34" s="734">
        <f>'BASE DE DATOS'!AX34</f>
        <v>2.5</v>
      </c>
      <c r="AY34" s="734">
        <f>'BASE DE DATOS'!AY34</f>
        <v>2</v>
      </c>
      <c r="AZ34" s="734">
        <f>'BASE DE DATOS'!AZ34</f>
        <v>2</v>
      </c>
      <c r="BA34" s="734">
        <f>'BASE DE DATOS'!BA34</f>
        <v>3</v>
      </c>
      <c r="BB34" s="734">
        <f>'BASE DE DATOS'!BB34</f>
        <v>4</v>
      </c>
      <c r="BC34" s="734">
        <f>'BASE DE DATOS'!BC34</f>
        <v>5</v>
      </c>
      <c r="BD34" s="734">
        <f>'BASE DE DATOS'!BD34</f>
        <v>6</v>
      </c>
      <c r="BE34" s="734">
        <f>'BASE DE DATOS'!BE34</f>
        <v>6.5</v>
      </c>
      <c r="BX34" s="734"/>
      <c r="BY34" s="734"/>
      <c r="BZ34" s="734"/>
      <c r="CA34" s="734"/>
      <c r="CE34" s="734">
        <v>0</v>
      </c>
      <c r="DA34" s="734" t="str">
        <f>DA4</f>
        <v>Espacio Adyacente</v>
      </c>
      <c r="DO34" s="733" t="str">
        <f>'BASE DE DATOS'!BG34</f>
        <v>BAP</v>
      </c>
      <c r="DP34" s="733" t="str">
        <f>'BASE DE DATOS'!BH34</f>
        <v>MERCEDES</v>
      </c>
      <c r="DQ34" s="733">
        <f>'BASE DE DATOS'!BI34</f>
        <v>104</v>
      </c>
      <c r="DR34" s="733">
        <f>'BASE DE DATOS'!BJ34</f>
        <v>98</v>
      </c>
      <c r="DS34" s="733">
        <f>'BASE DE DATOS'!BK34</f>
        <v>115</v>
      </c>
      <c r="DT34" s="733">
        <f>'BASE DE DATOS'!BL34</f>
        <v>97</v>
      </c>
      <c r="DU34" s="733">
        <f>'BASE DE DATOS'!BM34</f>
        <v>80</v>
      </c>
      <c r="DV34" s="733">
        <f>'BASE DE DATOS'!BN34</f>
        <v>61</v>
      </c>
      <c r="DW34" s="733">
        <f>'BASE DE DATOS'!BO34</f>
        <v>59</v>
      </c>
      <c r="DX34" s="733">
        <f>'BASE DE DATOS'!BP34</f>
        <v>63</v>
      </c>
      <c r="DY34" s="733">
        <f>'BASE DE DATOS'!BQ34</f>
        <v>68</v>
      </c>
      <c r="DZ34" s="733">
        <f>'BASE DE DATOS'!BR34</f>
        <v>104</v>
      </c>
      <c r="EA34" s="733">
        <f>'BASE DE DATOS'!BS34</f>
        <v>98</v>
      </c>
      <c r="EB34" s="733">
        <f>'BASE DE DATOS'!BT34</f>
        <v>93</v>
      </c>
      <c r="GM34" s="741"/>
      <c r="GN34" s="741"/>
      <c r="GO34" s="727" t="s">
        <v>1984</v>
      </c>
      <c r="GP34" s="754">
        <f>IF(ENERGÍA!BA250=1,0,1)</f>
        <v>0</v>
      </c>
      <c r="GQ34" s="1218"/>
      <c r="GR34" s="741"/>
      <c r="GS34" s="727" t="s">
        <v>1938</v>
      </c>
      <c r="GT34" s="727" t="s">
        <v>1995</v>
      </c>
      <c r="GU34" s="727">
        <f>GQ32</f>
        <v>0</v>
      </c>
      <c r="GV34" s="741"/>
      <c r="GW34" s="741"/>
      <c r="GX34" s="741"/>
      <c r="GY34" s="741"/>
    </row>
    <row r="35" spans="2:207" ht="16">
      <c r="B35" s="734" t="str">
        <f>'BASE DE DATOS'!B35</f>
        <v>BAP</v>
      </c>
      <c r="C35" s="734" t="str">
        <f>'BASE DE DATOS'!C35</f>
        <v>MORÓN</v>
      </c>
      <c r="D35" s="734">
        <f>'BASE DE DATOS'!D35</f>
        <v>34.67</v>
      </c>
      <c r="E35" s="734">
        <f>'BASE DE DATOS'!E35</f>
        <v>58.63</v>
      </c>
      <c r="F35" s="734">
        <f>'BASE DE DATOS'!F35</f>
        <v>24</v>
      </c>
      <c r="G35" s="734" t="str">
        <f>'BASE DE DATOS'!G35</f>
        <v>IIIB</v>
      </c>
      <c r="H35" s="734">
        <f>'BASE DE DATOS'!H35</f>
        <v>0.5</v>
      </c>
      <c r="I35" s="734">
        <f>'BASE DE DATOS'!I35</f>
        <v>10.5</v>
      </c>
      <c r="J35" s="734">
        <f>'BASE DE DATOS'!J35</f>
        <v>22.9</v>
      </c>
      <c r="K35" s="734">
        <f>'BASE DE DATOS'!K35</f>
        <v>32.700000000000003</v>
      </c>
      <c r="L35" s="734">
        <f>'BASE DE DATOS'!L35</f>
        <v>65</v>
      </c>
      <c r="M35" s="734">
        <f>'BASE DE DATOS'!M35</f>
        <v>81</v>
      </c>
      <c r="N35" s="734">
        <f>'BASE DE DATOS'!N35</f>
        <v>65</v>
      </c>
      <c r="O35" s="734">
        <f>'BASE DE DATOS'!O35</f>
        <v>55</v>
      </c>
      <c r="P35" s="734">
        <f>'BASE DE DATOS'!P35</f>
        <v>96</v>
      </c>
      <c r="Q35" s="734">
        <f>'BASE DE DATOS'!Q35</f>
        <v>3</v>
      </c>
      <c r="R35" s="734">
        <f>'BASE DE DATOS'!R35</f>
        <v>22.6</v>
      </c>
      <c r="S35" s="734">
        <f>'BASE DE DATOS'!S35</f>
        <v>0.53</v>
      </c>
      <c r="T35" s="734">
        <f>'BASE DE DATOS'!T35</f>
        <v>35.799999999999997</v>
      </c>
      <c r="U35" s="734">
        <f>'BASE DE DATOS'!U35</f>
        <v>6</v>
      </c>
      <c r="V35" s="734">
        <f>'BASE DE DATOS'!V35</f>
        <v>203</v>
      </c>
      <c r="W35" s="734">
        <f>'BASE DE DATOS'!W35</f>
        <v>99</v>
      </c>
      <c r="X35" s="734">
        <f>'BASE DE DATOS'!X35</f>
        <v>3.1E-2</v>
      </c>
      <c r="Y35" s="734">
        <f>'BASE DE DATOS'!Y35</f>
        <v>3.5999999999999997E-2</v>
      </c>
      <c r="Z35" s="734">
        <f>'BASE DE DATOS'!Z35</f>
        <v>130</v>
      </c>
      <c r="AA35" s="734">
        <f>'BASE DE DATOS'!AA35</f>
        <v>1.3</v>
      </c>
      <c r="AB35" s="734">
        <f>'BASE DE DATOS'!AB35</f>
        <v>35</v>
      </c>
      <c r="AD35" s="734" t="str">
        <f>'BASE DE DATOS'!AD35</f>
        <v>MORÓN</v>
      </c>
      <c r="AE35" s="734">
        <f>'BASE DE DATOS'!AE35</f>
        <v>23.3</v>
      </c>
      <c r="AF35" s="734">
        <f>'BASE DE DATOS'!AF35</f>
        <v>22</v>
      </c>
      <c r="AG35" s="734">
        <f>'BASE DE DATOS'!AG35</f>
        <v>20.3</v>
      </c>
      <c r="AH35" s="734">
        <f>'BASE DE DATOS'!AH35</f>
        <v>15.6</v>
      </c>
      <c r="AI35" s="734">
        <f>'BASE DE DATOS'!AI35</f>
        <v>12.9</v>
      </c>
      <c r="AJ35" s="734">
        <f>'BASE DE DATOS'!AJ35</f>
        <v>10.3</v>
      </c>
      <c r="AK35" s="734">
        <f>'BASE DE DATOS'!AK35</f>
        <v>10.1</v>
      </c>
      <c r="AL35" s="734">
        <f>'BASE DE DATOS'!AL35</f>
        <v>11.2</v>
      </c>
      <c r="AM35" s="734">
        <f>'BASE DE DATOS'!AM35</f>
        <v>13</v>
      </c>
      <c r="AN35" s="734">
        <f>'BASE DE DATOS'!AN35</f>
        <v>15.8</v>
      </c>
      <c r="AO35" s="734">
        <f>'BASE DE DATOS'!AO35</f>
        <v>18.8</v>
      </c>
      <c r="AP35" s="734">
        <f>'BASE DE DATOS'!AP35</f>
        <v>21.2</v>
      </c>
      <c r="AR35" s="734" t="str">
        <f>'BASE DE DATOS'!AR35</f>
        <v>BAP</v>
      </c>
      <c r="AS35" s="734" t="str">
        <f>'BASE DE DATOS'!AS35</f>
        <v>MORÓN</v>
      </c>
      <c r="AT35" s="734">
        <f>'BASE DE DATOS'!AT35</f>
        <v>6.5</v>
      </c>
      <c r="AU35" s="734">
        <f>'BASE DE DATOS'!AU35</f>
        <v>5.5</v>
      </c>
      <c r="AV35" s="734">
        <f>'BASE DE DATOS'!AV35</f>
        <v>4.5</v>
      </c>
      <c r="AW35" s="734">
        <f>'BASE DE DATOS'!AW35</f>
        <v>3</v>
      </c>
      <c r="AX35" s="734">
        <f>'BASE DE DATOS'!AX35</f>
        <v>2.5</v>
      </c>
      <c r="AY35" s="734">
        <f>'BASE DE DATOS'!AY35</f>
        <v>2</v>
      </c>
      <c r="AZ35" s="734">
        <f>'BASE DE DATOS'!AZ35</f>
        <v>2</v>
      </c>
      <c r="BA35" s="734">
        <f>'BASE DE DATOS'!BA35</f>
        <v>3</v>
      </c>
      <c r="BB35" s="734">
        <f>'BASE DE DATOS'!BB35</f>
        <v>4</v>
      </c>
      <c r="BC35" s="734">
        <f>'BASE DE DATOS'!BC35</f>
        <v>5</v>
      </c>
      <c r="BD35" s="734">
        <f>'BASE DE DATOS'!BD35</f>
        <v>6</v>
      </c>
      <c r="BE35" s="734">
        <f>'BASE DE DATOS'!BE35</f>
        <v>6.5</v>
      </c>
      <c r="BX35" s="734"/>
      <c r="BY35" s="734"/>
      <c r="BZ35" s="734"/>
      <c r="CA35" s="734"/>
      <c r="CE35" s="734">
        <v>0</v>
      </c>
      <c r="DA35" s="734" t="str">
        <f>DA5</f>
        <v>Áreas de circulación sin paredes externas y sin ventilación adicional</v>
      </c>
      <c r="DO35" s="733" t="str">
        <f>'BASE DE DATOS'!BG35</f>
        <v>BAP</v>
      </c>
      <c r="DP35" s="733" t="str">
        <f>'BASE DE DATOS'!BH35</f>
        <v>MORÓN</v>
      </c>
      <c r="DQ35" s="733">
        <f>'BASE DE DATOS'!BI35</f>
        <v>104</v>
      </c>
      <c r="DR35" s="733">
        <f>'BASE DE DATOS'!BJ35</f>
        <v>98</v>
      </c>
      <c r="DS35" s="733">
        <f>'BASE DE DATOS'!BK35</f>
        <v>115</v>
      </c>
      <c r="DT35" s="733">
        <f>'BASE DE DATOS'!BL35</f>
        <v>97</v>
      </c>
      <c r="DU35" s="733">
        <f>'BASE DE DATOS'!BM35</f>
        <v>80</v>
      </c>
      <c r="DV35" s="733">
        <f>'BASE DE DATOS'!BN35</f>
        <v>61</v>
      </c>
      <c r="DW35" s="733">
        <f>'BASE DE DATOS'!BO35</f>
        <v>59</v>
      </c>
      <c r="DX35" s="733">
        <f>'BASE DE DATOS'!BP35</f>
        <v>63</v>
      </c>
      <c r="DY35" s="733">
        <f>'BASE DE DATOS'!BQ35</f>
        <v>68</v>
      </c>
      <c r="DZ35" s="733">
        <f>'BASE DE DATOS'!BR35</f>
        <v>104</v>
      </c>
      <c r="EA35" s="733">
        <f>'BASE DE DATOS'!BS35</f>
        <v>98</v>
      </c>
      <c r="EB35" s="733">
        <f>'BASE DE DATOS'!BT35</f>
        <v>93</v>
      </c>
      <c r="GM35" s="741"/>
      <c r="GN35" s="741"/>
      <c r="GO35" s="727" t="s">
        <v>1986</v>
      </c>
      <c r="GP35" s="754">
        <v>1</v>
      </c>
      <c r="GQ35" s="1218"/>
      <c r="GR35" s="741"/>
      <c r="GS35" s="727" t="s">
        <v>2000</v>
      </c>
      <c r="GT35" s="727" t="s">
        <v>1992</v>
      </c>
      <c r="GU35" s="727"/>
      <c r="GV35" s="741"/>
      <c r="GW35" s="741"/>
      <c r="GX35" s="741"/>
      <c r="GY35" s="741"/>
    </row>
    <row r="36" spans="2:207" ht="16">
      <c r="B36" s="734" t="str">
        <f>'BASE DE DATOS'!B36</f>
        <v>BAP</v>
      </c>
      <c r="C36" s="734" t="str">
        <f>'BASE DE DATOS'!C36</f>
        <v>NECOCHEA</v>
      </c>
      <c r="D36" s="734">
        <f>'BASE DE DATOS'!D36</f>
        <v>38.57</v>
      </c>
      <c r="E36" s="734">
        <f>'BASE DE DATOS'!E36</f>
        <v>58.7</v>
      </c>
      <c r="F36" s="734">
        <f>'BASE DE DATOS'!F36</f>
        <v>8</v>
      </c>
      <c r="G36" s="734" t="str">
        <f>'BASE DE DATOS'!G36</f>
        <v>IVD</v>
      </c>
      <c r="H36" s="734">
        <f>'BASE DE DATOS'!H36</f>
        <v>1.4</v>
      </c>
      <c r="I36" s="734">
        <f>'BASE DE DATOS'!I36</f>
        <v>8.9</v>
      </c>
      <c r="J36" s="734">
        <f>'BASE DE DATOS'!J36</f>
        <v>19.399999999999999</v>
      </c>
      <c r="K36" s="734">
        <f>'BASE DE DATOS'!K36</f>
        <v>29.2</v>
      </c>
      <c r="L36" s="734">
        <f>'BASE DE DATOS'!L36</f>
        <v>72</v>
      </c>
      <c r="M36" s="734">
        <f>'BASE DE DATOS'!M36</f>
        <v>80</v>
      </c>
      <c r="N36" s="734">
        <f>'BASE DE DATOS'!N36</f>
        <v>72</v>
      </c>
      <c r="O36" s="734">
        <f>'BASE DE DATOS'!O36</f>
        <v>81</v>
      </c>
      <c r="P36" s="734">
        <f>'BASE DE DATOS'!P36</f>
        <v>93</v>
      </c>
      <c r="Q36" s="734">
        <f>'BASE DE DATOS'!Q36</f>
        <v>4</v>
      </c>
      <c r="R36" s="734">
        <f>'BASE DE DATOS'!R36</f>
        <v>19.7</v>
      </c>
      <c r="S36" s="734">
        <f>'BASE DE DATOS'!S36</f>
        <v>0.53</v>
      </c>
      <c r="T36" s="734">
        <f>'BASE DE DATOS'!T36</f>
        <v>35.799999999999997</v>
      </c>
      <c r="U36" s="734">
        <f>'BASE DE DATOS'!U36</f>
        <v>6</v>
      </c>
      <c r="V36" s="734">
        <f>'BASE DE DATOS'!V36</f>
        <v>203</v>
      </c>
      <c r="W36" s="734">
        <f>'BASE DE DATOS'!W36</f>
        <v>99</v>
      </c>
      <c r="X36" s="734">
        <f>'BASE DE DATOS'!X36</f>
        <v>3.1E-2</v>
      </c>
      <c r="Y36" s="734">
        <f>'BASE DE DATOS'!Y36</f>
        <v>3.5999999999999997E-2</v>
      </c>
      <c r="Z36" s="734">
        <f>'BASE DE DATOS'!Z36</f>
        <v>130</v>
      </c>
      <c r="AA36" s="734">
        <f>'BASE DE DATOS'!AA36</f>
        <v>1.3</v>
      </c>
      <c r="AB36" s="734">
        <f>'BASE DE DATOS'!AB36</f>
        <v>35</v>
      </c>
      <c r="AD36" s="734" t="str">
        <f>'BASE DE DATOS'!AD36</f>
        <v>NECOCHEA</v>
      </c>
      <c r="AE36" s="734">
        <f>'BASE DE DATOS'!AE36</f>
        <v>20.7</v>
      </c>
      <c r="AF36" s="734">
        <f>'BASE DE DATOS'!AF36</f>
        <v>20.2</v>
      </c>
      <c r="AG36" s="734">
        <f>'BASE DE DATOS'!AG36</f>
        <v>17.600000000000001</v>
      </c>
      <c r="AH36" s="734">
        <f>'BASE DE DATOS'!AH36</f>
        <v>13.5</v>
      </c>
      <c r="AI36" s="734">
        <f>'BASE DE DATOS'!AI36</f>
        <v>10.199999999999999</v>
      </c>
      <c r="AJ36" s="734">
        <f>'BASE DE DATOS'!AJ36</f>
        <v>8.6</v>
      </c>
      <c r="AK36" s="734">
        <f>'BASE DE DATOS'!AK36</f>
        <v>8.1</v>
      </c>
      <c r="AL36" s="734">
        <f>'BASE DE DATOS'!AL36</f>
        <v>8.8000000000000007</v>
      </c>
      <c r="AM36" s="734">
        <f>'BASE DE DATOS'!AM36</f>
        <v>9.9</v>
      </c>
      <c r="AN36" s="734">
        <f>'BASE DE DATOS'!AN36</f>
        <v>12.4</v>
      </c>
      <c r="AO36" s="734">
        <f>'BASE DE DATOS'!AO36</f>
        <v>15.5</v>
      </c>
      <c r="AP36" s="734">
        <f>'BASE DE DATOS'!AP36</f>
        <v>17.600000000000001</v>
      </c>
      <c r="AR36" s="734" t="str">
        <f>'BASE DE DATOS'!AR36</f>
        <v>BAP</v>
      </c>
      <c r="AS36" s="734" t="str">
        <f>'BASE DE DATOS'!AS36</f>
        <v>NECOCHEA</v>
      </c>
      <c r="AT36" s="734">
        <f>'BASE DE DATOS'!AT36</f>
        <v>6.5</v>
      </c>
      <c r="AU36" s="734">
        <f>'BASE DE DATOS'!AU36</f>
        <v>5.5</v>
      </c>
      <c r="AV36" s="734">
        <f>'BASE DE DATOS'!AV36</f>
        <v>5</v>
      </c>
      <c r="AW36" s="734">
        <f>'BASE DE DATOS'!AW36</f>
        <v>3</v>
      </c>
      <c r="AX36" s="734">
        <f>'BASE DE DATOS'!AX36</f>
        <v>2</v>
      </c>
      <c r="AY36" s="734">
        <f>'BASE DE DATOS'!AY36</f>
        <v>1.5</v>
      </c>
      <c r="AZ36" s="734">
        <f>'BASE DE DATOS'!AZ36</f>
        <v>1.5</v>
      </c>
      <c r="BA36" s="734">
        <f>'BASE DE DATOS'!BA36</f>
        <v>2.5</v>
      </c>
      <c r="BB36" s="734">
        <f>'BASE DE DATOS'!BB36</f>
        <v>3.5</v>
      </c>
      <c r="BC36" s="734">
        <f>'BASE DE DATOS'!BC36</f>
        <v>5</v>
      </c>
      <c r="BD36" s="734">
        <f>'BASE DE DATOS'!BD36</f>
        <v>6</v>
      </c>
      <c r="BE36" s="734">
        <f>'BASE DE DATOS'!BE36</f>
        <v>6.5</v>
      </c>
      <c r="BX36" s="734"/>
      <c r="BY36" s="734"/>
      <c r="BZ36" s="734"/>
      <c r="CA36" s="734"/>
      <c r="CE36" s="734">
        <v>0</v>
      </c>
      <c r="DA36" s="734" t="str">
        <f>DA6</f>
        <v>Áreas de circulación libremente ventiladas</v>
      </c>
      <c r="DO36" s="733" t="str">
        <f>'BASE DE DATOS'!BG36</f>
        <v>BAP</v>
      </c>
      <c r="DP36" s="733" t="str">
        <f>'BASE DE DATOS'!BH36</f>
        <v>NECOCHEA</v>
      </c>
      <c r="DQ36" s="733">
        <f>'BASE DE DATOS'!BI36</f>
        <v>104</v>
      </c>
      <c r="DR36" s="733">
        <f>'BASE DE DATOS'!BJ36</f>
        <v>98</v>
      </c>
      <c r="DS36" s="733">
        <f>'BASE DE DATOS'!BK36</f>
        <v>115</v>
      </c>
      <c r="DT36" s="733">
        <f>'BASE DE DATOS'!BL36</f>
        <v>97</v>
      </c>
      <c r="DU36" s="733">
        <f>'BASE DE DATOS'!BM36</f>
        <v>80</v>
      </c>
      <c r="DV36" s="733">
        <f>'BASE DE DATOS'!BN36</f>
        <v>61</v>
      </c>
      <c r="DW36" s="733">
        <f>'BASE DE DATOS'!BO36</f>
        <v>59</v>
      </c>
      <c r="DX36" s="733">
        <f>'BASE DE DATOS'!BP36</f>
        <v>63</v>
      </c>
      <c r="DY36" s="733">
        <f>'BASE DE DATOS'!BQ36</f>
        <v>68</v>
      </c>
      <c r="DZ36" s="733">
        <f>'BASE DE DATOS'!BR36</f>
        <v>104</v>
      </c>
      <c r="EA36" s="733">
        <f>'BASE DE DATOS'!BS36</f>
        <v>98</v>
      </c>
      <c r="EB36" s="733">
        <f>'BASE DE DATOS'!BT36</f>
        <v>93</v>
      </c>
      <c r="GM36" s="741"/>
      <c r="GN36" s="741"/>
      <c r="GO36" s="727" t="s">
        <v>1989</v>
      </c>
      <c r="GP36" s="754">
        <f>IF(ENERGÍA!AU36=0,0,1)</f>
        <v>0</v>
      </c>
      <c r="GQ36" s="1218"/>
      <c r="GR36" s="741"/>
      <c r="GS36" s="727" t="s">
        <v>2001</v>
      </c>
      <c r="GT36" s="727" t="s">
        <v>1994</v>
      </c>
      <c r="GU36" s="727">
        <f>GY45</f>
        <v>0</v>
      </c>
      <c r="GV36" s="741"/>
      <c r="GW36" s="741"/>
      <c r="GX36" s="741"/>
      <c r="GY36" s="741"/>
    </row>
    <row r="37" spans="2:207" ht="16">
      <c r="B37" s="734" t="str">
        <f>'BASE DE DATOS'!B37</f>
        <v>BAP</v>
      </c>
      <c r="C37" s="734" t="str">
        <f>'BASE DE DATOS'!C37</f>
        <v>NUEVE DE JULIO</v>
      </c>
      <c r="D37" s="734">
        <f>'BASE DE DATOS'!D37</f>
        <v>35.450000000000003</v>
      </c>
      <c r="E37" s="734">
        <f>'BASE DE DATOS'!E37</f>
        <v>60.88</v>
      </c>
      <c r="F37" s="734">
        <f>'BASE DE DATOS'!F37</f>
        <v>76</v>
      </c>
      <c r="G37" s="734" t="str">
        <f>'BASE DE DATOS'!G37</f>
        <v>IIIA</v>
      </c>
      <c r="H37" s="734">
        <f>'BASE DE DATOS'!H37</f>
        <v>-0.7</v>
      </c>
      <c r="I37" s="734">
        <f>'BASE DE DATOS'!I37</f>
        <v>9.6999999999999993</v>
      </c>
      <c r="J37" s="734">
        <f>'BASE DE DATOS'!J37</f>
        <v>22.5</v>
      </c>
      <c r="K37" s="734">
        <f>'BASE DE DATOS'!K37</f>
        <v>33.1</v>
      </c>
      <c r="L37" s="734">
        <f>'BASE DE DATOS'!L37</f>
        <v>69</v>
      </c>
      <c r="M37" s="734">
        <f>'BASE DE DATOS'!M37</f>
        <v>80</v>
      </c>
      <c r="N37" s="734">
        <f>'BASE DE DATOS'!N37</f>
        <v>69</v>
      </c>
      <c r="O37" s="734">
        <f>'BASE DE DATOS'!O37</f>
        <v>45</v>
      </c>
      <c r="P37" s="734">
        <f>'BASE DE DATOS'!P37</f>
        <v>98</v>
      </c>
      <c r="Q37" s="734">
        <f>'BASE DE DATOS'!Q37</f>
        <v>3</v>
      </c>
      <c r="R37" s="734">
        <f>'BASE DE DATOS'!R37</f>
        <v>21.9</v>
      </c>
      <c r="S37" s="734">
        <f>'BASE DE DATOS'!S37</f>
        <v>0.55000000000000004</v>
      </c>
      <c r="T37" s="734">
        <f>'BASE DE DATOS'!T37</f>
        <v>35.799999999999997</v>
      </c>
      <c r="U37" s="734">
        <f>'BASE DE DATOS'!U37</f>
        <v>6</v>
      </c>
      <c r="V37" s="734">
        <f>'BASE DE DATOS'!V37</f>
        <v>203</v>
      </c>
      <c r="W37" s="734">
        <f>'BASE DE DATOS'!W37</f>
        <v>99</v>
      </c>
      <c r="X37" s="734">
        <f>'BASE DE DATOS'!X37</f>
        <v>3.1E-2</v>
      </c>
      <c r="Y37" s="734">
        <f>'BASE DE DATOS'!Y37</f>
        <v>3.5999999999999997E-2</v>
      </c>
      <c r="Z37" s="734">
        <f>'BASE DE DATOS'!Z37</f>
        <v>130</v>
      </c>
      <c r="AA37" s="734">
        <f>'BASE DE DATOS'!AA37</f>
        <v>1.3</v>
      </c>
      <c r="AB37" s="734">
        <f>'BASE DE DATOS'!AB37</f>
        <v>35</v>
      </c>
      <c r="AD37" s="734" t="str">
        <f>'BASE DE DATOS'!AD37</f>
        <v>NUEVE DE JULIO</v>
      </c>
      <c r="AE37" s="734">
        <f>'BASE DE DATOS'!AE37</f>
        <v>23.2</v>
      </c>
      <c r="AF37" s="734">
        <f>'BASE DE DATOS'!AF37</f>
        <v>22.1</v>
      </c>
      <c r="AG37" s="734">
        <f>'BASE DE DATOS'!AG37</f>
        <v>20</v>
      </c>
      <c r="AH37" s="734">
        <f>'BASE DE DATOS'!AH37</f>
        <v>15.1</v>
      </c>
      <c r="AI37" s="734">
        <f>'BASE DE DATOS'!AI37</f>
        <v>12.3</v>
      </c>
      <c r="AJ37" s="734">
        <f>'BASE DE DATOS'!AJ37</f>
        <v>9.1999999999999993</v>
      </c>
      <c r="AK37" s="734">
        <f>'BASE DE DATOS'!AK37</f>
        <v>9</v>
      </c>
      <c r="AL37" s="734">
        <f>'BASE DE DATOS'!AL37</f>
        <v>10.199999999999999</v>
      </c>
      <c r="AM37" s="734">
        <f>'BASE DE DATOS'!AM37</f>
        <v>12.3</v>
      </c>
      <c r="AN37" s="734">
        <f>'BASE DE DATOS'!AN37</f>
        <v>15.3</v>
      </c>
      <c r="AO37" s="734">
        <f>'BASE DE DATOS'!AO37</f>
        <v>19</v>
      </c>
      <c r="AP37" s="734">
        <f>'BASE DE DATOS'!AP37</f>
        <v>21.4</v>
      </c>
      <c r="AR37" s="734" t="str">
        <f>'BASE DE DATOS'!AR37</f>
        <v>BAP</v>
      </c>
      <c r="AS37" s="734" t="str">
        <f>'BASE DE DATOS'!AS37</f>
        <v>NUEVE DE JULIO</v>
      </c>
      <c r="AT37" s="734">
        <f>'BASE DE DATOS'!AT37</f>
        <v>6.5</v>
      </c>
      <c r="AU37" s="734">
        <f>'BASE DE DATOS'!AU37</f>
        <v>6</v>
      </c>
      <c r="AV37" s="734">
        <f>'BASE DE DATOS'!AV37</f>
        <v>4.5</v>
      </c>
      <c r="AW37" s="734">
        <f>'BASE DE DATOS'!AW37</f>
        <v>3</v>
      </c>
      <c r="AX37" s="734">
        <f>'BASE DE DATOS'!AX37</f>
        <v>2.5</v>
      </c>
      <c r="AY37" s="734">
        <f>'BASE DE DATOS'!AY37</f>
        <v>1.5</v>
      </c>
      <c r="AZ37" s="734">
        <f>'BASE DE DATOS'!AZ37</f>
        <v>2</v>
      </c>
      <c r="BA37" s="734">
        <f>'BASE DE DATOS'!BA37</f>
        <v>3</v>
      </c>
      <c r="BB37" s="734">
        <f>'BASE DE DATOS'!BB37</f>
        <v>4</v>
      </c>
      <c r="BC37" s="734">
        <f>'BASE DE DATOS'!BC37</f>
        <v>5</v>
      </c>
      <c r="BD37" s="734">
        <f>'BASE DE DATOS'!BD37</f>
        <v>6</v>
      </c>
      <c r="BE37" s="734">
        <f>'BASE DE DATOS'!BE37</f>
        <v>6.5</v>
      </c>
      <c r="DA37" s="734" t="str">
        <f>DA7</f>
        <v>Al exterior</v>
      </c>
      <c r="DO37" s="733" t="str">
        <f>'BASE DE DATOS'!BG37</f>
        <v>BAP</v>
      </c>
      <c r="DP37" s="733" t="str">
        <f>'BASE DE DATOS'!BH37</f>
        <v>NUEVE DE JULIO</v>
      </c>
      <c r="DQ37" s="733">
        <f>'BASE DE DATOS'!BI37</f>
        <v>104</v>
      </c>
      <c r="DR37" s="733">
        <f>'BASE DE DATOS'!BJ37</f>
        <v>98</v>
      </c>
      <c r="DS37" s="733">
        <f>'BASE DE DATOS'!BK37</f>
        <v>115</v>
      </c>
      <c r="DT37" s="733">
        <f>'BASE DE DATOS'!BL37</f>
        <v>97</v>
      </c>
      <c r="DU37" s="733">
        <f>'BASE DE DATOS'!BM37</f>
        <v>80</v>
      </c>
      <c r="DV37" s="733">
        <f>'BASE DE DATOS'!BN37</f>
        <v>61</v>
      </c>
      <c r="DW37" s="733">
        <f>'BASE DE DATOS'!BO37</f>
        <v>59</v>
      </c>
      <c r="DX37" s="733">
        <f>'BASE DE DATOS'!BP37</f>
        <v>63</v>
      </c>
      <c r="DY37" s="733">
        <f>'BASE DE DATOS'!BQ37</f>
        <v>68</v>
      </c>
      <c r="DZ37" s="733">
        <f>'BASE DE DATOS'!BR37</f>
        <v>104</v>
      </c>
      <c r="EA37" s="733">
        <f>'BASE DE DATOS'!BS37</f>
        <v>98</v>
      </c>
      <c r="EB37" s="733">
        <f>'BASE DE DATOS'!BT37</f>
        <v>93</v>
      </c>
      <c r="GM37" s="741"/>
      <c r="GN37" s="741"/>
      <c r="GO37" s="727" t="s">
        <v>1990</v>
      </c>
      <c r="GP37" s="754">
        <f>IF(ENERGÍA!BA234=0,1,0)</f>
        <v>1</v>
      </c>
      <c r="GQ37" s="1218"/>
      <c r="GR37" s="741"/>
      <c r="GS37" s="741"/>
      <c r="GT37" s="741"/>
      <c r="GU37" s="741"/>
      <c r="GV37" s="741"/>
      <c r="GW37" s="741"/>
      <c r="GX37" s="741"/>
      <c r="GY37" s="741"/>
    </row>
    <row r="38" spans="2:207" ht="16">
      <c r="B38" s="734" t="str">
        <f>'BASE DE DATOS'!B38</f>
        <v>BAP</v>
      </c>
      <c r="C38" s="734" t="str">
        <f>'BASE DE DATOS'!C38</f>
        <v>PEHUAJO</v>
      </c>
      <c r="D38" s="734">
        <f>'BASE DE DATOS'!D38</f>
        <v>35.869999999999997</v>
      </c>
      <c r="E38" s="734">
        <f>'BASE DE DATOS'!E38</f>
        <v>61.87</v>
      </c>
      <c r="F38" s="734">
        <f>'BASE DE DATOS'!F38</f>
        <v>87</v>
      </c>
      <c r="G38" s="734" t="str">
        <f>'BASE DE DATOS'!G38</f>
        <v>IIIA</v>
      </c>
      <c r="H38" s="734">
        <f>'BASE DE DATOS'!H38</f>
        <v>-2</v>
      </c>
      <c r="I38" s="734">
        <f>'BASE DE DATOS'!I38</f>
        <v>8.6999999999999993</v>
      </c>
      <c r="J38" s="734">
        <f>'BASE DE DATOS'!J38</f>
        <v>22.1</v>
      </c>
      <c r="K38" s="734">
        <f>'BASE DE DATOS'!K38</f>
        <v>33.5</v>
      </c>
      <c r="L38" s="734">
        <f>'BASE DE DATOS'!L38</f>
        <v>63</v>
      </c>
      <c r="M38" s="734">
        <f>'BASE DE DATOS'!M38</f>
        <v>79</v>
      </c>
      <c r="N38" s="734">
        <f>'BASE DE DATOS'!N38</f>
        <v>63</v>
      </c>
      <c r="O38" s="734">
        <f>'BASE DE DATOS'!O38</f>
        <v>33</v>
      </c>
      <c r="P38" s="734">
        <f>'BASE DE DATOS'!P38</f>
        <v>87</v>
      </c>
      <c r="Q38" s="734">
        <f>'BASE DE DATOS'!Q38</f>
        <v>3</v>
      </c>
      <c r="R38" s="734">
        <f>'BASE DE DATOS'!R38</f>
        <v>21.7</v>
      </c>
      <c r="S38" s="734">
        <f>'BASE DE DATOS'!S38</f>
        <v>0.55000000000000004</v>
      </c>
      <c r="T38" s="734">
        <f>'BASE DE DATOS'!T38</f>
        <v>35.799999999999997</v>
      </c>
      <c r="U38" s="734">
        <f>'BASE DE DATOS'!U38</f>
        <v>6</v>
      </c>
      <c r="V38" s="734">
        <f>'BASE DE DATOS'!V38</f>
        <v>203</v>
      </c>
      <c r="W38" s="734">
        <f>'BASE DE DATOS'!W38</f>
        <v>99</v>
      </c>
      <c r="X38" s="734">
        <f>'BASE DE DATOS'!X38</f>
        <v>3.1E-2</v>
      </c>
      <c r="Y38" s="734">
        <f>'BASE DE DATOS'!Y38</f>
        <v>3.5999999999999997E-2</v>
      </c>
      <c r="Z38" s="734">
        <f>'BASE DE DATOS'!Z38</f>
        <v>130</v>
      </c>
      <c r="AA38" s="734">
        <f>'BASE DE DATOS'!AA38</f>
        <v>1.3</v>
      </c>
      <c r="AB38" s="734">
        <f>'BASE DE DATOS'!AB38</f>
        <v>35</v>
      </c>
      <c r="AD38" s="734" t="str">
        <f>'BASE DE DATOS'!AD38</f>
        <v>PEHUAJO</v>
      </c>
      <c r="AE38" s="734">
        <f>'BASE DE DATOS'!AE38</f>
        <v>23.2</v>
      </c>
      <c r="AF38" s="734">
        <f>'BASE DE DATOS'!AF38</f>
        <v>22</v>
      </c>
      <c r="AG38" s="734">
        <f>'BASE DE DATOS'!AG38</f>
        <v>19.8</v>
      </c>
      <c r="AH38" s="734">
        <f>'BASE DE DATOS'!AH38</f>
        <v>15.3</v>
      </c>
      <c r="AI38" s="734">
        <f>'BASE DE DATOS'!AI38</f>
        <v>12.1</v>
      </c>
      <c r="AJ38" s="734">
        <f>'BASE DE DATOS'!AJ38</f>
        <v>8.8000000000000007</v>
      </c>
      <c r="AK38" s="734">
        <f>'BASE DE DATOS'!AK38</f>
        <v>8.6</v>
      </c>
      <c r="AL38" s="734">
        <f>'BASE DE DATOS'!AL38</f>
        <v>10</v>
      </c>
      <c r="AM38" s="734">
        <f>'BASE DE DATOS'!AM38</f>
        <v>12.1</v>
      </c>
      <c r="AN38" s="734">
        <f>'BASE DE DATOS'!AN38</f>
        <v>15.1</v>
      </c>
      <c r="AO38" s="734">
        <f>'BASE DE DATOS'!AO38</f>
        <v>18.8</v>
      </c>
      <c r="AP38" s="734">
        <f>'BASE DE DATOS'!AP38</f>
        <v>21.3</v>
      </c>
      <c r="AR38" s="734" t="str">
        <f>'BASE DE DATOS'!AR38</f>
        <v>BAP</v>
      </c>
      <c r="AS38" s="734" t="str">
        <f>'BASE DE DATOS'!AS38</f>
        <v>PEHUAJO</v>
      </c>
      <c r="AT38" s="734">
        <f>'BASE DE DATOS'!AT38</f>
        <v>6.5</v>
      </c>
      <c r="AU38" s="734">
        <f>'BASE DE DATOS'!AU38</f>
        <v>6</v>
      </c>
      <c r="AV38" s="734">
        <f>'BASE DE DATOS'!AV38</f>
        <v>4.5</v>
      </c>
      <c r="AW38" s="734">
        <f>'BASE DE DATOS'!AW38</f>
        <v>3</v>
      </c>
      <c r="AX38" s="734">
        <f>'BASE DE DATOS'!AX38</f>
        <v>2.5</v>
      </c>
      <c r="AY38" s="734">
        <f>'BASE DE DATOS'!AY38</f>
        <v>1.5</v>
      </c>
      <c r="AZ38" s="734">
        <f>'BASE DE DATOS'!AZ38</f>
        <v>2</v>
      </c>
      <c r="BA38" s="734">
        <f>'BASE DE DATOS'!BA38</f>
        <v>3</v>
      </c>
      <c r="BB38" s="734">
        <f>'BASE DE DATOS'!BB38</f>
        <v>4</v>
      </c>
      <c r="BC38" s="734">
        <f>'BASE DE DATOS'!BC38</f>
        <v>5</v>
      </c>
      <c r="BD38" s="734">
        <f>'BASE DE DATOS'!BD38</f>
        <v>6</v>
      </c>
      <c r="BE38" s="734">
        <f>'BASE DE DATOS'!BE38</f>
        <v>6.5</v>
      </c>
      <c r="DA38" s="734"/>
      <c r="DO38" s="733" t="str">
        <f>'BASE DE DATOS'!BG38</f>
        <v>BAP</v>
      </c>
      <c r="DP38" s="733" t="str">
        <f>'BASE DE DATOS'!BH38</f>
        <v>PEHUAJO</v>
      </c>
      <c r="DQ38" s="733">
        <f>'BASE DE DATOS'!BI38</f>
        <v>104</v>
      </c>
      <c r="DR38" s="733">
        <f>'BASE DE DATOS'!BJ38</f>
        <v>98</v>
      </c>
      <c r="DS38" s="733">
        <f>'BASE DE DATOS'!BK38</f>
        <v>115</v>
      </c>
      <c r="DT38" s="733">
        <f>'BASE DE DATOS'!BL38</f>
        <v>97</v>
      </c>
      <c r="DU38" s="733">
        <f>'BASE DE DATOS'!BM38</f>
        <v>80</v>
      </c>
      <c r="DV38" s="733">
        <f>'BASE DE DATOS'!BN38</f>
        <v>61</v>
      </c>
      <c r="DW38" s="733">
        <f>'BASE DE DATOS'!BO38</f>
        <v>59</v>
      </c>
      <c r="DX38" s="733">
        <f>'BASE DE DATOS'!BP38</f>
        <v>63</v>
      </c>
      <c r="DY38" s="733">
        <f>'BASE DE DATOS'!BQ38</f>
        <v>68</v>
      </c>
      <c r="DZ38" s="733">
        <f>'BASE DE DATOS'!BR38</f>
        <v>104</v>
      </c>
      <c r="EA38" s="733">
        <f>'BASE DE DATOS'!BS38</f>
        <v>98</v>
      </c>
      <c r="EB38" s="733">
        <f>'BASE DE DATOS'!BT38</f>
        <v>93</v>
      </c>
      <c r="GM38" s="741"/>
      <c r="GN38" s="741"/>
      <c r="GO38" s="727" t="s">
        <v>1560</v>
      </c>
      <c r="GP38" s="754">
        <f>IF(GO46&gt;GT46,0,1)</f>
        <v>1</v>
      </c>
      <c r="GQ38" s="1218"/>
      <c r="GR38" s="741"/>
      <c r="GS38" s="727" t="s">
        <v>2062</v>
      </c>
      <c r="GT38" s="727">
        <f>IF(GU22=1,0,1)</f>
        <v>1</v>
      </c>
      <c r="GU38" s="741"/>
      <c r="GV38" s="741"/>
      <c r="GW38" s="741"/>
      <c r="GX38" s="741"/>
      <c r="GY38" s="741"/>
    </row>
    <row r="39" spans="2:207" ht="16">
      <c r="B39" s="734" t="str">
        <f>'BASE DE DATOS'!B39</f>
        <v>BAP</v>
      </c>
      <c r="C39" s="734" t="str">
        <f>'BASE DE DATOS'!C39</f>
        <v>PERGAMINO</v>
      </c>
      <c r="D39" s="734">
        <f>'BASE DE DATOS'!D39</f>
        <v>33.93</v>
      </c>
      <c r="E39" s="734">
        <f>'BASE DE DATOS'!E39</f>
        <v>60.55</v>
      </c>
      <c r="F39" s="734">
        <f>'BASE DE DATOS'!F39</f>
        <v>65</v>
      </c>
      <c r="G39" s="734" t="str">
        <f>'BASE DE DATOS'!G39</f>
        <v>IIIA</v>
      </c>
      <c r="H39" s="734">
        <f>'BASE DE DATOS'!H39</f>
        <v>-1.2</v>
      </c>
      <c r="I39" s="734">
        <f>'BASE DE DATOS'!I39</f>
        <v>9.6</v>
      </c>
      <c r="J39" s="734">
        <f>'BASE DE DATOS'!J39</f>
        <v>22.9</v>
      </c>
      <c r="K39" s="734">
        <f>'BASE DE DATOS'!K39</f>
        <v>33.6</v>
      </c>
      <c r="L39" s="734">
        <f>'BASE DE DATOS'!L39</f>
        <v>66</v>
      </c>
      <c r="M39" s="734">
        <f>'BASE DE DATOS'!M39</f>
        <v>81</v>
      </c>
      <c r="N39" s="734">
        <f>'BASE DE DATOS'!N39</f>
        <v>66</v>
      </c>
      <c r="O39" s="734">
        <f>'BASE DE DATOS'!O39</f>
        <v>36</v>
      </c>
      <c r="P39" s="734">
        <f>'BASE DE DATOS'!P39</f>
        <v>90</v>
      </c>
      <c r="Q39" s="734">
        <f>'BASE DE DATOS'!Q39</f>
        <v>3</v>
      </c>
      <c r="R39" s="734">
        <f>'BASE DE DATOS'!R39</f>
        <v>22</v>
      </c>
      <c r="S39" s="734">
        <f>'BASE DE DATOS'!S39</f>
        <v>0.53</v>
      </c>
      <c r="T39" s="734">
        <f>'BASE DE DATOS'!T39</f>
        <v>35.799999999999997</v>
      </c>
      <c r="U39" s="734">
        <f>'BASE DE DATOS'!U39</f>
        <v>6</v>
      </c>
      <c r="V39" s="734">
        <f>'BASE DE DATOS'!V39</f>
        <v>203</v>
      </c>
      <c r="W39" s="734">
        <f>'BASE DE DATOS'!W39</f>
        <v>99</v>
      </c>
      <c r="X39" s="734">
        <f>'BASE DE DATOS'!X39</f>
        <v>3.1E-2</v>
      </c>
      <c r="Y39" s="734">
        <f>'BASE DE DATOS'!Y39</f>
        <v>3.5999999999999997E-2</v>
      </c>
      <c r="Z39" s="734">
        <f>'BASE DE DATOS'!Z39</f>
        <v>130</v>
      </c>
      <c r="AA39" s="734">
        <f>'BASE DE DATOS'!AA39</f>
        <v>1.3</v>
      </c>
      <c r="AB39" s="734">
        <f>'BASE DE DATOS'!AB39</f>
        <v>35</v>
      </c>
      <c r="AD39" s="734" t="str">
        <f>'BASE DE DATOS'!AD39</f>
        <v>PERGAMINO</v>
      </c>
      <c r="AE39" s="734">
        <f>'BASE DE DATOS'!AE39</f>
        <v>23.4</v>
      </c>
      <c r="AF39" s="734">
        <f>'BASE DE DATOS'!AF39</f>
        <v>23</v>
      </c>
      <c r="AG39" s="734">
        <f>'BASE DE DATOS'!AG39</f>
        <v>20.6</v>
      </c>
      <c r="AH39" s="734">
        <f>'BASE DE DATOS'!AH39</f>
        <v>15.6</v>
      </c>
      <c r="AI39" s="734">
        <f>'BASE DE DATOS'!AI39</f>
        <v>13.3</v>
      </c>
      <c r="AJ39" s="734">
        <f>'BASE DE DATOS'!AJ39</f>
        <v>10</v>
      </c>
      <c r="AK39" s="734">
        <f>'BASE DE DATOS'!AK39</f>
        <v>10.1</v>
      </c>
      <c r="AL39" s="734">
        <f>'BASE DE DATOS'!AL39</f>
        <v>11.2</v>
      </c>
      <c r="AM39" s="734">
        <f>'BASE DE DATOS'!AM39</f>
        <v>13.1</v>
      </c>
      <c r="AN39" s="734">
        <f>'BASE DE DATOS'!AN39</f>
        <v>16</v>
      </c>
      <c r="AO39" s="734">
        <f>'BASE DE DATOS'!AO39</f>
        <v>19</v>
      </c>
      <c r="AP39" s="734">
        <f>'BASE DE DATOS'!AP39</f>
        <v>21.2</v>
      </c>
      <c r="AR39" s="734" t="str">
        <f>'BASE DE DATOS'!AR39</f>
        <v>BAP</v>
      </c>
      <c r="AS39" s="734" t="str">
        <f>'BASE DE DATOS'!AS39</f>
        <v>PERGAMINO</v>
      </c>
      <c r="AT39" s="734">
        <f>'BASE DE DATOS'!AT39</f>
        <v>6.5</v>
      </c>
      <c r="AU39" s="734">
        <f>'BASE DE DATOS'!AU39</f>
        <v>6</v>
      </c>
      <c r="AV39" s="734">
        <f>'BASE DE DATOS'!AV39</f>
        <v>4.5</v>
      </c>
      <c r="AW39" s="734">
        <f>'BASE DE DATOS'!AW39</f>
        <v>3</v>
      </c>
      <c r="AX39" s="734">
        <f>'BASE DE DATOS'!AX39</f>
        <v>2.5</v>
      </c>
      <c r="AY39" s="734">
        <f>'BASE DE DATOS'!AY39</f>
        <v>1.5</v>
      </c>
      <c r="AZ39" s="734">
        <f>'BASE DE DATOS'!AZ39</f>
        <v>2</v>
      </c>
      <c r="BA39" s="734">
        <f>'BASE DE DATOS'!BA39</f>
        <v>3</v>
      </c>
      <c r="BB39" s="734">
        <f>'BASE DE DATOS'!BB39</f>
        <v>4</v>
      </c>
      <c r="BC39" s="734">
        <f>'BASE DE DATOS'!BC39</f>
        <v>5</v>
      </c>
      <c r="BD39" s="734">
        <f>'BASE DE DATOS'!BD39</f>
        <v>6</v>
      </c>
      <c r="BE39" s="734">
        <f>'BASE DE DATOS'!BE39</f>
        <v>6.5</v>
      </c>
      <c r="DO39" s="733" t="str">
        <f>'BASE DE DATOS'!BG39</f>
        <v>BAP</v>
      </c>
      <c r="DP39" s="733" t="str">
        <f>'BASE DE DATOS'!BH39</f>
        <v>PERGAMINO</v>
      </c>
      <c r="DQ39" s="733">
        <f>'BASE DE DATOS'!BI39</f>
        <v>104</v>
      </c>
      <c r="DR39" s="733">
        <f>'BASE DE DATOS'!BJ39</f>
        <v>98</v>
      </c>
      <c r="DS39" s="733">
        <f>'BASE DE DATOS'!BK39</f>
        <v>115</v>
      </c>
      <c r="DT39" s="733">
        <f>'BASE DE DATOS'!BL39</f>
        <v>97</v>
      </c>
      <c r="DU39" s="733">
        <f>'BASE DE DATOS'!BM39</f>
        <v>80</v>
      </c>
      <c r="DV39" s="733">
        <f>'BASE DE DATOS'!BN39</f>
        <v>61</v>
      </c>
      <c r="DW39" s="733">
        <f>'BASE DE DATOS'!BO39</f>
        <v>59</v>
      </c>
      <c r="DX39" s="733">
        <f>'BASE DE DATOS'!BP39</f>
        <v>63</v>
      </c>
      <c r="DY39" s="733">
        <f>'BASE DE DATOS'!BQ39</f>
        <v>68</v>
      </c>
      <c r="DZ39" s="733">
        <f>'BASE DE DATOS'!BR39</f>
        <v>104</v>
      </c>
      <c r="EA39" s="733">
        <f>'BASE DE DATOS'!BS39</f>
        <v>98</v>
      </c>
      <c r="EB39" s="733">
        <f>'BASE DE DATOS'!BT39</f>
        <v>93</v>
      </c>
      <c r="GM39" s="741"/>
      <c r="GN39" s="741"/>
      <c r="GO39" s="741"/>
      <c r="GP39" s="741"/>
      <c r="GQ39" s="741"/>
      <c r="GR39" s="741"/>
      <c r="GS39" s="741"/>
      <c r="GT39" s="741"/>
      <c r="GU39" s="741"/>
      <c r="GV39" s="741"/>
      <c r="GW39" s="741"/>
      <c r="GX39" s="727" t="s">
        <v>2053</v>
      </c>
      <c r="GY39" s="741"/>
    </row>
    <row r="40" spans="2:207" ht="16">
      <c r="B40" s="734" t="str">
        <f>'BASE DE DATOS'!B40</f>
        <v>BAP</v>
      </c>
      <c r="C40" s="734" t="str">
        <f>'BASE DE DATOS'!C40</f>
        <v>PIGUE</v>
      </c>
      <c r="D40" s="734">
        <f>'BASE DE DATOS'!D40</f>
        <v>37.619999999999997</v>
      </c>
      <c r="E40" s="734">
        <f>'BASE DE DATOS'!E40</f>
        <v>62.42</v>
      </c>
      <c r="F40" s="734">
        <f>'BASE DE DATOS'!F40</f>
        <v>298</v>
      </c>
      <c r="G40" s="734" t="str">
        <f>'BASE DE DATOS'!G40</f>
        <v>IVC</v>
      </c>
      <c r="H40" s="734">
        <f>'BASE DE DATOS'!H40</f>
        <v>-4.8</v>
      </c>
      <c r="I40" s="734">
        <f>'BASE DE DATOS'!I40</f>
        <v>7</v>
      </c>
      <c r="J40" s="734">
        <f>'BASE DE DATOS'!J40</f>
        <v>20</v>
      </c>
      <c r="K40" s="734">
        <f>'BASE DE DATOS'!K40</f>
        <v>31.3</v>
      </c>
      <c r="L40" s="734">
        <f>'BASE DE DATOS'!L40</f>
        <v>56</v>
      </c>
      <c r="M40" s="734">
        <f>'BASE DE DATOS'!M40</f>
        <v>75</v>
      </c>
      <c r="N40" s="734">
        <f>'BASE DE DATOS'!N40</f>
        <v>56</v>
      </c>
      <c r="O40" s="734">
        <f>'BASE DE DATOS'!O40</f>
        <v>25</v>
      </c>
      <c r="P40" s="734">
        <f>'BASE DE DATOS'!P40</f>
        <v>71</v>
      </c>
      <c r="Q40" s="734">
        <f>'BASE DE DATOS'!Q40</f>
        <v>4</v>
      </c>
      <c r="R40" s="734">
        <f>'BASE DE DATOS'!R40</f>
        <v>19.899999999999999</v>
      </c>
      <c r="S40" s="734">
        <f>'BASE DE DATOS'!S40</f>
        <v>0.55000000000000004</v>
      </c>
      <c r="T40" s="734">
        <f>'BASE DE DATOS'!T40</f>
        <v>35.799999999999997</v>
      </c>
      <c r="U40" s="734">
        <f>'BASE DE DATOS'!U40</f>
        <v>6</v>
      </c>
      <c r="V40" s="734">
        <f>'BASE DE DATOS'!V40</f>
        <v>203</v>
      </c>
      <c r="W40" s="734">
        <f>'BASE DE DATOS'!W40</f>
        <v>99</v>
      </c>
      <c r="X40" s="734">
        <f>'BASE DE DATOS'!X40</f>
        <v>3.1E-2</v>
      </c>
      <c r="Y40" s="734">
        <f>'BASE DE DATOS'!Y40</f>
        <v>3.5999999999999997E-2</v>
      </c>
      <c r="Z40" s="734">
        <f>'BASE DE DATOS'!Z40</f>
        <v>130</v>
      </c>
      <c r="AA40" s="734">
        <f>'BASE DE DATOS'!AA40</f>
        <v>1.3</v>
      </c>
      <c r="AB40" s="734">
        <f>'BASE DE DATOS'!AB40</f>
        <v>35</v>
      </c>
      <c r="AD40" s="734" t="str">
        <f>'BASE DE DATOS'!AD40</f>
        <v>PIGUE</v>
      </c>
      <c r="AE40" s="734">
        <f>'BASE DE DATOS'!AE40</f>
        <v>22.3</v>
      </c>
      <c r="AF40" s="734">
        <f>'BASE DE DATOS'!AF40</f>
        <v>21.2</v>
      </c>
      <c r="AG40" s="734">
        <f>'BASE DE DATOS'!AG40</f>
        <v>18.2</v>
      </c>
      <c r="AH40" s="734">
        <f>'BASE DE DATOS'!AH40</f>
        <v>12.8</v>
      </c>
      <c r="AI40" s="734">
        <f>'BASE DE DATOS'!AI40</f>
        <v>9.8000000000000007</v>
      </c>
      <c r="AJ40" s="734">
        <f>'BASE DE DATOS'!AJ40</f>
        <v>6.7</v>
      </c>
      <c r="AK40" s="734">
        <f>'BASE DE DATOS'!AK40</f>
        <v>6.8</v>
      </c>
      <c r="AL40" s="734">
        <f>'BASE DE DATOS'!AL40</f>
        <v>7.9</v>
      </c>
      <c r="AM40" s="734">
        <f>'BASE DE DATOS'!AM40</f>
        <v>10.1</v>
      </c>
      <c r="AN40" s="734">
        <f>'BASE DE DATOS'!AN40</f>
        <v>13.1</v>
      </c>
      <c r="AO40" s="734">
        <f>'BASE DE DATOS'!AO40</f>
        <v>17</v>
      </c>
      <c r="AP40" s="734">
        <f>'BASE DE DATOS'!AP40</f>
        <v>19.7</v>
      </c>
      <c r="AR40" s="734" t="str">
        <f>'BASE DE DATOS'!AR40</f>
        <v>BAP</v>
      </c>
      <c r="AS40" s="734" t="str">
        <f>'BASE DE DATOS'!AS40</f>
        <v>PIGUE</v>
      </c>
      <c r="AT40" s="734">
        <f>'BASE DE DATOS'!AT40</f>
        <v>6.5</v>
      </c>
      <c r="AU40" s="734">
        <f>'BASE DE DATOS'!AU40</f>
        <v>6</v>
      </c>
      <c r="AV40" s="734">
        <f>'BASE DE DATOS'!AV40</f>
        <v>4.5</v>
      </c>
      <c r="AW40" s="734">
        <f>'BASE DE DATOS'!AW40</f>
        <v>3</v>
      </c>
      <c r="AX40" s="734">
        <f>'BASE DE DATOS'!AX40</f>
        <v>2</v>
      </c>
      <c r="AY40" s="734">
        <f>'BASE DE DATOS'!AY40</f>
        <v>1.5</v>
      </c>
      <c r="AZ40" s="734">
        <f>'BASE DE DATOS'!AZ40</f>
        <v>1.5</v>
      </c>
      <c r="BA40" s="734">
        <f>'BASE DE DATOS'!BA40</f>
        <v>2.5</v>
      </c>
      <c r="BB40" s="734">
        <f>'BASE DE DATOS'!BB40</f>
        <v>3.5</v>
      </c>
      <c r="BC40" s="734">
        <f>'BASE DE DATOS'!BC40</f>
        <v>5</v>
      </c>
      <c r="BD40" s="734">
        <f>'BASE DE DATOS'!BD40</f>
        <v>6</v>
      </c>
      <c r="BE40" s="734">
        <f>'BASE DE DATOS'!BE40</f>
        <v>7</v>
      </c>
      <c r="DA40" s="744" t="s">
        <v>748</v>
      </c>
      <c r="DO40" s="733" t="str">
        <f>'BASE DE DATOS'!BG40</f>
        <v>BAP</v>
      </c>
      <c r="DP40" s="733" t="str">
        <f>'BASE DE DATOS'!BH40</f>
        <v>PIGUE</v>
      </c>
      <c r="DQ40" s="733">
        <f>'BASE DE DATOS'!BI40</f>
        <v>104</v>
      </c>
      <c r="DR40" s="733">
        <f>'BASE DE DATOS'!BJ40</f>
        <v>98</v>
      </c>
      <c r="DS40" s="733">
        <f>'BASE DE DATOS'!BK40</f>
        <v>115</v>
      </c>
      <c r="DT40" s="733">
        <f>'BASE DE DATOS'!BL40</f>
        <v>97</v>
      </c>
      <c r="DU40" s="733">
        <f>'BASE DE DATOS'!BM40</f>
        <v>80</v>
      </c>
      <c r="DV40" s="733">
        <f>'BASE DE DATOS'!BN40</f>
        <v>61</v>
      </c>
      <c r="DW40" s="733">
        <f>'BASE DE DATOS'!BO40</f>
        <v>59</v>
      </c>
      <c r="DX40" s="733">
        <f>'BASE DE DATOS'!BP40</f>
        <v>63</v>
      </c>
      <c r="DY40" s="733">
        <f>'BASE DE DATOS'!BQ40</f>
        <v>68</v>
      </c>
      <c r="DZ40" s="733">
        <f>'BASE DE DATOS'!BR40</f>
        <v>104</v>
      </c>
      <c r="EA40" s="733">
        <f>'BASE DE DATOS'!BS40</f>
        <v>98</v>
      </c>
      <c r="EB40" s="733">
        <f>'BASE DE DATOS'!BT40</f>
        <v>93</v>
      </c>
      <c r="GM40" s="741"/>
      <c r="GN40" s="741"/>
      <c r="GO40" s="741"/>
      <c r="GP40" s="741"/>
      <c r="GQ40" s="741"/>
      <c r="GR40" s="741"/>
      <c r="GS40" s="741"/>
      <c r="GT40" s="741"/>
      <c r="GU40" s="741"/>
      <c r="GV40" s="741"/>
      <c r="GW40" s="741"/>
      <c r="GX40" s="755" t="s">
        <v>1080</v>
      </c>
      <c r="GY40" s="741"/>
    </row>
    <row r="41" spans="2:207" ht="16">
      <c r="B41" s="734" t="str">
        <f>'BASE DE DATOS'!B41</f>
        <v>BAP</v>
      </c>
      <c r="C41" s="734" t="str">
        <f>'BASE DE DATOS'!C41</f>
        <v>PINAMAR</v>
      </c>
      <c r="D41" s="734">
        <f>'BASE DE DATOS'!D41</f>
        <v>37.08</v>
      </c>
      <c r="E41" s="734">
        <f>'BASE DE DATOS'!E41</f>
        <v>56.85</v>
      </c>
      <c r="F41" s="734">
        <f>'BASE DE DATOS'!F41</f>
        <v>13</v>
      </c>
      <c r="G41" s="734" t="str">
        <f>'BASE DE DATOS'!G41</f>
        <v>IVD</v>
      </c>
      <c r="H41" s="734">
        <f>'BASE DE DATOS'!H41</f>
        <v>-0.1</v>
      </c>
      <c r="I41" s="734">
        <f>'BASE DE DATOS'!I41</f>
        <v>9.1</v>
      </c>
      <c r="J41" s="734">
        <f>'BASE DE DATOS'!J41</f>
        <v>20</v>
      </c>
      <c r="K41" s="734">
        <f>'BASE DE DATOS'!K41</f>
        <v>29.1</v>
      </c>
      <c r="L41" s="734">
        <f>'BASE DE DATOS'!L41</f>
        <v>73</v>
      </c>
      <c r="M41" s="734">
        <f>'BASE DE DATOS'!M41</f>
        <v>82</v>
      </c>
      <c r="N41" s="734">
        <f>'BASE DE DATOS'!N41</f>
        <v>73</v>
      </c>
      <c r="O41" s="734">
        <f>'BASE DE DATOS'!O41</f>
        <v>61</v>
      </c>
      <c r="P41" s="734">
        <f>'BASE DE DATOS'!P41</f>
        <v>88</v>
      </c>
      <c r="Q41" s="734">
        <f>'BASE DE DATOS'!Q41</f>
        <v>4</v>
      </c>
      <c r="R41" s="734">
        <f>'BASE DE DATOS'!R41</f>
        <v>19.8</v>
      </c>
      <c r="S41" s="734">
        <f>'BASE DE DATOS'!S41</f>
        <v>0.53</v>
      </c>
      <c r="T41" s="734">
        <f>'BASE DE DATOS'!T41</f>
        <v>35.799999999999997</v>
      </c>
      <c r="U41" s="734">
        <f>'BASE DE DATOS'!U41</f>
        <v>6</v>
      </c>
      <c r="V41" s="734">
        <f>'BASE DE DATOS'!V41</f>
        <v>203</v>
      </c>
      <c r="W41" s="734">
        <f>'BASE DE DATOS'!W41</f>
        <v>99</v>
      </c>
      <c r="X41" s="734">
        <f>'BASE DE DATOS'!X41</f>
        <v>3.1E-2</v>
      </c>
      <c r="Y41" s="734">
        <f>'BASE DE DATOS'!Y41</f>
        <v>3.5999999999999997E-2</v>
      </c>
      <c r="Z41" s="734">
        <f>'BASE DE DATOS'!Z41</f>
        <v>130</v>
      </c>
      <c r="AA41" s="734">
        <f>'BASE DE DATOS'!AA41</f>
        <v>1.3</v>
      </c>
      <c r="AB41" s="734">
        <f>'BASE DE DATOS'!AB41</f>
        <v>35</v>
      </c>
      <c r="AD41" s="734" t="str">
        <f>'BASE DE DATOS'!AD41</f>
        <v>PINAMAR</v>
      </c>
      <c r="AE41" s="734">
        <f>'BASE DE DATOS'!AE41</f>
        <v>21.1</v>
      </c>
      <c r="AF41" s="734">
        <f>'BASE DE DATOS'!AF41</f>
        <v>21.2</v>
      </c>
      <c r="AG41" s="734">
        <f>'BASE DE DATOS'!AG41</f>
        <v>19.2</v>
      </c>
      <c r="AH41" s="734">
        <f>'BASE DE DATOS'!AH41</f>
        <v>15</v>
      </c>
      <c r="AI41" s="734">
        <f>'BASE DE DATOS'!AI41</f>
        <v>12</v>
      </c>
      <c r="AJ41" s="734">
        <f>'BASE DE DATOS'!AJ41</f>
        <v>9.1999999999999993</v>
      </c>
      <c r="AK41" s="734">
        <f>'BASE DE DATOS'!AK41</f>
        <v>8.8000000000000007</v>
      </c>
      <c r="AL41" s="734">
        <f>'BASE DE DATOS'!AL41</f>
        <v>9.6</v>
      </c>
      <c r="AM41" s="734">
        <f>'BASE DE DATOS'!AM41</f>
        <v>11</v>
      </c>
      <c r="AN41" s="734">
        <f>'BASE DE DATOS'!AN41</f>
        <v>13.7</v>
      </c>
      <c r="AO41" s="734">
        <f>'BASE DE DATOS'!AO41</f>
        <v>17.2</v>
      </c>
      <c r="AP41" s="734">
        <f>'BASE DE DATOS'!AP41</f>
        <v>19</v>
      </c>
      <c r="AR41" s="734" t="str">
        <f>'BASE DE DATOS'!AR41</f>
        <v>BAP</v>
      </c>
      <c r="AS41" s="734" t="str">
        <f>'BASE DE DATOS'!AS41</f>
        <v>PINAMAR</v>
      </c>
      <c r="AT41" s="734">
        <f>'BASE DE DATOS'!AT41</f>
        <v>6.5</v>
      </c>
      <c r="AU41" s="734">
        <f>'BASE DE DATOS'!AU41</f>
        <v>5.5</v>
      </c>
      <c r="AV41" s="734">
        <f>'BASE DE DATOS'!AV41</f>
        <v>5</v>
      </c>
      <c r="AW41" s="734">
        <f>'BASE DE DATOS'!AW41</f>
        <v>3</v>
      </c>
      <c r="AX41" s="734">
        <f>'BASE DE DATOS'!AX41</f>
        <v>2</v>
      </c>
      <c r="AY41" s="734">
        <f>'BASE DE DATOS'!AY41</f>
        <v>1.5</v>
      </c>
      <c r="AZ41" s="734">
        <f>'BASE DE DATOS'!AZ41</f>
        <v>1.5</v>
      </c>
      <c r="BA41" s="734">
        <f>'BASE DE DATOS'!BA41</f>
        <v>2.5</v>
      </c>
      <c r="BB41" s="734">
        <f>'BASE DE DATOS'!BB41</f>
        <v>3.5</v>
      </c>
      <c r="BC41" s="734">
        <f>'BASE DE DATOS'!BC41</f>
        <v>5</v>
      </c>
      <c r="BD41" s="734">
        <f>'BASE DE DATOS'!BD41</f>
        <v>6</v>
      </c>
      <c r="BE41" s="734">
        <f>'BASE DE DATOS'!BE41</f>
        <v>6.5</v>
      </c>
      <c r="DA41" s="734" t="str">
        <f>DA4</f>
        <v>Espacio Adyacente</v>
      </c>
      <c r="DO41" s="733" t="str">
        <f>'BASE DE DATOS'!BG41</f>
        <v>BAP</v>
      </c>
      <c r="DP41" s="733" t="str">
        <f>'BASE DE DATOS'!BH41</f>
        <v>PINAMAR</v>
      </c>
      <c r="DQ41" s="733">
        <f>'BASE DE DATOS'!BI41</f>
        <v>104</v>
      </c>
      <c r="DR41" s="733">
        <f>'BASE DE DATOS'!BJ41</f>
        <v>98</v>
      </c>
      <c r="DS41" s="733">
        <f>'BASE DE DATOS'!BK41</f>
        <v>115</v>
      </c>
      <c r="DT41" s="733">
        <f>'BASE DE DATOS'!BL41</f>
        <v>97</v>
      </c>
      <c r="DU41" s="733">
        <f>'BASE DE DATOS'!BM41</f>
        <v>80</v>
      </c>
      <c r="DV41" s="733">
        <f>'BASE DE DATOS'!BN41</f>
        <v>61</v>
      </c>
      <c r="DW41" s="733">
        <f>'BASE DE DATOS'!BO41</f>
        <v>59</v>
      </c>
      <c r="DX41" s="733">
        <f>'BASE DE DATOS'!BP41</f>
        <v>63</v>
      </c>
      <c r="DY41" s="733">
        <f>'BASE DE DATOS'!BQ41</f>
        <v>68</v>
      </c>
      <c r="DZ41" s="733">
        <f>'BASE DE DATOS'!BR41</f>
        <v>104</v>
      </c>
      <c r="EA41" s="733">
        <f>'BASE DE DATOS'!BS41</f>
        <v>98</v>
      </c>
      <c r="EB41" s="733">
        <f>'BASE DE DATOS'!BT41</f>
        <v>93</v>
      </c>
      <c r="GM41" s="741"/>
      <c r="GN41" s="741"/>
      <c r="GO41" s="1182" t="s">
        <v>2048</v>
      </c>
      <c r="GP41" s="1182"/>
      <c r="GQ41" s="1182"/>
      <c r="GR41" s="1182"/>
      <c r="GS41" s="1182"/>
      <c r="GT41" s="1182"/>
      <c r="GU41" s="1182"/>
      <c r="GV41" s="741"/>
      <c r="GW41" s="741"/>
      <c r="GX41" s="1182">
        <f>IF(AVERAGE(GP11:GP18)=1,1,0)</f>
        <v>0</v>
      </c>
      <c r="GY41" s="741"/>
    </row>
    <row r="42" spans="2:207" ht="16">
      <c r="B42" s="734" t="str">
        <f>'BASE DE DATOS'!B42</f>
        <v>BAP</v>
      </c>
      <c r="C42" s="734" t="str">
        <f>'BASE DE DATOS'!C42</f>
        <v>PUNTA INDIO</v>
      </c>
      <c r="D42" s="734">
        <f>'BASE DE DATOS'!D42</f>
        <v>35.369999999999997</v>
      </c>
      <c r="E42" s="734">
        <f>'BASE DE DATOS'!E42</f>
        <v>57.28</v>
      </c>
      <c r="F42" s="734">
        <f>'BASE DE DATOS'!F42</f>
        <v>22</v>
      </c>
      <c r="G42" s="734" t="str">
        <f>'BASE DE DATOS'!G42</f>
        <v>IIIB</v>
      </c>
      <c r="H42" s="734">
        <f>'BASE DE DATOS'!H42</f>
        <v>0.4</v>
      </c>
      <c r="I42" s="734">
        <f>'BASE DE DATOS'!I42</f>
        <v>9.9</v>
      </c>
      <c r="J42" s="734">
        <f>'BASE DE DATOS'!J42</f>
        <v>21.8</v>
      </c>
      <c r="K42" s="734">
        <f>'BASE DE DATOS'!K42</f>
        <v>31.2</v>
      </c>
      <c r="L42" s="734">
        <f>'BASE DE DATOS'!L42</f>
        <v>73</v>
      </c>
      <c r="M42" s="734">
        <f>'BASE DE DATOS'!M42</f>
        <v>86</v>
      </c>
      <c r="N42" s="734">
        <f>'BASE DE DATOS'!N42</f>
        <v>73</v>
      </c>
      <c r="O42" s="734">
        <f>'BASE DE DATOS'!O42</f>
        <v>65</v>
      </c>
      <c r="P42" s="734">
        <f>'BASE DE DATOS'!P42</f>
        <v>73</v>
      </c>
      <c r="Q42" s="734">
        <f>'BASE DE DATOS'!Q42</f>
        <v>3</v>
      </c>
      <c r="R42" s="734">
        <f>'BASE DE DATOS'!R42</f>
        <v>21.3</v>
      </c>
      <c r="S42" s="734">
        <f>'BASE DE DATOS'!S42</f>
        <v>0.53</v>
      </c>
      <c r="T42" s="734">
        <f>'BASE DE DATOS'!T42</f>
        <v>35.799999999999997</v>
      </c>
      <c r="U42" s="734">
        <f>'BASE DE DATOS'!U42</f>
        <v>6</v>
      </c>
      <c r="V42" s="734">
        <f>'BASE DE DATOS'!V42</f>
        <v>203</v>
      </c>
      <c r="W42" s="734">
        <f>'BASE DE DATOS'!W42</f>
        <v>99</v>
      </c>
      <c r="X42" s="734">
        <f>'BASE DE DATOS'!X42</f>
        <v>3.1E-2</v>
      </c>
      <c r="Y42" s="734">
        <f>'BASE DE DATOS'!Y42</f>
        <v>3.5999999999999997E-2</v>
      </c>
      <c r="Z42" s="734">
        <f>'BASE DE DATOS'!Z42</f>
        <v>130</v>
      </c>
      <c r="AA42" s="734">
        <f>'BASE DE DATOS'!AA42</f>
        <v>1.3</v>
      </c>
      <c r="AB42" s="734">
        <f>'BASE DE DATOS'!AB42</f>
        <v>35</v>
      </c>
      <c r="AD42" s="734" t="str">
        <f>'BASE DE DATOS'!AD42</f>
        <v>PUNTA INDIO</v>
      </c>
      <c r="AE42" s="734">
        <f>'BASE DE DATOS'!AE42</f>
        <v>22.7</v>
      </c>
      <c r="AF42" s="734">
        <f>'BASE DE DATOS'!AF42</f>
        <v>22.2</v>
      </c>
      <c r="AG42" s="734">
        <f>'BASE DE DATOS'!AG42</f>
        <v>20.3</v>
      </c>
      <c r="AH42" s="734">
        <f>'BASE DE DATOS'!AH42</f>
        <v>15.6</v>
      </c>
      <c r="AI42" s="734">
        <f>'BASE DE DATOS'!AI42</f>
        <v>13.2</v>
      </c>
      <c r="AJ42" s="734">
        <f>'BASE DE DATOS'!AJ42</f>
        <v>10.199999999999999</v>
      </c>
      <c r="AK42" s="734">
        <f>'BASE DE DATOS'!AK42</f>
        <v>10.199999999999999</v>
      </c>
      <c r="AL42" s="734">
        <f>'BASE DE DATOS'!AL42</f>
        <v>10.7</v>
      </c>
      <c r="AM42" s="734">
        <f>'BASE DE DATOS'!AM42</f>
        <v>12.6</v>
      </c>
      <c r="AN42" s="734">
        <f>'BASE DE DATOS'!AN42</f>
        <v>15.5</v>
      </c>
      <c r="AO42" s="734">
        <f>'BASE DE DATOS'!AO42</f>
        <v>18.5</v>
      </c>
      <c r="AP42" s="734">
        <f>'BASE DE DATOS'!AP42</f>
        <v>20.7</v>
      </c>
      <c r="AR42" s="734" t="str">
        <f>'BASE DE DATOS'!AR42</f>
        <v>BAP</v>
      </c>
      <c r="AS42" s="734" t="str">
        <f>'BASE DE DATOS'!AS42</f>
        <v>PUNTA INDIO</v>
      </c>
      <c r="AT42" s="734">
        <f>'BASE DE DATOS'!AT42</f>
        <v>6.5</v>
      </c>
      <c r="AU42" s="734">
        <f>'BASE DE DATOS'!AU42</f>
        <v>6</v>
      </c>
      <c r="AV42" s="734">
        <f>'BASE DE DATOS'!AV42</f>
        <v>5</v>
      </c>
      <c r="AW42" s="734">
        <f>'BASE DE DATOS'!AW42</f>
        <v>3</v>
      </c>
      <c r="AX42" s="734">
        <f>'BASE DE DATOS'!AX42</f>
        <v>2</v>
      </c>
      <c r="AY42" s="734">
        <f>'BASE DE DATOS'!AY42</f>
        <v>1.5</v>
      </c>
      <c r="AZ42" s="734">
        <f>'BASE DE DATOS'!AZ42</f>
        <v>1.5</v>
      </c>
      <c r="BA42" s="734">
        <f>'BASE DE DATOS'!BA42</f>
        <v>2.5</v>
      </c>
      <c r="BB42" s="734">
        <f>'BASE DE DATOS'!BB42</f>
        <v>3.5</v>
      </c>
      <c r="BC42" s="734">
        <f>'BASE DE DATOS'!BC42</f>
        <v>5</v>
      </c>
      <c r="BD42" s="734">
        <f>'BASE DE DATOS'!BD42</f>
        <v>6</v>
      </c>
      <c r="BE42" s="734">
        <f>'BASE DE DATOS'!BE42</f>
        <v>6.5</v>
      </c>
      <c r="DA42" s="734" t="str">
        <f t="shared" ref="DA42:DA44" si="4">DA5</f>
        <v>Áreas de circulación sin paredes externas y sin ventilación adicional</v>
      </c>
      <c r="DO42" s="733" t="str">
        <f>'BASE DE DATOS'!BG42</f>
        <v>BAP</v>
      </c>
      <c r="DP42" s="733" t="str">
        <f>'BASE DE DATOS'!BH42</f>
        <v>PUNTA INDIO</v>
      </c>
      <c r="DQ42" s="733">
        <f>'BASE DE DATOS'!BI42</f>
        <v>104</v>
      </c>
      <c r="DR42" s="733">
        <f>'BASE DE DATOS'!BJ42</f>
        <v>98</v>
      </c>
      <c r="DS42" s="733">
        <f>'BASE DE DATOS'!BK42</f>
        <v>115</v>
      </c>
      <c r="DT42" s="733">
        <f>'BASE DE DATOS'!BL42</f>
        <v>97</v>
      </c>
      <c r="DU42" s="733">
        <f>'BASE DE DATOS'!BM42</f>
        <v>80</v>
      </c>
      <c r="DV42" s="733">
        <f>'BASE DE DATOS'!BN42</f>
        <v>61</v>
      </c>
      <c r="DW42" s="733">
        <f>'BASE DE DATOS'!BO42</f>
        <v>59</v>
      </c>
      <c r="DX42" s="733">
        <f>'BASE DE DATOS'!BP42</f>
        <v>63</v>
      </c>
      <c r="DY42" s="733">
        <f>'BASE DE DATOS'!BQ42</f>
        <v>68</v>
      </c>
      <c r="DZ42" s="733">
        <f>'BASE DE DATOS'!BR42</f>
        <v>104</v>
      </c>
      <c r="EA42" s="733">
        <f>'BASE DE DATOS'!BS42</f>
        <v>98</v>
      </c>
      <c r="EB42" s="733">
        <f>'BASE DE DATOS'!BT42</f>
        <v>93</v>
      </c>
      <c r="GM42" s="741"/>
      <c r="GN42" s="741"/>
      <c r="GO42" s="1182"/>
      <c r="GP42" s="1182"/>
      <c r="GQ42" s="1182"/>
      <c r="GR42" s="1182"/>
      <c r="GS42" s="1182"/>
      <c r="GT42" s="1182"/>
      <c r="GU42" s="1182"/>
      <c r="GV42" s="741"/>
      <c r="GW42" s="741"/>
      <c r="GX42" s="1182"/>
      <c r="GY42" s="741"/>
    </row>
    <row r="43" spans="2:207" ht="16">
      <c r="B43" s="734" t="str">
        <f>'BASE DE DATOS'!B43</f>
        <v>BAP</v>
      </c>
      <c r="C43" s="734" t="str">
        <f>'BASE DE DATOS'!C43</f>
        <v>SAN CLEMENTE</v>
      </c>
      <c r="D43" s="734">
        <f>'BASE DE DATOS'!D43</f>
        <v>36.369999999999997</v>
      </c>
      <c r="E43" s="734">
        <f>'BASE DE DATOS'!E43</f>
        <v>56.72</v>
      </c>
      <c r="F43" s="734">
        <f>'BASE DE DATOS'!F43</f>
        <v>3</v>
      </c>
      <c r="G43" s="734" t="str">
        <f>'BASE DE DATOS'!G43</f>
        <v>IVB</v>
      </c>
      <c r="H43" s="734">
        <f>'BASE DE DATOS'!H43</f>
        <v>2.1</v>
      </c>
      <c r="I43" s="734">
        <f>'BASE DE DATOS'!I43</f>
        <v>9.1</v>
      </c>
      <c r="J43" s="734">
        <f>'BASE DE DATOS'!J43</f>
        <v>19.8</v>
      </c>
      <c r="K43" s="734">
        <f>'BASE DE DATOS'!K43</f>
        <v>28.7</v>
      </c>
      <c r="L43" s="734">
        <f>'BASE DE DATOS'!L43</f>
        <v>83</v>
      </c>
      <c r="M43" s="734">
        <f>'BASE DE DATOS'!M43</f>
        <v>88</v>
      </c>
      <c r="N43" s="734">
        <f>'BASE DE DATOS'!N43</f>
        <v>83</v>
      </c>
      <c r="O43" s="734">
        <f>'BASE DE DATOS'!O43</f>
        <v>84</v>
      </c>
      <c r="P43" s="734">
        <f>'BASE DE DATOS'!P43</f>
        <v>91</v>
      </c>
      <c r="Q43" s="734">
        <f>'BASE DE DATOS'!Q43</f>
        <v>4</v>
      </c>
      <c r="R43" s="734">
        <f>'BASE DE DATOS'!R43</f>
        <v>20.6</v>
      </c>
      <c r="S43" s="734">
        <f>'BASE DE DATOS'!S43</f>
        <v>0.53</v>
      </c>
      <c r="T43" s="734">
        <f>'BASE DE DATOS'!T43</f>
        <v>35.799999999999997</v>
      </c>
      <c r="U43" s="734">
        <f>'BASE DE DATOS'!U43</f>
        <v>6</v>
      </c>
      <c r="V43" s="734">
        <f>'BASE DE DATOS'!V43</f>
        <v>203</v>
      </c>
      <c r="W43" s="734">
        <f>'BASE DE DATOS'!W43</f>
        <v>99</v>
      </c>
      <c r="X43" s="734">
        <f>'BASE DE DATOS'!X43</f>
        <v>3.1E-2</v>
      </c>
      <c r="Y43" s="734">
        <f>'BASE DE DATOS'!Y43</f>
        <v>3.5999999999999997E-2</v>
      </c>
      <c r="Z43" s="734">
        <f>'BASE DE DATOS'!Z43</f>
        <v>130</v>
      </c>
      <c r="AA43" s="734">
        <f>'BASE DE DATOS'!AA43</f>
        <v>1.3</v>
      </c>
      <c r="AB43" s="734">
        <f>'BASE DE DATOS'!AB43</f>
        <v>35</v>
      </c>
      <c r="AD43" s="734" t="str">
        <f>'BASE DE DATOS'!AD43</f>
        <v>SAN CLEMENTE</v>
      </c>
      <c r="AE43" s="734">
        <f>'BASE DE DATOS'!AE43</f>
        <v>22</v>
      </c>
      <c r="AF43" s="734">
        <f>'BASE DE DATOS'!AF43</f>
        <v>21.5</v>
      </c>
      <c r="AG43" s="734">
        <f>'BASE DE DATOS'!AG43</f>
        <v>20.100000000000001</v>
      </c>
      <c r="AH43" s="734">
        <f>'BASE DE DATOS'!AH43</f>
        <v>15.3</v>
      </c>
      <c r="AI43" s="734">
        <f>'BASE DE DATOS'!AI43</f>
        <v>12.5</v>
      </c>
      <c r="AJ43" s="734">
        <f>'BASE DE DATOS'!AJ43</f>
        <v>9.9</v>
      </c>
      <c r="AK43" s="734">
        <f>'BASE DE DATOS'!AK43</f>
        <v>9.1999999999999993</v>
      </c>
      <c r="AL43" s="734">
        <f>'BASE DE DATOS'!AL43</f>
        <v>10</v>
      </c>
      <c r="AM43" s="734">
        <f>'BASE DE DATOS'!AM43</f>
        <v>11.6</v>
      </c>
      <c r="AN43" s="734">
        <f>'BASE DE DATOS'!AN43</f>
        <v>14.7</v>
      </c>
      <c r="AO43" s="734">
        <f>'BASE DE DATOS'!AO43</f>
        <v>17.7</v>
      </c>
      <c r="AP43" s="734">
        <f>'BASE DE DATOS'!AP43</f>
        <v>19.8</v>
      </c>
      <c r="AR43" s="734" t="str">
        <f>'BASE DE DATOS'!AR43</f>
        <v>BAP</v>
      </c>
      <c r="AS43" s="734" t="str">
        <f>'BASE DE DATOS'!AS43</f>
        <v>SAN CLEMENTE</v>
      </c>
      <c r="AT43" s="734">
        <f>'BASE DE DATOS'!AT43</f>
        <v>6.5</v>
      </c>
      <c r="AU43" s="734">
        <f>'BASE DE DATOS'!AU43</f>
        <v>5.5</v>
      </c>
      <c r="AV43" s="734">
        <f>'BASE DE DATOS'!AV43</f>
        <v>5</v>
      </c>
      <c r="AW43" s="734">
        <f>'BASE DE DATOS'!AW43</f>
        <v>3</v>
      </c>
      <c r="AX43" s="734">
        <f>'BASE DE DATOS'!AX43</f>
        <v>2</v>
      </c>
      <c r="AY43" s="734">
        <f>'BASE DE DATOS'!AY43</f>
        <v>1.5</v>
      </c>
      <c r="AZ43" s="734">
        <f>'BASE DE DATOS'!AZ43</f>
        <v>1.5</v>
      </c>
      <c r="BA43" s="734">
        <f>'BASE DE DATOS'!BA43</f>
        <v>2.5</v>
      </c>
      <c r="BB43" s="734">
        <f>'BASE DE DATOS'!BB43</f>
        <v>3.5</v>
      </c>
      <c r="BC43" s="734">
        <f>'BASE DE DATOS'!BC43</f>
        <v>5</v>
      </c>
      <c r="BD43" s="734">
        <f>'BASE DE DATOS'!BD43</f>
        <v>6</v>
      </c>
      <c r="BE43" s="734">
        <f>'BASE DE DATOS'!BE43</f>
        <v>6.5</v>
      </c>
      <c r="DA43" s="734" t="str">
        <f t="shared" si="4"/>
        <v>Áreas de circulación libremente ventiladas</v>
      </c>
      <c r="DO43" s="733" t="str">
        <f>'BASE DE DATOS'!BG43</f>
        <v>BAP</v>
      </c>
      <c r="DP43" s="733" t="str">
        <f>'BASE DE DATOS'!BH43</f>
        <v>SAN CLEMENTE</v>
      </c>
      <c r="DQ43" s="733">
        <f>'BASE DE DATOS'!BI43</f>
        <v>104</v>
      </c>
      <c r="DR43" s="733">
        <f>'BASE DE DATOS'!BJ43</f>
        <v>98</v>
      </c>
      <c r="DS43" s="733">
        <f>'BASE DE DATOS'!BK43</f>
        <v>115</v>
      </c>
      <c r="DT43" s="733">
        <f>'BASE DE DATOS'!BL43</f>
        <v>97</v>
      </c>
      <c r="DU43" s="733">
        <f>'BASE DE DATOS'!BM43</f>
        <v>80</v>
      </c>
      <c r="DV43" s="733">
        <f>'BASE DE DATOS'!BN43</f>
        <v>61</v>
      </c>
      <c r="DW43" s="733">
        <f>'BASE DE DATOS'!BO43</f>
        <v>59</v>
      </c>
      <c r="DX43" s="733">
        <f>'BASE DE DATOS'!BP43</f>
        <v>63</v>
      </c>
      <c r="DY43" s="733">
        <f>'BASE DE DATOS'!BQ43</f>
        <v>68</v>
      </c>
      <c r="DZ43" s="733">
        <f>'BASE DE DATOS'!BR43</f>
        <v>104</v>
      </c>
      <c r="EA43" s="733">
        <f>'BASE DE DATOS'!BS43</f>
        <v>98</v>
      </c>
      <c r="EB43" s="733">
        <f>'BASE DE DATOS'!BT43</f>
        <v>93</v>
      </c>
      <c r="GM43" s="741"/>
      <c r="GN43" s="741"/>
      <c r="GO43" s="727" t="s">
        <v>2052</v>
      </c>
      <c r="GP43" s="1182" t="s">
        <v>2047</v>
      </c>
      <c r="GQ43" s="1182"/>
      <c r="GR43" s="727" t="s">
        <v>2051</v>
      </c>
      <c r="GS43" s="741"/>
      <c r="GT43" s="1182" t="s">
        <v>2050</v>
      </c>
      <c r="GU43" s="1182"/>
      <c r="GV43" s="727" t="s">
        <v>2051</v>
      </c>
      <c r="GW43" s="741"/>
      <c r="GX43" s="1182"/>
      <c r="GY43" s="727" t="s">
        <v>1993</v>
      </c>
    </row>
    <row r="44" spans="2:207" ht="16">
      <c r="B44" s="734" t="str">
        <f>'BASE DE DATOS'!B44</f>
        <v>BAP</v>
      </c>
      <c r="C44" s="734" t="str">
        <f>'BASE DE DATOS'!C44</f>
        <v>SAN PEDRO</v>
      </c>
      <c r="D44" s="734">
        <f>'BASE DE DATOS'!D44</f>
        <v>33.68</v>
      </c>
      <c r="E44" s="734">
        <f>'BASE DE DATOS'!E44</f>
        <v>59.68</v>
      </c>
      <c r="F44" s="734">
        <f>'BASE DE DATOS'!F44</f>
        <v>28</v>
      </c>
      <c r="G44" s="734" t="str">
        <f>'BASE DE DATOS'!G44</f>
        <v>IIIB</v>
      </c>
      <c r="H44" s="734">
        <f>'BASE DE DATOS'!H44</f>
        <v>1.5</v>
      </c>
      <c r="I44" s="734">
        <f>'BASE DE DATOS'!I44</f>
        <v>10.5</v>
      </c>
      <c r="J44" s="734">
        <f>'BASE DE DATOS'!J44</f>
        <v>23.2</v>
      </c>
      <c r="K44" s="734">
        <f>'BASE DE DATOS'!K44</f>
        <v>33.5</v>
      </c>
      <c r="L44" s="734">
        <f>'BASE DE DATOS'!L44</f>
        <v>66</v>
      </c>
      <c r="M44" s="734">
        <f>'BASE DE DATOS'!M44</f>
        <v>80</v>
      </c>
      <c r="N44" s="734">
        <f>'BASE DE DATOS'!N44</f>
        <v>66</v>
      </c>
      <c r="O44" s="734">
        <f>'BASE DE DATOS'!O44</f>
        <v>51</v>
      </c>
      <c r="P44" s="734">
        <f>'BASE DE DATOS'!P44</f>
        <v>100</v>
      </c>
      <c r="Q44" s="734">
        <f>'BASE DE DATOS'!Q44</f>
        <v>3</v>
      </c>
      <c r="R44" s="734">
        <f>'BASE DE DATOS'!R44</f>
        <v>22.8</v>
      </c>
      <c r="S44" s="734">
        <f>'BASE DE DATOS'!S44</f>
        <v>0.53</v>
      </c>
      <c r="T44" s="734">
        <f>'BASE DE DATOS'!T44</f>
        <v>35.799999999999997</v>
      </c>
      <c r="U44" s="734">
        <f>'BASE DE DATOS'!U44</f>
        <v>6</v>
      </c>
      <c r="V44" s="734">
        <f>'BASE DE DATOS'!V44</f>
        <v>203</v>
      </c>
      <c r="W44" s="734">
        <f>'BASE DE DATOS'!W44</f>
        <v>99</v>
      </c>
      <c r="X44" s="734">
        <f>'BASE DE DATOS'!X44</f>
        <v>3.1E-2</v>
      </c>
      <c r="Y44" s="734">
        <f>'BASE DE DATOS'!Y44</f>
        <v>3.5999999999999997E-2</v>
      </c>
      <c r="Z44" s="734">
        <f>'BASE DE DATOS'!Z44</f>
        <v>130</v>
      </c>
      <c r="AA44" s="734">
        <f>'BASE DE DATOS'!AA44</f>
        <v>1.3</v>
      </c>
      <c r="AB44" s="734">
        <f>'BASE DE DATOS'!AB44</f>
        <v>35</v>
      </c>
      <c r="AD44" s="734" t="str">
        <f>'BASE DE DATOS'!AD44</f>
        <v>SAN PEDRO</v>
      </c>
      <c r="AE44" s="734">
        <f>'BASE DE DATOS'!AE44</f>
        <v>23.9</v>
      </c>
      <c r="AF44" s="734">
        <f>'BASE DE DATOS'!AF44</f>
        <v>22.9</v>
      </c>
      <c r="AG44" s="734">
        <f>'BASE DE DATOS'!AG44</f>
        <v>21.2</v>
      </c>
      <c r="AH44" s="734">
        <f>'BASE DE DATOS'!AH44</f>
        <v>16.100000000000001</v>
      </c>
      <c r="AI44" s="734">
        <f>'BASE DE DATOS'!AI44</f>
        <v>13.6</v>
      </c>
      <c r="AJ44" s="734">
        <f>'BASE DE DATOS'!AJ44</f>
        <v>10.8</v>
      </c>
      <c r="AK44" s="734">
        <f>'BASE DE DATOS'!AK44</f>
        <v>10.7</v>
      </c>
      <c r="AL44" s="734">
        <f>'BASE DE DATOS'!AL44</f>
        <v>12</v>
      </c>
      <c r="AM44" s="734">
        <f>'BASE DE DATOS'!AM44</f>
        <v>13.9</v>
      </c>
      <c r="AN44" s="734">
        <f>'BASE DE DATOS'!AN44</f>
        <v>16.5</v>
      </c>
      <c r="AO44" s="734">
        <f>'BASE DE DATOS'!AO44</f>
        <v>19.600000000000001</v>
      </c>
      <c r="AP44" s="734">
        <f>'BASE DE DATOS'!AP44</f>
        <v>21.7</v>
      </c>
      <c r="AR44" s="734" t="str">
        <f>'BASE DE DATOS'!AR44</f>
        <v>BAP</v>
      </c>
      <c r="AS44" s="734" t="str">
        <f>'BASE DE DATOS'!AS44</f>
        <v>SAN PEDRO</v>
      </c>
      <c r="AT44" s="734">
        <f>'BASE DE DATOS'!AT44</f>
        <v>6.5</v>
      </c>
      <c r="AU44" s="734">
        <f>'BASE DE DATOS'!AU44</f>
        <v>5.5</v>
      </c>
      <c r="AV44" s="734">
        <f>'BASE DE DATOS'!AV44</f>
        <v>4.5</v>
      </c>
      <c r="AW44" s="734">
        <f>'BASE DE DATOS'!AW44</f>
        <v>3</v>
      </c>
      <c r="AX44" s="734">
        <f>'BASE DE DATOS'!AX44</f>
        <v>2</v>
      </c>
      <c r="AY44" s="734">
        <f>'BASE DE DATOS'!AY44</f>
        <v>1.5</v>
      </c>
      <c r="AZ44" s="734">
        <f>'BASE DE DATOS'!AZ44</f>
        <v>1.5</v>
      </c>
      <c r="BA44" s="734">
        <f>'BASE DE DATOS'!BA44</f>
        <v>2.5</v>
      </c>
      <c r="BB44" s="734">
        <f>'BASE DE DATOS'!BB44</f>
        <v>3.5</v>
      </c>
      <c r="BC44" s="734">
        <f>'BASE DE DATOS'!BC44</f>
        <v>5</v>
      </c>
      <c r="BD44" s="734">
        <f>'BASE DE DATOS'!BD44</f>
        <v>6</v>
      </c>
      <c r="BE44" s="734">
        <f>'BASE DE DATOS'!BE44</f>
        <v>6.5</v>
      </c>
      <c r="DA44" s="734" t="str">
        <f t="shared" si="4"/>
        <v>Al exterior</v>
      </c>
      <c r="DO44" s="733" t="str">
        <f>'BASE DE DATOS'!BG44</f>
        <v>BAP</v>
      </c>
      <c r="DP44" s="733" t="str">
        <f>'BASE DE DATOS'!BH44</f>
        <v>SAN PEDRO</v>
      </c>
      <c r="DQ44" s="733">
        <f>'BASE DE DATOS'!BI44</f>
        <v>104</v>
      </c>
      <c r="DR44" s="733">
        <f>'BASE DE DATOS'!BJ44</f>
        <v>98</v>
      </c>
      <c r="DS44" s="733">
        <f>'BASE DE DATOS'!BK44</f>
        <v>115</v>
      </c>
      <c r="DT44" s="733">
        <f>'BASE DE DATOS'!BL44</f>
        <v>97</v>
      </c>
      <c r="DU44" s="733">
        <f>'BASE DE DATOS'!BM44</f>
        <v>80</v>
      </c>
      <c r="DV44" s="733">
        <f>'BASE DE DATOS'!BN44</f>
        <v>61</v>
      </c>
      <c r="DW44" s="733">
        <f>'BASE DE DATOS'!BO44</f>
        <v>59</v>
      </c>
      <c r="DX44" s="733">
        <f>'BASE DE DATOS'!BP44</f>
        <v>63</v>
      </c>
      <c r="DY44" s="733">
        <f>'BASE DE DATOS'!BQ44</f>
        <v>68</v>
      </c>
      <c r="DZ44" s="733">
        <f>'BASE DE DATOS'!BR44</f>
        <v>104</v>
      </c>
      <c r="EA44" s="733">
        <f>'BASE DE DATOS'!BS44</f>
        <v>98</v>
      </c>
      <c r="EB44" s="733">
        <f>'BASE DE DATOS'!BT44</f>
        <v>93</v>
      </c>
      <c r="GM44" s="741"/>
      <c r="GN44" s="741"/>
      <c r="GO44" s="741"/>
      <c r="GP44" s="741"/>
      <c r="GQ44" s="741"/>
      <c r="GR44" s="741"/>
      <c r="GS44" s="741"/>
      <c r="GT44" s="741"/>
      <c r="GU44" s="741"/>
      <c r="GV44" s="741"/>
      <c r="GW44" s="741"/>
      <c r="GX44" s="741"/>
      <c r="GY44" s="741"/>
    </row>
    <row r="45" spans="2:207" ht="16">
      <c r="B45" s="734" t="str">
        <f>'BASE DE DATOS'!B45</f>
        <v>BAP</v>
      </c>
      <c r="C45" s="734" t="str">
        <f>'BASE DE DATOS'!C45</f>
        <v>SIERRA DE LA VENTANA</v>
      </c>
      <c r="D45" s="734">
        <f>'BASE DE DATOS'!D45</f>
        <v>38.130000000000003</v>
      </c>
      <c r="E45" s="734">
        <f>'BASE DE DATOS'!E45</f>
        <v>61.78</v>
      </c>
      <c r="F45" s="734">
        <f>'BASE DE DATOS'!F45</f>
        <v>260</v>
      </c>
      <c r="G45" s="734" t="str">
        <f>'BASE DE DATOS'!G45</f>
        <v>IVC</v>
      </c>
      <c r="H45" s="734">
        <f>'BASE DE DATOS'!H45</f>
        <v>-3.4</v>
      </c>
      <c r="I45" s="734">
        <f>'BASE DE DATOS'!I45</f>
        <v>8.5</v>
      </c>
      <c r="J45" s="734">
        <f>'BASE DE DATOS'!J45</f>
        <v>20.8</v>
      </c>
      <c r="K45" s="734">
        <f>'BASE DE DATOS'!K45</f>
        <v>32.4</v>
      </c>
      <c r="L45" s="734">
        <f>'BASE DE DATOS'!L45</f>
        <v>60</v>
      </c>
      <c r="M45" s="734">
        <f>'BASE DE DATOS'!M45</f>
        <v>70</v>
      </c>
      <c r="N45" s="734">
        <f>'BASE DE DATOS'!N45</f>
        <v>60</v>
      </c>
      <c r="O45" s="734">
        <f>'BASE DE DATOS'!O45</f>
        <v>40</v>
      </c>
      <c r="P45" s="734">
        <f>'BASE DE DATOS'!P45</f>
        <v>83</v>
      </c>
      <c r="Q45" s="734">
        <f>'BASE DE DATOS'!Q45</f>
        <v>4</v>
      </c>
      <c r="R45" s="734">
        <f>'BASE DE DATOS'!R45</f>
        <v>20.5</v>
      </c>
      <c r="S45" s="734">
        <f>'BASE DE DATOS'!S45</f>
        <v>0.55000000000000004</v>
      </c>
      <c r="T45" s="734">
        <f>'BASE DE DATOS'!T45</f>
        <v>35.799999999999997</v>
      </c>
      <c r="U45" s="734">
        <f>'BASE DE DATOS'!U45</f>
        <v>6</v>
      </c>
      <c r="V45" s="734">
        <f>'BASE DE DATOS'!V45</f>
        <v>203</v>
      </c>
      <c r="W45" s="734">
        <f>'BASE DE DATOS'!W45</f>
        <v>99</v>
      </c>
      <c r="X45" s="734">
        <f>'BASE DE DATOS'!X45</f>
        <v>3.1E-2</v>
      </c>
      <c r="Y45" s="734">
        <f>'BASE DE DATOS'!Y45</f>
        <v>3.5999999999999997E-2</v>
      </c>
      <c r="Z45" s="734">
        <f>'BASE DE DATOS'!Z45</f>
        <v>130</v>
      </c>
      <c r="AA45" s="734">
        <f>'BASE DE DATOS'!AA45</f>
        <v>1.3</v>
      </c>
      <c r="AB45" s="734">
        <f>'BASE DE DATOS'!AB45</f>
        <v>35</v>
      </c>
      <c r="AD45" s="734" t="str">
        <f>'BASE DE DATOS'!AD45</f>
        <v>SIERRA DE LA VENTANA</v>
      </c>
      <c r="AE45" s="734">
        <f>'BASE DE DATOS'!AE45</f>
        <v>21.9</v>
      </c>
      <c r="AF45" s="734">
        <f>'BASE DE DATOS'!AF45</f>
        <v>20.8</v>
      </c>
      <c r="AG45" s="734">
        <f>'BASE DE DATOS'!AG45</f>
        <v>18.3</v>
      </c>
      <c r="AH45" s="734">
        <f>'BASE DE DATOS'!AH45</f>
        <v>13.3</v>
      </c>
      <c r="AI45" s="734">
        <f>'BASE DE DATOS'!AI45</f>
        <v>10.199999999999999</v>
      </c>
      <c r="AJ45" s="734">
        <f>'BASE DE DATOS'!AJ45</f>
        <v>7.2</v>
      </c>
      <c r="AK45" s="734">
        <f>'BASE DE DATOS'!AK45</f>
        <v>7.2</v>
      </c>
      <c r="AL45" s="734">
        <f>'BASE DE DATOS'!AL45</f>
        <v>8.1999999999999993</v>
      </c>
      <c r="AM45" s="734">
        <f>'BASE DE DATOS'!AM45</f>
        <v>10.1</v>
      </c>
      <c r="AN45" s="734">
        <f>'BASE DE DATOS'!AN45</f>
        <v>13.1</v>
      </c>
      <c r="AO45" s="734">
        <f>'BASE DE DATOS'!AO45</f>
        <v>16.899999999999999</v>
      </c>
      <c r="AP45" s="734">
        <f>'BASE DE DATOS'!AP45</f>
        <v>19.7</v>
      </c>
      <c r="AR45" s="734" t="str">
        <f>'BASE DE DATOS'!AR45</f>
        <v>BAP</v>
      </c>
      <c r="AS45" s="734" t="str">
        <f>'BASE DE DATOS'!AS45</f>
        <v>SIERRA DE LA VENTANA</v>
      </c>
      <c r="AT45" s="734">
        <f>'BASE DE DATOS'!AT45</f>
        <v>6.5</v>
      </c>
      <c r="AU45" s="734">
        <f>'BASE DE DATOS'!AU45</f>
        <v>6</v>
      </c>
      <c r="AV45" s="734">
        <f>'BASE DE DATOS'!AV45</f>
        <v>4.5</v>
      </c>
      <c r="AW45" s="734">
        <f>'BASE DE DATOS'!AW45</f>
        <v>3</v>
      </c>
      <c r="AX45" s="734">
        <f>'BASE DE DATOS'!AX45</f>
        <v>2</v>
      </c>
      <c r="AY45" s="734">
        <f>'BASE DE DATOS'!AY45</f>
        <v>1.5</v>
      </c>
      <c r="AZ45" s="734">
        <f>'BASE DE DATOS'!AZ45</f>
        <v>1.5</v>
      </c>
      <c r="BA45" s="734">
        <f>'BASE DE DATOS'!BA45</f>
        <v>2.5</v>
      </c>
      <c r="BB45" s="734">
        <f>'BASE DE DATOS'!BB45</f>
        <v>3.5</v>
      </c>
      <c r="BC45" s="734">
        <f>'BASE DE DATOS'!BC45</f>
        <v>5</v>
      </c>
      <c r="BD45" s="734">
        <f>'BASE DE DATOS'!BD45</f>
        <v>6</v>
      </c>
      <c r="BE45" s="734">
        <f>'BASE DE DATOS'!BE45</f>
        <v>6.5</v>
      </c>
      <c r="BQ45" s="745"/>
      <c r="BR45" s="745"/>
      <c r="BS45" s="753"/>
      <c r="DA45" s="734"/>
      <c r="DO45" s="733" t="str">
        <f>'BASE DE DATOS'!BG45</f>
        <v>BAP</v>
      </c>
      <c r="DP45" s="733" t="str">
        <f>'BASE DE DATOS'!BH45</f>
        <v>SIERRA DE LA VENTANA</v>
      </c>
      <c r="DQ45" s="733">
        <f>'BASE DE DATOS'!BI45</f>
        <v>104</v>
      </c>
      <c r="DR45" s="733">
        <f>'BASE DE DATOS'!BJ45</f>
        <v>98</v>
      </c>
      <c r="DS45" s="733">
        <f>'BASE DE DATOS'!BK45</f>
        <v>115</v>
      </c>
      <c r="DT45" s="733">
        <f>'BASE DE DATOS'!BL45</f>
        <v>97</v>
      </c>
      <c r="DU45" s="733">
        <f>'BASE DE DATOS'!BM45</f>
        <v>80</v>
      </c>
      <c r="DV45" s="733">
        <f>'BASE DE DATOS'!BN45</f>
        <v>61</v>
      </c>
      <c r="DW45" s="733">
        <f>'BASE DE DATOS'!BO45</f>
        <v>59</v>
      </c>
      <c r="DX45" s="733">
        <f>'BASE DE DATOS'!BP45</f>
        <v>63</v>
      </c>
      <c r="DY45" s="733">
        <f>'BASE DE DATOS'!BQ45</f>
        <v>68</v>
      </c>
      <c r="DZ45" s="733">
        <f>'BASE DE DATOS'!BR45</f>
        <v>104</v>
      </c>
      <c r="EA45" s="733">
        <f>'BASE DE DATOS'!BS45</f>
        <v>98</v>
      </c>
      <c r="EB45" s="733">
        <f>'BASE DE DATOS'!BT45</f>
        <v>93</v>
      </c>
      <c r="GM45" s="741"/>
      <c r="GN45" s="727" t="s">
        <v>2049</v>
      </c>
      <c r="GO45" s="756">
        <f>IF(GR22=0,0,ENERGÍA!AY4)</f>
        <v>0</v>
      </c>
      <c r="GP45" s="1220" t="e">
        <f>'LINEA BASE MALA'!O13</f>
        <v>#DIV/0!</v>
      </c>
      <c r="GQ45" s="1220"/>
      <c r="GR45" s="757" t="str">
        <f>IF($GX$41=0,$GS$33,IF($GT$22=0,$GS$33,IF(GO45&gt;GP45,$GX$40,IF((100%-(GO45/GP45))&lt;1%," ",100%-(GO45/GP45)))))</f>
        <v>FALTAN DATOS</v>
      </c>
      <c r="GS45" s="758" t="e">
        <f>IF(GR45=" ",1,1-GR45)</f>
        <v>#VALUE!</v>
      </c>
      <c r="GT45" s="1220">
        <f>ENERGÍA!AG4</f>
        <v>0</v>
      </c>
      <c r="GU45" s="1220"/>
      <c r="GV45" s="757" t="str">
        <f>IF($GX$41=0,$GS$33,IF($GT$22=0,$GS$33,IF(GO45&gt;GT45,$GX$40,IF((100%-(GO45/GT45))&lt;1%," ",100%-(GO45/GT45)))))</f>
        <v>FALTAN DATOS</v>
      </c>
      <c r="GW45" s="758" t="e">
        <f>IF(GV45=" ",1,1-GV45)</f>
        <v>#VALUE!</v>
      </c>
      <c r="GX45" s="727">
        <f>IF(GV45=" ",0,IF(GV45&gt;=25%,1,0))</f>
        <v>1</v>
      </c>
      <c r="GY45" s="1186">
        <f>IF(GU22=1,IF(GX49=3,1,0),0)</f>
        <v>0</v>
      </c>
    </row>
    <row r="46" spans="2:207" ht="16">
      <c r="B46" s="734" t="str">
        <f>'BASE DE DATOS'!B46</f>
        <v>BAP</v>
      </c>
      <c r="C46" s="734" t="str">
        <f>'BASE DE DATOS'!C46</f>
        <v>TANDIL</v>
      </c>
      <c r="D46" s="734">
        <f>'BASE DE DATOS'!D46</f>
        <v>37.229999999999997</v>
      </c>
      <c r="E46" s="734">
        <f>'BASE DE DATOS'!E46</f>
        <v>59.25</v>
      </c>
      <c r="F46" s="734">
        <f>'BASE DE DATOS'!F46</f>
        <v>175</v>
      </c>
      <c r="G46" s="734" t="str">
        <f>'BASE DE DATOS'!G46</f>
        <v>IVC</v>
      </c>
      <c r="H46" s="734">
        <f>'BASE DE DATOS'!H46</f>
        <v>-2.2999999999999998</v>
      </c>
      <c r="I46" s="734">
        <f>'BASE DE DATOS'!I46</f>
        <v>7.7</v>
      </c>
      <c r="J46" s="734">
        <f>'BASE DE DATOS'!J46</f>
        <v>19.8</v>
      </c>
      <c r="K46" s="734">
        <f>'BASE DE DATOS'!K46</f>
        <v>30.3</v>
      </c>
      <c r="L46" s="734">
        <f>'BASE DE DATOS'!L46</f>
        <v>70</v>
      </c>
      <c r="M46" s="734">
        <f>'BASE DE DATOS'!M46</f>
        <v>82</v>
      </c>
      <c r="N46" s="734">
        <f>'BASE DE DATOS'!N46</f>
        <v>70</v>
      </c>
      <c r="O46" s="734">
        <f>'BASE DE DATOS'!O46</f>
        <v>50</v>
      </c>
      <c r="P46" s="734">
        <f>'BASE DE DATOS'!P46</f>
        <v>103</v>
      </c>
      <c r="Q46" s="734">
        <f>'BASE DE DATOS'!Q46</f>
        <v>4</v>
      </c>
      <c r="R46" s="734">
        <f>'BASE DE DATOS'!R46</f>
        <v>19.399999999999999</v>
      </c>
      <c r="S46" s="734">
        <f>'BASE DE DATOS'!S46</f>
        <v>0.53</v>
      </c>
      <c r="T46" s="734">
        <f>'BASE DE DATOS'!T46</f>
        <v>35.799999999999997</v>
      </c>
      <c r="U46" s="734">
        <f>'BASE DE DATOS'!U46</f>
        <v>6</v>
      </c>
      <c r="V46" s="734">
        <f>'BASE DE DATOS'!V46</f>
        <v>203</v>
      </c>
      <c r="W46" s="734">
        <f>'BASE DE DATOS'!W46</f>
        <v>99</v>
      </c>
      <c r="X46" s="734">
        <f>'BASE DE DATOS'!X46</f>
        <v>3.1E-2</v>
      </c>
      <c r="Y46" s="734">
        <f>'BASE DE DATOS'!Y46</f>
        <v>3.5999999999999997E-2</v>
      </c>
      <c r="Z46" s="734">
        <f>'BASE DE DATOS'!Z46</f>
        <v>130</v>
      </c>
      <c r="AA46" s="734">
        <f>'BASE DE DATOS'!AA46</f>
        <v>1.3</v>
      </c>
      <c r="AB46" s="734">
        <f>'BASE DE DATOS'!AB46</f>
        <v>35</v>
      </c>
      <c r="AD46" s="734" t="str">
        <f>'BASE DE DATOS'!AD46</f>
        <v>TANDIL</v>
      </c>
      <c r="AE46" s="734">
        <f>'BASE DE DATOS'!AE46</f>
        <v>20.8</v>
      </c>
      <c r="AF46" s="734">
        <f>'BASE DE DATOS'!AF46</f>
        <v>19.8</v>
      </c>
      <c r="AG46" s="734">
        <f>'BASE DE DATOS'!AG46</f>
        <v>17.600000000000001</v>
      </c>
      <c r="AH46" s="734">
        <f>'BASE DE DATOS'!AH46</f>
        <v>12.8</v>
      </c>
      <c r="AI46" s="734">
        <f>'BASE DE DATOS'!AI46</f>
        <v>10</v>
      </c>
      <c r="AJ46" s="734">
        <f>'BASE DE DATOS'!AJ46</f>
        <v>7.4</v>
      </c>
      <c r="AK46" s="734">
        <f>'BASE DE DATOS'!AK46</f>
        <v>7.2</v>
      </c>
      <c r="AL46" s="734">
        <f>'BASE DE DATOS'!AL46</f>
        <v>8.1999999999999993</v>
      </c>
      <c r="AM46" s="734">
        <f>'BASE DE DATOS'!AM46</f>
        <v>9.8000000000000007</v>
      </c>
      <c r="AN46" s="734">
        <f>'BASE DE DATOS'!AN46</f>
        <v>12.6</v>
      </c>
      <c r="AO46" s="734">
        <f>'BASE DE DATOS'!AO46</f>
        <v>16.100000000000001</v>
      </c>
      <c r="AP46" s="734">
        <f>'BASE DE DATOS'!AP46</f>
        <v>18.3</v>
      </c>
      <c r="AR46" s="734" t="str">
        <f>'BASE DE DATOS'!AR46</f>
        <v>BAP</v>
      </c>
      <c r="AS46" s="734" t="str">
        <f>'BASE DE DATOS'!AS46</f>
        <v>TANDIL</v>
      </c>
      <c r="AT46" s="734">
        <f>'BASE DE DATOS'!AT46</f>
        <v>6.5</v>
      </c>
      <c r="AU46" s="734">
        <f>'BASE DE DATOS'!AU46</f>
        <v>6</v>
      </c>
      <c r="AV46" s="734">
        <f>'BASE DE DATOS'!AV46</f>
        <v>4.5</v>
      </c>
      <c r="AW46" s="734">
        <f>'BASE DE DATOS'!AW46</f>
        <v>3</v>
      </c>
      <c r="AX46" s="734">
        <f>'BASE DE DATOS'!AX46</f>
        <v>2</v>
      </c>
      <c r="AY46" s="734">
        <f>'BASE DE DATOS'!AY46</f>
        <v>1.5</v>
      </c>
      <c r="AZ46" s="734">
        <f>'BASE DE DATOS'!AZ46</f>
        <v>1.5</v>
      </c>
      <c r="BA46" s="734">
        <f>'BASE DE DATOS'!BA46</f>
        <v>2.5</v>
      </c>
      <c r="BB46" s="734">
        <f>'BASE DE DATOS'!BB46</f>
        <v>3.5</v>
      </c>
      <c r="BC46" s="734">
        <f>'BASE DE DATOS'!BC46</f>
        <v>5</v>
      </c>
      <c r="BD46" s="734">
        <f>'BASE DE DATOS'!BD46</f>
        <v>6</v>
      </c>
      <c r="BE46" s="734">
        <f>'BASE DE DATOS'!BE46</f>
        <v>6.5</v>
      </c>
      <c r="BQ46" s="745"/>
      <c r="BR46" s="745"/>
      <c r="BS46" s="753"/>
      <c r="DO46" s="733" t="str">
        <f>'BASE DE DATOS'!BG46</f>
        <v>BAP</v>
      </c>
      <c r="DP46" s="733" t="str">
        <f>'BASE DE DATOS'!BH46</f>
        <v>TANDIL</v>
      </c>
      <c r="DQ46" s="733">
        <f>'BASE DE DATOS'!BI46</f>
        <v>104</v>
      </c>
      <c r="DR46" s="733">
        <f>'BASE DE DATOS'!BJ46</f>
        <v>98</v>
      </c>
      <c r="DS46" s="733">
        <f>'BASE DE DATOS'!BK46</f>
        <v>115</v>
      </c>
      <c r="DT46" s="733">
        <f>'BASE DE DATOS'!BL46</f>
        <v>97</v>
      </c>
      <c r="DU46" s="733">
        <f>'BASE DE DATOS'!BM46</f>
        <v>80</v>
      </c>
      <c r="DV46" s="733">
        <f>'BASE DE DATOS'!BN46</f>
        <v>61</v>
      </c>
      <c r="DW46" s="733">
        <f>'BASE DE DATOS'!BO46</f>
        <v>59</v>
      </c>
      <c r="DX46" s="733">
        <f>'BASE DE DATOS'!BP46</f>
        <v>63</v>
      </c>
      <c r="DY46" s="733">
        <f>'BASE DE DATOS'!BQ46</f>
        <v>68</v>
      </c>
      <c r="DZ46" s="733">
        <f>'BASE DE DATOS'!BR46</f>
        <v>104</v>
      </c>
      <c r="EA46" s="733">
        <f>'BASE DE DATOS'!BS46</f>
        <v>98</v>
      </c>
      <c r="EB46" s="733">
        <f>'BASE DE DATOS'!BT46</f>
        <v>93</v>
      </c>
      <c r="GM46" s="741"/>
      <c r="GN46" s="727" t="s">
        <v>2042</v>
      </c>
      <c r="GO46" s="756">
        <f>AGUA!AR4</f>
        <v>0</v>
      </c>
      <c r="GP46" s="1220">
        <f>GR62+GR63+GR64</f>
        <v>0</v>
      </c>
      <c r="GQ46" s="1220"/>
      <c r="GR46" s="757" t="str">
        <f t="shared" ref="GR46:GR50" si="5">IF($GX$41=0,$GS$33,IF($GT$22=0,$GS$33,IF(GO46&gt;GP46,$GX$40,IF((100%-(GO46/GP46))&lt;1%," ",100%-(GO46/GP46)))))</f>
        <v>FALTAN DATOS</v>
      </c>
      <c r="GS46" s="758" t="e">
        <f>IF(GR46=" ",1,1-GR46)</f>
        <v>#VALUE!</v>
      </c>
      <c r="GT46" s="1220">
        <f>AGUA!AG4</f>
        <v>0</v>
      </c>
      <c r="GU46" s="1220"/>
      <c r="GV46" s="757" t="str">
        <f t="shared" ref="GV46:GV48" si="6">IF($GX$41=0,$GS$33,IF($GT$22=0,$GS$33,IF(GO46&gt;GT46,$GX$40,IF((100%-(GO46/GT46))&lt;1%," ",100%-(GO46/GT46)))))</f>
        <v>FALTAN DATOS</v>
      </c>
      <c r="GW46" s="758" t="e">
        <f>IF(GV46=" ",1,1-GV46)</f>
        <v>#VALUE!</v>
      </c>
      <c r="GX46" s="727">
        <f>IF(GV46=" ",0,IF(GV46&gt;=35%,1,0))</f>
        <v>1</v>
      </c>
      <c r="GY46" s="1186"/>
    </row>
    <row r="47" spans="2:207" ht="16">
      <c r="B47" s="734" t="str">
        <f>'BASE DE DATOS'!B47</f>
        <v>BAP</v>
      </c>
      <c r="C47" s="734" t="str">
        <f>'BASE DE DATOS'!C47</f>
        <v>TRENQUE LAUQUEN</v>
      </c>
      <c r="D47" s="734">
        <f>'BASE DE DATOS'!D47</f>
        <v>35.97</v>
      </c>
      <c r="E47" s="734">
        <f>'BASE DE DATOS'!E47</f>
        <v>62.73</v>
      </c>
      <c r="F47" s="734">
        <f>'BASE DE DATOS'!F47</f>
        <v>95</v>
      </c>
      <c r="G47" s="734" t="str">
        <f>'BASE DE DATOS'!G47</f>
        <v>IIIA</v>
      </c>
      <c r="H47" s="734">
        <f>'BASE DE DATOS'!H47</f>
        <v>-1.4</v>
      </c>
      <c r="I47" s="734">
        <f>'BASE DE DATOS'!I47</f>
        <v>9.1</v>
      </c>
      <c r="J47" s="734">
        <f>'BASE DE DATOS'!J47</f>
        <v>23</v>
      </c>
      <c r="K47" s="734">
        <f>'BASE DE DATOS'!K47</f>
        <v>34.4</v>
      </c>
      <c r="L47" s="734">
        <f>'BASE DE DATOS'!L47</f>
        <v>57</v>
      </c>
      <c r="M47" s="734">
        <f>'BASE DE DATOS'!M47</f>
        <v>73</v>
      </c>
      <c r="N47" s="734">
        <f>'BASE DE DATOS'!N47</f>
        <v>57</v>
      </c>
      <c r="O47" s="734">
        <f>'BASE DE DATOS'!O47</f>
        <v>27</v>
      </c>
      <c r="P47" s="734">
        <f>'BASE DE DATOS'!P47</f>
        <v>78</v>
      </c>
      <c r="Q47" s="734">
        <f>'BASE DE DATOS'!Q47</f>
        <v>3</v>
      </c>
      <c r="R47" s="734">
        <f>'BASE DE DATOS'!R47</f>
        <v>22.5</v>
      </c>
      <c r="S47" s="734">
        <f>'BASE DE DATOS'!S47</f>
        <v>0.55000000000000004</v>
      </c>
      <c r="T47" s="734">
        <f>'BASE DE DATOS'!T47</f>
        <v>35.799999999999997</v>
      </c>
      <c r="U47" s="734">
        <f>'BASE DE DATOS'!U47</f>
        <v>6</v>
      </c>
      <c r="V47" s="734">
        <f>'BASE DE DATOS'!V47</f>
        <v>203</v>
      </c>
      <c r="W47" s="734">
        <f>'BASE DE DATOS'!W47</f>
        <v>99</v>
      </c>
      <c r="X47" s="734">
        <f>'BASE DE DATOS'!X47</f>
        <v>3.1E-2</v>
      </c>
      <c r="Y47" s="734">
        <f>'BASE DE DATOS'!Y47</f>
        <v>3.5999999999999997E-2</v>
      </c>
      <c r="Z47" s="734">
        <f>'BASE DE DATOS'!Z47</f>
        <v>130</v>
      </c>
      <c r="AA47" s="734">
        <f>'BASE DE DATOS'!AA47</f>
        <v>1.3</v>
      </c>
      <c r="AB47" s="734">
        <f>'BASE DE DATOS'!AB47</f>
        <v>35</v>
      </c>
      <c r="AD47" s="734" t="str">
        <f>'BASE DE DATOS'!AD47</f>
        <v>TRENQUE LAUQUEN</v>
      </c>
      <c r="AE47" s="734">
        <f>'BASE DE DATOS'!AE47</f>
        <v>24</v>
      </c>
      <c r="AF47" s="734">
        <f>'BASE DE DATOS'!AF47</f>
        <v>23.7</v>
      </c>
      <c r="AG47" s="734">
        <f>'BASE DE DATOS'!AG47</f>
        <v>20.6</v>
      </c>
      <c r="AH47" s="734">
        <f>'BASE DE DATOS'!AH47</f>
        <v>15.3</v>
      </c>
      <c r="AI47" s="734">
        <f>'BASE DE DATOS'!AI47</f>
        <v>12.3</v>
      </c>
      <c r="AJ47" s="734">
        <f>'BASE DE DATOS'!AJ47</f>
        <v>9</v>
      </c>
      <c r="AK47" s="734">
        <f>'BASE DE DATOS'!AK47</f>
        <v>8.1999999999999993</v>
      </c>
      <c r="AL47" s="734">
        <f>'BASE DE DATOS'!AL47</f>
        <v>10.199999999999999</v>
      </c>
      <c r="AM47" s="734">
        <f>'BASE DE DATOS'!AM47</f>
        <v>13</v>
      </c>
      <c r="AN47" s="734">
        <f>'BASE DE DATOS'!AN47</f>
        <v>15.2</v>
      </c>
      <c r="AO47" s="734">
        <f>'BASE DE DATOS'!AO47</f>
        <v>19.600000000000001</v>
      </c>
      <c r="AP47" s="734">
        <f>'BASE DE DATOS'!AP47</f>
        <v>22.2</v>
      </c>
      <c r="AR47" s="734" t="str">
        <f>'BASE DE DATOS'!AR47</f>
        <v>BAP</v>
      </c>
      <c r="AS47" s="734" t="str">
        <f>'BASE DE DATOS'!AS47</f>
        <v>TRENQUE LAUQUEN</v>
      </c>
      <c r="AT47" s="734">
        <f>'BASE DE DATOS'!AT47</f>
        <v>6.5</v>
      </c>
      <c r="AU47" s="734">
        <f>'BASE DE DATOS'!AU47</f>
        <v>6</v>
      </c>
      <c r="AV47" s="734">
        <f>'BASE DE DATOS'!AV47</f>
        <v>4.5</v>
      </c>
      <c r="AW47" s="734">
        <f>'BASE DE DATOS'!AW47</f>
        <v>3</v>
      </c>
      <c r="AX47" s="734">
        <f>'BASE DE DATOS'!AX47</f>
        <v>2</v>
      </c>
      <c r="AY47" s="734">
        <f>'BASE DE DATOS'!AY47</f>
        <v>1.5</v>
      </c>
      <c r="AZ47" s="734">
        <f>'BASE DE DATOS'!AZ47</f>
        <v>1.5</v>
      </c>
      <c r="BA47" s="734">
        <f>'BASE DE DATOS'!BA47</f>
        <v>2.5</v>
      </c>
      <c r="BB47" s="734">
        <f>'BASE DE DATOS'!BB47</f>
        <v>3.5</v>
      </c>
      <c r="BC47" s="734">
        <f>'BASE DE DATOS'!BC47</f>
        <v>5</v>
      </c>
      <c r="BD47" s="734">
        <f>'BASE DE DATOS'!BD47</f>
        <v>6</v>
      </c>
      <c r="BE47" s="734">
        <f>'BASE DE DATOS'!BE47</f>
        <v>6.5</v>
      </c>
      <c r="BQ47" s="745"/>
      <c r="BR47" s="745"/>
      <c r="BS47" s="753"/>
      <c r="DA47" s="744" t="s">
        <v>1914</v>
      </c>
      <c r="DO47" s="733" t="str">
        <f>'BASE DE DATOS'!BG47</f>
        <v>BAP</v>
      </c>
      <c r="DP47" s="733" t="str">
        <f>'BASE DE DATOS'!BH47</f>
        <v>TRENQUE LAUQUEN</v>
      </c>
      <c r="DQ47" s="733">
        <f>'BASE DE DATOS'!BI47</f>
        <v>104</v>
      </c>
      <c r="DR47" s="733">
        <f>'BASE DE DATOS'!BJ47</f>
        <v>98</v>
      </c>
      <c r="DS47" s="733">
        <f>'BASE DE DATOS'!BK47</f>
        <v>115</v>
      </c>
      <c r="DT47" s="733">
        <f>'BASE DE DATOS'!BL47</f>
        <v>97</v>
      </c>
      <c r="DU47" s="733">
        <f>'BASE DE DATOS'!BM47</f>
        <v>80</v>
      </c>
      <c r="DV47" s="733">
        <f>'BASE DE DATOS'!BN47</f>
        <v>61</v>
      </c>
      <c r="DW47" s="733">
        <f>'BASE DE DATOS'!BO47</f>
        <v>59</v>
      </c>
      <c r="DX47" s="733">
        <f>'BASE DE DATOS'!BP47</f>
        <v>63</v>
      </c>
      <c r="DY47" s="733">
        <f>'BASE DE DATOS'!BQ47</f>
        <v>68</v>
      </c>
      <c r="DZ47" s="733">
        <f>'BASE DE DATOS'!BR47</f>
        <v>104</v>
      </c>
      <c r="EA47" s="733">
        <f>'BASE DE DATOS'!BS47</f>
        <v>98</v>
      </c>
      <c r="EB47" s="733">
        <f>'BASE DE DATOS'!BT47</f>
        <v>93</v>
      </c>
      <c r="GM47" s="741"/>
      <c r="GN47" s="727" t="s">
        <v>1508</v>
      </c>
      <c r="GO47" s="756">
        <f>(GO45*0.43)+(GO48*0.2019)+SITIO!Y49</f>
        <v>0</v>
      </c>
      <c r="GP47" s="1220" t="e">
        <f>(GP45*0.43)+(GP48*0.2019)+SITIO!Y48</f>
        <v>#DIV/0!</v>
      </c>
      <c r="GQ47" s="1220"/>
      <c r="GR47" s="757" t="str">
        <f t="shared" si="5"/>
        <v>FALTAN DATOS</v>
      </c>
      <c r="GS47" s="758" t="e">
        <f>IF(GR47=" ",1,1-GR47)</f>
        <v>#VALUE!</v>
      </c>
      <c r="GT47" s="1220">
        <f>(GT45*0.43)+(GT48*0.2019)+SITIO!Y47</f>
        <v>0</v>
      </c>
      <c r="GU47" s="1220"/>
      <c r="GV47" s="757" t="str">
        <f t="shared" si="6"/>
        <v>FALTAN DATOS</v>
      </c>
      <c r="GW47" s="758" t="e">
        <f>IF(GV47=" ",1,1-GV47)</f>
        <v>#VALUE!</v>
      </c>
      <c r="GX47" s="727">
        <f>IF(GV47=" ",0,IF(GV47&gt;=10%,1,0))</f>
        <v>1</v>
      </c>
      <c r="GY47" s="1186"/>
    </row>
    <row r="48" spans="2:207" ht="16">
      <c r="B48" s="734" t="str">
        <f>'BASE DE DATOS'!B48</f>
        <v>BAP</v>
      </c>
      <c r="C48" s="734" t="str">
        <f>'BASE DE DATOS'!C48</f>
        <v>TRES ARROYOS</v>
      </c>
      <c r="D48" s="734">
        <f>'BASE DE DATOS'!D48</f>
        <v>38.380000000000003</v>
      </c>
      <c r="E48" s="734">
        <f>'BASE DE DATOS'!E48</f>
        <v>60.27</v>
      </c>
      <c r="F48" s="734">
        <f>'BASE DE DATOS'!F48</f>
        <v>109</v>
      </c>
      <c r="G48" s="734" t="str">
        <f>'BASE DE DATOS'!G48</f>
        <v>IVC</v>
      </c>
      <c r="H48" s="734">
        <f>'BASE DE DATOS'!H48</f>
        <v>-1.3</v>
      </c>
      <c r="I48" s="734">
        <f>'BASE DE DATOS'!I48</f>
        <v>8.1999999999999993</v>
      </c>
      <c r="J48" s="734">
        <f>'BASE DE DATOS'!J48</f>
        <v>20.3</v>
      </c>
      <c r="K48" s="734">
        <f>'BASE DE DATOS'!K48</f>
        <v>32.4</v>
      </c>
      <c r="L48" s="734">
        <f>'BASE DE DATOS'!L48</f>
        <v>59</v>
      </c>
      <c r="M48" s="734">
        <f>'BASE DE DATOS'!M48</f>
        <v>77</v>
      </c>
      <c r="N48" s="734">
        <f>'BASE DE DATOS'!N48</f>
        <v>59</v>
      </c>
      <c r="O48" s="734">
        <f>'BASE DE DATOS'!O48</f>
        <v>47</v>
      </c>
      <c r="P48" s="734">
        <f>'BASE DE DATOS'!P48</f>
        <v>83</v>
      </c>
      <c r="Q48" s="734">
        <f>'BASE DE DATOS'!Q48</f>
        <v>4</v>
      </c>
      <c r="R48" s="734">
        <f>'BASE DE DATOS'!R48</f>
        <v>20.8</v>
      </c>
      <c r="S48" s="734">
        <f>'BASE DE DATOS'!S48</f>
        <v>0.53</v>
      </c>
      <c r="T48" s="734">
        <f>'BASE DE DATOS'!T48</f>
        <v>35.799999999999997</v>
      </c>
      <c r="U48" s="734">
        <f>'BASE DE DATOS'!U48</f>
        <v>6</v>
      </c>
      <c r="V48" s="734">
        <f>'BASE DE DATOS'!V48</f>
        <v>203</v>
      </c>
      <c r="W48" s="734">
        <f>'BASE DE DATOS'!W48</f>
        <v>99</v>
      </c>
      <c r="X48" s="734">
        <f>'BASE DE DATOS'!X48</f>
        <v>3.1E-2</v>
      </c>
      <c r="Y48" s="734">
        <f>'BASE DE DATOS'!Y48</f>
        <v>3.5999999999999997E-2</v>
      </c>
      <c r="Z48" s="734">
        <f>'BASE DE DATOS'!Z48</f>
        <v>130</v>
      </c>
      <c r="AA48" s="734">
        <f>'BASE DE DATOS'!AA48</f>
        <v>1.3</v>
      </c>
      <c r="AB48" s="734">
        <f>'BASE DE DATOS'!AB48</f>
        <v>35</v>
      </c>
      <c r="AD48" s="734" t="str">
        <f>'BASE DE DATOS'!AD48</f>
        <v>TRES ARROYOS</v>
      </c>
      <c r="AE48" s="734">
        <f>'BASE DE DATOS'!AE48</f>
        <v>22.1</v>
      </c>
      <c r="AF48" s="734">
        <f>'BASE DE DATOS'!AF48</f>
        <v>21.2</v>
      </c>
      <c r="AG48" s="734">
        <f>'BASE DE DATOS'!AG48</f>
        <v>19.100000000000001</v>
      </c>
      <c r="AH48" s="734">
        <f>'BASE DE DATOS'!AH48</f>
        <v>14</v>
      </c>
      <c r="AI48" s="734">
        <f>'BASE DE DATOS'!AI48</f>
        <v>11.2</v>
      </c>
      <c r="AJ48" s="734">
        <f>'BASE DE DATOS'!AJ48</f>
        <v>8</v>
      </c>
      <c r="AK48" s="734">
        <f>'BASE DE DATOS'!AK48</f>
        <v>7.5</v>
      </c>
      <c r="AL48" s="734">
        <f>'BASE DE DATOS'!AL48</f>
        <v>8.9</v>
      </c>
      <c r="AM48" s="734">
        <f>'BASE DE DATOS'!AM48</f>
        <v>10.7</v>
      </c>
      <c r="AN48" s="734">
        <f>'BASE DE DATOS'!AN48</f>
        <v>13.3</v>
      </c>
      <c r="AO48" s="734">
        <f>'BASE DE DATOS'!AO48</f>
        <v>17.100000000000001</v>
      </c>
      <c r="AP48" s="734">
        <f>'BASE DE DATOS'!AP48</f>
        <v>19.600000000000001</v>
      </c>
      <c r="AR48" s="734" t="str">
        <f>'BASE DE DATOS'!AR48</f>
        <v>BAP</v>
      </c>
      <c r="AS48" s="734" t="str">
        <f>'BASE DE DATOS'!AS48</f>
        <v>TRES ARROYOS</v>
      </c>
      <c r="AT48" s="734">
        <f>'BASE DE DATOS'!AT48</f>
        <v>6.5</v>
      </c>
      <c r="AU48" s="734">
        <f>'BASE DE DATOS'!AU48</f>
        <v>6</v>
      </c>
      <c r="AV48" s="734">
        <f>'BASE DE DATOS'!AV48</f>
        <v>4.5</v>
      </c>
      <c r="AW48" s="734">
        <f>'BASE DE DATOS'!AW48</f>
        <v>3</v>
      </c>
      <c r="AX48" s="734">
        <f>'BASE DE DATOS'!AX48</f>
        <v>2</v>
      </c>
      <c r="AY48" s="734">
        <f>'BASE DE DATOS'!AY48</f>
        <v>1.5</v>
      </c>
      <c r="AZ48" s="734">
        <f>'BASE DE DATOS'!AZ48</f>
        <v>1.5</v>
      </c>
      <c r="BA48" s="734">
        <f>'BASE DE DATOS'!BA48</f>
        <v>2.5</v>
      </c>
      <c r="BB48" s="734">
        <f>'BASE DE DATOS'!BB48</f>
        <v>3.5</v>
      </c>
      <c r="BC48" s="734">
        <f>'BASE DE DATOS'!BC48</f>
        <v>5</v>
      </c>
      <c r="BD48" s="734">
        <f>'BASE DE DATOS'!BD48</f>
        <v>6</v>
      </c>
      <c r="BE48" s="734">
        <f>'BASE DE DATOS'!BE48</f>
        <v>7</v>
      </c>
      <c r="BQ48" s="745"/>
      <c r="BR48" s="745"/>
      <c r="BS48" s="753"/>
      <c r="DA48" s="734" t="str">
        <f>DA4</f>
        <v>Espacio Adyacente</v>
      </c>
      <c r="DO48" s="733" t="str">
        <f>'BASE DE DATOS'!BG48</f>
        <v>BAP</v>
      </c>
      <c r="DP48" s="733" t="str">
        <f>'BASE DE DATOS'!BH48</f>
        <v>TRES ARROYOS</v>
      </c>
      <c r="DQ48" s="733">
        <f>'BASE DE DATOS'!BI48</f>
        <v>104</v>
      </c>
      <c r="DR48" s="733">
        <f>'BASE DE DATOS'!BJ48</f>
        <v>98</v>
      </c>
      <c r="DS48" s="733">
        <f>'BASE DE DATOS'!BK48</f>
        <v>115</v>
      </c>
      <c r="DT48" s="733">
        <f>'BASE DE DATOS'!BL48</f>
        <v>97</v>
      </c>
      <c r="DU48" s="733">
        <f>'BASE DE DATOS'!BM48</f>
        <v>80</v>
      </c>
      <c r="DV48" s="733">
        <f>'BASE DE DATOS'!BN48</f>
        <v>61</v>
      </c>
      <c r="DW48" s="733">
        <f>'BASE DE DATOS'!BO48</f>
        <v>59</v>
      </c>
      <c r="DX48" s="733">
        <f>'BASE DE DATOS'!BP48</f>
        <v>63</v>
      </c>
      <c r="DY48" s="733">
        <f>'BASE DE DATOS'!BQ48</f>
        <v>68</v>
      </c>
      <c r="DZ48" s="733">
        <f>'BASE DE DATOS'!BR48</f>
        <v>104</v>
      </c>
      <c r="EA48" s="733">
        <f>'BASE DE DATOS'!BS48</f>
        <v>98</v>
      </c>
      <c r="EB48" s="733">
        <f>'BASE DE DATOS'!BT48</f>
        <v>93</v>
      </c>
      <c r="GM48" s="741"/>
      <c r="GN48" s="727" t="s">
        <v>1991</v>
      </c>
      <c r="GO48" s="759">
        <f>ENERGÍA!AW4</f>
        <v>0</v>
      </c>
      <c r="GP48" s="1220" t="e">
        <f>'LINEA BASE MALA'!AO190+'LINEA BASE MALA'!AD232</f>
        <v>#DIV/0!</v>
      </c>
      <c r="GQ48" s="1220"/>
      <c r="GR48" s="757" t="str">
        <f t="shared" si="5"/>
        <v>FALTAN DATOS</v>
      </c>
      <c r="GS48" s="758"/>
      <c r="GT48" s="1220">
        <f>ENERGÍA!AD4</f>
        <v>0</v>
      </c>
      <c r="GU48" s="1220"/>
      <c r="GV48" s="757" t="str">
        <f t="shared" si="6"/>
        <v>FALTAN DATOS</v>
      </c>
      <c r="GW48" s="741"/>
      <c r="GX48" s="727" t="s">
        <v>1525</v>
      </c>
      <c r="GY48" s="760"/>
    </row>
    <row r="49" spans="2:207" ht="16">
      <c r="B49" s="734" t="str">
        <f>'BASE DE DATOS'!B49</f>
        <v>CA</v>
      </c>
      <c r="C49" s="734" t="str">
        <f>'BASE DE DATOS'!C49</f>
        <v>CATAMARCA</v>
      </c>
      <c r="D49" s="734">
        <f>'BASE DE DATOS'!D49</f>
        <v>28.45</v>
      </c>
      <c r="E49" s="734">
        <f>'BASE DE DATOS'!E49</f>
        <v>65.77</v>
      </c>
      <c r="F49" s="734">
        <f>'BASE DE DATOS'!F49</f>
        <v>531</v>
      </c>
      <c r="G49" s="734" t="str">
        <f>'BASE DE DATOS'!G49</f>
        <v>IIA</v>
      </c>
      <c r="H49" s="734">
        <f>'BASE DE DATOS'!H49</f>
        <v>-0.3</v>
      </c>
      <c r="I49" s="734">
        <f>'BASE DE DATOS'!I49</f>
        <v>12.6</v>
      </c>
      <c r="J49" s="734">
        <f>'BASE DE DATOS'!J49</f>
        <v>26.8</v>
      </c>
      <c r="K49" s="734">
        <f>'BASE DE DATOS'!K49</f>
        <v>36.5</v>
      </c>
      <c r="L49" s="734">
        <f>'BASE DE DATOS'!L49</f>
        <v>56</v>
      </c>
      <c r="M49" s="734">
        <f>'BASE DE DATOS'!M49</f>
        <v>60</v>
      </c>
      <c r="N49" s="734">
        <f>'BASE DE DATOS'!N49</f>
        <v>54</v>
      </c>
      <c r="O49" s="734">
        <f>'BASE DE DATOS'!O49</f>
        <v>5</v>
      </c>
      <c r="P49" s="734">
        <f>'BASE DE DATOS'!P49</f>
        <v>69</v>
      </c>
      <c r="Q49" s="734">
        <f>'BASE DE DATOS'!Q49</f>
        <v>2</v>
      </c>
      <c r="R49" s="734">
        <f>'BASE DE DATOS'!R49</f>
        <v>26.5</v>
      </c>
      <c r="S49" s="734">
        <f>'BASE DE DATOS'!S49</f>
        <v>0.49</v>
      </c>
      <c r="T49" s="734">
        <f>'BASE DE DATOS'!T49</f>
        <v>7.9</v>
      </c>
      <c r="U49" s="734">
        <f>'BASE DE DATOS'!U49</f>
        <v>12.3</v>
      </c>
      <c r="V49" s="734">
        <f>'BASE DE DATOS'!V49</f>
        <v>165</v>
      </c>
      <c r="W49" s="734">
        <f>'BASE DE DATOS'!W49</f>
        <v>50</v>
      </c>
      <c r="X49" s="734">
        <f>'BASE DE DATOS'!X49</f>
        <v>8.9999999999999993E-3</v>
      </c>
      <c r="Y49" s="734">
        <f>'BASE DE DATOS'!Y49</f>
        <v>0.01</v>
      </c>
      <c r="Z49" s="734">
        <f>'BASE DE DATOS'!Z49</f>
        <v>145</v>
      </c>
      <c r="AA49" s="734">
        <f>'BASE DE DATOS'!AA49</f>
        <v>1.45</v>
      </c>
      <c r="AB49" s="734">
        <f>'BASE DE DATOS'!AB49</f>
        <v>30</v>
      </c>
      <c r="AD49" s="734" t="str">
        <f>'BASE DE DATOS'!AD49</f>
        <v>CATAMARCA</v>
      </c>
      <c r="AE49" s="734">
        <f>'BASE DE DATOS'!AE49</f>
        <v>28.3</v>
      </c>
      <c r="AF49" s="734">
        <f>'BASE DE DATOS'!AF49</f>
        <v>26.2</v>
      </c>
      <c r="AG49" s="734">
        <f>'BASE DE DATOS'!AG49</f>
        <v>25</v>
      </c>
      <c r="AH49" s="734">
        <f>'BASE DE DATOS'!AH49</f>
        <v>21</v>
      </c>
      <c r="AI49" s="734">
        <f>'BASE DE DATOS'!AI49</f>
        <v>16.600000000000001</v>
      </c>
      <c r="AJ49" s="734">
        <f>'BASE DE DATOS'!AJ49</f>
        <v>13.3</v>
      </c>
      <c r="AK49" s="734">
        <f>'BASE DE DATOS'!AK49</f>
        <v>12.5</v>
      </c>
      <c r="AL49" s="734">
        <f>'BASE DE DATOS'!AL49</f>
        <v>16</v>
      </c>
      <c r="AM49" s="734">
        <f>'BASE DE DATOS'!AM49</f>
        <v>19.3</v>
      </c>
      <c r="AN49" s="734">
        <f>'BASE DE DATOS'!AN49</f>
        <v>23.3</v>
      </c>
      <c r="AO49" s="734">
        <f>'BASE DE DATOS'!AO49</f>
        <v>25.5</v>
      </c>
      <c r="AP49" s="734">
        <f>'BASE DE DATOS'!AP49</f>
        <v>27.5</v>
      </c>
      <c r="AR49" s="734" t="str">
        <f>'BASE DE DATOS'!AR49</f>
        <v>CA</v>
      </c>
      <c r="AS49" s="734" t="str">
        <f>'BASE DE DATOS'!AS49</f>
        <v>CATAMARCA</v>
      </c>
      <c r="AT49" s="734">
        <f>'BASE DE DATOS'!AT49</f>
        <v>5.5</v>
      </c>
      <c r="AU49" s="734">
        <f>'BASE DE DATOS'!AU49</f>
        <v>5</v>
      </c>
      <c r="AV49" s="734">
        <f>'BASE DE DATOS'!AV49</f>
        <v>4</v>
      </c>
      <c r="AW49" s="734">
        <f>'BASE DE DATOS'!AW49</f>
        <v>3.5</v>
      </c>
      <c r="AX49" s="734">
        <f>'BASE DE DATOS'!AX49</f>
        <v>3</v>
      </c>
      <c r="AY49" s="734">
        <f>'BASE DE DATOS'!AY49</f>
        <v>2.5</v>
      </c>
      <c r="AZ49" s="734">
        <f>'BASE DE DATOS'!AZ49</f>
        <v>2.5</v>
      </c>
      <c r="BA49" s="734">
        <f>'BASE DE DATOS'!BA49</f>
        <v>3.5</v>
      </c>
      <c r="BB49" s="734">
        <f>'BASE DE DATOS'!BB49</f>
        <v>4</v>
      </c>
      <c r="BC49" s="734">
        <f>'BASE DE DATOS'!BC49</f>
        <v>4.5</v>
      </c>
      <c r="BD49" s="734">
        <f>'BASE DE DATOS'!BD49</f>
        <v>5</v>
      </c>
      <c r="BE49" s="734">
        <f>'BASE DE DATOS'!BE49</f>
        <v>5.5</v>
      </c>
      <c r="BQ49" s="745"/>
      <c r="BR49" s="745"/>
      <c r="BS49" s="753"/>
      <c r="DA49" s="734" t="str">
        <f t="shared" ref="DA49:DA52" si="7">DA5</f>
        <v>Áreas de circulación sin paredes externas y sin ventilación adicional</v>
      </c>
      <c r="DO49" s="733" t="str">
        <f>'BASE DE DATOS'!BG49</f>
        <v>CA</v>
      </c>
      <c r="DP49" s="733" t="str">
        <f>'BASE DE DATOS'!BH49</f>
        <v>CATAMARCA</v>
      </c>
      <c r="DQ49" s="733">
        <f>'BASE DE DATOS'!BI49</f>
        <v>79</v>
      </c>
      <c r="DR49" s="733">
        <f>'BASE DE DATOS'!BJ49</f>
        <v>74</v>
      </c>
      <c r="DS49" s="733">
        <f>'BASE DE DATOS'!BK49</f>
        <v>56</v>
      </c>
      <c r="DT49" s="733">
        <f>'BASE DE DATOS'!BL49</f>
        <v>19</v>
      </c>
      <c r="DU49" s="733">
        <f>'BASE DE DATOS'!BM49</f>
        <v>10</v>
      </c>
      <c r="DV49" s="733">
        <f>'BASE DE DATOS'!BN49</f>
        <v>6</v>
      </c>
      <c r="DW49" s="733">
        <f>'BASE DE DATOS'!BO49</f>
        <v>5</v>
      </c>
      <c r="DX49" s="733">
        <f>'BASE DE DATOS'!BP49</f>
        <v>6</v>
      </c>
      <c r="DY49" s="733">
        <f>'BASE DE DATOS'!BQ49</f>
        <v>9</v>
      </c>
      <c r="DZ49" s="733">
        <f>'BASE DE DATOS'!BR49</f>
        <v>27</v>
      </c>
      <c r="EA49" s="733">
        <f>'BASE DE DATOS'!BS49</f>
        <v>47</v>
      </c>
      <c r="EB49" s="733">
        <f>'BASE DE DATOS'!BT49</f>
        <v>53</v>
      </c>
      <c r="GM49" s="741"/>
      <c r="GN49" s="741"/>
      <c r="GO49" s="741"/>
      <c r="GP49" s="741"/>
      <c r="GQ49" s="741"/>
      <c r="GR49" s="757"/>
      <c r="GS49" s="741"/>
      <c r="GT49" s="741"/>
      <c r="GU49" s="741"/>
      <c r="GV49" s="757"/>
      <c r="GW49" s="741"/>
      <c r="GX49" s="727">
        <f>SUM(GX45:GX47)</f>
        <v>3</v>
      </c>
      <c r="GY49" s="760"/>
    </row>
    <row r="50" spans="2:207" ht="16">
      <c r="B50" s="734" t="str">
        <f>'BASE DE DATOS'!B50</f>
        <v>CA</v>
      </c>
      <c r="C50" s="734" t="str">
        <f>'BASE DE DATOS'!C50</f>
        <v>CATAMARCA INTA</v>
      </c>
      <c r="D50" s="734">
        <f>'BASE DE DATOS'!D50</f>
        <v>28.48</v>
      </c>
      <c r="E50" s="734">
        <f>'BASE DE DATOS'!E50</f>
        <v>65.73</v>
      </c>
      <c r="F50" s="734">
        <f>'BASE DE DATOS'!F50</f>
        <v>525</v>
      </c>
      <c r="G50" s="734" t="str">
        <f>'BASE DE DATOS'!G50</f>
        <v>IIA</v>
      </c>
      <c r="H50" s="734">
        <f>'BASE DE DATOS'!H50</f>
        <v>1.1000000000000001</v>
      </c>
      <c r="I50" s="734">
        <f>'BASE DE DATOS'!I50</f>
        <v>12.8</v>
      </c>
      <c r="J50" s="734">
        <f>'BASE DE DATOS'!J50</f>
        <v>26</v>
      </c>
      <c r="K50" s="734">
        <f>'BASE DE DATOS'!K50</f>
        <v>35.9</v>
      </c>
      <c r="L50" s="734">
        <f>'BASE DE DATOS'!L50</f>
        <v>59</v>
      </c>
      <c r="M50" s="734">
        <f>'BASE DE DATOS'!M50</f>
        <v>62</v>
      </c>
      <c r="N50" s="734">
        <f>'BASE DE DATOS'!N50</f>
        <v>59</v>
      </c>
      <c r="O50" s="734">
        <f>'BASE DE DATOS'!O50</f>
        <v>5</v>
      </c>
      <c r="P50" s="734">
        <f>'BASE DE DATOS'!P50</f>
        <v>69</v>
      </c>
      <c r="Q50" s="734">
        <f>'BASE DE DATOS'!Q50</f>
        <v>2</v>
      </c>
      <c r="R50" s="734">
        <f>'BASE DE DATOS'!R50</f>
        <v>26.3</v>
      </c>
      <c r="S50" s="734">
        <f>'BASE DE DATOS'!S50</f>
        <v>0.49</v>
      </c>
      <c r="T50" s="734">
        <f>'BASE DE DATOS'!T50</f>
        <v>7.9</v>
      </c>
      <c r="U50" s="734">
        <f>'BASE DE DATOS'!U50</f>
        <v>12.3</v>
      </c>
      <c r="V50" s="734">
        <f>'BASE DE DATOS'!V50</f>
        <v>165</v>
      </c>
      <c r="W50" s="734">
        <f>'BASE DE DATOS'!W50</f>
        <v>50</v>
      </c>
      <c r="X50" s="734">
        <f>'BASE DE DATOS'!X50</f>
        <v>8.9999999999999993E-3</v>
      </c>
      <c r="Y50" s="734">
        <f>'BASE DE DATOS'!Y50</f>
        <v>0.01</v>
      </c>
      <c r="Z50" s="734">
        <f>'BASE DE DATOS'!Z50</f>
        <v>145</v>
      </c>
      <c r="AA50" s="734">
        <f>'BASE DE DATOS'!AA50</f>
        <v>1.45</v>
      </c>
      <c r="AB50" s="734">
        <f>'BASE DE DATOS'!AB50</f>
        <v>30</v>
      </c>
      <c r="AD50" s="734" t="str">
        <f>'BASE DE DATOS'!AD50</f>
        <v>CATAMARCA INTA</v>
      </c>
      <c r="AE50" s="734">
        <f>'BASE DE DATOS'!AE50</f>
        <v>27.2</v>
      </c>
      <c r="AF50" s="734">
        <f>'BASE DE DATOS'!AF50</f>
        <v>26</v>
      </c>
      <c r="AG50" s="734">
        <f>'BASE DE DATOS'!AG50</f>
        <v>23.6</v>
      </c>
      <c r="AH50" s="734">
        <f>'BASE DE DATOS'!AH50</f>
        <v>20.8</v>
      </c>
      <c r="AI50" s="734">
        <f>'BASE DE DATOS'!AI50</f>
        <v>16</v>
      </c>
      <c r="AJ50" s="734">
        <f>'BASE DE DATOS'!AJ50</f>
        <v>11.5</v>
      </c>
      <c r="AK50" s="734">
        <f>'BASE DE DATOS'!AK50</f>
        <v>11.4</v>
      </c>
      <c r="AL50" s="734">
        <f>'BASE DE DATOS'!AL50</f>
        <v>13</v>
      </c>
      <c r="AM50" s="734">
        <f>'BASE DE DATOS'!AM50</f>
        <v>18.899999999999999</v>
      </c>
      <c r="AN50" s="734">
        <f>'BASE DE DATOS'!AN50</f>
        <v>22.7</v>
      </c>
      <c r="AO50" s="734">
        <f>'BASE DE DATOS'!AO50</f>
        <v>25.5</v>
      </c>
      <c r="AP50" s="734">
        <f>'BASE DE DATOS'!AP50</f>
        <v>27.1</v>
      </c>
      <c r="AR50" s="734" t="str">
        <f>'BASE DE DATOS'!AR50</f>
        <v>CA</v>
      </c>
      <c r="AS50" s="734" t="str">
        <f>'BASE DE DATOS'!AS50</f>
        <v>CATAMARCA INTA</v>
      </c>
      <c r="AT50" s="734">
        <f>'BASE DE DATOS'!AT50</f>
        <v>5.5</v>
      </c>
      <c r="AU50" s="734">
        <f>'BASE DE DATOS'!AU50</f>
        <v>5</v>
      </c>
      <c r="AV50" s="734">
        <f>'BASE DE DATOS'!AV50</f>
        <v>4</v>
      </c>
      <c r="AW50" s="734">
        <f>'BASE DE DATOS'!AW50</f>
        <v>3.5</v>
      </c>
      <c r="AX50" s="734">
        <f>'BASE DE DATOS'!AX50</f>
        <v>3</v>
      </c>
      <c r="AY50" s="734">
        <f>'BASE DE DATOS'!AY50</f>
        <v>2.5</v>
      </c>
      <c r="AZ50" s="734">
        <f>'BASE DE DATOS'!AZ50</f>
        <v>2.5</v>
      </c>
      <c r="BA50" s="734">
        <f>'BASE DE DATOS'!BA50</f>
        <v>3.5</v>
      </c>
      <c r="BB50" s="734">
        <f>'BASE DE DATOS'!BB50</f>
        <v>4</v>
      </c>
      <c r="BC50" s="734">
        <f>'BASE DE DATOS'!BC50</f>
        <v>4.5</v>
      </c>
      <c r="BD50" s="734">
        <f>'BASE DE DATOS'!BD50</f>
        <v>5</v>
      </c>
      <c r="BE50" s="734">
        <f>'BASE DE DATOS'!BE50</f>
        <v>5.5</v>
      </c>
      <c r="BQ50" s="745"/>
      <c r="BR50" s="745"/>
      <c r="BS50" s="753"/>
      <c r="DA50" s="734" t="str">
        <f t="shared" si="7"/>
        <v>Áreas de circulación libremente ventiladas</v>
      </c>
      <c r="DO50" s="733" t="str">
        <f>'BASE DE DATOS'!BG50</f>
        <v>CA</v>
      </c>
      <c r="DP50" s="733" t="str">
        <f>'BASE DE DATOS'!BH50</f>
        <v>CATAMARCA INTA</v>
      </c>
      <c r="DQ50" s="733">
        <f>'BASE DE DATOS'!BI50</f>
        <v>79</v>
      </c>
      <c r="DR50" s="733">
        <f>'BASE DE DATOS'!BJ50</f>
        <v>74</v>
      </c>
      <c r="DS50" s="733">
        <f>'BASE DE DATOS'!BK50</f>
        <v>56</v>
      </c>
      <c r="DT50" s="733">
        <f>'BASE DE DATOS'!BL50</f>
        <v>19</v>
      </c>
      <c r="DU50" s="733">
        <f>'BASE DE DATOS'!BM50</f>
        <v>10</v>
      </c>
      <c r="DV50" s="733">
        <f>'BASE DE DATOS'!BN50</f>
        <v>6</v>
      </c>
      <c r="DW50" s="733">
        <f>'BASE DE DATOS'!BO50</f>
        <v>5</v>
      </c>
      <c r="DX50" s="733">
        <f>'BASE DE DATOS'!BP50</f>
        <v>6</v>
      </c>
      <c r="DY50" s="733">
        <f>'BASE DE DATOS'!BQ50</f>
        <v>9</v>
      </c>
      <c r="DZ50" s="733">
        <f>'BASE DE DATOS'!BR50</f>
        <v>27</v>
      </c>
      <c r="EA50" s="733">
        <f>'BASE DE DATOS'!BS50</f>
        <v>47</v>
      </c>
      <c r="EB50" s="733">
        <f>'BASE DE DATOS'!BT50</f>
        <v>53</v>
      </c>
      <c r="GM50" s="741"/>
      <c r="GN50" s="741"/>
      <c r="GO50" s="756">
        <f>+SUM(GO45:GO47)</f>
        <v>0</v>
      </c>
      <c r="GP50" s="1220" t="e">
        <f>GP47+GT47</f>
        <v>#DIV/0!</v>
      </c>
      <c r="GQ50" s="1220"/>
      <c r="GR50" s="757" t="str">
        <f t="shared" si="5"/>
        <v>FALTAN DATOS</v>
      </c>
      <c r="GS50" s="761"/>
      <c r="GT50" s="1220"/>
      <c r="GU50" s="1220"/>
      <c r="GV50" s="757"/>
      <c r="GW50" s="741"/>
      <c r="GX50" s="741"/>
      <c r="GY50" s="741"/>
    </row>
    <row r="51" spans="2:207" ht="16">
      <c r="B51" s="734" t="str">
        <f>'BASE DE DATOS'!B51</f>
        <v>CA</v>
      </c>
      <c r="C51" s="734" t="str">
        <f>'BASE DE DATOS'!C51</f>
        <v>TINOGASTA</v>
      </c>
      <c r="D51" s="734">
        <f>'BASE DE DATOS'!D51</f>
        <v>28.07</v>
      </c>
      <c r="E51" s="734">
        <f>'BASE DE DATOS'!E51</f>
        <v>67.569999999999993</v>
      </c>
      <c r="F51" s="734">
        <f>'BASE DE DATOS'!F51</f>
        <v>1201</v>
      </c>
      <c r="G51" s="734" t="str">
        <f>'BASE DE DATOS'!G51</f>
        <v>IVA</v>
      </c>
      <c r="H51" s="734">
        <f>'BASE DE DATOS'!H51</f>
        <v>-5.4</v>
      </c>
      <c r="I51" s="734">
        <f>'BASE DE DATOS'!I51</f>
        <v>10.5</v>
      </c>
      <c r="J51" s="734">
        <f>'BASE DE DATOS'!J51</f>
        <v>24.5</v>
      </c>
      <c r="K51" s="734">
        <f>'BASE DE DATOS'!K51</f>
        <v>36.200000000000003</v>
      </c>
      <c r="L51" s="734">
        <f>'BASE DE DATOS'!L51</f>
        <v>54</v>
      </c>
      <c r="M51" s="734">
        <f>'BASE DE DATOS'!M51</f>
        <v>55</v>
      </c>
      <c r="N51" s="734">
        <f>'BASE DE DATOS'!N51</f>
        <v>54</v>
      </c>
      <c r="O51" s="734">
        <f>'BASE DE DATOS'!O51</f>
        <v>1</v>
      </c>
      <c r="P51" s="734">
        <f>'BASE DE DATOS'!P51</f>
        <v>27</v>
      </c>
      <c r="Q51" s="734">
        <f>'BASE DE DATOS'!Q51</f>
        <v>4</v>
      </c>
      <c r="R51" s="734">
        <f>'BASE DE DATOS'!R51</f>
        <v>23.9</v>
      </c>
      <c r="S51" s="734">
        <f>'BASE DE DATOS'!S51</f>
        <v>0.47</v>
      </c>
      <c r="T51" s="734">
        <f>'BASE DE DATOS'!T51</f>
        <v>7.9</v>
      </c>
      <c r="U51" s="734">
        <f>'BASE DE DATOS'!U51</f>
        <v>12.3</v>
      </c>
      <c r="V51" s="734">
        <f>'BASE DE DATOS'!V51</f>
        <v>165</v>
      </c>
      <c r="W51" s="734">
        <f>'BASE DE DATOS'!W51</f>
        <v>50</v>
      </c>
      <c r="X51" s="734">
        <f>'BASE DE DATOS'!X51</f>
        <v>8.9999999999999993E-3</v>
      </c>
      <c r="Y51" s="734">
        <f>'BASE DE DATOS'!Y51</f>
        <v>0.01</v>
      </c>
      <c r="Z51" s="734">
        <f>'BASE DE DATOS'!Z51</f>
        <v>95</v>
      </c>
      <c r="AA51" s="734">
        <f>'BASE DE DATOS'!AA51</f>
        <v>0.95000000000000007</v>
      </c>
      <c r="AB51" s="734">
        <f>'BASE DE DATOS'!AB51</f>
        <v>30</v>
      </c>
      <c r="AD51" s="734" t="str">
        <f>'BASE DE DATOS'!AD51</f>
        <v>TINOGASTA</v>
      </c>
      <c r="AE51" s="734">
        <f>'BASE DE DATOS'!AE51</f>
        <v>24.6</v>
      </c>
      <c r="AF51" s="734">
        <f>'BASE DE DATOS'!AF51</f>
        <v>23.7</v>
      </c>
      <c r="AG51" s="734">
        <f>'BASE DE DATOS'!AG51</f>
        <v>21.7</v>
      </c>
      <c r="AH51" s="734">
        <f>'BASE DE DATOS'!AH51</f>
        <v>16.2</v>
      </c>
      <c r="AI51" s="734">
        <f>'BASE DE DATOS'!AI51</f>
        <v>12.3</v>
      </c>
      <c r="AJ51" s="734">
        <f>'BASE DE DATOS'!AJ51</f>
        <v>9</v>
      </c>
      <c r="AK51" s="734">
        <f>'BASE DE DATOS'!AK51</f>
        <v>9.6</v>
      </c>
      <c r="AL51" s="734">
        <f>'BASE DE DATOS'!AL51</f>
        <v>11.8</v>
      </c>
      <c r="AM51" s="734">
        <f>'BASE DE DATOS'!AM51</f>
        <v>14.9</v>
      </c>
      <c r="AN51" s="734">
        <f>'BASE DE DATOS'!AN51</f>
        <v>18.2</v>
      </c>
      <c r="AO51" s="734">
        <f>'BASE DE DATOS'!AO51</f>
        <v>21.6</v>
      </c>
      <c r="AP51" s="734">
        <f>'BASE DE DATOS'!AP51</f>
        <v>23.7</v>
      </c>
      <c r="AR51" s="734" t="str">
        <f>'BASE DE DATOS'!AR51</f>
        <v>CA</v>
      </c>
      <c r="AS51" s="734" t="str">
        <f>'BASE DE DATOS'!AS51</f>
        <v>TINOGASTA</v>
      </c>
      <c r="AT51" s="734">
        <f>'BASE DE DATOS'!AT51</f>
        <v>5.5</v>
      </c>
      <c r="AU51" s="734">
        <f>'BASE DE DATOS'!AU51</f>
        <v>6.5</v>
      </c>
      <c r="AV51" s="734">
        <f>'BASE DE DATOS'!AV51</f>
        <v>5</v>
      </c>
      <c r="AW51" s="734">
        <f>'BASE DE DATOS'!AW51</f>
        <v>4.5</v>
      </c>
      <c r="AX51" s="734">
        <f>'BASE DE DATOS'!AX51</f>
        <v>3.5</v>
      </c>
      <c r="AY51" s="734">
        <f>'BASE DE DATOS'!AY51</f>
        <v>3.5</v>
      </c>
      <c r="AZ51" s="734">
        <f>'BASE DE DATOS'!AZ51</f>
        <v>3</v>
      </c>
      <c r="BA51" s="734">
        <f>'BASE DE DATOS'!BA51</f>
        <v>4</v>
      </c>
      <c r="BB51" s="734">
        <f>'BASE DE DATOS'!BB51</f>
        <v>5</v>
      </c>
      <c r="BC51" s="734">
        <f>'BASE DE DATOS'!BC51</f>
        <v>6.5</v>
      </c>
      <c r="BD51" s="734">
        <f>'BASE DE DATOS'!BD51</f>
        <v>7</v>
      </c>
      <c r="BE51" s="734">
        <f>'BASE DE DATOS'!BE51</f>
        <v>6.5</v>
      </c>
      <c r="BQ51" s="745"/>
      <c r="BR51" s="745"/>
      <c r="BS51" s="753"/>
      <c r="DA51" s="734" t="str">
        <f t="shared" si="7"/>
        <v>Al exterior</v>
      </c>
      <c r="DO51" s="733" t="str">
        <f>'BASE DE DATOS'!BG51</f>
        <v>CA</v>
      </c>
      <c r="DP51" s="733" t="str">
        <f>'BASE DE DATOS'!BH51</f>
        <v>TINOGASTA</v>
      </c>
      <c r="DQ51" s="733">
        <f>'BASE DE DATOS'!BI51</f>
        <v>79</v>
      </c>
      <c r="DR51" s="733">
        <f>'BASE DE DATOS'!BJ51</f>
        <v>74</v>
      </c>
      <c r="DS51" s="733">
        <f>'BASE DE DATOS'!BK51</f>
        <v>56</v>
      </c>
      <c r="DT51" s="733">
        <f>'BASE DE DATOS'!BL51</f>
        <v>19</v>
      </c>
      <c r="DU51" s="733">
        <f>'BASE DE DATOS'!BM51</f>
        <v>10</v>
      </c>
      <c r="DV51" s="733">
        <f>'BASE DE DATOS'!BN51</f>
        <v>6</v>
      </c>
      <c r="DW51" s="733">
        <f>'BASE DE DATOS'!BO51</f>
        <v>5</v>
      </c>
      <c r="DX51" s="733">
        <f>'BASE DE DATOS'!BP51</f>
        <v>6</v>
      </c>
      <c r="DY51" s="733">
        <f>'BASE DE DATOS'!BQ51</f>
        <v>9</v>
      </c>
      <c r="DZ51" s="733">
        <f>'BASE DE DATOS'!BR51</f>
        <v>27</v>
      </c>
      <c r="EA51" s="733">
        <f>'BASE DE DATOS'!BS51</f>
        <v>47</v>
      </c>
      <c r="EB51" s="733">
        <f>'BASE DE DATOS'!BT51</f>
        <v>53</v>
      </c>
      <c r="GM51" s="741"/>
      <c r="GN51" s="741"/>
      <c r="GO51" s="741"/>
      <c r="GP51" s="741"/>
      <c r="GQ51" s="741"/>
      <c r="GR51" s="741"/>
      <c r="GS51" s="741"/>
      <c r="GT51" s="741"/>
      <c r="GU51" s="741"/>
      <c r="GV51" s="741"/>
      <c r="GW51" s="741"/>
      <c r="GX51" s="741"/>
      <c r="GY51" s="741"/>
    </row>
    <row r="52" spans="2:207" ht="16">
      <c r="B52" s="734" t="str">
        <f>'BASE DE DATOS'!B52</f>
        <v>CD</v>
      </c>
      <c r="C52" s="734" t="str">
        <f>'BASE DE DATOS'!C52</f>
        <v>BELL VILLE</v>
      </c>
      <c r="D52" s="734">
        <f>'BASE DE DATOS'!D52</f>
        <v>32.630000000000003</v>
      </c>
      <c r="E52" s="734">
        <f>'BASE DE DATOS'!E52</f>
        <v>62.68</v>
      </c>
      <c r="F52" s="734">
        <f>'BASE DE DATOS'!F52</f>
        <v>130</v>
      </c>
      <c r="G52" s="734" t="str">
        <f>'BASE DE DATOS'!G52</f>
        <v>IIIA</v>
      </c>
      <c r="H52" s="734">
        <f>'BASE DE DATOS'!H52</f>
        <v>-1.3</v>
      </c>
      <c r="I52" s="734">
        <f>'BASE DE DATOS'!I52</f>
        <v>10.8</v>
      </c>
      <c r="J52" s="734">
        <f>'BASE DE DATOS'!J52</f>
        <v>23.6</v>
      </c>
      <c r="K52" s="734">
        <f>'BASE DE DATOS'!K52</f>
        <v>34</v>
      </c>
      <c r="L52" s="734">
        <f>'BASE DE DATOS'!L52</f>
        <v>68</v>
      </c>
      <c r="M52" s="734">
        <f>'BASE DE DATOS'!M52</f>
        <v>74</v>
      </c>
      <c r="N52" s="734">
        <f>'BASE DE DATOS'!N52</f>
        <v>68</v>
      </c>
      <c r="O52" s="734">
        <f>'BASE DE DATOS'!O52</f>
        <v>17</v>
      </c>
      <c r="P52" s="734">
        <f>'BASE DE DATOS'!P52</f>
        <v>106</v>
      </c>
      <c r="Q52" s="734">
        <f>'BASE DE DATOS'!Q52</f>
        <v>3</v>
      </c>
      <c r="R52" s="734">
        <f>'BASE DE DATOS'!R52</f>
        <v>23</v>
      </c>
      <c r="S52" s="734">
        <f>'BASE DE DATOS'!S52</f>
        <v>0.53</v>
      </c>
      <c r="T52" s="734">
        <f>'BASE DE DATOS'!T52</f>
        <v>26.9</v>
      </c>
      <c r="U52" s="734">
        <f>'BASE DE DATOS'!U52</f>
        <v>2.6</v>
      </c>
      <c r="V52" s="734">
        <f>'BASE DE DATOS'!V52</f>
        <v>160</v>
      </c>
      <c r="W52" s="734">
        <f>'BASE DE DATOS'!W52</f>
        <v>38</v>
      </c>
      <c r="X52" s="734">
        <f>'BASE DE DATOS'!X52</f>
        <v>1.0999999999999999E-2</v>
      </c>
      <c r="Y52" s="734">
        <f>'BASE DE DATOS'!Y52</f>
        <v>0.02</v>
      </c>
      <c r="Z52" s="734">
        <f>'BASE DE DATOS'!Z52</f>
        <v>155</v>
      </c>
      <c r="AA52" s="734">
        <f>'BASE DE DATOS'!AA52</f>
        <v>1.55</v>
      </c>
      <c r="AB52" s="734">
        <f>'BASE DE DATOS'!AB52</f>
        <v>30</v>
      </c>
      <c r="AD52" s="734" t="str">
        <f>'BASE DE DATOS'!AD52</f>
        <v>BELL VILLE</v>
      </c>
      <c r="AE52" s="734">
        <f>'BASE DE DATOS'!AE52</f>
        <v>23.8</v>
      </c>
      <c r="AF52" s="734">
        <f>'BASE DE DATOS'!AF52</f>
        <v>22.4</v>
      </c>
      <c r="AG52" s="734">
        <f>'BASE DE DATOS'!AG52</f>
        <v>20.7</v>
      </c>
      <c r="AH52" s="734">
        <f>'BASE DE DATOS'!AH52</f>
        <v>15.8</v>
      </c>
      <c r="AI52" s="734">
        <f>'BASE DE DATOS'!AI52</f>
        <v>13.4</v>
      </c>
      <c r="AJ52" s="734">
        <f>'BASE DE DATOS'!AJ52</f>
        <v>10</v>
      </c>
      <c r="AK52" s="734">
        <f>'BASE DE DATOS'!AK52</f>
        <v>9.8000000000000007</v>
      </c>
      <c r="AL52" s="734">
        <f>'BASE DE DATOS'!AL52</f>
        <v>11.2</v>
      </c>
      <c r="AM52" s="734">
        <f>'BASE DE DATOS'!AM52</f>
        <v>13.9</v>
      </c>
      <c r="AN52" s="734">
        <f>'BASE DE DATOS'!AN52</f>
        <v>16.600000000000001</v>
      </c>
      <c r="AO52" s="734">
        <f>'BASE DE DATOS'!AO52</f>
        <v>20.100000000000001</v>
      </c>
      <c r="AP52" s="734">
        <f>'BASE DE DATOS'!AP52</f>
        <v>22.3</v>
      </c>
      <c r="AR52" s="734" t="str">
        <f>'BASE DE DATOS'!AR52</f>
        <v>CD</v>
      </c>
      <c r="AS52" s="734" t="str">
        <f>'BASE DE DATOS'!AS52</f>
        <v>BELL VILLE</v>
      </c>
      <c r="AT52" s="734">
        <f>'BASE DE DATOS'!AT52</f>
        <v>6</v>
      </c>
      <c r="AU52" s="734">
        <f>'BASE DE DATOS'!AU52</f>
        <v>5.5</v>
      </c>
      <c r="AV52" s="734">
        <f>'BASE DE DATOS'!AV52</f>
        <v>4.5</v>
      </c>
      <c r="AW52" s="734">
        <f>'BASE DE DATOS'!AW52</f>
        <v>3.5</v>
      </c>
      <c r="AX52" s="734">
        <f>'BASE DE DATOS'!AX52</f>
        <v>2.5</v>
      </c>
      <c r="AY52" s="734">
        <f>'BASE DE DATOS'!AY52</f>
        <v>2</v>
      </c>
      <c r="AZ52" s="734">
        <f>'BASE DE DATOS'!AZ52</f>
        <v>2</v>
      </c>
      <c r="BA52" s="734">
        <f>'BASE DE DATOS'!BA52</f>
        <v>3</v>
      </c>
      <c r="BB52" s="734">
        <f>'BASE DE DATOS'!BB52</f>
        <v>4</v>
      </c>
      <c r="BC52" s="734">
        <f>'BASE DE DATOS'!BC52</f>
        <v>5.5</v>
      </c>
      <c r="BD52" s="734">
        <f>'BASE DE DATOS'!BD52</f>
        <v>6</v>
      </c>
      <c r="BE52" s="734">
        <f>'BASE DE DATOS'!BE52</f>
        <v>6.5</v>
      </c>
      <c r="BQ52" s="745"/>
      <c r="BR52" s="745"/>
      <c r="BS52" s="753"/>
      <c r="DA52" s="734" t="str">
        <f t="shared" si="7"/>
        <v>En contacto con el suelo</v>
      </c>
      <c r="DO52" s="733" t="str">
        <f>'BASE DE DATOS'!BG52</f>
        <v>CD</v>
      </c>
      <c r="DP52" s="733" t="str">
        <f>'BASE DE DATOS'!BH52</f>
        <v>BELL VILLE</v>
      </c>
      <c r="DQ52" s="733">
        <f>'BASE DE DATOS'!BI52</f>
        <v>115</v>
      </c>
      <c r="DR52" s="733">
        <f>'BASE DE DATOS'!BJ52</f>
        <v>110</v>
      </c>
      <c r="DS52" s="733">
        <f>'BASE DE DATOS'!BK52</f>
        <v>101</v>
      </c>
      <c r="DT52" s="733">
        <f>'BASE DE DATOS'!BL52</f>
        <v>45</v>
      </c>
      <c r="DU52" s="733">
        <f>'BASE DE DATOS'!BM52</f>
        <v>23</v>
      </c>
      <c r="DV52" s="733">
        <f>'BASE DE DATOS'!BN52</f>
        <v>12</v>
      </c>
      <c r="DW52" s="733">
        <f>'BASE DE DATOS'!BO52</f>
        <v>11</v>
      </c>
      <c r="DX52" s="733">
        <f>'BASE DE DATOS'!BP52</f>
        <v>11</v>
      </c>
      <c r="DY52" s="733">
        <f>'BASE DE DATOS'!BQ52</f>
        <v>31</v>
      </c>
      <c r="DZ52" s="733">
        <f>'BASE DE DATOS'!BR52</f>
        <v>76</v>
      </c>
      <c r="EA52" s="733">
        <f>'BASE DE DATOS'!BS52</f>
        <v>95</v>
      </c>
      <c r="EB52" s="733">
        <f>'BASE DE DATOS'!BT52</f>
        <v>118</v>
      </c>
      <c r="GM52" s="741"/>
      <c r="GN52" s="741"/>
      <c r="GO52" s="741"/>
      <c r="GP52" s="741"/>
      <c r="GQ52" s="741"/>
      <c r="GR52" s="741"/>
      <c r="GS52" s="741"/>
      <c r="GT52" s="741"/>
      <c r="GU52" s="741"/>
      <c r="GV52" s="741"/>
      <c r="GW52" s="741"/>
      <c r="GX52" s="741"/>
      <c r="GY52" s="741"/>
    </row>
    <row r="53" spans="2:207" ht="16">
      <c r="B53" s="734" t="str">
        <f>'BASE DE DATOS'!B53</f>
        <v>CD</v>
      </c>
      <c r="C53" s="734" t="str">
        <f>'BASE DE DATOS'!C53</f>
        <v>CÓRDOBA AERO</v>
      </c>
      <c r="D53" s="734">
        <f>'BASE DE DATOS'!D53</f>
        <v>31.32</v>
      </c>
      <c r="E53" s="734">
        <f>'BASE DE DATOS'!E53</f>
        <v>64.22</v>
      </c>
      <c r="F53" s="734">
        <f>'BASE DE DATOS'!F53</f>
        <v>474</v>
      </c>
      <c r="G53" s="734" t="str">
        <f>'BASE DE DATOS'!G53</f>
        <v>IIIA</v>
      </c>
      <c r="H53" s="734">
        <f>'BASE DE DATOS'!H53</f>
        <v>-1.7</v>
      </c>
      <c r="I53" s="734">
        <f>'BASE DE DATOS'!I53</f>
        <v>11.3</v>
      </c>
      <c r="J53" s="734">
        <f>'BASE DE DATOS'!J53</f>
        <v>23</v>
      </c>
      <c r="K53" s="734">
        <f>'BASE DE DATOS'!K53</f>
        <v>33.1</v>
      </c>
      <c r="L53" s="734">
        <f>'BASE DE DATOS'!L53</f>
        <v>67</v>
      </c>
      <c r="M53" s="734">
        <f>'BASE DE DATOS'!M53</f>
        <v>64</v>
      </c>
      <c r="N53" s="734">
        <f>'BASE DE DATOS'!N53</f>
        <v>67</v>
      </c>
      <c r="O53" s="734">
        <f>'BASE DE DATOS'!O53</f>
        <v>10</v>
      </c>
      <c r="P53" s="734">
        <f>'BASE DE DATOS'!P53</f>
        <v>112</v>
      </c>
      <c r="Q53" s="734">
        <f>'BASE DE DATOS'!Q53</f>
        <v>3</v>
      </c>
      <c r="R53" s="734">
        <f>'BASE DE DATOS'!R53</f>
        <v>22.6</v>
      </c>
      <c r="S53" s="734">
        <f>'BASE DE DATOS'!S53</f>
        <v>0.53</v>
      </c>
      <c r="T53" s="734">
        <f>'BASE DE DATOS'!T53</f>
        <v>26.9</v>
      </c>
      <c r="U53" s="734">
        <f>'BASE DE DATOS'!U53</f>
        <v>2.6</v>
      </c>
      <c r="V53" s="734">
        <f>'BASE DE DATOS'!V53</f>
        <v>160</v>
      </c>
      <c r="W53" s="734">
        <f>'BASE DE DATOS'!W53</f>
        <v>38</v>
      </c>
      <c r="X53" s="734">
        <f>'BASE DE DATOS'!X53</f>
        <v>1.0999999999999999E-2</v>
      </c>
      <c r="Y53" s="734">
        <f>'BASE DE DATOS'!Y53</f>
        <v>0.02</v>
      </c>
      <c r="Z53" s="734">
        <f>'BASE DE DATOS'!Z53</f>
        <v>130</v>
      </c>
      <c r="AA53" s="734">
        <f>'BASE DE DATOS'!AA53</f>
        <v>1.3</v>
      </c>
      <c r="AB53" s="734">
        <f>'BASE DE DATOS'!AB53</f>
        <v>30</v>
      </c>
      <c r="AD53" s="734" t="str">
        <f>'BASE DE DATOS'!AD53</f>
        <v>CÓRDOBA AERO</v>
      </c>
      <c r="AE53" s="734">
        <f>'BASE DE DATOS'!AE53</f>
        <v>23.8</v>
      </c>
      <c r="AF53" s="734">
        <f>'BASE DE DATOS'!AF53</f>
        <v>22.8</v>
      </c>
      <c r="AG53" s="734">
        <f>'BASE DE DATOS'!AG53</f>
        <v>21.2</v>
      </c>
      <c r="AH53" s="734">
        <f>'BASE DE DATOS'!AH53</f>
        <v>17</v>
      </c>
      <c r="AI53" s="734">
        <f>'BASE DE DATOS'!AI53</f>
        <v>13.9</v>
      </c>
      <c r="AJ53" s="734">
        <f>'BASE DE DATOS'!AJ53</f>
        <v>10.7</v>
      </c>
      <c r="AK53" s="734">
        <f>'BASE DE DATOS'!AK53</f>
        <v>10.8</v>
      </c>
      <c r="AL53" s="734">
        <f>'BASE DE DATOS'!AL53</f>
        <v>12.6</v>
      </c>
      <c r="AM53" s="734">
        <f>'BASE DE DATOS'!AM53</f>
        <v>15</v>
      </c>
      <c r="AN53" s="734">
        <f>'BASE DE DATOS'!AN53</f>
        <v>17.7</v>
      </c>
      <c r="AO53" s="734">
        <f>'BASE DE DATOS'!AO53</f>
        <v>20.8</v>
      </c>
      <c r="AP53" s="734">
        <f>'BASE DE DATOS'!AP53</f>
        <v>22.7</v>
      </c>
      <c r="AR53" s="734" t="str">
        <f>'BASE DE DATOS'!AR53</f>
        <v>CD</v>
      </c>
      <c r="AS53" s="734" t="str">
        <f>'BASE DE DATOS'!AS53</f>
        <v>CÓRDOBA AERO</v>
      </c>
      <c r="AT53" s="734">
        <f>'BASE DE DATOS'!AT53</f>
        <v>6</v>
      </c>
      <c r="AU53" s="734">
        <f>'BASE DE DATOS'!AU53</f>
        <v>5.5</v>
      </c>
      <c r="AV53" s="734">
        <f>'BASE DE DATOS'!AV53</f>
        <v>4.5</v>
      </c>
      <c r="AW53" s="734">
        <f>'BASE DE DATOS'!AW53</f>
        <v>3.5</v>
      </c>
      <c r="AX53" s="734">
        <f>'BASE DE DATOS'!AX53</f>
        <v>3</v>
      </c>
      <c r="AY53" s="734">
        <f>'BASE DE DATOS'!AY53</f>
        <v>2</v>
      </c>
      <c r="AZ53" s="734">
        <f>'BASE DE DATOS'!AZ53</f>
        <v>2.5</v>
      </c>
      <c r="BA53" s="734">
        <f>'BASE DE DATOS'!BA53</f>
        <v>3</v>
      </c>
      <c r="BB53" s="734">
        <f>'BASE DE DATOS'!BB53</f>
        <v>4</v>
      </c>
      <c r="BC53" s="734">
        <f>'BASE DE DATOS'!BC53</f>
        <v>5</v>
      </c>
      <c r="BD53" s="734">
        <f>'BASE DE DATOS'!BD53</f>
        <v>5.5</v>
      </c>
      <c r="BE53" s="734">
        <f>'BASE DE DATOS'!BE53</f>
        <v>6</v>
      </c>
      <c r="BQ53" s="745"/>
      <c r="BR53" s="745"/>
      <c r="BS53" s="753"/>
      <c r="DO53" s="733" t="str">
        <f>'BASE DE DATOS'!BG53</f>
        <v>CD</v>
      </c>
      <c r="DP53" s="733" t="str">
        <f>'BASE DE DATOS'!BH53</f>
        <v>CÓRDOBA AERO</v>
      </c>
      <c r="DQ53" s="733">
        <f>'BASE DE DATOS'!BI53</f>
        <v>115</v>
      </c>
      <c r="DR53" s="733">
        <f>'BASE DE DATOS'!BJ53</f>
        <v>110</v>
      </c>
      <c r="DS53" s="733">
        <f>'BASE DE DATOS'!BK53</f>
        <v>101</v>
      </c>
      <c r="DT53" s="733">
        <f>'BASE DE DATOS'!BL53</f>
        <v>45</v>
      </c>
      <c r="DU53" s="733">
        <f>'BASE DE DATOS'!BM53</f>
        <v>23</v>
      </c>
      <c r="DV53" s="733">
        <f>'BASE DE DATOS'!BN53</f>
        <v>12</v>
      </c>
      <c r="DW53" s="733">
        <f>'BASE DE DATOS'!BO53</f>
        <v>11</v>
      </c>
      <c r="DX53" s="733">
        <f>'BASE DE DATOS'!BP53</f>
        <v>11</v>
      </c>
      <c r="DY53" s="733">
        <f>'BASE DE DATOS'!BQ53</f>
        <v>31</v>
      </c>
      <c r="DZ53" s="733">
        <f>'BASE DE DATOS'!BR53</f>
        <v>76</v>
      </c>
      <c r="EA53" s="733">
        <f>'BASE DE DATOS'!BS53</f>
        <v>95</v>
      </c>
      <c r="EB53" s="733">
        <f>'BASE DE DATOS'!BT53</f>
        <v>118</v>
      </c>
      <c r="GM53" s="741"/>
      <c r="GN53" s="741"/>
      <c r="GO53" s="741"/>
      <c r="GP53" s="741"/>
      <c r="GQ53" s="741"/>
      <c r="GR53" s="741"/>
      <c r="GS53" s="741"/>
      <c r="GT53" s="741"/>
      <c r="GU53" s="741"/>
      <c r="GV53" s="741"/>
      <c r="GW53" s="741"/>
      <c r="GX53" s="741"/>
      <c r="GY53" s="741"/>
    </row>
    <row r="54" spans="2:207" ht="16">
      <c r="B54" s="734" t="str">
        <f>'BASE DE DATOS'!B54</f>
        <v>CD</v>
      </c>
      <c r="C54" s="734" t="str">
        <f>'BASE DE DATOS'!C54</f>
        <v>CÓRDOBA</v>
      </c>
      <c r="D54" s="734">
        <f>'BASE DE DATOS'!D54</f>
        <v>31.4</v>
      </c>
      <c r="E54" s="734">
        <f>'BASE DE DATOS'!E54</f>
        <v>64.180000000000007</v>
      </c>
      <c r="F54" s="734">
        <f>'BASE DE DATOS'!F54</f>
        <v>425</v>
      </c>
      <c r="G54" s="734" t="str">
        <f>'BASE DE DATOS'!G54</f>
        <v>IIIA</v>
      </c>
      <c r="H54" s="734">
        <f>'BASE DE DATOS'!H54</f>
        <v>-0.3</v>
      </c>
      <c r="I54" s="734">
        <f>'BASE DE DATOS'!I54</f>
        <v>12</v>
      </c>
      <c r="J54" s="734">
        <f>'BASE DE DATOS'!J54</f>
        <v>23.4</v>
      </c>
      <c r="K54" s="734">
        <f>'BASE DE DATOS'!K54</f>
        <v>34.200000000000003</v>
      </c>
      <c r="L54" s="734">
        <f>'BASE DE DATOS'!L54</f>
        <v>61</v>
      </c>
      <c r="M54" s="734">
        <f>'BASE DE DATOS'!M54</f>
        <v>60</v>
      </c>
      <c r="N54" s="734">
        <f>'BASE DE DATOS'!N54</f>
        <v>61</v>
      </c>
      <c r="O54" s="734">
        <f>'BASE DE DATOS'!O54</f>
        <v>10</v>
      </c>
      <c r="P54" s="734">
        <f>'BASE DE DATOS'!P54</f>
        <v>107</v>
      </c>
      <c r="Q54" s="734">
        <f>'BASE DE DATOS'!Q54</f>
        <v>3</v>
      </c>
      <c r="R54" s="734">
        <f>'BASE DE DATOS'!R54</f>
        <v>23.4</v>
      </c>
      <c r="S54" s="734">
        <f>'BASE DE DATOS'!S54</f>
        <v>0.53</v>
      </c>
      <c r="T54" s="734">
        <f>'BASE DE DATOS'!T54</f>
        <v>26.9</v>
      </c>
      <c r="U54" s="734">
        <f>'BASE DE DATOS'!U54</f>
        <v>2.6</v>
      </c>
      <c r="V54" s="734">
        <f>'BASE DE DATOS'!V54</f>
        <v>160</v>
      </c>
      <c r="W54" s="734">
        <f>'BASE DE DATOS'!W54</f>
        <v>38</v>
      </c>
      <c r="X54" s="734">
        <f>'BASE DE DATOS'!X54</f>
        <v>1.0999999999999999E-2</v>
      </c>
      <c r="Y54" s="734">
        <f>'BASE DE DATOS'!Y54</f>
        <v>0.02</v>
      </c>
      <c r="Z54" s="734">
        <f>'BASE DE DATOS'!Z54</f>
        <v>130</v>
      </c>
      <c r="AA54" s="734">
        <f>'BASE DE DATOS'!AA54</f>
        <v>1.3</v>
      </c>
      <c r="AB54" s="734">
        <f>'BASE DE DATOS'!AB54</f>
        <v>30</v>
      </c>
      <c r="AD54" s="734" t="str">
        <f>'BASE DE DATOS'!AD54</f>
        <v>CÓRDOBA</v>
      </c>
      <c r="AE54" s="734">
        <f>'BASE DE DATOS'!AE54</f>
        <v>24.5</v>
      </c>
      <c r="AF54" s="734">
        <f>'BASE DE DATOS'!AF54</f>
        <v>23</v>
      </c>
      <c r="AG54" s="734">
        <f>'BASE DE DATOS'!AG54</f>
        <v>22</v>
      </c>
      <c r="AH54" s="734">
        <f>'BASE DE DATOS'!AH54</f>
        <v>18.3</v>
      </c>
      <c r="AI54" s="734">
        <f>'BASE DE DATOS'!AI54</f>
        <v>14.5</v>
      </c>
      <c r="AJ54" s="734">
        <f>'BASE DE DATOS'!AJ54</f>
        <v>12.2</v>
      </c>
      <c r="AK54" s="734">
        <f>'BASE DE DATOS'!AK54</f>
        <v>11.5</v>
      </c>
      <c r="AL54" s="734">
        <f>'BASE DE DATOS'!AL54</f>
        <v>13.5</v>
      </c>
      <c r="AM54" s="734">
        <f>'BASE DE DATOS'!AM54</f>
        <v>15.8</v>
      </c>
      <c r="AN54" s="734">
        <f>'BASE DE DATOS'!AN54</f>
        <v>19.3</v>
      </c>
      <c r="AO54" s="734">
        <f>'BASE DE DATOS'!AO54</f>
        <v>21</v>
      </c>
      <c r="AP54" s="734">
        <f>'BASE DE DATOS'!AP54</f>
        <v>23.8</v>
      </c>
      <c r="AR54" s="734" t="str">
        <f>'BASE DE DATOS'!AR54</f>
        <v>CD</v>
      </c>
      <c r="AS54" s="734" t="str">
        <f>'BASE DE DATOS'!AS54</f>
        <v>CÓRDOBA</v>
      </c>
      <c r="AT54" s="734">
        <f>'BASE DE DATOS'!AT54</f>
        <v>6</v>
      </c>
      <c r="AU54" s="734">
        <f>'BASE DE DATOS'!AU54</f>
        <v>5.5</v>
      </c>
      <c r="AV54" s="734">
        <f>'BASE DE DATOS'!AV54</f>
        <v>4.5</v>
      </c>
      <c r="AW54" s="734">
        <f>'BASE DE DATOS'!AW54</f>
        <v>3.5</v>
      </c>
      <c r="AX54" s="734">
        <f>'BASE DE DATOS'!AX54</f>
        <v>3</v>
      </c>
      <c r="AY54" s="734">
        <f>'BASE DE DATOS'!AY54</f>
        <v>2</v>
      </c>
      <c r="AZ54" s="734">
        <f>'BASE DE DATOS'!AZ54</f>
        <v>2.5</v>
      </c>
      <c r="BA54" s="734">
        <f>'BASE DE DATOS'!BA54</f>
        <v>3</v>
      </c>
      <c r="BB54" s="734">
        <f>'BASE DE DATOS'!BB54</f>
        <v>4</v>
      </c>
      <c r="BC54" s="734">
        <f>'BASE DE DATOS'!BC54</f>
        <v>5</v>
      </c>
      <c r="BD54" s="734">
        <f>'BASE DE DATOS'!BD54</f>
        <v>5.5</v>
      </c>
      <c r="BE54" s="734">
        <f>'BASE DE DATOS'!BE54</f>
        <v>6</v>
      </c>
      <c r="BQ54" s="745"/>
      <c r="BR54" s="745"/>
      <c r="BS54" s="753"/>
      <c r="DO54" s="733" t="str">
        <f>'BASE DE DATOS'!BG54</f>
        <v>CD</v>
      </c>
      <c r="DP54" s="733" t="str">
        <f>'BASE DE DATOS'!BH54</f>
        <v>CÓRDOBA</v>
      </c>
      <c r="DQ54" s="733">
        <f>'BASE DE DATOS'!BI54</f>
        <v>115</v>
      </c>
      <c r="DR54" s="733">
        <f>'BASE DE DATOS'!BJ54</f>
        <v>110</v>
      </c>
      <c r="DS54" s="733">
        <f>'BASE DE DATOS'!BK54</f>
        <v>101</v>
      </c>
      <c r="DT54" s="733">
        <f>'BASE DE DATOS'!BL54</f>
        <v>45</v>
      </c>
      <c r="DU54" s="733">
        <f>'BASE DE DATOS'!BM54</f>
        <v>23</v>
      </c>
      <c r="DV54" s="733">
        <f>'BASE DE DATOS'!BN54</f>
        <v>12</v>
      </c>
      <c r="DW54" s="733">
        <f>'BASE DE DATOS'!BO54</f>
        <v>11</v>
      </c>
      <c r="DX54" s="733">
        <f>'BASE DE DATOS'!BP54</f>
        <v>11</v>
      </c>
      <c r="DY54" s="733">
        <f>'BASE DE DATOS'!BQ54</f>
        <v>31</v>
      </c>
      <c r="DZ54" s="733">
        <f>'BASE DE DATOS'!BR54</f>
        <v>76</v>
      </c>
      <c r="EA54" s="733">
        <f>'BASE DE DATOS'!BS54</f>
        <v>95</v>
      </c>
      <c r="EB54" s="733">
        <f>'BASE DE DATOS'!BT54</f>
        <v>118</v>
      </c>
      <c r="GM54" s="741"/>
      <c r="GN54" s="741"/>
      <c r="GO54" s="741"/>
      <c r="GP54" s="741"/>
      <c r="GQ54" s="741"/>
      <c r="GR54" s="741"/>
      <c r="GS54" s="741"/>
      <c r="GT54" s="741"/>
      <c r="GU54" s="741"/>
      <c r="GV54" s="741"/>
      <c r="GW54" s="741"/>
      <c r="GX54" s="741"/>
      <c r="GY54" s="741"/>
    </row>
    <row r="55" spans="2:207" ht="16">
      <c r="B55" s="734" t="str">
        <f>'BASE DE DATOS'!B55</f>
        <v>CD</v>
      </c>
      <c r="C55" s="734" t="str">
        <f>'BASE DE DATOS'!C55</f>
        <v>DIQUE CRUZ DEL EJE</v>
      </c>
      <c r="D55" s="734">
        <f>'BASE DE DATOS'!D55</f>
        <v>30.75</v>
      </c>
      <c r="E55" s="734">
        <f>'BASE DE DATOS'!E55</f>
        <v>64.75</v>
      </c>
      <c r="F55" s="734">
        <f>'BASE DE DATOS'!F55</f>
        <v>515</v>
      </c>
      <c r="G55" s="734" t="str">
        <f>'BASE DE DATOS'!G55</f>
        <v>IIA</v>
      </c>
      <c r="H55" s="734">
        <f>'BASE DE DATOS'!H55</f>
        <v>1.3</v>
      </c>
      <c r="I55" s="734">
        <f>'BASE DE DATOS'!I55</f>
        <v>13</v>
      </c>
      <c r="J55" s="734">
        <f>'BASE DE DATOS'!J55</f>
        <v>24.9</v>
      </c>
      <c r="K55" s="734">
        <f>'BASE DE DATOS'!K55</f>
        <v>36.1</v>
      </c>
      <c r="L55" s="734">
        <f>'BASE DE DATOS'!L55</f>
        <v>59</v>
      </c>
      <c r="M55" s="734">
        <f>'BASE DE DATOS'!M55</f>
        <v>63</v>
      </c>
      <c r="N55" s="734">
        <f>'BASE DE DATOS'!N55</f>
        <v>59</v>
      </c>
      <c r="O55" s="734">
        <f>'BASE DE DATOS'!O55</f>
        <v>9</v>
      </c>
      <c r="P55" s="734">
        <f>'BASE DE DATOS'!P55</f>
        <v>82</v>
      </c>
      <c r="Q55" s="734">
        <f>'BASE DE DATOS'!Q55</f>
        <v>2</v>
      </c>
      <c r="R55" s="734">
        <f>'BASE DE DATOS'!R55</f>
        <v>25.2</v>
      </c>
      <c r="S55" s="734">
        <f>'BASE DE DATOS'!S55</f>
        <v>0.51</v>
      </c>
      <c r="T55" s="734">
        <f>'BASE DE DATOS'!T55</f>
        <v>26.9</v>
      </c>
      <c r="U55" s="734">
        <f>'BASE DE DATOS'!U55</f>
        <v>2.6</v>
      </c>
      <c r="V55" s="734">
        <f>'BASE DE DATOS'!V55</f>
        <v>160</v>
      </c>
      <c r="W55" s="734">
        <f>'BASE DE DATOS'!W55</f>
        <v>38</v>
      </c>
      <c r="X55" s="734">
        <f>'BASE DE DATOS'!X55</f>
        <v>1.0999999999999999E-2</v>
      </c>
      <c r="Y55" s="734">
        <f>'BASE DE DATOS'!Y55</f>
        <v>0.02</v>
      </c>
      <c r="Z55" s="734">
        <f>'BASE DE DATOS'!Z55</f>
        <v>145</v>
      </c>
      <c r="AA55" s="734">
        <f>'BASE DE DATOS'!AA55</f>
        <v>1.45</v>
      </c>
      <c r="AB55" s="734">
        <f>'BASE DE DATOS'!AB55</f>
        <v>30</v>
      </c>
      <c r="AD55" s="734" t="str">
        <f>'BASE DE DATOS'!AD55</f>
        <v>DIQUE CRUZ DEL EJE</v>
      </c>
      <c r="AE55" s="734">
        <f>'BASE DE DATOS'!AE55</f>
        <v>24.6</v>
      </c>
      <c r="AF55" s="734">
        <f>'BASE DE DATOS'!AF55</f>
        <v>23.4</v>
      </c>
      <c r="AG55" s="734">
        <f>'BASE DE DATOS'!AG55</f>
        <v>20.7</v>
      </c>
      <c r="AH55" s="734">
        <f>'BASE DE DATOS'!AH55</f>
        <v>17.8</v>
      </c>
      <c r="AI55" s="734">
        <f>'BASE DE DATOS'!AI55</f>
        <v>14.8</v>
      </c>
      <c r="AJ55" s="734">
        <f>'BASE DE DATOS'!AJ55</f>
        <v>11.9</v>
      </c>
      <c r="AK55" s="734">
        <f>'BASE DE DATOS'!AK55</f>
        <v>11.3</v>
      </c>
      <c r="AL55" s="734">
        <f>'BASE DE DATOS'!AL55</f>
        <v>13.2</v>
      </c>
      <c r="AM55" s="734">
        <f>'BASE DE DATOS'!AM55</f>
        <v>16.2</v>
      </c>
      <c r="AN55" s="734">
        <f>'BASE DE DATOS'!AN55</f>
        <v>19.100000000000001</v>
      </c>
      <c r="AO55" s="734">
        <f>'BASE DE DATOS'!AO55</f>
        <v>21.6</v>
      </c>
      <c r="AP55" s="734">
        <f>'BASE DE DATOS'!AP55</f>
        <v>24.1</v>
      </c>
      <c r="AR55" s="734" t="str">
        <f>'BASE DE DATOS'!AR55</f>
        <v>CD</v>
      </c>
      <c r="AS55" s="734" t="str">
        <f>'BASE DE DATOS'!AS55</f>
        <v>DIQUE CRUZ DEL EJE</v>
      </c>
      <c r="AT55" s="734">
        <f>'BASE DE DATOS'!AT55</f>
        <v>6</v>
      </c>
      <c r="AU55" s="734">
        <f>'BASE DE DATOS'!AU55</f>
        <v>5.5</v>
      </c>
      <c r="AV55" s="734">
        <f>'BASE DE DATOS'!AV55</f>
        <v>4</v>
      </c>
      <c r="AW55" s="734">
        <f>'BASE DE DATOS'!AW55</f>
        <v>3.5</v>
      </c>
      <c r="AX55" s="734">
        <f>'BASE DE DATOS'!AX55</f>
        <v>3</v>
      </c>
      <c r="AY55" s="734">
        <f>'BASE DE DATOS'!AY55</f>
        <v>2.5</v>
      </c>
      <c r="AZ55" s="734">
        <f>'BASE DE DATOS'!AZ55</f>
        <v>2.5</v>
      </c>
      <c r="BA55" s="734">
        <f>'BASE DE DATOS'!BA55</f>
        <v>3</v>
      </c>
      <c r="BB55" s="734">
        <f>'BASE DE DATOS'!BB55</f>
        <v>4</v>
      </c>
      <c r="BC55" s="734">
        <f>'BASE DE DATOS'!BC55</f>
        <v>5</v>
      </c>
      <c r="BD55" s="734">
        <f>'BASE DE DATOS'!BD55</f>
        <v>5.5</v>
      </c>
      <c r="BE55" s="734">
        <f>'BASE DE DATOS'!BE55</f>
        <v>6</v>
      </c>
      <c r="BQ55" s="745"/>
      <c r="BR55" s="745"/>
      <c r="BS55" s="753"/>
      <c r="DO55" s="733" t="str">
        <f>'BASE DE DATOS'!BG55</f>
        <v>CD</v>
      </c>
      <c r="DP55" s="733" t="str">
        <f>'BASE DE DATOS'!BH55</f>
        <v>DIQUE CRUZ DEL EJE</v>
      </c>
      <c r="DQ55" s="733">
        <f>'BASE DE DATOS'!BI55</f>
        <v>115</v>
      </c>
      <c r="DR55" s="733">
        <f>'BASE DE DATOS'!BJ55</f>
        <v>110</v>
      </c>
      <c r="DS55" s="733">
        <f>'BASE DE DATOS'!BK55</f>
        <v>101</v>
      </c>
      <c r="DT55" s="733">
        <f>'BASE DE DATOS'!BL55</f>
        <v>45</v>
      </c>
      <c r="DU55" s="733">
        <f>'BASE DE DATOS'!BM55</f>
        <v>23</v>
      </c>
      <c r="DV55" s="733">
        <f>'BASE DE DATOS'!BN55</f>
        <v>12</v>
      </c>
      <c r="DW55" s="733">
        <f>'BASE DE DATOS'!BO55</f>
        <v>11</v>
      </c>
      <c r="DX55" s="733">
        <f>'BASE DE DATOS'!BP55</f>
        <v>11</v>
      </c>
      <c r="DY55" s="733">
        <f>'BASE DE DATOS'!BQ55</f>
        <v>31</v>
      </c>
      <c r="DZ55" s="733">
        <f>'BASE DE DATOS'!BR55</f>
        <v>76</v>
      </c>
      <c r="EA55" s="733">
        <f>'BASE DE DATOS'!BS55</f>
        <v>95</v>
      </c>
      <c r="EB55" s="733">
        <f>'BASE DE DATOS'!BT55</f>
        <v>118</v>
      </c>
      <c r="GM55" s="741"/>
      <c r="GN55" s="741"/>
      <c r="GO55" s="741"/>
      <c r="GP55" s="741"/>
      <c r="GQ55" s="727"/>
      <c r="GR55" s="727" t="s">
        <v>2142</v>
      </c>
      <c r="GS55" s="727" t="s">
        <v>2143</v>
      </c>
      <c r="GT55" s="727" t="s">
        <v>2093</v>
      </c>
      <c r="GU55" s="741"/>
      <c r="GV55" s="741"/>
      <c r="GW55" s="741"/>
      <c r="GX55" s="741"/>
      <c r="GY55" s="741"/>
    </row>
    <row r="56" spans="2:207" ht="16">
      <c r="B56" s="734" t="str">
        <f>'BASE DE DATOS'!B56</f>
        <v>CD</v>
      </c>
      <c r="C56" s="734" t="str">
        <f>'BASE DE DATOS'!C56</f>
        <v>DIQUE LA VIÑA</v>
      </c>
      <c r="D56" s="734">
        <f>'BASE DE DATOS'!D56</f>
        <v>31.88</v>
      </c>
      <c r="E56" s="734">
        <f>'BASE DE DATOS'!E56</f>
        <v>65.03</v>
      </c>
      <c r="F56" s="734">
        <f>'BASE DE DATOS'!F56</f>
        <v>838</v>
      </c>
      <c r="G56" s="734" t="str">
        <f>'BASE DE DATOS'!G56</f>
        <v>IIIA</v>
      </c>
      <c r="H56" s="734">
        <f>'BASE DE DATOS'!H56</f>
        <v>-1.6</v>
      </c>
      <c r="I56" s="734">
        <f>'BASE DE DATOS'!I56</f>
        <v>10.7</v>
      </c>
      <c r="J56" s="734">
        <f>'BASE DE DATOS'!J56</f>
        <v>22.4</v>
      </c>
      <c r="K56" s="734">
        <f>'BASE DE DATOS'!K56</f>
        <v>33.5</v>
      </c>
      <c r="L56" s="734">
        <f>'BASE DE DATOS'!L56</f>
        <v>62</v>
      </c>
      <c r="M56" s="734">
        <f>'BASE DE DATOS'!M56</f>
        <v>61</v>
      </c>
      <c r="N56" s="734">
        <f>'BASE DE DATOS'!N56</f>
        <v>62</v>
      </c>
      <c r="O56" s="734">
        <f>'BASE DE DATOS'!O56</f>
        <v>10</v>
      </c>
      <c r="P56" s="734">
        <f>'BASE DE DATOS'!P56</f>
        <v>103</v>
      </c>
      <c r="Q56" s="734">
        <f>'BASE DE DATOS'!Q56</f>
        <v>3</v>
      </c>
      <c r="R56" s="734">
        <f>'BASE DE DATOS'!R56</f>
        <v>22.1</v>
      </c>
      <c r="S56" s="734">
        <f>'BASE DE DATOS'!S56</f>
        <v>0.53</v>
      </c>
      <c r="T56" s="734">
        <f>'BASE DE DATOS'!T56</f>
        <v>26.9</v>
      </c>
      <c r="U56" s="734">
        <f>'BASE DE DATOS'!U56</f>
        <v>2.6</v>
      </c>
      <c r="V56" s="734">
        <f>'BASE DE DATOS'!V56</f>
        <v>160</v>
      </c>
      <c r="W56" s="734">
        <f>'BASE DE DATOS'!W56</f>
        <v>38</v>
      </c>
      <c r="X56" s="734">
        <f>'BASE DE DATOS'!X56</f>
        <v>1.0999999999999999E-2</v>
      </c>
      <c r="Y56" s="734">
        <f>'BASE DE DATOS'!Y56</f>
        <v>0.02</v>
      </c>
      <c r="Z56" s="734">
        <f>'BASE DE DATOS'!Z56</f>
        <v>130</v>
      </c>
      <c r="AA56" s="734">
        <f>'BASE DE DATOS'!AA56</f>
        <v>1.3</v>
      </c>
      <c r="AB56" s="734">
        <f>'BASE DE DATOS'!AB56</f>
        <v>30</v>
      </c>
      <c r="AD56" s="734" t="str">
        <f>'BASE DE DATOS'!AD56</f>
        <v>DIQUE LA VIÑA</v>
      </c>
      <c r="AE56" s="734">
        <f>'BASE DE DATOS'!AE56</f>
        <v>23.3</v>
      </c>
      <c r="AF56" s="734">
        <f>'BASE DE DATOS'!AF56</f>
        <v>22.5</v>
      </c>
      <c r="AG56" s="734">
        <f>'BASE DE DATOS'!AG56</f>
        <v>19.5</v>
      </c>
      <c r="AH56" s="734">
        <f>'BASE DE DATOS'!AH56</f>
        <v>16.399999999999999</v>
      </c>
      <c r="AI56" s="734">
        <f>'BASE DE DATOS'!AI56</f>
        <v>13.1</v>
      </c>
      <c r="AJ56" s="734">
        <f>'BASE DE DATOS'!AJ56</f>
        <v>10.3</v>
      </c>
      <c r="AK56" s="734">
        <f>'BASE DE DATOS'!AK56</f>
        <v>9.8000000000000007</v>
      </c>
      <c r="AL56" s="734">
        <f>'BASE DE DATOS'!AL56</f>
        <v>11.2</v>
      </c>
      <c r="AM56" s="734">
        <f>'BASE DE DATOS'!AM56</f>
        <v>13.9</v>
      </c>
      <c r="AN56" s="734">
        <f>'BASE DE DATOS'!AN56</f>
        <v>16.899999999999999</v>
      </c>
      <c r="AO56" s="734">
        <f>'BASE DE DATOS'!AO56</f>
        <v>19.899999999999999</v>
      </c>
      <c r="AP56" s="734">
        <f>'BASE DE DATOS'!AP56</f>
        <v>22.9</v>
      </c>
      <c r="AR56" s="734" t="str">
        <f>'BASE DE DATOS'!AR56</f>
        <v>CD</v>
      </c>
      <c r="AS56" s="734" t="str">
        <f>'BASE DE DATOS'!AS56</f>
        <v>DIQUE LA VIÑA</v>
      </c>
      <c r="AT56" s="734">
        <f>'BASE DE DATOS'!AT56</f>
        <v>6</v>
      </c>
      <c r="AU56" s="734">
        <f>'BASE DE DATOS'!AU56</f>
        <v>5</v>
      </c>
      <c r="AV56" s="734">
        <f>'BASE DE DATOS'!AV56</f>
        <v>4</v>
      </c>
      <c r="AW56" s="734">
        <f>'BASE DE DATOS'!AW56</f>
        <v>3.5</v>
      </c>
      <c r="AX56" s="734">
        <f>'BASE DE DATOS'!AX56</f>
        <v>3</v>
      </c>
      <c r="AY56" s="734">
        <f>'BASE DE DATOS'!AY56</f>
        <v>2</v>
      </c>
      <c r="AZ56" s="734">
        <f>'BASE DE DATOS'!AZ56</f>
        <v>2.5</v>
      </c>
      <c r="BA56" s="734">
        <f>'BASE DE DATOS'!BA56</f>
        <v>3.5</v>
      </c>
      <c r="BB56" s="734">
        <f>'BASE DE DATOS'!BB56</f>
        <v>4</v>
      </c>
      <c r="BC56" s="734">
        <f>'BASE DE DATOS'!BC56</f>
        <v>5</v>
      </c>
      <c r="BD56" s="734">
        <f>'BASE DE DATOS'!BD56</f>
        <v>6</v>
      </c>
      <c r="BE56" s="734">
        <f>'BASE DE DATOS'!BE56</f>
        <v>6</v>
      </c>
      <c r="BQ56" s="745"/>
      <c r="BR56" s="745"/>
      <c r="BS56" s="753"/>
      <c r="DO56" s="733" t="str">
        <f>'BASE DE DATOS'!BG56</f>
        <v>CD</v>
      </c>
      <c r="DP56" s="733" t="str">
        <f>'BASE DE DATOS'!BH56</f>
        <v>DIQUE LA VIÑA</v>
      </c>
      <c r="DQ56" s="733">
        <f>'BASE DE DATOS'!BI56</f>
        <v>115</v>
      </c>
      <c r="DR56" s="733">
        <f>'BASE DE DATOS'!BJ56</f>
        <v>110</v>
      </c>
      <c r="DS56" s="733">
        <f>'BASE DE DATOS'!BK56</f>
        <v>101</v>
      </c>
      <c r="DT56" s="733">
        <f>'BASE DE DATOS'!BL56</f>
        <v>45</v>
      </c>
      <c r="DU56" s="733">
        <f>'BASE DE DATOS'!BM56</f>
        <v>23</v>
      </c>
      <c r="DV56" s="733">
        <f>'BASE DE DATOS'!BN56</f>
        <v>12</v>
      </c>
      <c r="DW56" s="733">
        <f>'BASE DE DATOS'!BO56</f>
        <v>11</v>
      </c>
      <c r="DX56" s="733">
        <f>'BASE DE DATOS'!BP56</f>
        <v>11</v>
      </c>
      <c r="DY56" s="733">
        <f>'BASE DE DATOS'!BQ56</f>
        <v>31</v>
      </c>
      <c r="DZ56" s="733">
        <f>'BASE DE DATOS'!BR56</f>
        <v>76</v>
      </c>
      <c r="EA56" s="733">
        <f>'BASE DE DATOS'!BS56</f>
        <v>95</v>
      </c>
      <c r="EB56" s="733">
        <f>'BASE DE DATOS'!BT56</f>
        <v>118</v>
      </c>
      <c r="GM56" s="741"/>
      <c r="GN56" s="741"/>
      <c r="GO56" s="741"/>
      <c r="GP56" s="741"/>
      <c r="GQ56" s="727" t="s">
        <v>650</v>
      </c>
      <c r="GR56" s="762" t="e">
        <f>('LINEA BASE MALA'!AD198)</f>
        <v>#DIV/0!</v>
      </c>
      <c r="GS56" s="762" t="e">
        <f>ENERGÍA!Z203</f>
        <v>#N/A</v>
      </c>
      <c r="GT56" s="762" t="e">
        <f>IF(GU6=1,DATOS!F93,ENERGÍA!AN203)</f>
        <v>#DIV/0!</v>
      </c>
      <c r="GU56" s="741"/>
      <c r="GV56" s="741"/>
      <c r="GW56" s="741"/>
      <c r="GX56" s="741"/>
      <c r="GY56" s="741"/>
    </row>
    <row r="57" spans="2:207" ht="16">
      <c r="B57" s="734" t="str">
        <f>'BASE DE DATOS'!B57</f>
        <v>CD</v>
      </c>
      <c r="C57" s="734" t="str">
        <f>'BASE DE DATOS'!C57</f>
        <v>DIQUE PISCO HUASI</v>
      </c>
      <c r="D57" s="734">
        <f>'BASE DE DATOS'!D57</f>
        <v>30.33</v>
      </c>
      <c r="E57" s="734">
        <f>'BASE DE DATOS'!E57</f>
        <v>64</v>
      </c>
      <c r="F57" s="734">
        <f>'BASE DE DATOS'!F57</f>
        <v>600</v>
      </c>
      <c r="G57" s="734" t="str">
        <f>'BASE DE DATOS'!G57</f>
        <v>IIB</v>
      </c>
      <c r="H57" s="734">
        <f>'BASE DE DATOS'!H57</f>
        <v>-0.3</v>
      </c>
      <c r="I57" s="734">
        <f>'BASE DE DATOS'!I57</f>
        <v>11.2</v>
      </c>
      <c r="J57" s="734">
        <f>'BASE DE DATOS'!J57</f>
        <v>22.5</v>
      </c>
      <c r="K57" s="734">
        <f>'BASE DE DATOS'!K57</f>
        <v>33.799999999999997</v>
      </c>
      <c r="L57" s="734">
        <f>'BASE DE DATOS'!L57</f>
        <v>66</v>
      </c>
      <c r="M57" s="734">
        <f>'BASE DE DATOS'!M57</f>
        <v>66</v>
      </c>
      <c r="N57" s="734">
        <f>'BASE DE DATOS'!N57</f>
        <v>66</v>
      </c>
      <c r="O57" s="734">
        <f>'BASE DE DATOS'!O57</f>
        <v>14</v>
      </c>
      <c r="P57" s="734">
        <f>'BASE DE DATOS'!P57</f>
        <v>112</v>
      </c>
      <c r="Q57" s="734">
        <f>'BASE DE DATOS'!Q57</f>
        <v>2</v>
      </c>
      <c r="R57" s="734">
        <f>'BASE DE DATOS'!R57</f>
        <v>22.4</v>
      </c>
      <c r="S57" s="734">
        <f>'BASE DE DATOS'!S57</f>
        <v>0.51</v>
      </c>
      <c r="T57" s="734">
        <f>'BASE DE DATOS'!T57</f>
        <v>26.9</v>
      </c>
      <c r="U57" s="734">
        <f>'BASE DE DATOS'!U57</f>
        <v>2.6</v>
      </c>
      <c r="V57" s="734">
        <f>'BASE DE DATOS'!V57</f>
        <v>160</v>
      </c>
      <c r="W57" s="734">
        <f>'BASE DE DATOS'!W57</f>
        <v>38</v>
      </c>
      <c r="X57" s="734">
        <f>'BASE DE DATOS'!X57</f>
        <v>1.0999999999999999E-2</v>
      </c>
      <c r="Y57" s="734">
        <f>'BASE DE DATOS'!Y57</f>
        <v>0.02</v>
      </c>
      <c r="Z57" s="734">
        <f>'BASE DE DATOS'!Z57</f>
        <v>130</v>
      </c>
      <c r="AA57" s="734">
        <f>'BASE DE DATOS'!AA57</f>
        <v>1.3</v>
      </c>
      <c r="AB57" s="734">
        <f>'BASE DE DATOS'!AB57</f>
        <v>30</v>
      </c>
      <c r="AD57" s="734" t="str">
        <f>'BASE DE DATOS'!AD57</f>
        <v>DIQUE PISCO HUASI</v>
      </c>
      <c r="AE57" s="734">
        <f>'BASE DE DATOS'!AE57</f>
        <v>22.2</v>
      </c>
      <c r="AF57" s="734">
        <f>'BASE DE DATOS'!AF57</f>
        <v>21.3</v>
      </c>
      <c r="AG57" s="734">
        <f>'BASE DE DATOS'!AG57</f>
        <v>18.7</v>
      </c>
      <c r="AH57" s="734">
        <f>'BASE DE DATOS'!AH57</f>
        <v>15.6</v>
      </c>
      <c r="AI57" s="734">
        <f>'BASE DE DATOS'!AI57</f>
        <v>13</v>
      </c>
      <c r="AJ57" s="734">
        <f>'BASE DE DATOS'!AJ57</f>
        <v>10.3</v>
      </c>
      <c r="AK57" s="734">
        <f>'BASE DE DATOS'!AK57</f>
        <v>9.9</v>
      </c>
      <c r="AL57" s="734">
        <f>'BASE DE DATOS'!AL57</f>
        <v>11.6</v>
      </c>
      <c r="AM57" s="734">
        <f>'BASE DE DATOS'!AM57</f>
        <v>14.2</v>
      </c>
      <c r="AN57" s="734">
        <f>'BASE DE DATOS'!AN57</f>
        <v>16.8</v>
      </c>
      <c r="AO57" s="734">
        <f>'BASE DE DATOS'!AO57</f>
        <v>19.100000000000001</v>
      </c>
      <c r="AP57" s="734">
        <f>'BASE DE DATOS'!AP57</f>
        <v>21.7</v>
      </c>
      <c r="AR57" s="734" t="str">
        <f>'BASE DE DATOS'!AR57</f>
        <v>CD</v>
      </c>
      <c r="AS57" s="734" t="str">
        <f>'BASE DE DATOS'!AS57</f>
        <v>DIQUE PISCO HUASI</v>
      </c>
      <c r="AT57" s="734">
        <f>'BASE DE DATOS'!AT57</f>
        <v>6</v>
      </c>
      <c r="AU57" s="734">
        <f>'BASE DE DATOS'!AU57</f>
        <v>5.5</v>
      </c>
      <c r="AV57" s="734">
        <f>'BASE DE DATOS'!AV57</f>
        <v>4</v>
      </c>
      <c r="AW57" s="734">
        <f>'BASE DE DATOS'!AW57</f>
        <v>3.5</v>
      </c>
      <c r="AX57" s="734">
        <f>'BASE DE DATOS'!AX57</f>
        <v>3</v>
      </c>
      <c r="AY57" s="734">
        <f>'BASE DE DATOS'!AY57</f>
        <v>2.5</v>
      </c>
      <c r="AZ57" s="734">
        <f>'BASE DE DATOS'!AZ57</f>
        <v>2.5</v>
      </c>
      <c r="BA57" s="734">
        <f>'BASE DE DATOS'!BA57</f>
        <v>3</v>
      </c>
      <c r="BB57" s="734">
        <f>'BASE DE DATOS'!BB57</f>
        <v>4</v>
      </c>
      <c r="BC57" s="734">
        <f>'BASE DE DATOS'!BC57</f>
        <v>5</v>
      </c>
      <c r="BD57" s="734">
        <f>'BASE DE DATOS'!BD57</f>
        <v>5.5</v>
      </c>
      <c r="BE57" s="734">
        <f>'BASE DE DATOS'!BE57</f>
        <v>6</v>
      </c>
      <c r="BQ57" s="745"/>
      <c r="BR57" s="745"/>
      <c r="BS57" s="753"/>
      <c r="DO57" s="733" t="str">
        <f>'BASE DE DATOS'!BG57</f>
        <v>CD</v>
      </c>
      <c r="DP57" s="733" t="str">
        <f>'BASE DE DATOS'!BH57</f>
        <v>DIQUE PISCO HUASI</v>
      </c>
      <c r="DQ57" s="733">
        <f>'BASE DE DATOS'!BI57</f>
        <v>115</v>
      </c>
      <c r="DR57" s="733">
        <f>'BASE DE DATOS'!BJ57</f>
        <v>110</v>
      </c>
      <c r="DS57" s="733">
        <f>'BASE DE DATOS'!BK57</f>
        <v>101</v>
      </c>
      <c r="DT57" s="733">
        <f>'BASE DE DATOS'!BL57</f>
        <v>45</v>
      </c>
      <c r="DU57" s="733">
        <f>'BASE DE DATOS'!BM57</f>
        <v>23</v>
      </c>
      <c r="DV57" s="733">
        <f>'BASE DE DATOS'!BN57</f>
        <v>12</v>
      </c>
      <c r="DW57" s="733">
        <f>'BASE DE DATOS'!BO57</f>
        <v>11</v>
      </c>
      <c r="DX57" s="733">
        <f>'BASE DE DATOS'!BP57</f>
        <v>11</v>
      </c>
      <c r="DY57" s="733">
        <f>'BASE DE DATOS'!BQ57</f>
        <v>31</v>
      </c>
      <c r="DZ57" s="733">
        <f>'BASE DE DATOS'!BR57</f>
        <v>76</v>
      </c>
      <c r="EA57" s="733">
        <f>'BASE DE DATOS'!BS57</f>
        <v>95</v>
      </c>
      <c r="EB57" s="733">
        <f>'BASE DE DATOS'!BT57</f>
        <v>118</v>
      </c>
      <c r="GM57" s="741"/>
      <c r="GN57" s="741"/>
      <c r="GO57" s="741"/>
      <c r="GP57" s="741"/>
      <c r="GQ57" s="727" t="s">
        <v>757</v>
      </c>
      <c r="GR57" s="762" t="e">
        <f>'LINEA BASE MALA'!AK198</f>
        <v>#N/A</v>
      </c>
      <c r="GS57" s="762" t="e">
        <f>ENERGÍA!AD203</f>
        <v>#N/A</v>
      </c>
      <c r="GT57" s="762" t="e">
        <f>IF(GU6=1,DATOS!F94,ENERGÍA!AU203)</f>
        <v>#DIV/0!</v>
      </c>
      <c r="GU57" s="741"/>
      <c r="GV57" s="741"/>
      <c r="GW57" s="741"/>
      <c r="GX57" s="741"/>
      <c r="GY57" s="741"/>
    </row>
    <row r="58" spans="2:207" ht="16">
      <c r="B58" s="734" t="str">
        <f>'BASE DE DATOS'!B58</f>
        <v>CD</v>
      </c>
      <c r="C58" s="734" t="str">
        <f>'BASE DE DATOS'!C58</f>
        <v>EMBALSE</v>
      </c>
      <c r="D58" s="734">
        <f>'BASE DE DATOS'!D58</f>
        <v>32.18</v>
      </c>
      <c r="E58" s="734">
        <f>'BASE DE DATOS'!E58</f>
        <v>64.38</v>
      </c>
      <c r="F58" s="734">
        <f>'BASE DE DATOS'!F58</f>
        <v>548</v>
      </c>
      <c r="G58" s="734" t="str">
        <f>'BASE DE DATOS'!G58</f>
        <v>IIIA</v>
      </c>
      <c r="H58" s="734">
        <f>'BASE DE DATOS'!H58</f>
        <v>0.3</v>
      </c>
      <c r="I58" s="734">
        <f>'BASE DE DATOS'!I58</f>
        <v>10.8</v>
      </c>
      <c r="J58" s="734">
        <f>'BASE DE DATOS'!J58</f>
        <v>22.1</v>
      </c>
      <c r="K58" s="734">
        <f>'BASE DE DATOS'!K58</f>
        <v>33.200000000000003</v>
      </c>
      <c r="L58" s="734">
        <f>'BASE DE DATOS'!L58</f>
        <v>67</v>
      </c>
      <c r="M58" s="734">
        <f>'BASE DE DATOS'!M58</f>
        <v>68</v>
      </c>
      <c r="N58" s="734">
        <f>'BASE DE DATOS'!N58</f>
        <v>62</v>
      </c>
      <c r="O58" s="734">
        <f>'BASE DE DATOS'!O58</f>
        <v>10</v>
      </c>
      <c r="P58" s="734">
        <f>'BASE DE DATOS'!P58</f>
        <v>101</v>
      </c>
      <c r="Q58" s="734">
        <f>'BASE DE DATOS'!Q58</f>
        <v>3</v>
      </c>
      <c r="R58" s="734">
        <f>'BASE DE DATOS'!R58</f>
        <v>22.9</v>
      </c>
      <c r="S58" s="734">
        <f>'BASE DE DATOS'!S58</f>
        <v>0.53</v>
      </c>
      <c r="T58" s="734">
        <f>'BASE DE DATOS'!T58</f>
        <v>26.9</v>
      </c>
      <c r="U58" s="734">
        <f>'BASE DE DATOS'!U58</f>
        <v>2.6</v>
      </c>
      <c r="V58" s="734">
        <f>'BASE DE DATOS'!V58</f>
        <v>160</v>
      </c>
      <c r="W58" s="734">
        <f>'BASE DE DATOS'!W58</f>
        <v>38</v>
      </c>
      <c r="X58" s="734">
        <f>'BASE DE DATOS'!X58</f>
        <v>1.0999999999999999E-2</v>
      </c>
      <c r="Y58" s="734">
        <f>'BASE DE DATOS'!Y58</f>
        <v>0.02</v>
      </c>
      <c r="Z58" s="734">
        <f>'BASE DE DATOS'!Z58</f>
        <v>140</v>
      </c>
      <c r="AA58" s="734">
        <f>'BASE DE DATOS'!AA58</f>
        <v>1.4000000000000001</v>
      </c>
      <c r="AB58" s="734">
        <f>'BASE DE DATOS'!AB58</f>
        <v>30</v>
      </c>
      <c r="AD58" s="734" t="str">
        <f>'BASE DE DATOS'!AD58</f>
        <v>EMBALSE</v>
      </c>
      <c r="AE58" s="734">
        <f>'BASE DE DATOS'!AE58</f>
        <v>23.4</v>
      </c>
      <c r="AF58" s="734">
        <f>'BASE DE DATOS'!AF58</f>
        <v>22.5</v>
      </c>
      <c r="AG58" s="734">
        <f>'BASE DE DATOS'!AG58</f>
        <v>19.399999999999999</v>
      </c>
      <c r="AH58" s="734">
        <f>'BASE DE DATOS'!AH58</f>
        <v>16.399999999999999</v>
      </c>
      <c r="AI58" s="734">
        <f>'BASE DE DATOS'!AI58</f>
        <v>13.2</v>
      </c>
      <c r="AJ58" s="734">
        <f>'BASE DE DATOS'!AJ58</f>
        <v>10.3</v>
      </c>
      <c r="AK58" s="734">
        <f>'BASE DE DATOS'!AK58</f>
        <v>9.8000000000000007</v>
      </c>
      <c r="AL58" s="734">
        <f>'BASE DE DATOS'!AL58</f>
        <v>11.1</v>
      </c>
      <c r="AM58" s="734">
        <f>'BASE DE DATOS'!AM58</f>
        <v>14</v>
      </c>
      <c r="AN58" s="734">
        <f>'BASE DE DATOS'!AN58</f>
        <v>16.899999999999999</v>
      </c>
      <c r="AO58" s="734">
        <f>'BASE DE DATOS'!AO58</f>
        <v>19.8</v>
      </c>
      <c r="AP58" s="734">
        <f>'BASE DE DATOS'!AP58</f>
        <v>22.8</v>
      </c>
      <c r="AR58" s="734" t="str">
        <f>'BASE DE DATOS'!AR58</f>
        <v>CD</v>
      </c>
      <c r="AS58" s="734" t="str">
        <f>'BASE DE DATOS'!AS58</f>
        <v>EMBALSE</v>
      </c>
      <c r="AT58" s="734">
        <f>'BASE DE DATOS'!AT58</f>
        <v>6</v>
      </c>
      <c r="AU58" s="734">
        <f>'BASE DE DATOS'!AU58</f>
        <v>5.5</v>
      </c>
      <c r="AV58" s="734">
        <f>'BASE DE DATOS'!AV58</f>
        <v>4.5</v>
      </c>
      <c r="AW58" s="734">
        <f>'BASE DE DATOS'!AW58</f>
        <v>3.5</v>
      </c>
      <c r="AX58" s="734">
        <f>'BASE DE DATOS'!AX58</f>
        <v>3</v>
      </c>
      <c r="AY58" s="734">
        <f>'BASE DE DATOS'!AY58</f>
        <v>2</v>
      </c>
      <c r="AZ58" s="734">
        <f>'BASE DE DATOS'!AZ58</f>
        <v>2.5</v>
      </c>
      <c r="BA58" s="734">
        <f>'BASE DE DATOS'!BA58</f>
        <v>3.5</v>
      </c>
      <c r="BB58" s="734">
        <f>'BASE DE DATOS'!BB58</f>
        <v>4</v>
      </c>
      <c r="BC58" s="734">
        <f>'BASE DE DATOS'!BC58</f>
        <v>5</v>
      </c>
      <c r="BD58" s="734">
        <f>'BASE DE DATOS'!BD58</f>
        <v>6</v>
      </c>
      <c r="BE58" s="734">
        <f>'BASE DE DATOS'!BE58</f>
        <v>6</v>
      </c>
      <c r="DO58" s="733" t="str">
        <f>'BASE DE DATOS'!BG58</f>
        <v>CD</v>
      </c>
      <c r="DP58" s="733" t="str">
        <f>'BASE DE DATOS'!BH58</f>
        <v>EMBALSE</v>
      </c>
      <c r="DQ58" s="733">
        <f>'BASE DE DATOS'!BI58</f>
        <v>115</v>
      </c>
      <c r="DR58" s="733">
        <f>'BASE DE DATOS'!BJ58</f>
        <v>110</v>
      </c>
      <c r="DS58" s="733">
        <f>'BASE DE DATOS'!BK58</f>
        <v>101</v>
      </c>
      <c r="DT58" s="733">
        <f>'BASE DE DATOS'!BL58</f>
        <v>45</v>
      </c>
      <c r="DU58" s="733">
        <f>'BASE DE DATOS'!BM58</f>
        <v>23</v>
      </c>
      <c r="DV58" s="733">
        <f>'BASE DE DATOS'!BN58</f>
        <v>12</v>
      </c>
      <c r="DW58" s="733">
        <f>'BASE DE DATOS'!BO58</f>
        <v>11</v>
      </c>
      <c r="DX58" s="733">
        <f>'BASE DE DATOS'!BP58</f>
        <v>11</v>
      </c>
      <c r="DY58" s="733">
        <f>'BASE DE DATOS'!BQ58</f>
        <v>31</v>
      </c>
      <c r="DZ58" s="733">
        <f>'BASE DE DATOS'!BR58</f>
        <v>76</v>
      </c>
      <c r="EA58" s="733">
        <f>'BASE DE DATOS'!BS58</f>
        <v>95</v>
      </c>
      <c r="EB58" s="733">
        <f>'BASE DE DATOS'!BT58</f>
        <v>118</v>
      </c>
      <c r="GM58" s="741"/>
      <c r="GN58" s="741"/>
      <c r="GO58" s="741"/>
      <c r="GP58" s="741"/>
      <c r="GQ58" s="727" t="s">
        <v>760</v>
      </c>
      <c r="GR58" s="762">
        <f>'LINEA BASE MALA'!AF215</f>
        <v>111.69</v>
      </c>
      <c r="GS58" s="762">
        <f>ENERGÍA!AG220</f>
        <v>55.844999999999999</v>
      </c>
      <c r="GT58" s="762">
        <f>ENERGÍA!AY220</f>
        <v>55.844999999999999</v>
      </c>
      <c r="GU58" s="741"/>
      <c r="GV58" s="741"/>
      <c r="GW58" s="741"/>
      <c r="GX58" s="741"/>
      <c r="GY58" s="741"/>
    </row>
    <row r="59" spans="2:207" ht="16">
      <c r="B59" s="734" t="str">
        <f>'BASE DE DATOS'!B59</f>
        <v>CD</v>
      </c>
      <c r="C59" s="734" t="str">
        <f>'BASE DE DATOS'!C59</f>
        <v>HUERTA GRANDE</v>
      </c>
      <c r="D59" s="734">
        <f>'BASE DE DATOS'!D59</f>
        <v>31.08</v>
      </c>
      <c r="E59" s="734">
        <f>'BASE DE DATOS'!E59</f>
        <v>64.48</v>
      </c>
      <c r="F59" s="734">
        <f>'BASE DE DATOS'!F59</f>
        <v>1015</v>
      </c>
      <c r="G59" s="734" t="str">
        <f>'BASE DE DATOS'!G59</f>
        <v>IIA</v>
      </c>
      <c r="H59" s="734">
        <f>'BASE DE DATOS'!H59</f>
        <v>-2.5</v>
      </c>
      <c r="I59" s="734">
        <f>'BASE DE DATOS'!I59</f>
        <v>9.1</v>
      </c>
      <c r="J59" s="734">
        <f>'BASE DE DATOS'!J59</f>
        <v>19.2</v>
      </c>
      <c r="K59" s="734">
        <f>'BASE DE DATOS'!K59</f>
        <v>29.7</v>
      </c>
      <c r="L59" s="734">
        <f>'BASE DE DATOS'!L59</f>
        <v>73</v>
      </c>
      <c r="M59" s="734">
        <f>'BASE DE DATOS'!M59</f>
        <v>71</v>
      </c>
      <c r="N59" s="734">
        <f>'BASE DE DATOS'!N59</f>
        <v>73</v>
      </c>
      <c r="O59" s="734">
        <f>'BASE DE DATOS'!O59</f>
        <v>4</v>
      </c>
      <c r="P59" s="734">
        <f>'BASE DE DATOS'!P59</f>
        <v>105</v>
      </c>
      <c r="Q59" s="734">
        <f>'BASE DE DATOS'!Q59</f>
        <v>2</v>
      </c>
      <c r="R59" s="734">
        <f>'BASE DE DATOS'!R59</f>
        <v>19.5</v>
      </c>
      <c r="S59" s="734">
        <f>'BASE DE DATOS'!S59</f>
        <v>0.53</v>
      </c>
      <c r="T59" s="734">
        <f>'BASE DE DATOS'!T59</f>
        <v>26.9</v>
      </c>
      <c r="U59" s="734">
        <f>'BASE DE DATOS'!U59</f>
        <v>2.6</v>
      </c>
      <c r="V59" s="734">
        <f>'BASE DE DATOS'!V59</f>
        <v>160</v>
      </c>
      <c r="W59" s="734">
        <f>'BASE DE DATOS'!W59</f>
        <v>38</v>
      </c>
      <c r="X59" s="734">
        <f>'BASE DE DATOS'!X59</f>
        <v>1.0999999999999999E-2</v>
      </c>
      <c r="Y59" s="734">
        <f>'BASE DE DATOS'!Y59</f>
        <v>0.02</v>
      </c>
      <c r="Z59" s="734">
        <f>'BASE DE DATOS'!Z59</f>
        <v>105</v>
      </c>
      <c r="AA59" s="734">
        <f>'BASE DE DATOS'!AA59</f>
        <v>1.05</v>
      </c>
      <c r="AB59" s="734">
        <f>'BASE DE DATOS'!AB59</f>
        <v>30</v>
      </c>
      <c r="AD59" s="734" t="str">
        <f>'BASE DE DATOS'!AD59</f>
        <v>HUERTA GRANDE</v>
      </c>
      <c r="AE59" s="734">
        <f>'BASE DE DATOS'!AE59</f>
        <v>20.5</v>
      </c>
      <c r="AF59" s="734">
        <f>'BASE DE DATOS'!AF59</f>
        <v>19.399999999999999</v>
      </c>
      <c r="AG59" s="734">
        <f>'BASE DE DATOS'!AG59</f>
        <v>16.600000000000001</v>
      </c>
      <c r="AH59" s="734">
        <f>'BASE DE DATOS'!AH59</f>
        <v>14.2</v>
      </c>
      <c r="AI59" s="734">
        <f>'BASE DE DATOS'!AI59</f>
        <v>11.4</v>
      </c>
      <c r="AJ59" s="734">
        <f>'BASE DE DATOS'!AJ59</f>
        <v>8.9</v>
      </c>
      <c r="AK59" s="734">
        <f>'BASE DE DATOS'!AK59</f>
        <v>8.5</v>
      </c>
      <c r="AL59" s="734">
        <f>'BASE DE DATOS'!AL59</f>
        <v>9.8000000000000007</v>
      </c>
      <c r="AM59" s="734">
        <f>'BASE DE DATOS'!AM59</f>
        <v>12.5</v>
      </c>
      <c r="AN59" s="734">
        <f>'BASE DE DATOS'!AN59</f>
        <v>15</v>
      </c>
      <c r="AO59" s="734">
        <f>'BASE DE DATOS'!AO59</f>
        <v>17.3</v>
      </c>
      <c r="AP59" s="734">
        <f>'BASE DE DATOS'!AP59</f>
        <v>20.2</v>
      </c>
      <c r="AR59" s="734" t="str">
        <f>'BASE DE DATOS'!AR59</f>
        <v>CD</v>
      </c>
      <c r="AS59" s="734" t="str">
        <f>'BASE DE DATOS'!AS59</f>
        <v>HUERTA GRANDE</v>
      </c>
      <c r="AT59" s="734">
        <f>'BASE DE DATOS'!AT59</f>
        <v>6</v>
      </c>
      <c r="AU59" s="734">
        <f>'BASE DE DATOS'!AU59</f>
        <v>5.5</v>
      </c>
      <c r="AV59" s="734">
        <f>'BASE DE DATOS'!AV59</f>
        <v>4.5</v>
      </c>
      <c r="AW59" s="734">
        <f>'BASE DE DATOS'!AW59</f>
        <v>3.5</v>
      </c>
      <c r="AX59" s="734">
        <f>'BASE DE DATOS'!AX59</f>
        <v>3</v>
      </c>
      <c r="AY59" s="734">
        <f>'BASE DE DATOS'!AY59</f>
        <v>2</v>
      </c>
      <c r="AZ59" s="734">
        <f>'BASE DE DATOS'!AZ59</f>
        <v>2.5</v>
      </c>
      <c r="BA59" s="734">
        <f>'BASE DE DATOS'!BA59</f>
        <v>3</v>
      </c>
      <c r="BB59" s="734">
        <f>'BASE DE DATOS'!BB59</f>
        <v>4</v>
      </c>
      <c r="BC59" s="734">
        <f>'BASE DE DATOS'!BC59</f>
        <v>5</v>
      </c>
      <c r="BD59" s="734">
        <f>'BASE DE DATOS'!BD59</f>
        <v>5.5</v>
      </c>
      <c r="BE59" s="734">
        <f>'BASE DE DATOS'!BE59</f>
        <v>6</v>
      </c>
      <c r="DO59" s="733" t="str">
        <f>'BASE DE DATOS'!BG59</f>
        <v>CD</v>
      </c>
      <c r="DP59" s="733" t="str">
        <f>'BASE DE DATOS'!BH59</f>
        <v>HUERTA GRANDE</v>
      </c>
      <c r="DQ59" s="733">
        <f>'BASE DE DATOS'!BI59</f>
        <v>115</v>
      </c>
      <c r="DR59" s="733">
        <f>'BASE DE DATOS'!BJ59</f>
        <v>110</v>
      </c>
      <c r="DS59" s="733">
        <f>'BASE DE DATOS'!BK59</f>
        <v>101</v>
      </c>
      <c r="DT59" s="733">
        <f>'BASE DE DATOS'!BL59</f>
        <v>45</v>
      </c>
      <c r="DU59" s="733">
        <f>'BASE DE DATOS'!BM59</f>
        <v>23</v>
      </c>
      <c r="DV59" s="733">
        <f>'BASE DE DATOS'!BN59</f>
        <v>12</v>
      </c>
      <c r="DW59" s="733">
        <f>'BASE DE DATOS'!BO59</f>
        <v>11</v>
      </c>
      <c r="DX59" s="733">
        <f>'BASE DE DATOS'!BP59</f>
        <v>11</v>
      </c>
      <c r="DY59" s="733">
        <f>'BASE DE DATOS'!BQ59</f>
        <v>31</v>
      </c>
      <c r="DZ59" s="733">
        <f>'BASE DE DATOS'!BR59</f>
        <v>76</v>
      </c>
      <c r="EA59" s="733">
        <f>'BASE DE DATOS'!BS59</f>
        <v>95</v>
      </c>
      <c r="EB59" s="733">
        <f>'BASE DE DATOS'!BT59</f>
        <v>118</v>
      </c>
      <c r="GM59" s="741"/>
      <c r="GN59" s="741"/>
      <c r="GO59" s="741"/>
      <c r="GP59" s="741"/>
      <c r="GQ59" s="727" t="s">
        <v>688</v>
      </c>
      <c r="GR59" s="762">
        <f>'LINEA BASE MALA'!AF232</f>
        <v>1139.53</v>
      </c>
      <c r="GS59" s="762">
        <f>IF(GQ13=0,0,ENERGÍA!AG237)</f>
        <v>0</v>
      </c>
      <c r="GT59" s="762">
        <f>ENERGÍA!AY237</f>
        <v>653.35</v>
      </c>
      <c r="GU59" s="741"/>
      <c r="GV59" s="741"/>
      <c r="GW59" s="741"/>
      <c r="GX59" s="741"/>
      <c r="GY59" s="741"/>
    </row>
    <row r="60" spans="2:207" ht="16">
      <c r="B60" s="734" t="str">
        <f>'BASE DE DATOS'!B60</f>
        <v>CD</v>
      </c>
      <c r="C60" s="734" t="str">
        <f>'BASE DE DATOS'!C60</f>
        <v>LABOULAYE</v>
      </c>
      <c r="D60" s="734">
        <f>'BASE DE DATOS'!D60</f>
        <v>34.130000000000003</v>
      </c>
      <c r="E60" s="734">
        <f>'BASE DE DATOS'!E60</f>
        <v>63.4</v>
      </c>
      <c r="F60" s="734">
        <f>'BASE DE DATOS'!F60</f>
        <v>138</v>
      </c>
      <c r="G60" s="734" t="str">
        <f>'BASE DE DATOS'!G60</f>
        <v>IIIA</v>
      </c>
      <c r="H60" s="734">
        <f>'BASE DE DATOS'!H60</f>
        <v>-1.2</v>
      </c>
      <c r="I60" s="734">
        <f>'BASE DE DATOS'!I60</f>
        <v>9.6999999999999993</v>
      </c>
      <c r="J60" s="734">
        <f>'BASE DE DATOS'!J60</f>
        <v>23.2</v>
      </c>
      <c r="K60" s="734">
        <f>'BASE DE DATOS'!K60</f>
        <v>35.1</v>
      </c>
      <c r="L60" s="734">
        <f>'BASE DE DATOS'!L60</f>
        <v>62</v>
      </c>
      <c r="M60" s="734">
        <f>'BASE DE DATOS'!M60</f>
        <v>71</v>
      </c>
      <c r="N60" s="734">
        <f>'BASE DE DATOS'!N60</f>
        <v>62</v>
      </c>
      <c r="O60" s="734">
        <f>'BASE DE DATOS'!O60</f>
        <v>44</v>
      </c>
      <c r="P60" s="734">
        <f>'BASE DE DATOS'!P60</f>
        <v>93</v>
      </c>
      <c r="Q60" s="734">
        <f>'BASE DE DATOS'!Q60</f>
        <v>3</v>
      </c>
      <c r="R60" s="734">
        <f>'BASE DE DATOS'!R60</f>
        <v>23.3</v>
      </c>
      <c r="S60" s="734">
        <f>'BASE DE DATOS'!S60</f>
        <v>0.55000000000000004</v>
      </c>
      <c r="T60" s="734">
        <f>'BASE DE DATOS'!T60</f>
        <v>26.9</v>
      </c>
      <c r="U60" s="734">
        <f>'BASE DE DATOS'!U60</f>
        <v>2.6</v>
      </c>
      <c r="V60" s="734">
        <f>'BASE DE DATOS'!V60</f>
        <v>160</v>
      </c>
      <c r="W60" s="734">
        <f>'BASE DE DATOS'!W60</f>
        <v>38</v>
      </c>
      <c r="X60" s="734">
        <f>'BASE DE DATOS'!X60</f>
        <v>1.0999999999999999E-2</v>
      </c>
      <c r="Y60" s="734">
        <f>'BASE DE DATOS'!Y60</f>
        <v>0.02</v>
      </c>
      <c r="Z60" s="734">
        <f>'BASE DE DATOS'!Z60</f>
        <v>145</v>
      </c>
      <c r="AA60" s="734">
        <f>'BASE DE DATOS'!AA60</f>
        <v>1.45</v>
      </c>
      <c r="AB60" s="734">
        <f>'BASE DE DATOS'!AB60</f>
        <v>30</v>
      </c>
      <c r="AD60" s="734" t="str">
        <f>'BASE DE DATOS'!AD60</f>
        <v>LABOULAYE</v>
      </c>
      <c r="AE60" s="734">
        <f>'BASE DE DATOS'!AE60</f>
        <v>24.6</v>
      </c>
      <c r="AF60" s="734">
        <f>'BASE DE DATOS'!AF60</f>
        <v>23.3</v>
      </c>
      <c r="AG60" s="734">
        <f>'BASE DE DATOS'!AG60</f>
        <v>21</v>
      </c>
      <c r="AH60" s="734">
        <f>'BASE DE DATOS'!AH60</f>
        <v>16</v>
      </c>
      <c r="AI60" s="734">
        <f>'BASE DE DATOS'!AI60</f>
        <v>13.2</v>
      </c>
      <c r="AJ60" s="734">
        <f>'BASE DE DATOS'!AJ60</f>
        <v>9.6999999999999993</v>
      </c>
      <c r="AK60" s="734">
        <f>'BASE DE DATOS'!AK60</f>
        <v>9.5</v>
      </c>
      <c r="AL60" s="734">
        <f>'BASE DE DATOS'!AL60</f>
        <v>11.1</v>
      </c>
      <c r="AM60" s="734">
        <f>'BASE DE DATOS'!AM60</f>
        <v>13.5</v>
      </c>
      <c r="AN60" s="734">
        <f>'BASE DE DATOS'!AN60</f>
        <v>16.8</v>
      </c>
      <c r="AO60" s="734">
        <f>'BASE DE DATOS'!AO60</f>
        <v>20.399999999999999</v>
      </c>
      <c r="AP60" s="734">
        <f>'BASE DE DATOS'!AP60</f>
        <v>22.8</v>
      </c>
      <c r="AR60" s="734" t="str">
        <f>'BASE DE DATOS'!AR60</f>
        <v>CD</v>
      </c>
      <c r="AS60" s="734" t="str">
        <f>'BASE DE DATOS'!AS60</f>
        <v>LABOULAYE</v>
      </c>
      <c r="AT60" s="734">
        <f>'BASE DE DATOS'!AT60</f>
        <v>6.5</v>
      </c>
      <c r="AU60" s="734">
        <f>'BASE DE DATOS'!AU60</f>
        <v>6</v>
      </c>
      <c r="AV60" s="734">
        <f>'BASE DE DATOS'!AV60</f>
        <v>4.5</v>
      </c>
      <c r="AW60" s="734">
        <f>'BASE DE DATOS'!AW60</f>
        <v>3</v>
      </c>
      <c r="AX60" s="734">
        <f>'BASE DE DATOS'!AX60</f>
        <v>2.5</v>
      </c>
      <c r="AY60" s="734">
        <f>'BASE DE DATOS'!AY60</f>
        <v>2</v>
      </c>
      <c r="AZ60" s="734">
        <f>'BASE DE DATOS'!AZ60</f>
        <v>2</v>
      </c>
      <c r="BA60" s="734">
        <f>'BASE DE DATOS'!BA60</f>
        <v>3</v>
      </c>
      <c r="BB60" s="734">
        <f>'BASE DE DATOS'!BB60</f>
        <v>4</v>
      </c>
      <c r="BC60" s="734">
        <f>'BASE DE DATOS'!BC60</f>
        <v>5</v>
      </c>
      <c r="BD60" s="734">
        <f>'BASE DE DATOS'!BD60</f>
        <v>6</v>
      </c>
      <c r="BE60" s="734">
        <f>'BASE DE DATOS'!BE60</f>
        <v>6.5</v>
      </c>
      <c r="DO60" s="733" t="str">
        <f>'BASE DE DATOS'!BG60</f>
        <v>CD</v>
      </c>
      <c r="DP60" s="733" t="str">
        <f>'BASE DE DATOS'!BH60</f>
        <v>LABOULAYE</v>
      </c>
      <c r="DQ60" s="733">
        <f>'BASE DE DATOS'!BI60</f>
        <v>115</v>
      </c>
      <c r="DR60" s="733">
        <f>'BASE DE DATOS'!BJ60</f>
        <v>110</v>
      </c>
      <c r="DS60" s="733">
        <f>'BASE DE DATOS'!BK60</f>
        <v>101</v>
      </c>
      <c r="DT60" s="733">
        <f>'BASE DE DATOS'!BL60</f>
        <v>45</v>
      </c>
      <c r="DU60" s="733">
        <f>'BASE DE DATOS'!BM60</f>
        <v>23</v>
      </c>
      <c r="DV60" s="733">
        <f>'BASE DE DATOS'!BN60</f>
        <v>12</v>
      </c>
      <c r="DW60" s="733">
        <f>'BASE DE DATOS'!BO60</f>
        <v>11</v>
      </c>
      <c r="DX60" s="733">
        <f>'BASE DE DATOS'!BP60</f>
        <v>11</v>
      </c>
      <c r="DY60" s="733">
        <f>'BASE DE DATOS'!BQ60</f>
        <v>31</v>
      </c>
      <c r="DZ60" s="733">
        <f>'BASE DE DATOS'!BR60</f>
        <v>76</v>
      </c>
      <c r="EA60" s="733">
        <f>'BASE DE DATOS'!BS60</f>
        <v>95</v>
      </c>
      <c r="EB60" s="733">
        <f>'BASE DE DATOS'!BT60</f>
        <v>118</v>
      </c>
      <c r="GM60" s="741"/>
      <c r="GN60" s="741"/>
      <c r="GO60" s="741"/>
      <c r="GP60" s="741"/>
      <c r="GQ60" s="727" t="s">
        <v>761</v>
      </c>
      <c r="GR60" s="762">
        <v>0</v>
      </c>
      <c r="GS60" s="762">
        <f>ENERGÍA!AG250+ENERGÍA!AG257</f>
        <v>0</v>
      </c>
      <c r="GT60" s="762">
        <f>ENERGÍA!AY250+ENERGÍA!AY257</f>
        <v>0</v>
      </c>
      <c r="GU60" s="741"/>
      <c r="GV60" s="741"/>
      <c r="GW60" s="741"/>
      <c r="GX60" s="741"/>
      <c r="GY60" s="741"/>
    </row>
    <row r="61" spans="2:207" ht="16">
      <c r="B61" s="734" t="str">
        <f>'BASE DE DATOS'!B61</f>
        <v>CD</v>
      </c>
      <c r="C61" s="734" t="str">
        <f>'BASE DE DATOS'!C61</f>
        <v>MARCOS JUÁREZ</v>
      </c>
      <c r="D61" s="734">
        <f>'BASE DE DATOS'!D61</f>
        <v>32.700000000000003</v>
      </c>
      <c r="E61" s="734">
        <f>'BASE DE DATOS'!E61</f>
        <v>62.15</v>
      </c>
      <c r="F61" s="734">
        <f>'BASE DE DATOS'!F61</f>
        <v>114</v>
      </c>
      <c r="G61" s="734" t="str">
        <f>'BASE DE DATOS'!G61</f>
        <v>IIIA</v>
      </c>
      <c r="H61" s="734">
        <f>'BASE DE DATOS'!H61</f>
        <v>-1.1000000000000001</v>
      </c>
      <c r="I61" s="734">
        <f>'BASE DE DATOS'!I61</f>
        <v>10.4</v>
      </c>
      <c r="J61" s="734">
        <f>'BASE DE DATOS'!J61</f>
        <v>23.1</v>
      </c>
      <c r="K61" s="734">
        <f>'BASE DE DATOS'!K61</f>
        <v>34.299999999999997</v>
      </c>
      <c r="L61" s="734">
        <f>'BASE DE DATOS'!L61</f>
        <v>67</v>
      </c>
      <c r="M61" s="734">
        <f>'BASE DE DATOS'!M61</f>
        <v>76</v>
      </c>
      <c r="N61" s="734">
        <f>'BASE DE DATOS'!N61</f>
        <v>67</v>
      </c>
      <c r="O61" s="734">
        <f>'BASE DE DATOS'!O61</f>
        <v>17</v>
      </c>
      <c r="P61" s="734">
        <f>'BASE DE DATOS'!P61</f>
        <v>102</v>
      </c>
      <c r="Q61" s="734">
        <f>'BASE DE DATOS'!Q61</f>
        <v>3</v>
      </c>
      <c r="R61" s="734">
        <f>'BASE DE DATOS'!R61</f>
        <v>22.9</v>
      </c>
      <c r="S61" s="734">
        <f>'BASE DE DATOS'!S61</f>
        <v>0.53</v>
      </c>
      <c r="T61" s="734">
        <f>'BASE DE DATOS'!T61</f>
        <v>26.9</v>
      </c>
      <c r="U61" s="734">
        <f>'BASE DE DATOS'!U61</f>
        <v>2.6</v>
      </c>
      <c r="V61" s="734">
        <f>'BASE DE DATOS'!V61</f>
        <v>160</v>
      </c>
      <c r="W61" s="734">
        <f>'BASE DE DATOS'!W61</f>
        <v>38</v>
      </c>
      <c r="X61" s="734">
        <f>'BASE DE DATOS'!X61</f>
        <v>1.0999999999999999E-2</v>
      </c>
      <c r="Y61" s="734">
        <f>'BASE DE DATOS'!Y61</f>
        <v>0.02</v>
      </c>
      <c r="Z61" s="734">
        <f>'BASE DE DATOS'!Z61</f>
        <v>155</v>
      </c>
      <c r="AA61" s="734">
        <f>'BASE DE DATOS'!AA61</f>
        <v>1.55</v>
      </c>
      <c r="AB61" s="734">
        <f>'BASE DE DATOS'!AB61</f>
        <v>30</v>
      </c>
      <c r="AD61" s="734" t="str">
        <f>'BASE DE DATOS'!AD61</f>
        <v>MARCOS JUÁREZ</v>
      </c>
      <c r="AE61" s="734">
        <f>'BASE DE DATOS'!AE61</f>
        <v>24.3</v>
      </c>
      <c r="AF61" s="734">
        <f>'BASE DE DATOS'!AF61</f>
        <v>23.5</v>
      </c>
      <c r="AG61" s="734">
        <f>'BASE DE DATOS'!AG61</f>
        <v>21.4</v>
      </c>
      <c r="AH61" s="734">
        <f>'BASE DE DATOS'!AH61</f>
        <v>15.9</v>
      </c>
      <c r="AI61" s="734">
        <f>'BASE DE DATOS'!AI61</f>
        <v>14.1</v>
      </c>
      <c r="AJ61" s="734">
        <f>'BASE DE DATOS'!AJ61</f>
        <v>10.6</v>
      </c>
      <c r="AK61" s="734">
        <f>'BASE DE DATOS'!AK61</f>
        <v>10.6</v>
      </c>
      <c r="AL61" s="734">
        <f>'BASE DE DATOS'!AL61</f>
        <v>11.8</v>
      </c>
      <c r="AM61" s="734">
        <f>'BASE DE DATOS'!AM61</f>
        <v>14</v>
      </c>
      <c r="AN61" s="734">
        <f>'BASE DE DATOS'!AN61</f>
        <v>16.899999999999999</v>
      </c>
      <c r="AO61" s="734">
        <f>'BASE DE DATOS'!AO61</f>
        <v>20.399999999999999</v>
      </c>
      <c r="AP61" s="734">
        <f>'BASE DE DATOS'!AP61</f>
        <v>22.5</v>
      </c>
      <c r="AR61" s="734" t="str">
        <f>'BASE DE DATOS'!AR61</f>
        <v>CD</v>
      </c>
      <c r="AS61" s="734" t="str">
        <f>'BASE DE DATOS'!AS61</f>
        <v>MARCOS JUÁREZ</v>
      </c>
      <c r="AT61" s="734">
        <f>'BASE DE DATOS'!AT61</f>
        <v>6.5</v>
      </c>
      <c r="AU61" s="734">
        <f>'BASE DE DATOS'!AU61</f>
        <v>5.5</v>
      </c>
      <c r="AV61" s="734">
        <f>'BASE DE DATOS'!AV61</f>
        <v>4.5</v>
      </c>
      <c r="AW61" s="734">
        <f>'BASE DE DATOS'!AW61</f>
        <v>3.5</v>
      </c>
      <c r="AX61" s="734">
        <f>'BASE DE DATOS'!AX61</f>
        <v>2.5</v>
      </c>
      <c r="AY61" s="734">
        <f>'BASE DE DATOS'!AY61</f>
        <v>2</v>
      </c>
      <c r="AZ61" s="734">
        <f>'BASE DE DATOS'!AZ61</f>
        <v>2</v>
      </c>
      <c r="BA61" s="734">
        <f>'BASE DE DATOS'!BA61</f>
        <v>3</v>
      </c>
      <c r="BB61" s="734">
        <f>'BASE DE DATOS'!BB61</f>
        <v>4</v>
      </c>
      <c r="BC61" s="734">
        <f>'BASE DE DATOS'!BC61</f>
        <v>5.5</v>
      </c>
      <c r="BD61" s="734">
        <f>'BASE DE DATOS'!BD61</f>
        <v>6</v>
      </c>
      <c r="BE61" s="734">
        <f>'BASE DE DATOS'!BE61</f>
        <v>6.5</v>
      </c>
      <c r="DO61" s="733" t="str">
        <f>'BASE DE DATOS'!BG61</f>
        <v>CD</v>
      </c>
      <c r="DP61" s="733" t="str">
        <f>'BASE DE DATOS'!BH61</f>
        <v>MARCOS JUÁREZ</v>
      </c>
      <c r="DQ61" s="733">
        <f>'BASE DE DATOS'!BI61</f>
        <v>115</v>
      </c>
      <c r="DR61" s="733">
        <f>'BASE DE DATOS'!BJ61</f>
        <v>110</v>
      </c>
      <c r="DS61" s="733">
        <f>'BASE DE DATOS'!BK61</f>
        <v>101</v>
      </c>
      <c r="DT61" s="733">
        <f>'BASE DE DATOS'!BL61</f>
        <v>45</v>
      </c>
      <c r="DU61" s="733">
        <f>'BASE DE DATOS'!BM61</f>
        <v>23</v>
      </c>
      <c r="DV61" s="733">
        <f>'BASE DE DATOS'!BN61</f>
        <v>12</v>
      </c>
      <c r="DW61" s="733">
        <f>'BASE DE DATOS'!BO61</f>
        <v>11</v>
      </c>
      <c r="DX61" s="733">
        <f>'BASE DE DATOS'!BP61</f>
        <v>11</v>
      </c>
      <c r="DY61" s="733">
        <f>'BASE DE DATOS'!BQ61</f>
        <v>31</v>
      </c>
      <c r="DZ61" s="733">
        <f>'BASE DE DATOS'!BR61</f>
        <v>76</v>
      </c>
      <c r="EA61" s="733">
        <f>'BASE DE DATOS'!BS61</f>
        <v>95</v>
      </c>
      <c r="EB61" s="733">
        <f>'BASE DE DATOS'!BT61</f>
        <v>118</v>
      </c>
      <c r="GM61" s="741"/>
      <c r="GN61" s="741"/>
      <c r="GO61" s="741"/>
      <c r="GP61" s="741"/>
      <c r="GQ61" s="741"/>
      <c r="GR61" s="762"/>
      <c r="GS61" s="762"/>
      <c r="GT61" s="762"/>
      <c r="GU61" s="741"/>
      <c r="GV61" s="741"/>
      <c r="GW61" s="741"/>
      <c r="GX61" s="741"/>
      <c r="GY61" s="741"/>
    </row>
    <row r="62" spans="2:207" ht="16">
      <c r="B62" s="734" t="str">
        <f>'BASE DE DATOS'!B62</f>
        <v>CD</v>
      </c>
      <c r="C62" s="734" t="str">
        <f>'BASE DE DATOS'!C62</f>
        <v>MIRAMAR</v>
      </c>
      <c r="D62" s="734">
        <f>'BASE DE DATOS'!D62</f>
        <v>30.88</v>
      </c>
      <c r="E62" s="734">
        <f>'BASE DE DATOS'!E62</f>
        <v>62.67</v>
      </c>
      <c r="F62" s="734">
        <f>'BASE DE DATOS'!F62</f>
        <v>80</v>
      </c>
      <c r="G62" s="734" t="str">
        <f>'BASE DE DATOS'!G62</f>
        <v>IIA</v>
      </c>
      <c r="H62" s="734">
        <f>'BASE DE DATOS'!H62</f>
        <v>1</v>
      </c>
      <c r="I62" s="734">
        <f>'BASE DE DATOS'!I62</f>
        <v>12.2</v>
      </c>
      <c r="J62" s="734">
        <f>'BASE DE DATOS'!J62</f>
        <v>24</v>
      </c>
      <c r="K62" s="734">
        <f>'BASE DE DATOS'!K62</f>
        <v>34.700000000000003</v>
      </c>
      <c r="L62" s="734">
        <f>'BASE DE DATOS'!L62</f>
        <v>76</v>
      </c>
      <c r="M62" s="734">
        <f>'BASE DE DATOS'!M62</f>
        <v>78</v>
      </c>
      <c r="N62" s="734">
        <f>'BASE DE DATOS'!N62</f>
        <v>76</v>
      </c>
      <c r="O62" s="734">
        <f>'BASE DE DATOS'!O62</f>
        <v>15</v>
      </c>
      <c r="P62" s="734">
        <f>'BASE DE DATOS'!P62</f>
        <v>133</v>
      </c>
      <c r="Q62" s="734">
        <f>'BASE DE DATOS'!Q62</f>
        <v>2</v>
      </c>
      <c r="R62" s="734">
        <f>'BASE DE DATOS'!R62</f>
        <v>24.4</v>
      </c>
      <c r="S62" s="734">
        <f>'BASE DE DATOS'!S62</f>
        <v>0.53</v>
      </c>
      <c r="T62" s="734">
        <f>'BASE DE DATOS'!T62</f>
        <v>26.9</v>
      </c>
      <c r="U62" s="734">
        <f>'BASE DE DATOS'!U62</f>
        <v>2.6</v>
      </c>
      <c r="V62" s="734">
        <f>'BASE DE DATOS'!V62</f>
        <v>160</v>
      </c>
      <c r="W62" s="734">
        <f>'BASE DE DATOS'!W62</f>
        <v>38</v>
      </c>
      <c r="X62" s="734">
        <f>'BASE DE DATOS'!X62</f>
        <v>1.0999999999999999E-2</v>
      </c>
      <c r="Y62" s="734">
        <f>'BASE DE DATOS'!Y62</f>
        <v>0.02</v>
      </c>
      <c r="Z62" s="734">
        <f>'BASE DE DATOS'!Z62</f>
        <v>165</v>
      </c>
      <c r="AA62" s="734">
        <f>'BASE DE DATOS'!AA62</f>
        <v>1.6500000000000001</v>
      </c>
      <c r="AB62" s="734">
        <f>'BASE DE DATOS'!AB62</f>
        <v>30</v>
      </c>
      <c r="AD62" s="734" t="str">
        <f>'BASE DE DATOS'!AD62</f>
        <v>MIRAMAR</v>
      </c>
      <c r="AE62" s="734">
        <f>'BASE DE DATOS'!AE62</f>
        <v>19.399999999999999</v>
      </c>
      <c r="AF62" s="734">
        <f>'BASE DE DATOS'!AF62</f>
        <v>19.3</v>
      </c>
      <c r="AG62" s="734">
        <f>'BASE DE DATOS'!AG62</f>
        <v>17.399999999999999</v>
      </c>
      <c r="AH62" s="734">
        <f>'BASE DE DATOS'!AH62</f>
        <v>14.2</v>
      </c>
      <c r="AI62" s="734">
        <f>'BASE DE DATOS'!AI62</f>
        <v>11.1</v>
      </c>
      <c r="AJ62" s="734">
        <f>'BASE DE DATOS'!AJ62</f>
        <v>8.8000000000000007</v>
      </c>
      <c r="AK62" s="734">
        <f>'BASE DE DATOS'!AK62</f>
        <v>7.8</v>
      </c>
      <c r="AL62" s="734">
        <f>'BASE DE DATOS'!AL62</f>
        <v>8.5</v>
      </c>
      <c r="AM62" s="734">
        <f>'BASE DE DATOS'!AM62</f>
        <v>9.8000000000000007</v>
      </c>
      <c r="AN62" s="734">
        <f>'BASE DE DATOS'!AN62</f>
        <v>12.1</v>
      </c>
      <c r="AO62" s="734">
        <f>'BASE DE DATOS'!AO62</f>
        <v>15.2</v>
      </c>
      <c r="AP62" s="734">
        <f>'BASE DE DATOS'!AP62</f>
        <v>17.5</v>
      </c>
      <c r="AR62" s="734" t="str">
        <f>'BASE DE DATOS'!AR62</f>
        <v>CD</v>
      </c>
      <c r="AS62" s="734" t="str">
        <f>'BASE DE DATOS'!AS62</f>
        <v>MIRAMAR</v>
      </c>
      <c r="AT62" s="734">
        <f>'BASE DE DATOS'!AT62</f>
        <v>6</v>
      </c>
      <c r="AU62" s="734">
        <f>'BASE DE DATOS'!AU62</f>
        <v>5.5</v>
      </c>
      <c r="AV62" s="734">
        <f>'BASE DE DATOS'!AV62</f>
        <v>4.5</v>
      </c>
      <c r="AW62" s="734">
        <f>'BASE DE DATOS'!AW62</f>
        <v>3.5</v>
      </c>
      <c r="AX62" s="734">
        <f>'BASE DE DATOS'!AX62</f>
        <v>3</v>
      </c>
      <c r="AY62" s="734">
        <f>'BASE DE DATOS'!AY62</f>
        <v>2.5</v>
      </c>
      <c r="AZ62" s="734">
        <f>'BASE DE DATOS'!AZ62</f>
        <v>2.5</v>
      </c>
      <c r="BA62" s="734">
        <f>'BASE DE DATOS'!BA62</f>
        <v>3</v>
      </c>
      <c r="BB62" s="734">
        <f>'BASE DE DATOS'!BB62</f>
        <v>4.5</v>
      </c>
      <c r="BC62" s="734">
        <f>'BASE DE DATOS'!BC62</f>
        <v>5.5</v>
      </c>
      <c r="BD62" s="734">
        <f>'BASE DE DATOS'!BD62</f>
        <v>6</v>
      </c>
      <c r="BE62" s="734">
        <f>'BASE DE DATOS'!BE62</f>
        <v>6</v>
      </c>
      <c r="DO62" s="733" t="str">
        <f>'BASE DE DATOS'!BG62</f>
        <v>CD</v>
      </c>
      <c r="DP62" s="733" t="str">
        <f>'BASE DE DATOS'!BH62</f>
        <v>MIRAMAR</v>
      </c>
      <c r="DQ62" s="733">
        <f>'BASE DE DATOS'!BI62</f>
        <v>115</v>
      </c>
      <c r="DR62" s="733">
        <f>'BASE DE DATOS'!BJ62</f>
        <v>110</v>
      </c>
      <c r="DS62" s="733">
        <f>'BASE DE DATOS'!BK62</f>
        <v>101</v>
      </c>
      <c r="DT62" s="733">
        <f>'BASE DE DATOS'!BL62</f>
        <v>45</v>
      </c>
      <c r="DU62" s="733">
        <f>'BASE DE DATOS'!BM62</f>
        <v>23</v>
      </c>
      <c r="DV62" s="733">
        <f>'BASE DE DATOS'!BN62</f>
        <v>12</v>
      </c>
      <c r="DW62" s="733">
        <f>'BASE DE DATOS'!BO62</f>
        <v>11</v>
      </c>
      <c r="DX62" s="733">
        <f>'BASE DE DATOS'!BP62</f>
        <v>11</v>
      </c>
      <c r="DY62" s="733">
        <f>'BASE DE DATOS'!BQ62</f>
        <v>31</v>
      </c>
      <c r="DZ62" s="733">
        <f>'BASE DE DATOS'!BR62</f>
        <v>76</v>
      </c>
      <c r="EA62" s="733">
        <f>'BASE DE DATOS'!BS62</f>
        <v>95</v>
      </c>
      <c r="EB62" s="733">
        <f>'BASE DE DATOS'!BT62</f>
        <v>118</v>
      </c>
      <c r="GM62" s="741"/>
      <c r="GN62" s="741"/>
      <c r="GO62" s="741"/>
      <c r="GP62" s="741"/>
      <c r="GQ62" s="727" t="s">
        <v>2055</v>
      </c>
      <c r="GR62" s="762">
        <f>'LINEA BASE MALA'!BS15</f>
        <v>0</v>
      </c>
      <c r="GS62" s="762">
        <f>AGUA!AF14</f>
        <v>0</v>
      </c>
      <c r="GT62" s="762">
        <f>AGUA!AQ14</f>
        <v>0</v>
      </c>
      <c r="GU62" s="741"/>
      <c r="GV62" s="741"/>
      <c r="GW62" s="741"/>
      <c r="GX62" s="741"/>
      <c r="GY62" s="741"/>
    </row>
    <row r="63" spans="2:207" ht="16">
      <c r="B63" s="734" t="str">
        <f>'BASE DE DATOS'!B63</f>
        <v>CD</v>
      </c>
      <c r="C63" s="734" t="str">
        <f>'BASE DE DATOS'!C63</f>
        <v>PILAR</v>
      </c>
      <c r="D63" s="734">
        <f>'BASE DE DATOS'!D63</f>
        <v>31.67</v>
      </c>
      <c r="E63" s="734">
        <f>'BASE DE DATOS'!E63</f>
        <v>63.88</v>
      </c>
      <c r="F63" s="734">
        <f>'BASE DE DATOS'!F63</f>
        <v>338</v>
      </c>
      <c r="G63" s="734" t="str">
        <f>'BASE DE DATOS'!G63</f>
        <v>IIIA</v>
      </c>
      <c r="H63" s="734">
        <f>'BASE DE DATOS'!H63</f>
        <v>-1.1000000000000001</v>
      </c>
      <c r="I63" s="734">
        <f>'BASE DE DATOS'!I63</f>
        <v>11</v>
      </c>
      <c r="J63" s="734">
        <f>'BASE DE DATOS'!J63</f>
        <v>22.8</v>
      </c>
      <c r="K63" s="734">
        <f>'BASE DE DATOS'!K63</f>
        <v>33.799999999999997</v>
      </c>
      <c r="L63" s="734">
        <f>'BASE DE DATOS'!L63</f>
        <v>66</v>
      </c>
      <c r="M63" s="734">
        <f>'BASE DE DATOS'!M63</f>
        <v>66</v>
      </c>
      <c r="N63" s="734">
        <f>'BASE DE DATOS'!N63</f>
        <v>66</v>
      </c>
      <c r="O63" s="734">
        <f>'BASE DE DATOS'!O63</f>
        <v>10</v>
      </c>
      <c r="P63" s="734">
        <f>'BASE DE DATOS'!P63</f>
        <v>101</v>
      </c>
      <c r="Q63" s="734">
        <f>'BASE DE DATOS'!Q63</f>
        <v>3</v>
      </c>
      <c r="R63" s="734">
        <f>'BASE DE DATOS'!R63</f>
        <v>22.9</v>
      </c>
      <c r="S63" s="734">
        <f>'BASE DE DATOS'!S63</f>
        <v>0.53</v>
      </c>
      <c r="T63" s="734">
        <f>'BASE DE DATOS'!T63</f>
        <v>26.9</v>
      </c>
      <c r="U63" s="734">
        <f>'BASE DE DATOS'!U63</f>
        <v>2.6</v>
      </c>
      <c r="V63" s="734">
        <f>'BASE DE DATOS'!V63</f>
        <v>160</v>
      </c>
      <c r="W63" s="734">
        <f>'BASE DE DATOS'!W63</f>
        <v>38</v>
      </c>
      <c r="X63" s="734">
        <f>'BASE DE DATOS'!X63</f>
        <v>1.0999999999999999E-2</v>
      </c>
      <c r="Y63" s="734">
        <f>'BASE DE DATOS'!Y63</f>
        <v>0.02</v>
      </c>
      <c r="Z63" s="734">
        <f>'BASE DE DATOS'!Z63</f>
        <v>145</v>
      </c>
      <c r="AA63" s="734">
        <f>'BASE DE DATOS'!AA63</f>
        <v>1.45</v>
      </c>
      <c r="AB63" s="734">
        <f>'BASE DE DATOS'!AB63</f>
        <v>30</v>
      </c>
      <c r="AD63" s="734" t="str">
        <f>'BASE DE DATOS'!AD63</f>
        <v>PILAR</v>
      </c>
      <c r="AE63" s="734">
        <f>'BASE DE DATOS'!AE63</f>
        <v>23.4</v>
      </c>
      <c r="AF63" s="734">
        <f>'BASE DE DATOS'!AF63</f>
        <v>22.1</v>
      </c>
      <c r="AG63" s="734">
        <f>'BASE DE DATOS'!AG63</f>
        <v>20.399999999999999</v>
      </c>
      <c r="AH63" s="734">
        <f>'BASE DE DATOS'!AH63</f>
        <v>15.6</v>
      </c>
      <c r="AI63" s="734">
        <f>'BASE DE DATOS'!AI63</f>
        <v>12.9</v>
      </c>
      <c r="AJ63" s="734">
        <f>'BASE DE DATOS'!AJ63</f>
        <v>9.9</v>
      </c>
      <c r="AK63" s="734">
        <f>'BASE DE DATOS'!AK63</f>
        <v>9.8000000000000007</v>
      </c>
      <c r="AL63" s="734">
        <f>'BASE DE DATOS'!AL63</f>
        <v>11.3</v>
      </c>
      <c r="AM63" s="734">
        <f>'BASE DE DATOS'!AM63</f>
        <v>13</v>
      </c>
      <c r="AN63" s="734">
        <f>'BASE DE DATOS'!AN63</f>
        <v>15.5</v>
      </c>
      <c r="AO63" s="734">
        <f>'BASE DE DATOS'!AO63</f>
        <v>19</v>
      </c>
      <c r="AP63" s="734">
        <f>'BASE DE DATOS'!AP63</f>
        <v>21.4</v>
      </c>
      <c r="AR63" s="734" t="str">
        <f>'BASE DE DATOS'!AR63</f>
        <v>CD</v>
      </c>
      <c r="AS63" s="734" t="str">
        <f>'BASE DE DATOS'!AS63</f>
        <v>PILAR</v>
      </c>
      <c r="AT63" s="734">
        <f>'BASE DE DATOS'!AT63</f>
        <v>6</v>
      </c>
      <c r="AU63" s="734">
        <f>'BASE DE DATOS'!AU63</f>
        <v>5.5</v>
      </c>
      <c r="AV63" s="734">
        <f>'BASE DE DATOS'!AV63</f>
        <v>4.5</v>
      </c>
      <c r="AW63" s="734">
        <f>'BASE DE DATOS'!AW63</f>
        <v>3.5</v>
      </c>
      <c r="AX63" s="734">
        <f>'BASE DE DATOS'!AX63</f>
        <v>3</v>
      </c>
      <c r="AY63" s="734">
        <f>'BASE DE DATOS'!AY63</f>
        <v>2</v>
      </c>
      <c r="AZ63" s="734">
        <f>'BASE DE DATOS'!AZ63</f>
        <v>2.5</v>
      </c>
      <c r="BA63" s="734">
        <f>'BASE DE DATOS'!BA63</f>
        <v>3</v>
      </c>
      <c r="BB63" s="734">
        <f>'BASE DE DATOS'!BB63</f>
        <v>4</v>
      </c>
      <c r="BC63" s="734">
        <f>'BASE DE DATOS'!BC63</f>
        <v>5</v>
      </c>
      <c r="BD63" s="734">
        <f>'BASE DE DATOS'!BD63</f>
        <v>6</v>
      </c>
      <c r="BE63" s="734">
        <f>'BASE DE DATOS'!BE63</f>
        <v>6</v>
      </c>
      <c r="DO63" s="733" t="str">
        <f>'BASE DE DATOS'!BG63</f>
        <v>CD</v>
      </c>
      <c r="DP63" s="733" t="str">
        <f>'BASE DE DATOS'!BH63</f>
        <v>PILAR</v>
      </c>
      <c r="DQ63" s="733">
        <f>'BASE DE DATOS'!BI63</f>
        <v>115</v>
      </c>
      <c r="DR63" s="733">
        <f>'BASE DE DATOS'!BJ63</f>
        <v>110</v>
      </c>
      <c r="DS63" s="733">
        <f>'BASE DE DATOS'!BK63</f>
        <v>101</v>
      </c>
      <c r="DT63" s="733">
        <f>'BASE DE DATOS'!BL63</f>
        <v>45</v>
      </c>
      <c r="DU63" s="733">
        <f>'BASE DE DATOS'!BM63</f>
        <v>23</v>
      </c>
      <c r="DV63" s="733">
        <f>'BASE DE DATOS'!BN63</f>
        <v>12</v>
      </c>
      <c r="DW63" s="733">
        <f>'BASE DE DATOS'!BO63</f>
        <v>11</v>
      </c>
      <c r="DX63" s="733">
        <f>'BASE DE DATOS'!BP63</f>
        <v>11</v>
      </c>
      <c r="DY63" s="733">
        <f>'BASE DE DATOS'!BQ63</f>
        <v>31</v>
      </c>
      <c r="DZ63" s="733">
        <f>'BASE DE DATOS'!BR63</f>
        <v>76</v>
      </c>
      <c r="EA63" s="733">
        <f>'BASE DE DATOS'!BS63</f>
        <v>95</v>
      </c>
      <c r="EB63" s="733">
        <f>'BASE DE DATOS'!BT63</f>
        <v>118</v>
      </c>
      <c r="GM63" s="741"/>
      <c r="GN63" s="741"/>
      <c r="GO63" s="741"/>
      <c r="GP63" s="741"/>
      <c r="GQ63" s="727" t="s">
        <v>763</v>
      </c>
      <c r="GR63" s="762">
        <f>GT63</f>
        <v>0</v>
      </c>
      <c r="GS63" s="762">
        <f>AGUA!AG23</f>
        <v>0</v>
      </c>
      <c r="GT63" s="762">
        <f>AGUA!AR23</f>
        <v>0</v>
      </c>
      <c r="GU63" s="741"/>
      <c r="GV63" s="741"/>
      <c r="GW63" s="741"/>
      <c r="GX63" s="741"/>
      <c r="GY63" s="741"/>
    </row>
    <row r="64" spans="2:207" ht="16">
      <c r="B64" s="734" t="str">
        <f>'BASE DE DATOS'!B64</f>
        <v>CD</v>
      </c>
      <c r="C64" s="734" t="str">
        <f>'BASE DE DATOS'!C64</f>
        <v>RIO CUARTO</v>
      </c>
      <c r="D64" s="734">
        <f>'BASE DE DATOS'!D64</f>
        <v>33.08</v>
      </c>
      <c r="E64" s="734">
        <f>'BASE DE DATOS'!E64</f>
        <v>64.27</v>
      </c>
      <c r="F64" s="734">
        <f>'BASE DE DATOS'!F64</f>
        <v>421</v>
      </c>
      <c r="G64" s="734" t="str">
        <f>'BASE DE DATOS'!G64</f>
        <v>IIIA</v>
      </c>
      <c r="H64" s="734">
        <f>'BASE DE DATOS'!H64</f>
        <v>-0.4</v>
      </c>
      <c r="I64" s="734">
        <f>'BASE DE DATOS'!I64</f>
        <v>10</v>
      </c>
      <c r="J64" s="734">
        <f>'BASE DE DATOS'!J64</f>
        <v>22.1</v>
      </c>
      <c r="K64" s="734">
        <f>'BASE DE DATOS'!K64</f>
        <v>32.6</v>
      </c>
      <c r="L64" s="734">
        <f>'BASE DE DATOS'!L64</f>
        <v>64</v>
      </c>
      <c r="M64" s="734">
        <f>'BASE DE DATOS'!M64</f>
        <v>64</v>
      </c>
      <c r="N64" s="734">
        <f>'BASE DE DATOS'!N64</f>
        <v>63</v>
      </c>
      <c r="O64" s="734">
        <f>'BASE DE DATOS'!O64</f>
        <v>11</v>
      </c>
      <c r="P64" s="734">
        <f>'BASE DE DATOS'!P64</f>
        <v>113</v>
      </c>
      <c r="Q64" s="734">
        <f>'BASE DE DATOS'!Q64</f>
        <v>3</v>
      </c>
      <c r="R64" s="734">
        <f>'BASE DE DATOS'!R64</f>
        <v>22.2</v>
      </c>
      <c r="S64" s="734">
        <f>'BASE DE DATOS'!S64</f>
        <v>0.55000000000000004</v>
      </c>
      <c r="T64" s="734">
        <f>'BASE DE DATOS'!T64</f>
        <v>26.9</v>
      </c>
      <c r="U64" s="734">
        <f>'BASE DE DATOS'!U64</f>
        <v>2.6</v>
      </c>
      <c r="V64" s="734">
        <f>'BASE DE DATOS'!V64</f>
        <v>160</v>
      </c>
      <c r="W64" s="734">
        <f>'BASE DE DATOS'!W64</f>
        <v>38</v>
      </c>
      <c r="X64" s="734">
        <f>'BASE DE DATOS'!X64</f>
        <v>1.0999999999999999E-2</v>
      </c>
      <c r="Y64" s="734">
        <f>'BASE DE DATOS'!Y64</f>
        <v>0.02</v>
      </c>
      <c r="Z64" s="734">
        <f>'BASE DE DATOS'!Z64</f>
        <v>130</v>
      </c>
      <c r="AA64" s="734">
        <f>'BASE DE DATOS'!AA64</f>
        <v>1.3</v>
      </c>
      <c r="AB64" s="734">
        <f>'BASE DE DATOS'!AB64</f>
        <v>30</v>
      </c>
      <c r="AD64" s="734" t="str">
        <f>'BASE DE DATOS'!AD64</f>
        <v>RIO CUARTO</v>
      </c>
      <c r="AE64" s="734">
        <f>'BASE DE DATOS'!AE64</f>
        <v>22.6</v>
      </c>
      <c r="AF64" s="734">
        <f>'BASE DE DATOS'!AF64</f>
        <v>22.2</v>
      </c>
      <c r="AG64" s="734">
        <f>'BASE DE DATOS'!AG64</f>
        <v>19.5</v>
      </c>
      <c r="AH64" s="734">
        <f>'BASE DE DATOS'!AH64</f>
        <v>16.8</v>
      </c>
      <c r="AI64" s="734">
        <f>'BASE DE DATOS'!AI64</f>
        <v>13.6</v>
      </c>
      <c r="AJ64" s="734">
        <f>'BASE DE DATOS'!AJ64</f>
        <v>9.5</v>
      </c>
      <c r="AK64" s="734">
        <f>'BASE DE DATOS'!AK64</f>
        <v>9.4</v>
      </c>
      <c r="AL64" s="734">
        <f>'BASE DE DATOS'!AL64</f>
        <v>11</v>
      </c>
      <c r="AM64" s="734">
        <f>'BASE DE DATOS'!AM64</f>
        <v>13.4</v>
      </c>
      <c r="AN64" s="734">
        <f>'BASE DE DATOS'!AN64</f>
        <v>14.2</v>
      </c>
      <c r="AO64" s="734">
        <f>'BASE DE DATOS'!AO64</f>
        <v>19.8</v>
      </c>
      <c r="AP64" s="734">
        <f>'BASE DE DATOS'!AP64</f>
        <v>21.6</v>
      </c>
      <c r="AR64" s="734" t="str">
        <f>'BASE DE DATOS'!AR64</f>
        <v>CD</v>
      </c>
      <c r="AS64" s="734" t="str">
        <f>'BASE DE DATOS'!AS64</f>
        <v>RIO CUARTO</v>
      </c>
      <c r="AT64" s="734">
        <f>'BASE DE DATOS'!AT64</f>
        <v>6.5</v>
      </c>
      <c r="AU64" s="734">
        <f>'BASE DE DATOS'!AU64</f>
        <v>5.5</v>
      </c>
      <c r="AV64" s="734">
        <f>'BASE DE DATOS'!AV64</f>
        <v>4.5</v>
      </c>
      <c r="AW64" s="734">
        <f>'BASE DE DATOS'!AW64</f>
        <v>3</v>
      </c>
      <c r="AX64" s="734">
        <f>'BASE DE DATOS'!AX64</f>
        <v>2.5</v>
      </c>
      <c r="AY64" s="734">
        <f>'BASE DE DATOS'!AY64</f>
        <v>2</v>
      </c>
      <c r="AZ64" s="734">
        <f>'BASE DE DATOS'!AZ64</f>
        <v>2</v>
      </c>
      <c r="BA64" s="734">
        <f>'BASE DE DATOS'!BA64</f>
        <v>3</v>
      </c>
      <c r="BB64" s="734">
        <f>'BASE DE DATOS'!BB64</f>
        <v>4</v>
      </c>
      <c r="BC64" s="734">
        <f>'BASE DE DATOS'!BC64</f>
        <v>5.5</v>
      </c>
      <c r="BD64" s="734">
        <f>'BASE DE DATOS'!BD64</f>
        <v>6</v>
      </c>
      <c r="BE64" s="734">
        <f>'BASE DE DATOS'!BE64</f>
        <v>6</v>
      </c>
      <c r="DO64" s="733" t="str">
        <f>'BASE DE DATOS'!BG64</f>
        <v>CD</v>
      </c>
      <c r="DP64" s="733" t="str">
        <f>'BASE DE DATOS'!BH64</f>
        <v>RIO CUARTO</v>
      </c>
      <c r="DQ64" s="733">
        <f>'BASE DE DATOS'!BI64</f>
        <v>115</v>
      </c>
      <c r="DR64" s="733">
        <f>'BASE DE DATOS'!BJ64</f>
        <v>110</v>
      </c>
      <c r="DS64" s="733">
        <f>'BASE DE DATOS'!BK64</f>
        <v>101</v>
      </c>
      <c r="DT64" s="733">
        <f>'BASE DE DATOS'!BL64</f>
        <v>45</v>
      </c>
      <c r="DU64" s="733">
        <f>'BASE DE DATOS'!BM64</f>
        <v>23</v>
      </c>
      <c r="DV64" s="733">
        <f>'BASE DE DATOS'!BN64</f>
        <v>12</v>
      </c>
      <c r="DW64" s="733">
        <f>'BASE DE DATOS'!BO64</f>
        <v>11</v>
      </c>
      <c r="DX64" s="733">
        <f>'BASE DE DATOS'!BP64</f>
        <v>11</v>
      </c>
      <c r="DY64" s="733">
        <f>'BASE DE DATOS'!BQ64</f>
        <v>31</v>
      </c>
      <c r="DZ64" s="733">
        <f>'BASE DE DATOS'!BR64</f>
        <v>76</v>
      </c>
      <c r="EA64" s="733">
        <f>'BASE DE DATOS'!BS64</f>
        <v>95</v>
      </c>
      <c r="EB64" s="733">
        <f>'BASE DE DATOS'!BT64</f>
        <v>118</v>
      </c>
      <c r="GM64" s="741"/>
      <c r="GN64" s="741"/>
      <c r="GO64" s="741"/>
      <c r="GP64" s="741"/>
      <c r="GQ64" s="727" t="s">
        <v>1474</v>
      </c>
      <c r="GR64" s="762">
        <v>0</v>
      </c>
      <c r="GS64" s="762">
        <v>0</v>
      </c>
      <c r="GT64" s="762">
        <f>AGUA!AR64</f>
        <v>0</v>
      </c>
      <c r="GU64" s="741"/>
      <c r="GV64" s="741"/>
      <c r="GW64" s="741"/>
      <c r="GX64" s="741"/>
      <c r="GY64" s="741"/>
    </row>
    <row r="65" spans="2:207" ht="16">
      <c r="B65" s="734" t="str">
        <f>'BASE DE DATOS'!B65</f>
        <v>CD</v>
      </c>
      <c r="C65" s="734" t="str">
        <f>'BASE DE DATOS'!C65</f>
        <v>VILLA DOLORES</v>
      </c>
      <c r="D65" s="734">
        <f>'BASE DE DATOS'!D65</f>
        <v>31.95</v>
      </c>
      <c r="E65" s="734">
        <f>'BASE DE DATOS'!E65</f>
        <v>65.13</v>
      </c>
      <c r="F65" s="734">
        <f>'BASE DE DATOS'!F65</f>
        <v>569</v>
      </c>
      <c r="G65" s="734" t="str">
        <f>'BASE DE DATOS'!G65</f>
        <v>IIIA</v>
      </c>
      <c r="H65" s="734">
        <f>'BASE DE DATOS'!H65</f>
        <v>-2</v>
      </c>
      <c r="I65" s="734">
        <f>'BASE DE DATOS'!I65</f>
        <v>11.5</v>
      </c>
      <c r="J65" s="734">
        <f>'BASE DE DATOS'!J65</f>
        <v>24.3</v>
      </c>
      <c r="K65" s="734">
        <f>'BASE DE DATOS'!K65</f>
        <v>35.4</v>
      </c>
      <c r="L65" s="734">
        <f>'BASE DE DATOS'!L65</f>
        <v>55</v>
      </c>
      <c r="M65" s="734">
        <f>'BASE DE DATOS'!M65</f>
        <v>55</v>
      </c>
      <c r="N65" s="734">
        <f>'BASE DE DATOS'!N65</f>
        <v>55</v>
      </c>
      <c r="O65" s="734">
        <f>'BASE DE DATOS'!O65</f>
        <v>9</v>
      </c>
      <c r="P65" s="734">
        <f>'BASE DE DATOS'!P65</f>
        <v>94</v>
      </c>
      <c r="Q65" s="734">
        <f>'BASE DE DATOS'!Q65</f>
        <v>3</v>
      </c>
      <c r="R65" s="734">
        <f>'BASE DE DATOS'!R65</f>
        <v>24.3</v>
      </c>
      <c r="S65" s="734">
        <f>'BASE DE DATOS'!S65</f>
        <v>0.53</v>
      </c>
      <c r="T65" s="734">
        <f>'BASE DE DATOS'!T65</f>
        <v>26.9</v>
      </c>
      <c r="U65" s="734">
        <f>'BASE DE DATOS'!U65</f>
        <v>2.6</v>
      </c>
      <c r="V65" s="734">
        <f>'BASE DE DATOS'!V65</f>
        <v>160</v>
      </c>
      <c r="W65" s="734">
        <f>'BASE DE DATOS'!W65</f>
        <v>38</v>
      </c>
      <c r="X65" s="734">
        <f>'BASE DE DATOS'!X65</f>
        <v>1.0999999999999999E-2</v>
      </c>
      <c r="Y65" s="734">
        <f>'BASE DE DATOS'!Y65</f>
        <v>0.02</v>
      </c>
      <c r="Z65" s="734">
        <f>'BASE DE DATOS'!Z65</f>
        <v>145</v>
      </c>
      <c r="AA65" s="734">
        <f>'BASE DE DATOS'!AA65</f>
        <v>1.45</v>
      </c>
      <c r="AB65" s="734">
        <f>'BASE DE DATOS'!AB65</f>
        <v>30</v>
      </c>
      <c r="AD65" s="734" t="str">
        <f>'BASE DE DATOS'!AD65</f>
        <v>VILLA DOLORES</v>
      </c>
      <c r="AE65" s="734">
        <f>'BASE DE DATOS'!AE65</f>
        <v>25.5</v>
      </c>
      <c r="AF65" s="734">
        <f>'BASE DE DATOS'!AF65</f>
        <v>24.1</v>
      </c>
      <c r="AG65" s="734">
        <f>'BASE DE DATOS'!AG65</f>
        <v>22.1</v>
      </c>
      <c r="AH65" s="734">
        <f>'BASE DE DATOS'!AH65</f>
        <v>17.8</v>
      </c>
      <c r="AI65" s="734">
        <f>'BASE DE DATOS'!AI65</f>
        <v>14.5</v>
      </c>
      <c r="AJ65" s="734">
        <f>'BASE DE DATOS'!AJ65</f>
        <v>11.1</v>
      </c>
      <c r="AK65" s="734">
        <f>'BASE DE DATOS'!AK65</f>
        <v>11</v>
      </c>
      <c r="AL65" s="734">
        <f>'BASE DE DATOS'!AL65</f>
        <v>13.2</v>
      </c>
      <c r="AM65" s="734">
        <f>'BASE DE DATOS'!AM65</f>
        <v>16.3</v>
      </c>
      <c r="AN65" s="734">
        <f>'BASE DE DATOS'!AN65</f>
        <v>19.3</v>
      </c>
      <c r="AO65" s="734">
        <f>'BASE DE DATOS'!AO65</f>
        <v>22.3</v>
      </c>
      <c r="AP65" s="734">
        <f>'BASE DE DATOS'!AP65</f>
        <v>24.4</v>
      </c>
      <c r="AR65" s="734" t="str">
        <f>'BASE DE DATOS'!AR65</f>
        <v>CD</v>
      </c>
      <c r="AS65" s="734" t="str">
        <f>'BASE DE DATOS'!AS65</f>
        <v>VILLA DOLORES</v>
      </c>
      <c r="AT65" s="734">
        <f>'BASE DE DATOS'!AT65</f>
        <v>6</v>
      </c>
      <c r="AU65" s="734">
        <f>'BASE DE DATOS'!AU65</f>
        <v>5</v>
      </c>
      <c r="AV65" s="734">
        <f>'BASE DE DATOS'!AV65</f>
        <v>4.5</v>
      </c>
      <c r="AW65" s="734">
        <f>'BASE DE DATOS'!AW65</f>
        <v>3.5</v>
      </c>
      <c r="AX65" s="734">
        <f>'BASE DE DATOS'!AX65</f>
        <v>3</v>
      </c>
      <c r="AY65" s="734">
        <f>'BASE DE DATOS'!AY65</f>
        <v>2</v>
      </c>
      <c r="AZ65" s="734">
        <f>'BASE DE DATOS'!AZ65</f>
        <v>2.5</v>
      </c>
      <c r="BA65" s="734">
        <f>'BASE DE DATOS'!BA65</f>
        <v>3.5</v>
      </c>
      <c r="BB65" s="734">
        <f>'BASE DE DATOS'!BB65</f>
        <v>4</v>
      </c>
      <c r="BC65" s="734">
        <f>'BASE DE DATOS'!BC65</f>
        <v>5</v>
      </c>
      <c r="BD65" s="734">
        <f>'BASE DE DATOS'!BD65</f>
        <v>6</v>
      </c>
      <c r="BE65" s="734">
        <f>'BASE DE DATOS'!BE65</f>
        <v>6</v>
      </c>
      <c r="DO65" s="733" t="str">
        <f>'BASE DE DATOS'!BG65</f>
        <v>CD</v>
      </c>
      <c r="DP65" s="733" t="str">
        <f>'BASE DE DATOS'!BH65</f>
        <v>VILLA DOLORES</v>
      </c>
      <c r="DQ65" s="733">
        <f>'BASE DE DATOS'!BI65</f>
        <v>115</v>
      </c>
      <c r="DR65" s="733">
        <f>'BASE DE DATOS'!BJ65</f>
        <v>110</v>
      </c>
      <c r="DS65" s="733">
        <f>'BASE DE DATOS'!BK65</f>
        <v>101</v>
      </c>
      <c r="DT65" s="733">
        <f>'BASE DE DATOS'!BL65</f>
        <v>45</v>
      </c>
      <c r="DU65" s="733">
        <f>'BASE DE DATOS'!BM65</f>
        <v>23</v>
      </c>
      <c r="DV65" s="733">
        <f>'BASE DE DATOS'!BN65</f>
        <v>12</v>
      </c>
      <c r="DW65" s="733">
        <f>'BASE DE DATOS'!BO65</f>
        <v>11</v>
      </c>
      <c r="DX65" s="733">
        <f>'BASE DE DATOS'!BP65</f>
        <v>11</v>
      </c>
      <c r="DY65" s="733">
        <f>'BASE DE DATOS'!BQ65</f>
        <v>31</v>
      </c>
      <c r="DZ65" s="733">
        <f>'BASE DE DATOS'!BR65</f>
        <v>76</v>
      </c>
      <c r="EA65" s="733">
        <f>'BASE DE DATOS'!BS65</f>
        <v>95</v>
      </c>
      <c r="EB65" s="733">
        <f>'BASE DE DATOS'!BT65</f>
        <v>118</v>
      </c>
      <c r="GM65" s="741"/>
      <c r="GN65" s="741"/>
      <c r="GO65" s="741"/>
      <c r="GP65" s="741"/>
      <c r="GQ65" s="741"/>
      <c r="GR65" s="762"/>
      <c r="GS65" s="762"/>
      <c r="GT65" s="762"/>
      <c r="GU65" s="741"/>
      <c r="GV65" s="741"/>
      <c r="GW65" s="741"/>
      <c r="GX65" s="741"/>
      <c r="GY65" s="741"/>
    </row>
    <row r="66" spans="2:207" ht="16">
      <c r="B66" s="734" t="str">
        <f>'BASE DE DATOS'!B66</f>
        <v>CD</v>
      </c>
      <c r="C66" s="734" t="str">
        <f>'BASE DE DATOS'!C66</f>
        <v>VILLA MARÍA</v>
      </c>
      <c r="D66" s="734">
        <f>'BASE DE DATOS'!D66</f>
        <v>29.9</v>
      </c>
      <c r="E66" s="734">
        <f>'BASE DE DATOS'!E66</f>
        <v>63.68</v>
      </c>
      <c r="F66" s="734">
        <f>'BASE DE DATOS'!F66</f>
        <v>341</v>
      </c>
      <c r="G66" s="734" t="str">
        <f>'BASE DE DATOS'!G66</f>
        <v>IIIA</v>
      </c>
      <c r="H66" s="734">
        <f>'BASE DE DATOS'!H66</f>
        <v>-2.6</v>
      </c>
      <c r="I66" s="734">
        <f>'BASE DE DATOS'!I66</f>
        <v>12.2</v>
      </c>
      <c r="J66" s="734">
        <f>'BASE DE DATOS'!J66</f>
        <v>24.3</v>
      </c>
      <c r="K66" s="734">
        <f>'BASE DE DATOS'!K66</f>
        <v>35.200000000000003</v>
      </c>
      <c r="L66" s="734">
        <f>'BASE DE DATOS'!L66</f>
        <v>67</v>
      </c>
      <c r="M66" s="734">
        <f>'BASE DE DATOS'!M66</f>
        <v>67</v>
      </c>
      <c r="N66" s="734">
        <f>'BASE DE DATOS'!N66</f>
        <v>67</v>
      </c>
      <c r="O66" s="734">
        <f>'BASE DE DATOS'!O66</f>
        <v>18</v>
      </c>
      <c r="P66" s="734">
        <f>'BASE DE DATOS'!P66</f>
        <v>123</v>
      </c>
      <c r="Q66" s="734">
        <f>'BASE DE DATOS'!Q66</f>
        <v>3</v>
      </c>
      <c r="R66" s="734">
        <f>'BASE DE DATOS'!R66</f>
        <v>23.5</v>
      </c>
      <c r="S66" s="734">
        <f>'BASE DE DATOS'!S66</f>
        <v>0.53</v>
      </c>
      <c r="T66" s="734">
        <f>'BASE DE DATOS'!T66</f>
        <v>26.9</v>
      </c>
      <c r="U66" s="734">
        <f>'BASE DE DATOS'!U66</f>
        <v>2.6</v>
      </c>
      <c r="V66" s="734">
        <f>'BASE DE DATOS'!V66</f>
        <v>160</v>
      </c>
      <c r="W66" s="734">
        <f>'BASE DE DATOS'!W66</f>
        <v>38</v>
      </c>
      <c r="X66" s="734">
        <f>'BASE DE DATOS'!X66</f>
        <v>1.0999999999999999E-2</v>
      </c>
      <c r="Y66" s="734">
        <f>'BASE DE DATOS'!Y66</f>
        <v>0.02</v>
      </c>
      <c r="Z66" s="734">
        <f>'BASE DE DATOS'!Z66</f>
        <v>155</v>
      </c>
      <c r="AA66" s="734">
        <f>'BASE DE DATOS'!AA66</f>
        <v>1.55</v>
      </c>
      <c r="AB66" s="734">
        <f>'BASE DE DATOS'!AB66</f>
        <v>30</v>
      </c>
      <c r="AD66" s="734" t="str">
        <f>'BASE DE DATOS'!AD66</f>
        <v>VILLA MARÍA</v>
      </c>
      <c r="AE66" s="734">
        <f>'BASE DE DATOS'!AE66</f>
        <v>23.9</v>
      </c>
      <c r="AF66" s="734">
        <f>'BASE DE DATOS'!AF66</f>
        <v>22.7</v>
      </c>
      <c r="AG66" s="734">
        <f>'BASE DE DATOS'!AG66</f>
        <v>20.7</v>
      </c>
      <c r="AH66" s="734">
        <f>'BASE DE DATOS'!AH66</f>
        <v>15.9</v>
      </c>
      <c r="AI66" s="734">
        <f>'BASE DE DATOS'!AI66</f>
        <v>13.6</v>
      </c>
      <c r="AJ66" s="734">
        <f>'BASE DE DATOS'!AJ66</f>
        <v>10.1</v>
      </c>
      <c r="AK66" s="734">
        <f>'BASE DE DATOS'!AK66</f>
        <v>10</v>
      </c>
      <c r="AL66" s="734">
        <f>'BASE DE DATOS'!AL66</f>
        <v>11.6</v>
      </c>
      <c r="AM66" s="734">
        <f>'BASE DE DATOS'!AM66</f>
        <v>14</v>
      </c>
      <c r="AN66" s="734">
        <f>'BASE DE DATOS'!AN66</f>
        <v>17</v>
      </c>
      <c r="AO66" s="734">
        <f>'BASE DE DATOS'!AO66</f>
        <v>20.2</v>
      </c>
      <c r="AP66" s="734">
        <f>'BASE DE DATOS'!AP66</f>
        <v>22.4</v>
      </c>
      <c r="AR66" s="734" t="str">
        <f>'BASE DE DATOS'!AR66</f>
        <v>CD</v>
      </c>
      <c r="AS66" s="734" t="str">
        <f>'BASE DE DATOS'!AS66</f>
        <v>VILLA MARÍA</v>
      </c>
      <c r="AT66" s="734">
        <f>'BASE DE DATOS'!AT66</f>
        <v>6</v>
      </c>
      <c r="AU66" s="734">
        <f>'BASE DE DATOS'!AU66</f>
        <v>5.5</v>
      </c>
      <c r="AV66" s="734">
        <f>'BASE DE DATOS'!AV66</f>
        <v>4.5</v>
      </c>
      <c r="AW66" s="734">
        <f>'BASE DE DATOS'!AW66</f>
        <v>3.5</v>
      </c>
      <c r="AX66" s="734">
        <f>'BASE DE DATOS'!AX66</f>
        <v>2.5</v>
      </c>
      <c r="AY66" s="734">
        <f>'BASE DE DATOS'!AY66</f>
        <v>2</v>
      </c>
      <c r="AZ66" s="734">
        <f>'BASE DE DATOS'!AZ66</f>
        <v>2.5</v>
      </c>
      <c r="BA66" s="734">
        <f>'BASE DE DATOS'!BA66</f>
        <v>3</v>
      </c>
      <c r="BB66" s="734">
        <f>'BASE DE DATOS'!BB66</f>
        <v>4</v>
      </c>
      <c r="BC66" s="734">
        <f>'BASE DE DATOS'!BC66</f>
        <v>5.5</v>
      </c>
      <c r="BD66" s="734">
        <f>'BASE DE DATOS'!BD66</f>
        <v>6</v>
      </c>
      <c r="BE66" s="734">
        <f>'BASE DE DATOS'!BE66</f>
        <v>6</v>
      </c>
      <c r="DO66" s="733" t="str">
        <f>'BASE DE DATOS'!BG66</f>
        <v>CD</v>
      </c>
      <c r="DP66" s="733" t="str">
        <f>'BASE DE DATOS'!BH66</f>
        <v>VILLA MARÍA</v>
      </c>
      <c r="DQ66" s="733">
        <f>'BASE DE DATOS'!BI66</f>
        <v>115</v>
      </c>
      <c r="DR66" s="733">
        <f>'BASE DE DATOS'!BJ66</f>
        <v>110</v>
      </c>
      <c r="DS66" s="733">
        <f>'BASE DE DATOS'!BK66</f>
        <v>101</v>
      </c>
      <c r="DT66" s="733">
        <f>'BASE DE DATOS'!BL66</f>
        <v>45</v>
      </c>
      <c r="DU66" s="733">
        <f>'BASE DE DATOS'!BM66</f>
        <v>23</v>
      </c>
      <c r="DV66" s="733">
        <f>'BASE DE DATOS'!BN66</f>
        <v>12</v>
      </c>
      <c r="DW66" s="733">
        <f>'BASE DE DATOS'!BO66</f>
        <v>11</v>
      </c>
      <c r="DX66" s="733">
        <f>'BASE DE DATOS'!BP66</f>
        <v>11</v>
      </c>
      <c r="DY66" s="733">
        <f>'BASE DE DATOS'!BQ66</f>
        <v>31</v>
      </c>
      <c r="DZ66" s="733">
        <f>'BASE DE DATOS'!BR66</f>
        <v>76</v>
      </c>
      <c r="EA66" s="733">
        <f>'BASE DE DATOS'!BS66</f>
        <v>95</v>
      </c>
      <c r="EB66" s="733">
        <f>'BASE DE DATOS'!BT66</f>
        <v>118</v>
      </c>
      <c r="GM66" s="741"/>
      <c r="GN66" s="741"/>
      <c r="GO66" s="741"/>
      <c r="GP66" s="741"/>
      <c r="GQ66" s="741"/>
      <c r="GR66" s="762"/>
      <c r="GS66" s="762"/>
      <c r="GT66" s="762"/>
      <c r="GU66" s="741"/>
      <c r="GV66" s="741"/>
      <c r="GW66" s="741"/>
      <c r="GX66" s="741"/>
      <c r="GY66" s="741"/>
    </row>
    <row r="67" spans="2:207" ht="16">
      <c r="B67" s="734" t="str">
        <f>'BASE DE DATOS'!B67</f>
        <v>CR</v>
      </c>
      <c r="C67" s="734" t="str">
        <f>'BASE DE DATOS'!C67</f>
        <v>BELLAVISTA</v>
      </c>
      <c r="D67" s="734">
        <f>'BASE DE DATOS'!D67</f>
        <v>28.43</v>
      </c>
      <c r="E67" s="734">
        <f>'BASE DE DATOS'!E67</f>
        <v>58.92</v>
      </c>
      <c r="F67" s="734">
        <f>'BASE DE DATOS'!F67</f>
        <v>70</v>
      </c>
      <c r="G67" s="734" t="str">
        <f>'BASE DE DATOS'!G67</f>
        <v>IB</v>
      </c>
      <c r="H67" s="734">
        <f>'BASE DE DATOS'!H67</f>
        <v>4.5999999999999996</v>
      </c>
      <c r="I67" s="734">
        <f>'BASE DE DATOS'!I67</f>
        <v>15.3</v>
      </c>
      <c r="J67" s="734">
        <f>'BASE DE DATOS'!J67</f>
        <v>25.9</v>
      </c>
      <c r="K67" s="734">
        <f>'BASE DE DATOS'!K67</f>
        <v>35.299999999999997</v>
      </c>
      <c r="L67" s="734">
        <f>'BASE DE DATOS'!L67</f>
        <v>67</v>
      </c>
      <c r="M67" s="734">
        <f>'BASE DE DATOS'!M67</f>
        <v>76</v>
      </c>
      <c r="N67" s="734">
        <f>'BASE DE DATOS'!N67</f>
        <v>67</v>
      </c>
      <c r="O67" s="734">
        <f>'BASE DE DATOS'!O67</f>
        <v>40</v>
      </c>
      <c r="P67" s="734">
        <f>'BASE DE DATOS'!P67</f>
        <v>107</v>
      </c>
      <c r="Q67" s="734">
        <f>'BASE DE DATOS'!Q67</f>
        <v>1</v>
      </c>
      <c r="R67" s="734">
        <f>'BASE DE DATOS'!R67</f>
        <v>25.3</v>
      </c>
      <c r="S67" s="734">
        <f>'BASE DE DATOS'!S67</f>
        <v>0.51</v>
      </c>
      <c r="T67" s="734">
        <f>'BASE DE DATOS'!T67</f>
        <v>8.9</v>
      </c>
      <c r="U67" s="734">
        <f>'BASE DE DATOS'!U67</f>
        <v>17.600000000000001</v>
      </c>
      <c r="V67" s="734">
        <f>'BASE DE DATOS'!V67</f>
        <v>38</v>
      </c>
      <c r="W67" s="734">
        <f>'BASE DE DATOS'!W67</f>
        <v>93</v>
      </c>
      <c r="X67" s="734">
        <f>'BASE DE DATOS'!X67</f>
        <v>1.0999999999999999E-2</v>
      </c>
      <c r="Y67" s="734">
        <f>'BASE DE DATOS'!Y67</f>
        <v>1.4E-2</v>
      </c>
      <c r="Z67" s="734">
        <f>'BASE DE DATOS'!Z67</f>
        <v>155</v>
      </c>
      <c r="AA67" s="734">
        <f>'BASE DE DATOS'!AA67</f>
        <v>1.55</v>
      </c>
      <c r="AB67" s="734">
        <f>'BASE DE DATOS'!AB67</f>
        <v>30</v>
      </c>
      <c r="AD67" s="734" t="str">
        <f>'BASE DE DATOS'!AD67</f>
        <v>BELLAVISTA</v>
      </c>
      <c r="AE67" s="734">
        <f>'BASE DE DATOS'!AE67</f>
        <v>26.7</v>
      </c>
      <c r="AF67" s="734">
        <f>'BASE DE DATOS'!AF67</f>
        <v>26.1</v>
      </c>
      <c r="AG67" s="734">
        <f>'BASE DE DATOS'!AG67</f>
        <v>23.5</v>
      </c>
      <c r="AH67" s="734">
        <f>'BASE DE DATOS'!AH67</f>
        <v>20.3</v>
      </c>
      <c r="AI67" s="734">
        <f>'BASE DE DATOS'!AI67</f>
        <v>17.600000000000001</v>
      </c>
      <c r="AJ67" s="734">
        <f>'BASE DE DATOS'!AJ67</f>
        <v>15.2</v>
      </c>
      <c r="AK67" s="734">
        <f>'BASE DE DATOS'!AK67</f>
        <v>14.5</v>
      </c>
      <c r="AL67" s="734">
        <f>'BASE DE DATOS'!AL67</f>
        <v>16.3</v>
      </c>
      <c r="AM67" s="734">
        <f>'BASE DE DATOS'!AM67</f>
        <v>18.2</v>
      </c>
      <c r="AN67" s="734">
        <f>'BASE DE DATOS'!AN67</f>
        <v>20.5</v>
      </c>
      <c r="AO67" s="734">
        <f>'BASE DE DATOS'!AO67</f>
        <v>23.3</v>
      </c>
      <c r="AP67" s="734">
        <f>'BASE DE DATOS'!AP67</f>
        <v>25.4</v>
      </c>
      <c r="AR67" s="734" t="str">
        <f>'BASE DE DATOS'!AR67</f>
        <v>CR</v>
      </c>
      <c r="AS67" s="734" t="str">
        <f>'BASE DE DATOS'!AS67</f>
        <v>BELLAVISTA</v>
      </c>
      <c r="AT67" s="734">
        <f>'BASE DE DATOS'!AT67</f>
        <v>6.5</v>
      </c>
      <c r="AU67" s="734">
        <f>'BASE DE DATOS'!AU67</f>
        <v>6</v>
      </c>
      <c r="AV67" s="734">
        <f>'BASE DE DATOS'!AV67</f>
        <v>5</v>
      </c>
      <c r="AW67" s="734">
        <f>'BASE DE DATOS'!AW67</f>
        <v>4</v>
      </c>
      <c r="AX67" s="734">
        <f>'BASE DE DATOS'!AX67</f>
        <v>3</v>
      </c>
      <c r="AY67" s="734">
        <f>'BASE DE DATOS'!AY67</f>
        <v>2.5</v>
      </c>
      <c r="AZ67" s="734">
        <f>'BASE DE DATOS'!AZ67</f>
        <v>2.5</v>
      </c>
      <c r="BA67" s="734">
        <f>'BASE DE DATOS'!BA67</f>
        <v>3.5</v>
      </c>
      <c r="BB67" s="734">
        <f>'BASE DE DATOS'!BB67</f>
        <v>4.5</v>
      </c>
      <c r="BC67" s="734">
        <f>'BASE DE DATOS'!BC67</f>
        <v>5.5</v>
      </c>
      <c r="BD67" s="734">
        <f>'BASE DE DATOS'!BD67</f>
        <v>6</v>
      </c>
      <c r="BE67" s="734">
        <f>'BASE DE DATOS'!BE67</f>
        <v>6.5</v>
      </c>
      <c r="DO67" s="733" t="str">
        <f>'BASE DE DATOS'!BG67</f>
        <v>CR</v>
      </c>
      <c r="DP67" s="733" t="str">
        <f>'BASE DE DATOS'!BH67</f>
        <v>BELLAVISTA</v>
      </c>
      <c r="DQ67" s="733">
        <f>'BASE DE DATOS'!BI67</f>
        <v>151</v>
      </c>
      <c r="DR67" s="733">
        <f>'BASE DE DATOS'!BJ67</f>
        <v>139</v>
      </c>
      <c r="DS67" s="733">
        <f>'BASE DE DATOS'!BK67</f>
        <v>143</v>
      </c>
      <c r="DT67" s="733">
        <f>'BASE DE DATOS'!BL67</f>
        <v>161</v>
      </c>
      <c r="DU67" s="733">
        <f>'BASE DE DATOS'!BM67</f>
        <v>88</v>
      </c>
      <c r="DV67" s="733">
        <f>'BASE DE DATOS'!BN67</f>
        <v>56</v>
      </c>
      <c r="DW67" s="733">
        <f>'BASE DE DATOS'!BO67</f>
        <v>43</v>
      </c>
      <c r="DX67" s="733">
        <f>'BASE DE DATOS'!BP67</f>
        <v>43</v>
      </c>
      <c r="DY67" s="733">
        <f>'BASE DE DATOS'!BQ67</f>
        <v>68</v>
      </c>
      <c r="DZ67" s="733">
        <f>'BASE DE DATOS'!BR67</f>
        <v>132</v>
      </c>
      <c r="EA67" s="733">
        <f>'BASE DE DATOS'!BS67</f>
        <v>134</v>
      </c>
      <c r="EB67" s="733">
        <f>'BASE DE DATOS'!BT67</f>
        <v>131</v>
      </c>
      <c r="GM67" s="741"/>
      <c r="GN67" s="741"/>
      <c r="GO67" s="741"/>
      <c r="GP67" s="741"/>
      <c r="GQ67" s="727" t="s">
        <v>650</v>
      </c>
      <c r="GR67" s="762" t="e">
        <f>'LINEA BASE MALA'!AO190</f>
        <v>#DIV/0!</v>
      </c>
      <c r="GS67" s="762" t="e">
        <f>ENERGÍA!AF195</f>
        <v>#N/A</v>
      </c>
      <c r="GT67" s="762" t="e">
        <f>ENERGÍA!AY195</f>
        <v>#DIV/0!</v>
      </c>
      <c r="GU67" s="741"/>
      <c r="GV67" s="741"/>
      <c r="GW67" s="741"/>
      <c r="GX67" s="741"/>
      <c r="GY67" s="741"/>
    </row>
    <row r="68" spans="2:207" ht="16">
      <c r="B68" s="734" t="str">
        <f>'BASE DE DATOS'!B68</f>
        <v>CR</v>
      </c>
      <c r="C68" s="734" t="str">
        <f>'BASE DE DATOS'!C68</f>
        <v>CORRIENTES AERO</v>
      </c>
      <c r="D68" s="734">
        <f>'BASE DE DATOS'!D68</f>
        <v>27.45</v>
      </c>
      <c r="E68" s="734">
        <f>'BASE DE DATOS'!E68</f>
        <v>58.77</v>
      </c>
      <c r="F68" s="734">
        <f>'BASE DE DATOS'!F68</f>
        <v>62</v>
      </c>
      <c r="G68" s="734" t="str">
        <f>'BASE DE DATOS'!G68</f>
        <v>IB</v>
      </c>
      <c r="H68" s="734">
        <f>'BASE DE DATOS'!H68</f>
        <v>4.4000000000000004</v>
      </c>
      <c r="I68" s="734">
        <f>'BASE DE DATOS'!I68</f>
        <v>15.8</v>
      </c>
      <c r="J68" s="734">
        <f>'BASE DE DATOS'!J68</f>
        <v>26</v>
      </c>
      <c r="K68" s="734">
        <f>'BASE DE DATOS'!K68</f>
        <v>35.700000000000003</v>
      </c>
      <c r="L68" s="734">
        <f>'BASE DE DATOS'!L68</f>
        <v>70</v>
      </c>
      <c r="M68" s="734">
        <f>'BASE DE DATOS'!M68</f>
        <v>77</v>
      </c>
      <c r="N68" s="734">
        <f>'BASE DE DATOS'!N68</f>
        <v>70</v>
      </c>
      <c r="O68" s="734">
        <f>'BASE DE DATOS'!O68</f>
        <v>42</v>
      </c>
      <c r="P68" s="734">
        <f>'BASE DE DATOS'!P68</f>
        <v>151</v>
      </c>
      <c r="Q68" s="734">
        <f>'BASE DE DATOS'!Q68</f>
        <v>1</v>
      </c>
      <c r="R68" s="734">
        <f>'BASE DE DATOS'!R68</f>
        <v>25.7</v>
      </c>
      <c r="S68" s="734">
        <f>'BASE DE DATOS'!S68</f>
        <v>0.51</v>
      </c>
      <c r="T68" s="734">
        <f>'BASE DE DATOS'!T68</f>
        <v>8.9</v>
      </c>
      <c r="U68" s="734">
        <f>'BASE DE DATOS'!U68</f>
        <v>17.600000000000001</v>
      </c>
      <c r="V68" s="734">
        <f>'BASE DE DATOS'!V68</f>
        <v>38</v>
      </c>
      <c r="W68" s="734">
        <f>'BASE DE DATOS'!W68</f>
        <v>93</v>
      </c>
      <c r="X68" s="734">
        <f>'BASE DE DATOS'!X68</f>
        <v>1.0999999999999999E-2</v>
      </c>
      <c r="Y68" s="734">
        <f>'BASE DE DATOS'!Y68</f>
        <v>1.4E-2</v>
      </c>
      <c r="Z68" s="734">
        <f>'BASE DE DATOS'!Z68</f>
        <v>155</v>
      </c>
      <c r="AA68" s="734">
        <f>'BASE DE DATOS'!AA68</f>
        <v>1.55</v>
      </c>
      <c r="AB68" s="734">
        <f>'BASE DE DATOS'!AB68</f>
        <v>30</v>
      </c>
      <c r="AD68" s="734" t="str">
        <f>'BASE DE DATOS'!AD68</f>
        <v>CORRIENTES AERO</v>
      </c>
      <c r="AE68" s="734">
        <f>'BASE DE DATOS'!AE68</f>
        <v>27.5</v>
      </c>
      <c r="AF68" s="734">
        <f>'BASE DE DATOS'!AF68</f>
        <v>26.5</v>
      </c>
      <c r="AG68" s="734">
        <f>'BASE DE DATOS'!AG68</f>
        <v>25</v>
      </c>
      <c r="AH68" s="734">
        <f>'BASE DE DATOS'!AH68</f>
        <v>21.5</v>
      </c>
      <c r="AI68" s="734">
        <f>'BASE DE DATOS'!AI68</f>
        <v>18.5</v>
      </c>
      <c r="AJ68" s="734">
        <f>'BASE DE DATOS'!AJ68</f>
        <v>16.3</v>
      </c>
      <c r="AK68" s="734">
        <f>'BASE DE DATOS'!AK68</f>
        <v>16</v>
      </c>
      <c r="AL68" s="734">
        <f>'BASE DE DATOS'!AL68</f>
        <v>17</v>
      </c>
      <c r="AM68" s="734">
        <f>'BASE DE DATOS'!AM68</f>
        <v>19.3</v>
      </c>
      <c r="AN68" s="734">
        <f>'BASE DE DATOS'!AN68</f>
        <v>21.4</v>
      </c>
      <c r="AO68" s="734">
        <f>'BASE DE DATOS'!AO68</f>
        <v>23.7</v>
      </c>
      <c r="AP68" s="734">
        <f>'BASE DE DATOS'!AP68</f>
        <v>26.3</v>
      </c>
      <c r="AR68" s="734" t="str">
        <f>'BASE DE DATOS'!AR68</f>
        <v>CR</v>
      </c>
      <c r="AS68" s="734" t="str">
        <f>'BASE DE DATOS'!AS68</f>
        <v>CORRIENTES AERO</v>
      </c>
      <c r="AT68" s="734">
        <f>'BASE DE DATOS'!AT68</f>
        <v>6.5</v>
      </c>
      <c r="AU68" s="734">
        <f>'BASE DE DATOS'!AU68</f>
        <v>6</v>
      </c>
      <c r="AV68" s="734">
        <f>'BASE DE DATOS'!AV68</f>
        <v>5</v>
      </c>
      <c r="AW68" s="734">
        <f>'BASE DE DATOS'!AW68</f>
        <v>4</v>
      </c>
      <c r="AX68" s="734">
        <f>'BASE DE DATOS'!AX68</f>
        <v>3</v>
      </c>
      <c r="AY68" s="734">
        <f>'BASE DE DATOS'!AY68</f>
        <v>2.5</v>
      </c>
      <c r="AZ68" s="734">
        <f>'BASE DE DATOS'!AZ68</f>
        <v>2.5</v>
      </c>
      <c r="BA68" s="734">
        <f>'BASE DE DATOS'!BA68</f>
        <v>3.5</v>
      </c>
      <c r="BB68" s="734">
        <f>'BASE DE DATOS'!BB68</f>
        <v>4</v>
      </c>
      <c r="BC68" s="734">
        <f>'BASE DE DATOS'!BC68</f>
        <v>5.5</v>
      </c>
      <c r="BD68" s="734">
        <f>'BASE DE DATOS'!BD68</f>
        <v>5.5</v>
      </c>
      <c r="BE68" s="734">
        <f>'BASE DE DATOS'!BE68</f>
        <v>6.5</v>
      </c>
      <c r="DO68" s="733" t="str">
        <f>'BASE DE DATOS'!BG68</f>
        <v>CR</v>
      </c>
      <c r="DP68" s="733" t="str">
        <f>'BASE DE DATOS'!BH68</f>
        <v>CORRIENTES AERO</v>
      </c>
      <c r="DQ68" s="733">
        <f>'BASE DE DATOS'!BI68</f>
        <v>151</v>
      </c>
      <c r="DR68" s="733">
        <f>'BASE DE DATOS'!BJ68</f>
        <v>139</v>
      </c>
      <c r="DS68" s="733">
        <f>'BASE DE DATOS'!BK68</f>
        <v>143</v>
      </c>
      <c r="DT68" s="733">
        <f>'BASE DE DATOS'!BL68</f>
        <v>161</v>
      </c>
      <c r="DU68" s="733">
        <f>'BASE DE DATOS'!BM68</f>
        <v>88</v>
      </c>
      <c r="DV68" s="733">
        <f>'BASE DE DATOS'!BN68</f>
        <v>56</v>
      </c>
      <c r="DW68" s="733">
        <f>'BASE DE DATOS'!BO68</f>
        <v>43</v>
      </c>
      <c r="DX68" s="733">
        <f>'BASE DE DATOS'!BP68</f>
        <v>43</v>
      </c>
      <c r="DY68" s="733">
        <f>'BASE DE DATOS'!BQ68</f>
        <v>68</v>
      </c>
      <c r="DZ68" s="733">
        <f>'BASE DE DATOS'!BR68</f>
        <v>132</v>
      </c>
      <c r="EA68" s="733">
        <f>'BASE DE DATOS'!BS68</f>
        <v>134</v>
      </c>
      <c r="EB68" s="733">
        <f>'BASE DE DATOS'!BT68</f>
        <v>131</v>
      </c>
      <c r="GM68" s="741"/>
      <c r="GN68" s="741"/>
      <c r="GO68" s="741"/>
      <c r="GP68" s="741"/>
      <c r="GQ68" s="727" t="s">
        <v>688</v>
      </c>
      <c r="GR68" s="762">
        <f>'LINEA BASE MALA'!AD232</f>
        <v>0</v>
      </c>
      <c r="GS68" s="762">
        <f>ENERGÍA!AE237</f>
        <v>0</v>
      </c>
      <c r="GT68" s="762">
        <f>ENERGÍA!AX237</f>
        <v>0</v>
      </c>
      <c r="GU68" s="741"/>
      <c r="GV68" s="741"/>
      <c r="GW68" s="741"/>
      <c r="GX68" s="741"/>
      <c r="GY68" s="741"/>
    </row>
    <row r="69" spans="2:207" ht="16">
      <c r="B69" s="734" t="str">
        <f>'BASE DE DATOS'!B69</f>
        <v>CR</v>
      </c>
      <c r="C69" s="734" t="str">
        <f>'BASE DE DATOS'!C69</f>
        <v>CORRIENTES</v>
      </c>
      <c r="D69" s="734">
        <f>'BASE DE DATOS'!D69</f>
        <v>27.47</v>
      </c>
      <c r="E69" s="734">
        <f>'BASE DE DATOS'!E69</f>
        <v>58.82</v>
      </c>
      <c r="F69" s="734">
        <f>'BASE DE DATOS'!F69</f>
        <v>60</v>
      </c>
      <c r="G69" s="734" t="str">
        <f>'BASE DE DATOS'!G69</f>
        <v>IB</v>
      </c>
      <c r="H69" s="734">
        <f>'BASE DE DATOS'!H69</f>
        <v>6.6</v>
      </c>
      <c r="I69" s="734">
        <f>'BASE DE DATOS'!I69</f>
        <v>16.899999999999999</v>
      </c>
      <c r="J69" s="734">
        <f>'BASE DE DATOS'!J69</f>
        <v>26.8</v>
      </c>
      <c r="K69" s="734">
        <f>'BASE DE DATOS'!K69</f>
        <v>36.6</v>
      </c>
      <c r="L69" s="734">
        <f>'BASE DE DATOS'!L69</f>
        <v>68</v>
      </c>
      <c r="M69" s="734">
        <f>'BASE DE DATOS'!M69</f>
        <v>75</v>
      </c>
      <c r="N69" s="734">
        <f>'BASE DE DATOS'!N69</f>
        <v>68</v>
      </c>
      <c r="O69" s="734">
        <f>'BASE DE DATOS'!O69</f>
        <v>41</v>
      </c>
      <c r="P69" s="734">
        <f>'BASE DE DATOS'!P69</f>
        <v>168</v>
      </c>
      <c r="Q69" s="734">
        <f>'BASE DE DATOS'!Q69</f>
        <v>1</v>
      </c>
      <c r="R69" s="734">
        <f>'BASE DE DATOS'!R69</f>
        <v>26.6</v>
      </c>
      <c r="S69" s="734">
        <f>'BASE DE DATOS'!S69</f>
        <v>0.51</v>
      </c>
      <c r="T69" s="734">
        <f>'BASE DE DATOS'!T69</f>
        <v>8.9</v>
      </c>
      <c r="U69" s="734">
        <f>'BASE DE DATOS'!U69</f>
        <v>17.600000000000001</v>
      </c>
      <c r="V69" s="734">
        <f>'BASE DE DATOS'!V69</f>
        <v>38</v>
      </c>
      <c r="W69" s="734">
        <f>'BASE DE DATOS'!W69</f>
        <v>93</v>
      </c>
      <c r="X69" s="734">
        <f>'BASE DE DATOS'!X69</f>
        <v>1.0999999999999999E-2</v>
      </c>
      <c r="Y69" s="734">
        <f>'BASE DE DATOS'!Y69</f>
        <v>1.4E-2</v>
      </c>
      <c r="Z69" s="734">
        <f>'BASE DE DATOS'!Z69</f>
        <v>155</v>
      </c>
      <c r="AA69" s="734">
        <f>'BASE DE DATOS'!AA69</f>
        <v>1.55</v>
      </c>
      <c r="AB69" s="734">
        <f>'BASE DE DATOS'!AB69</f>
        <v>30</v>
      </c>
      <c r="AD69" s="734" t="str">
        <f>'BASE DE DATOS'!AD69</f>
        <v>CORRIENTES</v>
      </c>
      <c r="AE69" s="734">
        <f>'BASE DE DATOS'!AE69</f>
        <v>27.5</v>
      </c>
      <c r="AF69" s="734">
        <f>'BASE DE DATOS'!AF69</f>
        <v>27.2</v>
      </c>
      <c r="AG69" s="734">
        <f>'BASE DE DATOS'!AG69</f>
        <v>25.3</v>
      </c>
      <c r="AH69" s="734">
        <f>'BASE DE DATOS'!AH69</f>
        <v>22.5</v>
      </c>
      <c r="AI69" s="734">
        <f>'BASE DE DATOS'!AI69</f>
        <v>18.5</v>
      </c>
      <c r="AJ69" s="734">
        <f>'BASE DE DATOS'!AJ69</f>
        <v>17</v>
      </c>
      <c r="AK69" s="734">
        <f>'BASE DE DATOS'!AK69</f>
        <v>16</v>
      </c>
      <c r="AL69" s="734">
        <f>'BASE DE DATOS'!AL69</f>
        <v>18.5</v>
      </c>
      <c r="AM69" s="734">
        <f>'BASE DE DATOS'!AM69</f>
        <v>19.399999999999999</v>
      </c>
      <c r="AN69" s="734">
        <f>'BASE DE DATOS'!AN69</f>
        <v>21.8</v>
      </c>
      <c r="AO69" s="734">
        <f>'BASE DE DATOS'!AO69</f>
        <v>24.2</v>
      </c>
      <c r="AP69" s="734">
        <f>'BASE DE DATOS'!AP69</f>
        <v>26.8</v>
      </c>
      <c r="AR69" s="734" t="str">
        <f>'BASE DE DATOS'!AR69</f>
        <v>CR</v>
      </c>
      <c r="AS69" s="734" t="str">
        <f>'BASE DE DATOS'!AS69</f>
        <v>CORRIENTES</v>
      </c>
      <c r="AT69" s="734">
        <f>'BASE DE DATOS'!AT69</f>
        <v>6.5</v>
      </c>
      <c r="AU69" s="734">
        <f>'BASE DE DATOS'!AU69</f>
        <v>6</v>
      </c>
      <c r="AV69" s="734">
        <f>'BASE DE DATOS'!AV69</f>
        <v>5</v>
      </c>
      <c r="AW69" s="734">
        <f>'BASE DE DATOS'!AW69</f>
        <v>4</v>
      </c>
      <c r="AX69" s="734">
        <f>'BASE DE DATOS'!AX69</f>
        <v>3</v>
      </c>
      <c r="AY69" s="734">
        <f>'BASE DE DATOS'!AY69</f>
        <v>2.5</v>
      </c>
      <c r="AZ69" s="734">
        <f>'BASE DE DATOS'!AZ69</f>
        <v>2.5</v>
      </c>
      <c r="BA69" s="734">
        <f>'BASE DE DATOS'!BA69</f>
        <v>3.5</v>
      </c>
      <c r="BB69" s="734">
        <f>'BASE DE DATOS'!BB69</f>
        <v>4</v>
      </c>
      <c r="BC69" s="734">
        <f>'BASE DE DATOS'!BC69</f>
        <v>5.5</v>
      </c>
      <c r="BD69" s="734">
        <f>'BASE DE DATOS'!BD69</f>
        <v>5.5</v>
      </c>
      <c r="BE69" s="734">
        <f>'BASE DE DATOS'!BE69</f>
        <v>6.5</v>
      </c>
      <c r="DO69" s="733" t="str">
        <f>'BASE DE DATOS'!BG69</f>
        <v>CR</v>
      </c>
      <c r="DP69" s="733" t="str">
        <f>'BASE DE DATOS'!BH69</f>
        <v>CORRIENTES</v>
      </c>
      <c r="DQ69" s="733">
        <f>'BASE DE DATOS'!BI69</f>
        <v>151</v>
      </c>
      <c r="DR69" s="733">
        <f>'BASE DE DATOS'!BJ69</f>
        <v>139</v>
      </c>
      <c r="DS69" s="733">
        <f>'BASE DE DATOS'!BK69</f>
        <v>143</v>
      </c>
      <c r="DT69" s="733">
        <f>'BASE DE DATOS'!BL69</f>
        <v>161</v>
      </c>
      <c r="DU69" s="733">
        <f>'BASE DE DATOS'!BM69</f>
        <v>88</v>
      </c>
      <c r="DV69" s="733">
        <f>'BASE DE DATOS'!BN69</f>
        <v>56</v>
      </c>
      <c r="DW69" s="733">
        <f>'BASE DE DATOS'!BO69</f>
        <v>43</v>
      </c>
      <c r="DX69" s="733">
        <f>'BASE DE DATOS'!BP69</f>
        <v>43</v>
      </c>
      <c r="DY69" s="733">
        <f>'BASE DE DATOS'!BQ69</f>
        <v>68</v>
      </c>
      <c r="DZ69" s="733">
        <f>'BASE DE DATOS'!BR69</f>
        <v>132</v>
      </c>
      <c r="EA69" s="733">
        <f>'BASE DE DATOS'!BS69</f>
        <v>134</v>
      </c>
      <c r="EB69" s="733">
        <f>'BASE DE DATOS'!BT69</f>
        <v>131</v>
      </c>
      <c r="GM69" s="741"/>
      <c r="GN69" s="741"/>
      <c r="GO69" s="741"/>
      <c r="GP69" s="741"/>
      <c r="GQ69" s="741"/>
      <c r="GR69" s="741"/>
      <c r="GS69" s="741"/>
      <c r="GT69" s="741"/>
      <c r="GU69" s="741"/>
      <c r="GV69" s="741"/>
      <c r="GW69" s="741"/>
      <c r="GX69" s="741"/>
      <c r="GY69" s="741"/>
    </row>
    <row r="70" spans="2:207" ht="16">
      <c r="B70" s="734" t="str">
        <f>'BASE DE DATOS'!B70</f>
        <v>CR</v>
      </c>
      <c r="C70" s="734" t="str">
        <f>'BASE DE DATOS'!C70</f>
        <v>GENERAL PAZ</v>
      </c>
      <c r="D70" s="734">
        <f>'BASE DE DATOS'!D70</f>
        <v>27.75</v>
      </c>
      <c r="E70" s="734">
        <f>'BASE DE DATOS'!E70</f>
        <v>57.63</v>
      </c>
      <c r="F70" s="734">
        <f>'BASE DE DATOS'!F70</f>
        <v>74</v>
      </c>
      <c r="G70" s="734" t="str">
        <f>'BASE DE DATOS'!G70</f>
        <v>IB</v>
      </c>
      <c r="H70" s="734">
        <f>'BASE DE DATOS'!H70</f>
        <v>5.3</v>
      </c>
      <c r="I70" s="734">
        <f>'BASE DE DATOS'!I70</f>
        <v>16.100000000000001</v>
      </c>
      <c r="J70" s="734">
        <f>'BASE DE DATOS'!J70</f>
        <v>25.9</v>
      </c>
      <c r="K70" s="734">
        <f>'BASE DE DATOS'!K70</f>
        <v>35.9</v>
      </c>
      <c r="L70" s="734">
        <f>'BASE DE DATOS'!L70</f>
        <v>73</v>
      </c>
      <c r="M70" s="734">
        <f>'BASE DE DATOS'!M70</f>
        <v>79</v>
      </c>
      <c r="N70" s="734">
        <f>'BASE DE DATOS'!N70</f>
        <v>73</v>
      </c>
      <c r="O70" s="734">
        <f>'BASE DE DATOS'!O70</f>
        <v>61</v>
      </c>
      <c r="P70" s="734">
        <f>'BASE DE DATOS'!P70</f>
        <v>149</v>
      </c>
      <c r="Q70" s="734">
        <f>'BASE DE DATOS'!Q70</f>
        <v>1</v>
      </c>
      <c r="R70" s="734">
        <f>'BASE DE DATOS'!R70</f>
        <v>25.7</v>
      </c>
      <c r="S70" s="734">
        <f>'BASE DE DATOS'!S70</f>
        <v>0.51</v>
      </c>
      <c r="T70" s="734">
        <f>'BASE DE DATOS'!T70</f>
        <v>8.9</v>
      </c>
      <c r="U70" s="734">
        <f>'BASE DE DATOS'!U70</f>
        <v>17.600000000000001</v>
      </c>
      <c r="V70" s="734">
        <f>'BASE DE DATOS'!V70</f>
        <v>38</v>
      </c>
      <c r="W70" s="734">
        <f>'BASE DE DATOS'!W70</f>
        <v>93</v>
      </c>
      <c r="X70" s="734">
        <f>'BASE DE DATOS'!X70</f>
        <v>1.0999999999999999E-2</v>
      </c>
      <c r="Y70" s="734">
        <f>'BASE DE DATOS'!Y70</f>
        <v>1.4E-2</v>
      </c>
      <c r="Z70" s="734">
        <f>'BASE DE DATOS'!Z70</f>
        <v>155</v>
      </c>
      <c r="AA70" s="734">
        <f>'BASE DE DATOS'!AA70</f>
        <v>1.55</v>
      </c>
      <c r="AB70" s="734">
        <f>'BASE DE DATOS'!AB70</f>
        <v>30</v>
      </c>
      <c r="AD70" s="734" t="str">
        <f>'BASE DE DATOS'!AD70</f>
        <v>GENERAL PAZ</v>
      </c>
      <c r="AE70" s="734">
        <f>'BASE DE DATOS'!AE70</f>
        <v>21.8</v>
      </c>
      <c r="AF70" s="734">
        <f>'BASE DE DATOS'!AF70</f>
        <v>20.9</v>
      </c>
      <c r="AG70" s="734">
        <f>'BASE DE DATOS'!AG70</f>
        <v>18.7</v>
      </c>
      <c r="AH70" s="734">
        <f>'BASE DE DATOS'!AH70</f>
        <v>15.3</v>
      </c>
      <c r="AI70" s="734">
        <f>'BASE DE DATOS'!AI70</f>
        <v>12.7</v>
      </c>
      <c r="AJ70" s="734">
        <f>'BASE DE DATOS'!AJ70</f>
        <v>10</v>
      </c>
      <c r="AK70" s="734">
        <f>'BASE DE DATOS'!AK70</f>
        <v>9.9</v>
      </c>
      <c r="AL70" s="734">
        <f>'BASE DE DATOS'!AL70</f>
        <v>11.4</v>
      </c>
      <c r="AM70" s="734">
        <f>'BASE DE DATOS'!AM70</f>
        <v>13.8</v>
      </c>
      <c r="AN70" s="734">
        <f>'BASE DE DATOS'!AN70</f>
        <v>16.2</v>
      </c>
      <c r="AO70" s="734">
        <f>'BASE DE DATOS'!AO70</f>
        <v>18.8</v>
      </c>
      <c r="AP70" s="734">
        <f>'BASE DE DATOS'!AP70</f>
        <v>20.9</v>
      </c>
      <c r="AR70" s="734" t="str">
        <f>'BASE DE DATOS'!AR70</f>
        <v>CR</v>
      </c>
      <c r="AS70" s="734" t="str">
        <f>'BASE DE DATOS'!AS70</f>
        <v>GENERAL PAZ</v>
      </c>
      <c r="AT70" s="734">
        <f>'BASE DE DATOS'!AT70</f>
        <v>6.5</v>
      </c>
      <c r="AU70" s="734">
        <f>'BASE DE DATOS'!AU70</f>
        <v>6</v>
      </c>
      <c r="AV70" s="734">
        <f>'BASE DE DATOS'!AV70</f>
        <v>5</v>
      </c>
      <c r="AW70" s="734">
        <f>'BASE DE DATOS'!AW70</f>
        <v>4</v>
      </c>
      <c r="AX70" s="734">
        <f>'BASE DE DATOS'!AX70</f>
        <v>3</v>
      </c>
      <c r="AY70" s="734">
        <f>'BASE DE DATOS'!AY70</f>
        <v>2.5</v>
      </c>
      <c r="AZ70" s="734">
        <f>'BASE DE DATOS'!AZ70</f>
        <v>2.5</v>
      </c>
      <c r="BA70" s="734">
        <f>'BASE DE DATOS'!BA70</f>
        <v>3.5</v>
      </c>
      <c r="BB70" s="734">
        <f>'BASE DE DATOS'!BB70</f>
        <v>4</v>
      </c>
      <c r="BC70" s="734">
        <f>'BASE DE DATOS'!BC70</f>
        <v>5.5</v>
      </c>
      <c r="BD70" s="734">
        <f>'BASE DE DATOS'!BD70</f>
        <v>6</v>
      </c>
      <c r="BE70" s="734">
        <f>'BASE DE DATOS'!BE70</f>
        <v>6.5</v>
      </c>
      <c r="DO70" s="733" t="str">
        <f>'BASE DE DATOS'!BG70</f>
        <v>CR</v>
      </c>
      <c r="DP70" s="733" t="str">
        <f>'BASE DE DATOS'!BH70</f>
        <v>GENERAL PAZ</v>
      </c>
      <c r="DQ70" s="733">
        <f>'BASE DE DATOS'!BI70</f>
        <v>151</v>
      </c>
      <c r="DR70" s="733">
        <f>'BASE DE DATOS'!BJ70</f>
        <v>139</v>
      </c>
      <c r="DS70" s="733">
        <f>'BASE DE DATOS'!BK70</f>
        <v>143</v>
      </c>
      <c r="DT70" s="733">
        <f>'BASE DE DATOS'!BL70</f>
        <v>161</v>
      </c>
      <c r="DU70" s="733">
        <f>'BASE DE DATOS'!BM70</f>
        <v>88</v>
      </c>
      <c r="DV70" s="733">
        <f>'BASE DE DATOS'!BN70</f>
        <v>56</v>
      </c>
      <c r="DW70" s="733">
        <f>'BASE DE DATOS'!BO70</f>
        <v>43</v>
      </c>
      <c r="DX70" s="733">
        <f>'BASE DE DATOS'!BP70</f>
        <v>43</v>
      </c>
      <c r="DY70" s="733">
        <f>'BASE DE DATOS'!BQ70</f>
        <v>68</v>
      </c>
      <c r="DZ70" s="733">
        <f>'BASE DE DATOS'!BR70</f>
        <v>132</v>
      </c>
      <c r="EA70" s="733">
        <f>'BASE DE DATOS'!BS70</f>
        <v>134</v>
      </c>
      <c r="EB70" s="733">
        <f>'BASE DE DATOS'!BT70</f>
        <v>131</v>
      </c>
      <c r="GM70" s="741"/>
      <c r="GN70" s="741"/>
      <c r="GO70" s="741"/>
      <c r="GP70" s="741"/>
      <c r="GQ70" s="727" t="s">
        <v>1986</v>
      </c>
      <c r="GR70" s="762">
        <f>+SITIO!Y48</f>
        <v>0</v>
      </c>
      <c r="GS70" s="762">
        <f>+SITIO!Y47</f>
        <v>0</v>
      </c>
      <c r="GT70" s="762">
        <f>+SITIO!Y49</f>
        <v>0</v>
      </c>
      <c r="GU70" s="741"/>
      <c r="GV70" s="741"/>
      <c r="GW70" s="741"/>
      <c r="GX70" s="741"/>
      <c r="GY70" s="741"/>
    </row>
    <row r="71" spans="2:207" ht="16">
      <c r="B71" s="734" t="str">
        <f>'BASE DE DATOS'!B71</f>
        <v>CR</v>
      </c>
      <c r="C71" s="734" t="str">
        <f>'BASE DE DATOS'!C71</f>
        <v>GOYA</v>
      </c>
      <c r="D71" s="734">
        <f>'BASE DE DATOS'!D71</f>
        <v>29.13</v>
      </c>
      <c r="E71" s="734">
        <f>'BASE DE DATOS'!E71</f>
        <v>59.27</v>
      </c>
      <c r="F71" s="734">
        <f>'BASE DE DATOS'!F71</f>
        <v>36</v>
      </c>
      <c r="G71" s="734" t="str">
        <f>'BASE DE DATOS'!G71</f>
        <v>IIB</v>
      </c>
      <c r="H71" s="734">
        <f>'BASE DE DATOS'!H71</f>
        <v>2.7</v>
      </c>
      <c r="I71" s="734">
        <f>'BASE DE DATOS'!I71</f>
        <v>15.2</v>
      </c>
      <c r="J71" s="734">
        <f>'BASE DE DATOS'!J71</f>
        <v>26.1</v>
      </c>
      <c r="K71" s="734">
        <f>'BASE DE DATOS'!K71</f>
        <v>35.799999999999997</v>
      </c>
      <c r="L71" s="734">
        <f>'BASE DE DATOS'!L71</f>
        <v>71</v>
      </c>
      <c r="M71" s="734">
        <f>'BASE DE DATOS'!M71</f>
        <v>78</v>
      </c>
      <c r="N71" s="734">
        <f>'BASE DE DATOS'!N71</f>
        <v>71</v>
      </c>
      <c r="O71" s="734">
        <f>'BASE DE DATOS'!O71</f>
        <v>40</v>
      </c>
      <c r="P71" s="734">
        <f>'BASE DE DATOS'!P71</f>
        <v>126</v>
      </c>
      <c r="Q71" s="734">
        <f>'BASE DE DATOS'!Q71</f>
        <v>2</v>
      </c>
      <c r="R71" s="734">
        <f>'BASE DE DATOS'!R71</f>
        <v>25.1</v>
      </c>
      <c r="S71" s="734">
        <f>'BASE DE DATOS'!S71</f>
        <v>0.51</v>
      </c>
      <c r="T71" s="734">
        <f>'BASE DE DATOS'!T71</f>
        <v>8.9</v>
      </c>
      <c r="U71" s="734">
        <f>'BASE DE DATOS'!U71</f>
        <v>17.600000000000001</v>
      </c>
      <c r="V71" s="734">
        <f>'BASE DE DATOS'!V71</f>
        <v>38</v>
      </c>
      <c r="W71" s="734">
        <f>'BASE DE DATOS'!W71</f>
        <v>93</v>
      </c>
      <c r="X71" s="734">
        <f>'BASE DE DATOS'!X71</f>
        <v>1.0999999999999999E-2</v>
      </c>
      <c r="Y71" s="734">
        <f>'BASE DE DATOS'!Y71</f>
        <v>1.4E-2</v>
      </c>
      <c r="Z71" s="734">
        <f>'BASE DE DATOS'!Z71</f>
        <v>155</v>
      </c>
      <c r="AA71" s="734">
        <f>'BASE DE DATOS'!AA71</f>
        <v>1.55</v>
      </c>
      <c r="AB71" s="734">
        <f>'BASE DE DATOS'!AB71</f>
        <v>30</v>
      </c>
      <c r="AD71" s="734" t="str">
        <f>'BASE DE DATOS'!AD71</f>
        <v>GOYA</v>
      </c>
      <c r="AE71" s="734">
        <f>'BASE DE DATOS'!AE71</f>
        <v>26.5</v>
      </c>
      <c r="AF71" s="734">
        <f>'BASE DE DATOS'!AF71</f>
        <v>26</v>
      </c>
      <c r="AG71" s="734">
        <f>'BASE DE DATOS'!AG71</f>
        <v>24.3</v>
      </c>
      <c r="AH71" s="734">
        <f>'BASE DE DATOS'!AH71</f>
        <v>19.7</v>
      </c>
      <c r="AI71" s="734">
        <f>'BASE DE DATOS'!AI71</f>
        <v>17</v>
      </c>
      <c r="AJ71" s="734">
        <f>'BASE DE DATOS'!AJ71</f>
        <v>14.5</v>
      </c>
      <c r="AK71" s="734">
        <f>'BASE DE DATOS'!AK71</f>
        <v>14.5</v>
      </c>
      <c r="AL71" s="734">
        <f>'BASE DE DATOS'!AL71</f>
        <v>15.6</v>
      </c>
      <c r="AM71" s="734">
        <f>'BASE DE DATOS'!AM71</f>
        <v>17.5</v>
      </c>
      <c r="AN71" s="734">
        <f>'BASE DE DATOS'!AN71</f>
        <v>20.2</v>
      </c>
      <c r="AO71" s="734">
        <f>'BASE DE DATOS'!AO71</f>
        <v>22.8</v>
      </c>
      <c r="AP71" s="734">
        <f>'BASE DE DATOS'!AP71</f>
        <v>25.2</v>
      </c>
      <c r="AR71" s="734" t="str">
        <f>'BASE DE DATOS'!AR71</f>
        <v>CR</v>
      </c>
      <c r="AS71" s="734" t="str">
        <f>'BASE DE DATOS'!AS71</f>
        <v>GOYA</v>
      </c>
      <c r="AT71" s="734">
        <f>'BASE DE DATOS'!AT71</f>
        <v>6.5</v>
      </c>
      <c r="AU71" s="734">
        <f>'BASE DE DATOS'!AU71</f>
        <v>6</v>
      </c>
      <c r="AV71" s="734">
        <f>'BASE DE DATOS'!AV71</f>
        <v>5</v>
      </c>
      <c r="AW71" s="734">
        <f>'BASE DE DATOS'!AW71</f>
        <v>4</v>
      </c>
      <c r="AX71" s="734">
        <f>'BASE DE DATOS'!AX71</f>
        <v>3</v>
      </c>
      <c r="AY71" s="734">
        <f>'BASE DE DATOS'!AY71</f>
        <v>2.5</v>
      </c>
      <c r="AZ71" s="734">
        <f>'BASE DE DATOS'!AZ71</f>
        <v>2.5</v>
      </c>
      <c r="BA71" s="734">
        <f>'BASE DE DATOS'!BA71</f>
        <v>3.5</v>
      </c>
      <c r="BB71" s="734">
        <f>'BASE DE DATOS'!BB71</f>
        <v>4.5</v>
      </c>
      <c r="BC71" s="734">
        <f>'BASE DE DATOS'!BC71</f>
        <v>5.5</v>
      </c>
      <c r="BD71" s="734">
        <f>'BASE DE DATOS'!BD71</f>
        <v>6</v>
      </c>
      <c r="BE71" s="734">
        <f>'BASE DE DATOS'!BE71</f>
        <v>6.5</v>
      </c>
      <c r="DO71" s="733" t="str">
        <f>'BASE DE DATOS'!BG71</f>
        <v>CR</v>
      </c>
      <c r="DP71" s="733" t="str">
        <f>'BASE DE DATOS'!BH71</f>
        <v>GOYA</v>
      </c>
      <c r="DQ71" s="733">
        <f>'BASE DE DATOS'!BI71</f>
        <v>151</v>
      </c>
      <c r="DR71" s="733">
        <f>'BASE DE DATOS'!BJ71</f>
        <v>139</v>
      </c>
      <c r="DS71" s="733">
        <f>'BASE DE DATOS'!BK71</f>
        <v>143</v>
      </c>
      <c r="DT71" s="733">
        <f>'BASE DE DATOS'!BL71</f>
        <v>161</v>
      </c>
      <c r="DU71" s="733">
        <f>'BASE DE DATOS'!BM71</f>
        <v>88</v>
      </c>
      <c r="DV71" s="733">
        <f>'BASE DE DATOS'!BN71</f>
        <v>56</v>
      </c>
      <c r="DW71" s="733">
        <f>'BASE DE DATOS'!BO71</f>
        <v>43</v>
      </c>
      <c r="DX71" s="733">
        <f>'BASE DE DATOS'!BP71</f>
        <v>43</v>
      </c>
      <c r="DY71" s="733">
        <f>'BASE DE DATOS'!BQ71</f>
        <v>68</v>
      </c>
      <c r="DZ71" s="733">
        <f>'BASE DE DATOS'!BR71</f>
        <v>132</v>
      </c>
      <c r="EA71" s="733">
        <f>'BASE DE DATOS'!BS71</f>
        <v>134</v>
      </c>
      <c r="EB71" s="733">
        <f>'BASE DE DATOS'!BT71</f>
        <v>131</v>
      </c>
      <c r="GM71" s="741"/>
      <c r="GN71" s="741"/>
      <c r="GO71" s="741"/>
      <c r="GP71" s="741"/>
      <c r="GQ71" s="727" t="s">
        <v>1971</v>
      </c>
      <c r="GR71" s="762" t="e">
        <f>(GP45*0.43)</f>
        <v>#DIV/0!</v>
      </c>
      <c r="GS71" s="762">
        <f>(GT45*0.43)</f>
        <v>0</v>
      </c>
      <c r="GT71" s="762">
        <f>(GO45*0.43)</f>
        <v>0</v>
      </c>
      <c r="GU71" s="741"/>
      <c r="GV71" s="741"/>
      <c r="GW71" s="741"/>
      <c r="GX71" s="741"/>
      <c r="GY71" s="741"/>
    </row>
    <row r="72" spans="2:207" ht="16">
      <c r="B72" s="734" t="str">
        <f>'BASE DE DATOS'!B72</f>
        <v>CR</v>
      </c>
      <c r="C72" s="734" t="str">
        <f>'BASE DE DATOS'!C72</f>
        <v>ITUZAINGO</v>
      </c>
      <c r="D72" s="734">
        <f>'BASE DE DATOS'!D72</f>
        <v>27.6</v>
      </c>
      <c r="E72" s="734">
        <f>'BASE DE DATOS'!E72</f>
        <v>56.7</v>
      </c>
      <c r="F72" s="734">
        <f>'BASE DE DATOS'!F72</f>
        <v>80</v>
      </c>
      <c r="G72" s="734" t="str">
        <f>'BASE DE DATOS'!G72</f>
        <v>IB</v>
      </c>
      <c r="H72" s="734">
        <f>'BASE DE DATOS'!H72</f>
        <v>6.3</v>
      </c>
      <c r="I72" s="734">
        <f>'BASE DE DATOS'!I72</f>
        <v>16.7</v>
      </c>
      <c r="J72" s="734">
        <f>'BASE DE DATOS'!J72</f>
        <v>26.1</v>
      </c>
      <c r="K72" s="734">
        <f>'BASE DE DATOS'!K72</f>
        <v>35.299999999999997</v>
      </c>
      <c r="L72" s="734">
        <f>'BASE DE DATOS'!L72</f>
        <v>76</v>
      </c>
      <c r="M72" s="734">
        <f>'BASE DE DATOS'!M72</f>
        <v>80</v>
      </c>
      <c r="N72" s="734">
        <f>'BASE DE DATOS'!N72</f>
        <v>76</v>
      </c>
      <c r="O72" s="734">
        <f>'BASE DE DATOS'!O72</f>
        <v>92</v>
      </c>
      <c r="P72" s="734">
        <f>'BASE DE DATOS'!P72</f>
        <v>164</v>
      </c>
      <c r="Q72" s="734">
        <f>'BASE DE DATOS'!Q72</f>
        <v>1</v>
      </c>
      <c r="R72" s="734">
        <f>'BASE DE DATOS'!R72</f>
        <v>25.1</v>
      </c>
      <c r="S72" s="734">
        <f>'BASE DE DATOS'!S72</f>
        <v>0.51</v>
      </c>
      <c r="T72" s="734">
        <f>'BASE DE DATOS'!T72</f>
        <v>8.9</v>
      </c>
      <c r="U72" s="734">
        <f>'BASE DE DATOS'!U72</f>
        <v>17.600000000000001</v>
      </c>
      <c r="V72" s="734">
        <f>'BASE DE DATOS'!V72</f>
        <v>38</v>
      </c>
      <c r="W72" s="734">
        <f>'BASE DE DATOS'!W72</f>
        <v>93</v>
      </c>
      <c r="X72" s="734">
        <f>'BASE DE DATOS'!X72</f>
        <v>1.0999999999999999E-2</v>
      </c>
      <c r="Y72" s="734">
        <f>'BASE DE DATOS'!Y72</f>
        <v>1.4E-2</v>
      </c>
      <c r="Z72" s="734">
        <f>'BASE DE DATOS'!Z72</f>
        <v>145</v>
      </c>
      <c r="AA72" s="734">
        <f>'BASE DE DATOS'!AA72</f>
        <v>1.45</v>
      </c>
      <c r="AB72" s="734">
        <f>'BASE DE DATOS'!AB72</f>
        <v>30</v>
      </c>
      <c r="AD72" s="734" t="str">
        <f>'BASE DE DATOS'!AD72</f>
        <v>ITUZAINGO</v>
      </c>
      <c r="AE72" s="734">
        <f>'BASE DE DATOS'!AE72</f>
        <v>23.3</v>
      </c>
      <c r="AF72" s="734">
        <f>'BASE DE DATOS'!AF72</f>
        <v>22</v>
      </c>
      <c r="AG72" s="734">
        <f>'BASE DE DATOS'!AG72</f>
        <v>20.3</v>
      </c>
      <c r="AH72" s="734">
        <f>'BASE DE DATOS'!AH72</f>
        <v>15.6</v>
      </c>
      <c r="AI72" s="734">
        <f>'BASE DE DATOS'!AI72</f>
        <v>12.9</v>
      </c>
      <c r="AJ72" s="734">
        <f>'BASE DE DATOS'!AJ72</f>
        <v>10.3</v>
      </c>
      <c r="AK72" s="734">
        <f>'BASE DE DATOS'!AK72</f>
        <v>10.1</v>
      </c>
      <c r="AL72" s="734">
        <f>'BASE DE DATOS'!AL72</f>
        <v>11.2</v>
      </c>
      <c r="AM72" s="734">
        <f>'BASE DE DATOS'!AM72</f>
        <v>13</v>
      </c>
      <c r="AN72" s="734">
        <f>'BASE DE DATOS'!AN72</f>
        <v>15.8</v>
      </c>
      <c r="AO72" s="734">
        <f>'BASE DE DATOS'!AO72</f>
        <v>18.8</v>
      </c>
      <c r="AP72" s="734">
        <f>'BASE DE DATOS'!AP72</f>
        <v>21.2</v>
      </c>
      <c r="AR72" s="734" t="str">
        <f>'BASE DE DATOS'!AR72</f>
        <v>CR</v>
      </c>
      <c r="AS72" s="734" t="str">
        <f>'BASE DE DATOS'!AS72</f>
        <v>ITUZAINGO</v>
      </c>
      <c r="AT72" s="734">
        <f>'BASE DE DATOS'!AT72</f>
        <v>6</v>
      </c>
      <c r="AU72" s="734">
        <f>'BASE DE DATOS'!AU72</f>
        <v>6</v>
      </c>
      <c r="AV72" s="734">
        <f>'BASE DE DATOS'!AV72</f>
        <v>5</v>
      </c>
      <c r="AW72" s="734">
        <f>'BASE DE DATOS'!AW72</f>
        <v>4</v>
      </c>
      <c r="AX72" s="734">
        <f>'BASE DE DATOS'!AX72</f>
        <v>3</v>
      </c>
      <c r="AY72" s="734">
        <f>'BASE DE DATOS'!AY72</f>
        <v>2.5</v>
      </c>
      <c r="AZ72" s="734">
        <f>'BASE DE DATOS'!AZ72</f>
        <v>2.5</v>
      </c>
      <c r="BA72" s="734">
        <f>'BASE DE DATOS'!BA72</f>
        <v>3.5</v>
      </c>
      <c r="BB72" s="734">
        <f>'BASE DE DATOS'!BB72</f>
        <v>4</v>
      </c>
      <c r="BC72" s="734">
        <f>'BASE DE DATOS'!BC72</f>
        <v>5</v>
      </c>
      <c r="BD72" s="734">
        <f>'BASE DE DATOS'!BD72</f>
        <v>5.5</v>
      </c>
      <c r="BE72" s="734">
        <f>'BASE DE DATOS'!BE72</f>
        <v>6.5</v>
      </c>
      <c r="DO72" s="733" t="str">
        <f>'BASE DE DATOS'!BG72</f>
        <v>CR</v>
      </c>
      <c r="DP72" s="733" t="str">
        <f>'BASE DE DATOS'!BH72</f>
        <v>ITUZAINGO</v>
      </c>
      <c r="DQ72" s="733">
        <f>'BASE DE DATOS'!BI72</f>
        <v>151</v>
      </c>
      <c r="DR72" s="733">
        <f>'BASE DE DATOS'!BJ72</f>
        <v>139</v>
      </c>
      <c r="DS72" s="733">
        <f>'BASE DE DATOS'!BK72</f>
        <v>143</v>
      </c>
      <c r="DT72" s="733">
        <f>'BASE DE DATOS'!BL72</f>
        <v>161</v>
      </c>
      <c r="DU72" s="733">
        <f>'BASE DE DATOS'!BM72</f>
        <v>88</v>
      </c>
      <c r="DV72" s="733">
        <f>'BASE DE DATOS'!BN72</f>
        <v>56</v>
      </c>
      <c r="DW72" s="733">
        <f>'BASE DE DATOS'!BO72</f>
        <v>43</v>
      </c>
      <c r="DX72" s="733">
        <f>'BASE DE DATOS'!BP72</f>
        <v>43</v>
      </c>
      <c r="DY72" s="733">
        <f>'BASE DE DATOS'!BQ72</f>
        <v>68</v>
      </c>
      <c r="DZ72" s="733">
        <f>'BASE DE DATOS'!BR72</f>
        <v>132</v>
      </c>
      <c r="EA72" s="733">
        <f>'BASE DE DATOS'!BS72</f>
        <v>134</v>
      </c>
      <c r="EB72" s="733">
        <f>'BASE DE DATOS'!BT72</f>
        <v>131</v>
      </c>
      <c r="GM72" s="741"/>
      <c r="GN72" s="741"/>
      <c r="GO72" s="741"/>
      <c r="GP72" s="741"/>
      <c r="GQ72" s="727" t="s">
        <v>624</v>
      </c>
      <c r="GR72" s="762" t="e">
        <f>+(GP48*0.2019)</f>
        <v>#DIV/0!</v>
      </c>
      <c r="GS72" s="762">
        <f>+(GT48*0.2019)</f>
        <v>0</v>
      </c>
      <c r="GT72" s="762">
        <f>+(GO48*0.2019)</f>
        <v>0</v>
      </c>
      <c r="GU72" s="741"/>
      <c r="GV72" s="741"/>
      <c r="GW72" s="741"/>
      <c r="GX72" s="741"/>
      <c r="GY72" s="741"/>
    </row>
    <row r="73" spans="2:207" ht="16">
      <c r="B73" s="734" t="str">
        <f>'BASE DE DATOS'!B73</f>
        <v>CR</v>
      </c>
      <c r="C73" s="734" t="str">
        <f>'BASE DE DATOS'!C73</f>
        <v>MONTE CASEROS</v>
      </c>
      <c r="D73" s="734">
        <f>'BASE DE DATOS'!D73</f>
        <v>30.27</v>
      </c>
      <c r="E73" s="734">
        <f>'BASE DE DATOS'!E73</f>
        <v>57.65</v>
      </c>
      <c r="F73" s="734">
        <f>'BASE DE DATOS'!F73</f>
        <v>54</v>
      </c>
      <c r="G73" s="734" t="str">
        <f>'BASE DE DATOS'!G73</f>
        <v>IIB</v>
      </c>
      <c r="H73" s="734">
        <f>'BASE DE DATOS'!H73</f>
        <v>3.7</v>
      </c>
      <c r="I73" s="734">
        <f>'BASE DE DATOS'!I73</f>
        <v>14</v>
      </c>
      <c r="J73" s="734">
        <f>'BASE DE DATOS'!J73</f>
        <v>25.2</v>
      </c>
      <c r="K73" s="734">
        <f>'BASE DE DATOS'!K73</f>
        <v>34.700000000000003</v>
      </c>
      <c r="L73" s="734">
        <f>'BASE DE DATOS'!L73</f>
        <v>64</v>
      </c>
      <c r="M73" s="734">
        <f>'BASE DE DATOS'!M73</f>
        <v>78</v>
      </c>
      <c r="N73" s="734">
        <f>'BASE DE DATOS'!N73</f>
        <v>64</v>
      </c>
      <c r="O73" s="734">
        <f>'BASE DE DATOS'!O73</f>
        <v>59</v>
      </c>
      <c r="P73" s="734">
        <f>'BASE DE DATOS'!P73</f>
        <v>134</v>
      </c>
      <c r="Q73" s="734">
        <f>'BASE DE DATOS'!Q73</f>
        <v>2</v>
      </c>
      <c r="R73" s="734">
        <f>'BASE DE DATOS'!R73</f>
        <v>24.6</v>
      </c>
      <c r="S73" s="734">
        <f>'BASE DE DATOS'!S73</f>
        <v>0.51</v>
      </c>
      <c r="T73" s="734">
        <f>'BASE DE DATOS'!T73</f>
        <v>8.9</v>
      </c>
      <c r="U73" s="734">
        <f>'BASE DE DATOS'!U73</f>
        <v>17.600000000000001</v>
      </c>
      <c r="V73" s="734">
        <f>'BASE DE DATOS'!V73</f>
        <v>38</v>
      </c>
      <c r="W73" s="734">
        <f>'BASE DE DATOS'!W73</f>
        <v>93</v>
      </c>
      <c r="X73" s="734">
        <f>'BASE DE DATOS'!X73</f>
        <v>1.0999999999999999E-2</v>
      </c>
      <c r="Y73" s="734">
        <f>'BASE DE DATOS'!Y73</f>
        <v>1.4E-2</v>
      </c>
      <c r="Z73" s="734">
        <f>'BASE DE DATOS'!Z73</f>
        <v>155</v>
      </c>
      <c r="AA73" s="734">
        <f>'BASE DE DATOS'!AA73</f>
        <v>1.55</v>
      </c>
      <c r="AB73" s="734">
        <f>'BASE DE DATOS'!AB73</f>
        <v>30</v>
      </c>
      <c r="AD73" s="734" t="str">
        <f>'BASE DE DATOS'!AD73</f>
        <v>MONTE CASEROS</v>
      </c>
      <c r="AE73" s="734">
        <f>'BASE DE DATOS'!AE73</f>
        <v>26.5</v>
      </c>
      <c r="AF73" s="734">
        <f>'BASE DE DATOS'!AF73</f>
        <v>25.5</v>
      </c>
      <c r="AG73" s="734">
        <f>'BASE DE DATOS'!AG73</f>
        <v>24</v>
      </c>
      <c r="AH73" s="734">
        <f>'BASE DE DATOS'!AH73</f>
        <v>20.5</v>
      </c>
      <c r="AI73" s="734">
        <f>'BASE DE DATOS'!AI73</f>
        <v>16.5</v>
      </c>
      <c r="AJ73" s="734">
        <f>'BASE DE DATOS'!AJ73</f>
        <v>14</v>
      </c>
      <c r="AK73" s="734">
        <f>'BASE DE DATOS'!AK73</f>
        <v>13.5</v>
      </c>
      <c r="AL73" s="734">
        <f>'BASE DE DATOS'!AL73</f>
        <v>16</v>
      </c>
      <c r="AM73" s="734">
        <f>'BASE DE DATOS'!AM73</f>
        <v>18</v>
      </c>
      <c r="AN73" s="734">
        <f>'BASE DE DATOS'!AN73</f>
        <v>20</v>
      </c>
      <c r="AO73" s="734">
        <f>'BASE DE DATOS'!AO73</f>
        <v>22.5</v>
      </c>
      <c r="AP73" s="734">
        <f>'BASE DE DATOS'!AP73</f>
        <v>25.5</v>
      </c>
      <c r="AR73" s="734" t="str">
        <f>'BASE DE DATOS'!AR73</f>
        <v>CR</v>
      </c>
      <c r="AS73" s="734" t="str">
        <f>'BASE DE DATOS'!AS73</f>
        <v>MONTE CASEROS</v>
      </c>
      <c r="AT73" s="734">
        <f>'BASE DE DATOS'!AT73</f>
        <v>6.5</v>
      </c>
      <c r="AU73" s="734">
        <f>'BASE DE DATOS'!AU73</f>
        <v>6</v>
      </c>
      <c r="AV73" s="734">
        <f>'BASE DE DATOS'!AV73</f>
        <v>5</v>
      </c>
      <c r="AW73" s="734">
        <f>'BASE DE DATOS'!AW73</f>
        <v>4</v>
      </c>
      <c r="AX73" s="734">
        <f>'BASE DE DATOS'!AX73</f>
        <v>3</v>
      </c>
      <c r="AY73" s="734">
        <f>'BASE DE DATOS'!AY73</f>
        <v>2.5</v>
      </c>
      <c r="AZ73" s="734">
        <f>'BASE DE DATOS'!AZ73</f>
        <v>2.5</v>
      </c>
      <c r="BA73" s="734">
        <f>'BASE DE DATOS'!BA73</f>
        <v>3.5</v>
      </c>
      <c r="BB73" s="734">
        <f>'BASE DE DATOS'!BB73</f>
        <v>4</v>
      </c>
      <c r="BC73" s="734">
        <f>'BASE DE DATOS'!BC73</f>
        <v>5.5</v>
      </c>
      <c r="BD73" s="734">
        <f>'BASE DE DATOS'!BD73</f>
        <v>6</v>
      </c>
      <c r="BE73" s="734">
        <f>'BASE DE DATOS'!BE73</f>
        <v>6.5</v>
      </c>
      <c r="DO73" s="733" t="str">
        <f>'BASE DE DATOS'!BG73</f>
        <v>CR</v>
      </c>
      <c r="DP73" s="733" t="str">
        <f>'BASE DE DATOS'!BH73</f>
        <v>MONTE CASEROS</v>
      </c>
      <c r="DQ73" s="733">
        <f>'BASE DE DATOS'!BI73</f>
        <v>151</v>
      </c>
      <c r="DR73" s="733">
        <f>'BASE DE DATOS'!BJ73</f>
        <v>139</v>
      </c>
      <c r="DS73" s="733">
        <f>'BASE DE DATOS'!BK73</f>
        <v>143</v>
      </c>
      <c r="DT73" s="733">
        <f>'BASE DE DATOS'!BL73</f>
        <v>161</v>
      </c>
      <c r="DU73" s="733">
        <f>'BASE DE DATOS'!BM73</f>
        <v>88</v>
      </c>
      <c r="DV73" s="733">
        <f>'BASE DE DATOS'!BN73</f>
        <v>56</v>
      </c>
      <c r="DW73" s="733">
        <f>'BASE DE DATOS'!BO73</f>
        <v>43</v>
      </c>
      <c r="DX73" s="733">
        <f>'BASE DE DATOS'!BP73</f>
        <v>43</v>
      </c>
      <c r="DY73" s="733">
        <f>'BASE DE DATOS'!BQ73</f>
        <v>68</v>
      </c>
      <c r="DZ73" s="733">
        <f>'BASE DE DATOS'!BR73</f>
        <v>132</v>
      </c>
      <c r="EA73" s="733">
        <f>'BASE DE DATOS'!BS73</f>
        <v>134</v>
      </c>
      <c r="EB73" s="733">
        <f>'BASE DE DATOS'!BT73</f>
        <v>131</v>
      </c>
      <c r="GM73" s="741"/>
      <c r="GN73" s="741"/>
      <c r="GO73" s="741"/>
      <c r="GP73" s="741"/>
      <c r="GQ73" s="727" t="str">
        <f>ENERGÍA!B247</f>
        <v>Sistema Solar Térmico - SST</v>
      </c>
      <c r="GR73" s="762">
        <v>0</v>
      </c>
      <c r="GS73" s="762">
        <f>ENERGÍA!AG250</f>
        <v>0</v>
      </c>
      <c r="GT73" s="762">
        <f>ENERGÍA!AY250</f>
        <v>0</v>
      </c>
      <c r="GU73" s="741"/>
      <c r="GV73" s="741"/>
      <c r="GW73" s="741"/>
      <c r="GX73" s="741"/>
      <c r="GY73" s="741"/>
    </row>
    <row r="74" spans="2:207" ht="16">
      <c r="B74" s="734" t="str">
        <f>'BASE DE DATOS'!B74</f>
        <v>CR</v>
      </c>
      <c r="C74" s="734" t="str">
        <f>'BASE DE DATOS'!C74</f>
        <v>PASO DE LOS LIBRES</v>
      </c>
      <c r="D74" s="734">
        <f>'BASE DE DATOS'!D74</f>
        <v>29.68</v>
      </c>
      <c r="E74" s="734">
        <f>'BASE DE DATOS'!E74</f>
        <v>57.15</v>
      </c>
      <c r="F74" s="734">
        <f>'BASE DE DATOS'!F74</f>
        <v>70</v>
      </c>
      <c r="G74" s="734" t="str">
        <f>'BASE DE DATOS'!G74</f>
        <v>IIB</v>
      </c>
      <c r="H74" s="734">
        <f>'BASE DE DATOS'!H74</f>
        <v>3.4</v>
      </c>
      <c r="I74" s="734">
        <f>'BASE DE DATOS'!I74</f>
        <v>14.1</v>
      </c>
      <c r="J74" s="734">
        <f>'BASE DE DATOS'!J74</f>
        <v>25.4</v>
      </c>
      <c r="K74" s="734">
        <f>'BASE DE DATOS'!K74</f>
        <v>34.9</v>
      </c>
      <c r="L74" s="734">
        <f>'BASE DE DATOS'!L74</f>
        <v>65</v>
      </c>
      <c r="M74" s="734">
        <f>'BASE DE DATOS'!M74</f>
        <v>80</v>
      </c>
      <c r="N74" s="734">
        <f>'BASE DE DATOS'!N74</f>
        <v>65</v>
      </c>
      <c r="O74" s="734">
        <f>'BASE DE DATOS'!O74</f>
        <v>67</v>
      </c>
      <c r="P74" s="734">
        <f>'BASE DE DATOS'!P74</f>
        <v>123</v>
      </c>
      <c r="Q74" s="734">
        <f>'BASE DE DATOS'!Q74</f>
        <v>2</v>
      </c>
      <c r="R74" s="734">
        <f>'BASE DE DATOS'!R74</f>
        <v>24.7</v>
      </c>
      <c r="S74" s="734">
        <f>'BASE DE DATOS'!S74</f>
        <v>0.51</v>
      </c>
      <c r="T74" s="734">
        <f>'BASE DE DATOS'!T74</f>
        <v>8.9</v>
      </c>
      <c r="U74" s="734">
        <f>'BASE DE DATOS'!U74</f>
        <v>17.600000000000001</v>
      </c>
      <c r="V74" s="734">
        <f>'BASE DE DATOS'!V74</f>
        <v>38</v>
      </c>
      <c r="W74" s="734">
        <f>'BASE DE DATOS'!W74</f>
        <v>93</v>
      </c>
      <c r="X74" s="734">
        <f>'BASE DE DATOS'!X74</f>
        <v>1.0999999999999999E-2</v>
      </c>
      <c r="Y74" s="734">
        <f>'BASE DE DATOS'!Y74</f>
        <v>1.4E-2</v>
      </c>
      <c r="Z74" s="734">
        <f>'BASE DE DATOS'!Z74</f>
        <v>145</v>
      </c>
      <c r="AA74" s="734">
        <f>'BASE DE DATOS'!AA74</f>
        <v>1.45</v>
      </c>
      <c r="AB74" s="734">
        <f>'BASE DE DATOS'!AB74</f>
        <v>30</v>
      </c>
      <c r="AD74" s="734" t="str">
        <f>'BASE DE DATOS'!AD74</f>
        <v>PASO DE LOS LIBRES</v>
      </c>
      <c r="AE74" s="734">
        <f>'BASE DE DATOS'!AE74</f>
        <v>26.4</v>
      </c>
      <c r="AF74" s="734">
        <f>'BASE DE DATOS'!AF74</f>
        <v>25.9</v>
      </c>
      <c r="AG74" s="734">
        <f>'BASE DE DATOS'!AG74</f>
        <v>23.7</v>
      </c>
      <c r="AH74" s="734">
        <f>'BASE DE DATOS'!AH74</f>
        <v>19.8</v>
      </c>
      <c r="AI74" s="734">
        <f>'BASE DE DATOS'!AI74</f>
        <v>16.8</v>
      </c>
      <c r="AJ74" s="734">
        <f>'BASE DE DATOS'!AJ74</f>
        <v>14.5</v>
      </c>
      <c r="AK74" s="734">
        <f>'BASE DE DATOS'!AK74</f>
        <v>13.7</v>
      </c>
      <c r="AL74" s="734">
        <f>'BASE DE DATOS'!AL74</f>
        <v>15.5</v>
      </c>
      <c r="AM74" s="734">
        <f>'BASE DE DATOS'!AM74</f>
        <v>17.100000000000001</v>
      </c>
      <c r="AN74" s="734">
        <f>'BASE DE DATOS'!AN74</f>
        <v>19.5</v>
      </c>
      <c r="AO74" s="734">
        <f>'BASE DE DATOS'!AO74</f>
        <v>22.5</v>
      </c>
      <c r="AP74" s="734">
        <f>'BASE DE DATOS'!AP74</f>
        <v>25</v>
      </c>
      <c r="AR74" s="734" t="str">
        <f>'BASE DE DATOS'!AR74</f>
        <v>CR</v>
      </c>
      <c r="AS74" s="734" t="str">
        <f>'BASE DE DATOS'!AS74</f>
        <v>PASO DE LOS LIBRES</v>
      </c>
      <c r="AT74" s="734">
        <f>'BASE DE DATOS'!AT74</f>
        <v>6</v>
      </c>
      <c r="AU74" s="734">
        <f>'BASE DE DATOS'!AU74</f>
        <v>6</v>
      </c>
      <c r="AV74" s="734">
        <f>'BASE DE DATOS'!AV74</f>
        <v>5</v>
      </c>
      <c r="AW74" s="734">
        <f>'BASE DE DATOS'!AW74</f>
        <v>4</v>
      </c>
      <c r="AX74" s="734">
        <f>'BASE DE DATOS'!AX74</f>
        <v>3</v>
      </c>
      <c r="AY74" s="734">
        <f>'BASE DE DATOS'!AY74</f>
        <v>2.5</v>
      </c>
      <c r="AZ74" s="734">
        <f>'BASE DE DATOS'!AZ74</f>
        <v>2.5</v>
      </c>
      <c r="BA74" s="734">
        <f>'BASE DE DATOS'!BA74</f>
        <v>3.5</v>
      </c>
      <c r="BB74" s="734">
        <f>'BASE DE DATOS'!BB74</f>
        <v>4</v>
      </c>
      <c r="BC74" s="734">
        <f>'BASE DE DATOS'!BC74</f>
        <v>5.5</v>
      </c>
      <c r="BD74" s="734">
        <f>'BASE DE DATOS'!BD74</f>
        <v>5.5</v>
      </c>
      <c r="BE74" s="734">
        <f>'BASE DE DATOS'!BE74</f>
        <v>6.5</v>
      </c>
      <c r="DO74" s="733" t="str">
        <f>'BASE DE DATOS'!BG74</f>
        <v>CR</v>
      </c>
      <c r="DP74" s="733" t="str">
        <f>'BASE DE DATOS'!BH74</f>
        <v>PASO DE LOS LIBRES</v>
      </c>
      <c r="DQ74" s="733">
        <f>'BASE DE DATOS'!BI74</f>
        <v>151</v>
      </c>
      <c r="DR74" s="733">
        <f>'BASE DE DATOS'!BJ74</f>
        <v>139</v>
      </c>
      <c r="DS74" s="733">
        <f>'BASE DE DATOS'!BK74</f>
        <v>143</v>
      </c>
      <c r="DT74" s="733">
        <f>'BASE DE DATOS'!BL74</f>
        <v>161</v>
      </c>
      <c r="DU74" s="733">
        <f>'BASE DE DATOS'!BM74</f>
        <v>88</v>
      </c>
      <c r="DV74" s="733">
        <f>'BASE DE DATOS'!BN74</f>
        <v>56</v>
      </c>
      <c r="DW74" s="733">
        <f>'BASE DE DATOS'!BO74</f>
        <v>43</v>
      </c>
      <c r="DX74" s="733">
        <f>'BASE DE DATOS'!BP74</f>
        <v>43</v>
      </c>
      <c r="DY74" s="733">
        <f>'BASE DE DATOS'!BQ74</f>
        <v>68</v>
      </c>
      <c r="DZ74" s="733">
        <f>'BASE DE DATOS'!BR74</f>
        <v>132</v>
      </c>
      <c r="EA74" s="733">
        <f>'BASE DE DATOS'!BS74</f>
        <v>134</v>
      </c>
      <c r="EB74" s="733">
        <f>'BASE DE DATOS'!BT74</f>
        <v>131</v>
      </c>
      <c r="GM74" s="741"/>
      <c r="GN74" s="741"/>
      <c r="GO74" s="741"/>
      <c r="GP74" s="741"/>
      <c r="GQ74" s="727" t="str">
        <f>ENERGÍA!B254</f>
        <v>Sistema Solar Fotovoltaico - SSF</v>
      </c>
      <c r="GR74" s="762">
        <v>0</v>
      </c>
      <c r="GS74" s="762">
        <v>0</v>
      </c>
      <c r="GT74" s="762">
        <f>ENERGÍA!AY257</f>
        <v>0</v>
      </c>
      <c r="GU74" s="741"/>
      <c r="GV74" s="741"/>
      <c r="GW74" s="741"/>
      <c r="GX74" s="741"/>
      <c r="GY74" s="741"/>
    </row>
    <row r="75" spans="2:207" ht="16">
      <c r="B75" s="734" t="str">
        <f>'BASE DE DATOS'!B75</f>
        <v>CHC</v>
      </c>
      <c r="C75" s="734" t="str">
        <f>'BASE DE DATOS'!C75</f>
        <v>COLONIA CASTELLI</v>
      </c>
      <c r="D75" s="734">
        <f>'BASE DE DATOS'!D75</f>
        <v>25.95</v>
      </c>
      <c r="E75" s="734">
        <f>'BASE DE DATOS'!E75</f>
        <v>60.63</v>
      </c>
      <c r="F75" s="734">
        <f>'BASE DE DATOS'!F75</f>
        <v>111</v>
      </c>
      <c r="G75" s="734" t="str">
        <f>'BASE DE DATOS'!G75</f>
        <v>IA</v>
      </c>
      <c r="H75" s="734">
        <f>'BASE DE DATOS'!H75</f>
        <v>2.7</v>
      </c>
      <c r="I75" s="734">
        <f>'BASE DE DATOS'!I75</f>
        <v>16.3</v>
      </c>
      <c r="J75" s="734">
        <f>'BASE DE DATOS'!J75</f>
        <v>26.5</v>
      </c>
      <c r="K75" s="734">
        <f>'BASE DE DATOS'!K75</f>
        <v>38.700000000000003</v>
      </c>
      <c r="L75" s="734">
        <f>'BASE DE DATOS'!L75</f>
        <v>66</v>
      </c>
      <c r="M75" s="734">
        <f>'BASE DE DATOS'!M75</f>
        <v>68</v>
      </c>
      <c r="N75" s="734">
        <f>'BASE DE DATOS'!N75</f>
        <v>66</v>
      </c>
      <c r="O75" s="734">
        <f>'BASE DE DATOS'!O75</f>
        <v>18</v>
      </c>
      <c r="P75" s="734">
        <f>'BASE DE DATOS'!P75</f>
        <v>126</v>
      </c>
      <c r="Q75" s="734">
        <f>'BASE DE DATOS'!Q75</f>
        <v>1</v>
      </c>
      <c r="R75" s="734">
        <f>'BASE DE DATOS'!R75</f>
        <v>27.3</v>
      </c>
      <c r="S75" s="734">
        <f>'BASE DE DATOS'!S75</f>
        <v>0.49</v>
      </c>
      <c r="T75" s="734">
        <f>'BASE DE DATOS'!T75</f>
        <v>10.3</v>
      </c>
      <c r="U75" s="734">
        <f>'BASE DE DATOS'!U75</f>
        <v>13.7</v>
      </c>
      <c r="V75" s="734">
        <f>'BASE DE DATOS'!V75</f>
        <v>49</v>
      </c>
      <c r="W75" s="734">
        <f>'BASE DE DATOS'!W75</f>
        <v>97</v>
      </c>
      <c r="X75" s="734">
        <f>'BASE DE DATOS'!X75</f>
        <v>0.01</v>
      </c>
      <c r="Y75" s="734">
        <f>'BASE DE DATOS'!Y75</f>
        <v>0.01</v>
      </c>
      <c r="Z75" s="734">
        <f>'BASE DE DATOS'!Z75</f>
        <v>165</v>
      </c>
      <c r="AA75" s="734">
        <f>'BASE DE DATOS'!AA75</f>
        <v>1.6500000000000001</v>
      </c>
      <c r="AB75" s="734">
        <f>'BASE DE DATOS'!AB75</f>
        <v>30</v>
      </c>
      <c r="AD75" s="734" t="str">
        <f>'BASE DE DATOS'!AD75</f>
        <v>COLONIA CASTELLI</v>
      </c>
      <c r="AE75" s="734">
        <f>'BASE DE DATOS'!AE75</f>
        <v>22.2</v>
      </c>
      <c r="AF75" s="734">
        <f>'BASE DE DATOS'!AF75</f>
        <v>21.1</v>
      </c>
      <c r="AG75" s="734">
        <f>'BASE DE DATOS'!AG75</f>
        <v>19.600000000000001</v>
      </c>
      <c r="AH75" s="734">
        <f>'BASE DE DATOS'!AH75</f>
        <v>14.8</v>
      </c>
      <c r="AI75" s="734">
        <f>'BASE DE DATOS'!AI75</f>
        <v>11.8</v>
      </c>
      <c r="AJ75" s="734">
        <f>'BASE DE DATOS'!AJ75</f>
        <v>9.1999999999999993</v>
      </c>
      <c r="AK75" s="734">
        <f>'BASE DE DATOS'!AK75</f>
        <v>9</v>
      </c>
      <c r="AL75" s="734">
        <f>'BASE DE DATOS'!AL75</f>
        <v>10</v>
      </c>
      <c r="AM75" s="734">
        <f>'BASE DE DATOS'!AM75</f>
        <v>11.8</v>
      </c>
      <c r="AN75" s="734">
        <f>'BASE DE DATOS'!AN75</f>
        <v>14.7</v>
      </c>
      <c r="AO75" s="734">
        <f>'BASE DE DATOS'!AO75</f>
        <v>17.8</v>
      </c>
      <c r="AP75" s="734">
        <f>'BASE DE DATOS'!AP75</f>
        <v>20</v>
      </c>
      <c r="AR75" s="734" t="str">
        <f>'BASE DE DATOS'!AR75</f>
        <v>CHC</v>
      </c>
      <c r="AS75" s="734" t="str">
        <f>'BASE DE DATOS'!AS75</f>
        <v>COLONIA CASTELLI</v>
      </c>
      <c r="AT75" s="734">
        <f>'BASE DE DATOS'!AT75</f>
        <v>6</v>
      </c>
      <c r="AU75" s="734">
        <f>'BASE DE DATOS'!AU75</f>
        <v>5.5</v>
      </c>
      <c r="AV75" s="734">
        <f>'BASE DE DATOS'!AV75</f>
        <v>4.5</v>
      </c>
      <c r="AW75" s="734">
        <f>'BASE DE DATOS'!AW75</f>
        <v>3.5</v>
      </c>
      <c r="AX75" s="734">
        <f>'BASE DE DATOS'!AX75</f>
        <v>3</v>
      </c>
      <c r="AY75" s="734">
        <f>'BASE DE DATOS'!AY75</f>
        <v>2.5</v>
      </c>
      <c r="AZ75" s="734">
        <f>'BASE DE DATOS'!AZ75</f>
        <v>2.5</v>
      </c>
      <c r="BA75" s="734">
        <f>'BASE DE DATOS'!BA75</f>
        <v>3</v>
      </c>
      <c r="BB75" s="734">
        <f>'BASE DE DATOS'!BB75</f>
        <v>4</v>
      </c>
      <c r="BC75" s="734">
        <f>'BASE DE DATOS'!BC75</f>
        <v>5</v>
      </c>
      <c r="BD75" s="734">
        <f>'BASE DE DATOS'!BD75</f>
        <v>5.5</v>
      </c>
      <c r="BE75" s="734">
        <f>'BASE DE DATOS'!BE75</f>
        <v>6</v>
      </c>
      <c r="DO75" s="733" t="str">
        <f>'BASE DE DATOS'!BG75</f>
        <v>CHC</v>
      </c>
      <c r="DP75" s="733" t="str">
        <f>'BASE DE DATOS'!BH75</f>
        <v>COLONIA CASTELLI</v>
      </c>
      <c r="DQ75" s="733">
        <f>'BASE DE DATOS'!BI75</f>
        <v>172</v>
      </c>
      <c r="DR75" s="733">
        <f>'BASE DE DATOS'!BJ75</f>
        <v>214</v>
      </c>
      <c r="DS75" s="733">
        <f>'BASE DE DATOS'!BK75</f>
        <v>237</v>
      </c>
      <c r="DT75" s="733">
        <f>'BASE DE DATOS'!BL75</f>
        <v>292</v>
      </c>
      <c r="DU75" s="733">
        <f>'BASE DE DATOS'!BM75</f>
        <v>280</v>
      </c>
      <c r="DV75" s="733">
        <f>'BASE DE DATOS'!BN75</f>
        <v>302</v>
      </c>
      <c r="DW75" s="733">
        <f>'BASE DE DATOS'!BO75</f>
        <v>288</v>
      </c>
      <c r="DX75" s="733">
        <f>'BASE DE DATOS'!BP75</f>
        <v>209</v>
      </c>
      <c r="DY75" s="733">
        <f>'BASE DE DATOS'!BQ75</f>
        <v>231</v>
      </c>
      <c r="DZ75" s="733">
        <f>'BASE DE DATOS'!BR75</f>
        <v>192</v>
      </c>
      <c r="EA75" s="733">
        <f>'BASE DE DATOS'!BS75</f>
        <v>178</v>
      </c>
      <c r="EB75" s="733">
        <f>'BASE DE DATOS'!BT75</f>
        <v>149</v>
      </c>
      <c r="GM75" s="741"/>
      <c r="GN75" s="741"/>
      <c r="GO75" s="741"/>
      <c r="GP75" s="741"/>
      <c r="GQ75" s="727" t="str">
        <f>ENERGÍA!B261</f>
        <v>Otros Sistemas de Generación Eléctrica</v>
      </c>
      <c r="GR75" s="762">
        <v>0</v>
      </c>
      <c r="GS75" s="762">
        <v>0</v>
      </c>
      <c r="GT75" s="762">
        <f>ENERGÍA!AY263</f>
        <v>0</v>
      </c>
      <c r="GU75" s="741"/>
      <c r="GV75" s="741"/>
      <c r="GW75" s="741"/>
      <c r="GX75" s="741"/>
      <c r="GY75" s="741"/>
    </row>
    <row r="76" spans="2:207" ht="16">
      <c r="B76" s="734" t="str">
        <f>'BASE DE DATOS'!B76</f>
        <v>CHC</v>
      </c>
      <c r="C76" s="734" t="str">
        <f>'BASE DE DATOS'!C76</f>
        <v>LAS BREÑAS</v>
      </c>
      <c r="D76" s="734">
        <f>'BASE DE DATOS'!D76</f>
        <v>27.08</v>
      </c>
      <c r="E76" s="734">
        <f>'BASE DE DATOS'!E76</f>
        <v>61.12</v>
      </c>
      <c r="F76" s="734">
        <f>'BASE DE DATOS'!F76</f>
        <v>102</v>
      </c>
      <c r="G76" s="734" t="str">
        <f>'BASE DE DATOS'!G76</f>
        <v>IA</v>
      </c>
      <c r="H76" s="734">
        <f>'BASE DE DATOS'!H76</f>
        <v>2.2000000000000002</v>
      </c>
      <c r="I76" s="734">
        <f>'BASE DE DATOS'!I76</f>
        <v>15.3</v>
      </c>
      <c r="J76" s="734">
        <f>'BASE DE DATOS'!J76</f>
        <v>26</v>
      </c>
      <c r="K76" s="734">
        <f>'BASE DE DATOS'!K76</f>
        <v>37</v>
      </c>
      <c r="L76" s="734">
        <f>'BASE DE DATOS'!L76</f>
        <v>64</v>
      </c>
      <c r="M76" s="734">
        <f>'BASE DE DATOS'!M76</f>
        <v>67</v>
      </c>
      <c r="N76" s="734">
        <f>'BASE DE DATOS'!N76</f>
        <v>64</v>
      </c>
      <c r="O76" s="734">
        <f>'BASE DE DATOS'!O76</f>
        <v>19</v>
      </c>
      <c r="P76" s="734">
        <f>'BASE DE DATOS'!P76</f>
        <v>133</v>
      </c>
      <c r="Q76" s="734">
        <f>'BASE DE DATOS'!Q76</f>
        <v>1</v>
      </c>
      <c r="R76" s="734">
        <f>'BASE DE DATOS'!R76</f>
        <v>26.2</v>
      </c>
      <c r="S76" s="734">
        <f>'BASE DE DATOS'!S76</f>
        <v>0.49</v>
      </c>
      <c r="T76" s="734">
        <f>'BASE DE DATOS'!T76</f>
        <v>10.3</v>
      </c>
      <c r="U76" s="734">
        <f>'BASE DE DATOS'!U76</f>
        <v>13.7</v>
      </c>
      <c r="V76" s="734">
        <f>'BASE DE DATOS'!V76</f>
        <v>49</v>
      </c>
      <c r="W76" s="734">
        <f>'BASE DE DATOS'!W76</f>
        <v>97</v>
      </c>
      <c r="X76" s="734">
        <f>'BASE DE DATOS'!X76</f>
        <v>0.01</v>
      </c>
      <c r="Y76" s="734">
        <f>'BASE DE DATOS'!Y76</f>
        <v>0.01</v>
      </c>
      <c r="Z76" s="734">
        <f>'BASE DE DATOS'!Z76</f>
        <v>165</v>
      </c>
      <c r="AA76" s="734">
        <f>'BASE DE DATOS'!AA76</f>
        <v>1.6500000000000001</v>
      </c>
      <c r="AB76" s="734">
        <f>'BASE DE DATOS'!AB76</f>
        <v>30</v>
      </c>
      <c r="AD76" s="734" t="str">
        <f>'BASE DE DATOS'!AD76</f>
        <v>LAS BREÑAS</v>
      </c>
      <c r="AE76" s="734">
        <f>'BASE DE DATOS'!AE76</f>
        <v>27.9</v>
      </c>
      <c r="AF76" s="734">
        <f>'BASE DE DATOS'!AF76</f>
        <v>26.8</v>
      </c>
      <c r="AG76" s="734">
        <f>'BASE DE DATOS'!AG76</f>
        <v>25</v>
      </c>
      <c r="AH76" s="734">
        <f>'BASE DE DATOS'!AH76</f>
        <v>20.5</v>
      </c>
      <c r="AI76" s="734">
        <f>'BASE DE DATOS'!AI76</f>
        <v>18.2</v>
      </c>
      <c r="AJ76" s="734">
        <f>'BASE DE DATOS'!AJ76</f>
        <v>15.5</v>
      </c>
      <c r="AK76" s="734">
        <f>'BASE DE DATOS'!AK76</f>
        <v>15.4</v>
      </c>
      <c r="AL76" s="734">
        <f>'BASE DE DATOS'!AL76</f>
        <v>17.899999999999999</v>
      </c>
      <c r="AM76" s="734">
        <f>'BASE DE DATOS'!AM76</f>
        <v>20</v>
      </c>
      <c r="AN76" s="734">
        <f>'BASE DE DATOS'!AN76</f>
        <v>22.6</v>
      </c>
      <c r="AO76" s="734">
        <f>'BASE DE DATOS'!AO76</f>
        <v>24.6</v>
      </c>
      <c r="AP76" s="734">
        <f>'BASE DE DATOS'!AP76</f>
        <v>26.9</v>
      </c>
      <c r="AR76" s="734" t="str">
        <f>'BASE DE DATOS'!AR76</f>
        <v>CHC</v>
      </c>
      <c r="AS76" s="734" t="str">
        <f>'BASE DE DATOS'!AS76</f>
        <v>LAS BREÑAS</v>
      </c>
      <c r="AT76" s="734">
        <f>'BASE DE DATOS'!AT76</f>
        <v>6</v>
      </c>
      <c r="AU76" s="734">
        <f>'BASE DE DATOS'!AU76</f>
        <v>6</v>
      </c>
      <c r="AV76" s="734">
        <f>'BASE DE DATOS'!AV76</f>
        <v>5</v>
      </c>
      <c r="AW76" s="734">
        <f>'BASE DE DATOS'!AW76</f>
        <v>4</v>
      </c>
      <c r="AX76" s="734">
        <f>'BASE DE DATOS'!AX76</f>
        <v>3</v>
      </c>
      <c r="AY76" s="734">
        <f>'BASE DE DATOS'!AY76</f>
        <v>2.5</v>
      </c>
      <c r="AZ76" s="734">
        <f>'BASE DE DATOS'!AZ76</f>
        <v>2.5</v>
      </c>
      <c r="BA76" s="734">
        <f>'BASE DE DATOS'!BA76</f>
        <v>3</v>
      </c>
      <c r="BB76" s="734">
        <f>'BASE DE DATOS'!BB76</f>
        <v>4.5</v>
      </c>
      <c r="BC76" s="734">
        <f>'BASE DE DATOS'!BC76</f>
        <v>5</v>
      </c>
      <c r="BD76" s="734">
        <f>'BASE DE DATOS'!BD76</f>
        <v>5.5</v>
      </c>
      <c r="BE76" s="734">
        <f>'BASE DE DATOS'!BE76</f>
        <v>6</v>
      </c>
      <c r="DO76" s="733" t="str">
        <f>'BASE DE DATOS'!BG76</f>
        <v>CHC</v>
      </c>
      <c r="DP76" s="733" t="str">
        <f>'BASE DE DATOS'!BH76</f>
        <v>LAS BREÑAS</v>
      </c>
      <c r="DQ76" s="733">
        <f>'BASE DE DATOS'!BI76</f>
        <v>172</v>
      </c>
      <c r="DR76" s="733">
        <f>'BASE DE DATOS'!BJ76</f>
        <v>214</v>
      </c>
      <c r="DS76" s="733">
        <f>'BASE DE DATOS'!BK76</f>
        <v>237</v>
      </c>
      <c r="DT76" s="733">
        <f>'BASE DE DATOS'!BL76</f>
        <v>292</v>
      </c>
      <c r="DU76" s="733">
        <f>'BASE DE DATOS'!BM76</f>
        <v>280</v>
      </c>
      <c r="DV76" s="733">
        <f>'BASE DE DATOS'!BN76</f>
        <v>302</v>
      </c>
      <c r="DW76" s="733">
        <f>'BASE DE DATOS'!BO76</f>
        <v>288</v>
      </c>
      <c r="DX76" s="733">
        <f>'BASE DE DATOS'!BP76</f>
        <v>209</v>
      </c>
      <c r="DY76" s="733">
        <f>'BASE DE DATOS'!BQ76</f>
        <v>231</v>
      </c>
      <c r="DZ76" s="733">
        <f>'BASE DE DATOS'!BR76</f>
        <v>192</v>
      </c>
      <c r="EA76" s="733">
        <f>'BASE DE DATOS'!BS76</f>
        <v>178</v>
      </c>
      <c r="EB76" s="733">
        <f>'BASE DE DATOS'!BT76</f>
        <v>149</v>
      </c>
      <c r="GM76" s="741"/>
      <c r="GN76" s="741"/>
      <c r="GO76" s="741"/>
      <c r="GP76" s="741"/>
      <c r="GQ76" s="741"/>
      <c r="GR76" s="762"/>
      <c r="GS76" s="762"/>
      <c r="GT76" s="762"/>
      <c r="GU76" s="741"/>
      <c r="GV76" s="741"/>
      <c r="GW76" s="741"/>
      <c r="GX76" s="741"/>
      <c r="GY76" s="741"/>
    </row>
    <row r="77" spans="2:207" ht="16">
      <c r="B77" s="734" t="str">
        <f>'BASE DE DATOS'!B77</f>
        <v>CHC</v>
      </c>
      <c r="C77" s="734" t="str">
        <f>'BASE DE DATOS'!C77</f>
        <v>PRESIDENCIA R S PEÑA</v>
      </c>
      <c r="D77" s="734">
        <f>'BASE DE DATOS'!D77</f>
        <v>26.82</v>
      </c>
      <c r="E77" s="734">
        <f>'BASE DE DATOS'!E77</f>
        <v>60.45</v>
      </c>
      <c r="F77" s="734">
        <f>'BASE DE DATOS'!F77</f>
        <v>92</v>
      </c>
      <c r="G77" s="734" t="str">
        <f>'BASE DE DATOS'!G77</f>
        <v>IA</v>
      </c>
      <c r="H77" s="734">
        <f>'BASE DE DATOS'!H77</f>
        <v>3.8</v>
      </c>
      <c r="I77" s="734">
        <f>'BASE DE DATOS'!I77</f>
        <v>16.100000000000001</v>
      </c>
      <c r="J77" s="734">
        <f>'BASE DE DATOS'!J77</f>
        <v>26.5</v>
      </c>
      <c r="K77" s="734">
        <f>'BASE DE DATOS'!K77</f>
        <v>36.9</v>
      </c>
      <c r="L77" s="734">
        <f>'BASE DE DATOS'!L77</f>
        <v>68</v>
      </c>
      <c r="M77" s="734">
        <f>'BASE DE DATOS'!M77</f>
        <v>73</v>
      </c>
      <c r="N77" s="734">
        <f>'BASE DE DATOS'!N77</f>
        <v>68</v>
      </c>
      <c r="O77" s="734">
        <f>'BASE DE DATOS'!O77</f>
        <v>18</v>
      </c>
      <c r="P77" s="734">
        <f>'BASE DE DATOS'!P77</f>
        <v>137</v>
      </c>
      <c r="Q77" s="734">
        <f>'BASE DE DATOS'!Q77</f>
        <v>1</v>
      </c>
      <c r="R77" s="734">
        <f>'BASE DE DATOS'!R77</f>
        <v>26.3</v>
      </c>
      <c r="S77" s="734">
        <f>'BASE DE DATOS'!S77</f>
        <v>0.49</v>
      </c>
      <c r="T77" s="734">
        <f>'BASE DE DATOS'!T77</f>
        <v>10.3</v>
      </c>
      <c r="U77" s="734">
        <f>'BASE DE DATOS'!U77</f>
        <v>13.7</v>
      </c>
      <c r="V77" s="734">
        <f>'BASE DE DATOS'!V77</f>
        <v>49</v>
      </c>
      <c r="W77" s="734">
        <f>'BASE DE DATOS'!W77</f>
        <v>97</v>
      </c>
      <c r="X77" s="734">
        <f>'BASE DE DATOS'!X77</f>
        <v>0.01</v>
      </c>
      <c r="Y77" s="734">
        <f>'BASE DE DATOS'!Y77</f>
        <v>0.01</v>
      </c>
      <c r="Z77" s="734">
        <f>'BASE DE DATOS'!Z77</f>
        <v>165</v>
      </c>
      <c r="AA77" s="734">
        <f>'BASE DE DATOS'!AA77</f>
        <v>1.6500000000000001</v>
      </c>
      <c r="AB77" s="734">
        <f>'BASE DE DATOS'!AB77</f>
        <v>30</v>
      </c>
      <c r="AD77" s="734" t="str">
        <f>'BASE DE DATOS'!AD77</f>
        <v>PRESIDENCIA R S PEÑA</v>
      </c>
      <c r="AE77" s="734">
        <f>'BASE DE DATOS'!AE77</f>
        <v>28</v>
      </c>
      <c r="AF77" s="734">
        <f>'BASE DE DATOS'!AF77</f>
        <v>27.5</v>
      </c>
      <c r="AG77" s="734">
        <f>'BASE DE DATOS'!AG77</f>
        <v>26</v>
      </c>
      <c r="AH77" s="734">
        <f>'BASE DE DATOS'!AH77</f>
        <v>22.5</v>
      </c>
      <c r="AI77" s="734">
        <f>'BASE DE DATOS'!AI77</f>
        <v>19</v>
      </c>
      <c r="AJ77" s="734">
        <f>'BASE DE DATOS'!AJ77</f>
        <v>16.5</v>
      </c>
      <c r="AK77" s="734">
        <f>'BASE DE DATOS'!AK77</f>
        <v>16</v>
      </c>
      <c r="AL77" s="734">
        <f>'BASE DE DATOS'!AL77</f>
        <v>18.5</v>
      </c>
      <c r="AM77" s="734">
        <f>'BASE DE DATOS'!AM77</f>
        <v>19.5</v>
      </c>
      <c r="AN77" s="734">
        <f>'BASE DE DATOS'!AN77</f>
        <v>24</v>
      </c>
      <c r="AO77" s="734">
        <f>'BASE DE DATOS'!AO77</f>
        <v>24.8</v>
      </c>
      <c r="AP77" s="734">
        <f>'BASE DE DATOS'!AP77</f>
        <v>27.5</v>
      </c>
      <c r="AR77" s="734" t="str">
        <f>'BASE DE DATOS'!AR77</f>
        <v>CHC</v>
      </c>
      <c r="AS77" s="734" t="str">
        <f>'BASE DE DATOS'!AS77</f>
        <v>PRESIDENCIA R S PEÑA</v>
      </c>
      <c r="AT77" s="734">
        <f>'BASE DE DATOS'!AT77</f>
        <v>6</v>
      </c>
      <c r="AU77" s="734">
        <f>'BASE DE DATOS'!AU77</f>
        <v>6</v>
      </c>
      <c r="AV77" s="734">
        <f>'BASE DE DATOS'!AV77</f>
        <v>4.5</v>
      </c>
      <c r="AW77" s="734">
        <f>'BASE DE DATOS'!AW77</f>
        <v>3.5</v>
      </c>
      <c r="AX77" s="734">
        <f>'BASE DE DATOS'!AX77</f>
        <v>3</v>
      </c>
      <c r="AY77" s="734">
        <f>'BASE DE DATOS'!AY77</f>
        <v>2.5</v>
      </c>
      <c r="AZ77" s="734">
        <f>'BASE DE DATOS'!AZ77</f>
        <v>2.5</v>
      </c>
      <c r="BA77" s="734">
        <f>'BASE DE DATOS'!BA77</f>
        <v>3</v>
      </c>
      <c r="BB77" s="734">
        <f>'BASE DE DATOS'!BB77</f>
        <v>4.5</v>
      </c>
      <c r="BC77" s="734">
        <f>'BASE DE DATOS'!BC77</f>
        <v>5</v>
      </c>
      <c r="BD77" s="734">
        <f>'BASE DE DATOS'!BD77</f>
        <v>5.5</v>
      </c>
      <c r="BE77" s="734">
        <f>'BASE DE DATOS'!BE77</f>
        <v>6</v>
      </c>
      <c r="DO77" s="733" t="str">
        <f>'BASE DE DATOS'!BG77</f>
        <v>CHC</v>
      </c>
      <c r="DP77" s="733" t="str">
        <f>'BASE DE DATOS'!BH77</f>
        <v>PRESIDENCIA R S PEÑA</v>
      </c>
      <c r="DQ77" s="733">
        <f>'BASE DE DATOS'!BI77</f>
        <v>172</v>
      </c>
      <c r="DR77" s="733">
        <f>'BASE DE DATOS'!BJ77</f>
        <v>214</v>
      </c>
      <c r="DS77" s="733">
        <f>'BASE DE DATOS'!BK77</f>
        <v>237</v>
      </c>
      <c r="DT77" s="733">
        <f>'BASE DE DATOS'!BL77</f>
        <v>292</v>
      </c>
      <c r="DU77" s="733">
        <f>'BASE DE DATOS'!BM77</f>
        <v>280</v>
      </c>
      <c r="DV77" s="733">
        <f>'BASE DE DATOS'!BN77</f>
        <v>302</v>
      </c>
      <c r="DW77" s="733">
        <f>'BASE DE DATOS'!BO77</f>
        <v>288</v>
      </c>
      <c r="DX77" s="733">
        <f>'BASE DE DATOS'!BP77</f>
        <v>209</v>
      </c>
      <c r="DY77" s="733">
        <f>'BASE DE DATOS'!BQ77</f>
        <v>231</v>
      </c>
      <c r="DZ77" s="733">
        <f>'BASE DE DATOS'!BR77</f>
        <v>192</v>
      </c>
      <c r="EA77" s="733">
        <f>'BASE DE DATOS'!BS77</f>
        <v>178</v>
      </c>
      <c r="EB77" s="733">
        <f>'BASE DE DATOS'!BT77</f>
        <v>149</v>
      </c>
      <c r="GM77" s="741"/>
      <c r="GN77" s="741"/>
      <c r="GO77" s="741"/>
      <c r="GP77" s="741"/>
      <c r="GQ77" s="727" t="s">
        <v>2057</v>
      </c>
      <c r="GR77" s="762">
        <v>0</v>
      </c>
      <c r="GS77" s="762">
        <v>0</v>
      </c>
      <c r="GT77" s="762">
        <f>AGUA!AO64</f>
        <v>0</v>
      </c>
      <c r="GU77" s="741"/>
      <c r="GV77" s="741"/>
      <c r="GW77" s="741"/>
      <c r="GX77" s="741"/>
      <c r="GY77" s="741"/>
    </row>
    <row r="78" spans="2:207" ht="16">
      <c r="B78" s="734" t="str">
        <f>'BASE DE DATOS'!B78</f>
        <v>CHC</v>
      </c>
      <c r="C78" s="734" t="str">
        <f>'BASE DE DATOS'!C78</f>
        <v>RESISTENCIA</v>
      </c>
      <c r="D78" s="734">
        <f>'BASE DE DATOS'!D78</f>
        <v>27.45</v>
      </c>
      <c r="E78" s="734">
        <f>'BASE DE DATOS'!E78</f>
        <v>59.05</v>
      </c>
      <c r="F78" s="734">
        <f>'BASE DE DATOS'!F78</f>
        <v>52</v>
      </c>
      <c r="G78" s="734" t="str">
        <f>'BASE DE DATOS'!G78</f>
        <v>IB</v>
      </c>
      <c r="H78" s="734">
        <f>'BASE DE DATOS'!H78</f>
        <v>4.2</v>
      </c>
      <c r="I78" s="734">
        <f>'BASE DE DATOS'!I78</f>
        <v>15.5</v>
      </c>
      <c r="J78" s="734">
        <f>'BASE DE DATOS'!J78</f>
        <v>25.9</v>
      </c>
      <c r="K78" s="734">
        <f>'BASE DE DATOS'!K78</f>
        <v>35.9</v>
      </c>
      <c r="L78" s="734">
        <f>'BASE DE DATOS'!L78</f>
        <v>70</v>
      </c>
      <c r="M78" s="734">
        <f>'BASE DE DATOS'!M78</f>
        <v>78</v>
      </c>
      <c r="N78" s="734">
        <f>'BASE DE DATOS'!N78</f>
        <v>70</v>
      </c>
      <c r="O78" s="734">
        <f>'BASE DE DATOS'!O78</f>
        <v>48</v>
      </c>
      <c r="P78" s="734">
        <f>'BASE DE DATOS'!P78</f>
        <v>157</v>
      </c>
      <c r="Q78" s="734">
        <f>'BASE DE DATOS'!Q78</f>
        <v>1</v>
      </c>
      <c r="R78" s="734">
        <f>'BASE DE DATOS'!R78</f>
        <v>25.8</v>
      </c>
      <c r="S78" s="734">
        <f>'BASE DE DATOS'!S78</f>
        <v>0.51</v>
      </c>
      <c r="T78" s="734">
        <f>'BASE DE DATOS'!T78</f>
        <v>10.3</v>
      </c>
      <c r="U78" s="734">
        <f>'BASE DE DATOS'!U78</f>
        <v>13.7</v>
      </c>
      <c r="V78" s="734">
        <f>'BASE DE DATOS'!V78</f>
        <v>49</v>
      </c>
      <c r="W78" s="734">
        <f>'BASE DE DATOS'!W78</f>
        <v>97</v>
      </c>
      <c r="X78" s="734">
        <f>'BASE DE DATOS'!X78</f>
        <v>0.01</v>
      </c>
      <c r="Y78" s="734">
        <f>'BASE DE DATOS'!Y78</f>
        <v>0.01</v>
      </c>
      <c r="Z78" s="734">
        <f>'BASE DE DATOS'!Z78</f>
        <v>165</v>
      </c>
      <c r="AA78" s="734">
        <f>'BASE DE DATOS'!AA78</f>
        <v>1.6500000000000001</v>
      </c>
      <c r="AB78" s="734">
        <f>'BASE DE DATOS'!AB78</f>
        <v>30</v>
      </c>
      <c r="AD78" s="734" t="str">
        <f>'BASE DE DATOS'!AD78</f>
        <v>RESISTENCIA</v>
      </c>
      <c r="AE78" s="734">
        <f>'BASE DE DATOS'!AE78</f>
        <v>27.5</v>
      </c>
      <c r="AF78" s="734">
        <f>'BASE DE DATOS'!AF78</f>
        <v>26.5</v>
      </c>
      <c r="AG78" s="734">
        <f>'BASE DE DATOS'!AG78</f>
        <v>25</v>
      </c>
      <c r="AH78" s="734">
        <f>'BASE DE DATOS'!AH78</f>
        <v>22.5</v>
      </c>
      <c r="AI78" s="734">
        <f>'BASE DE DATOS'!AI78</f>
        <v>18.5</v>
      </c>
      <c r="AJ78" s="734">
        <f>'BASE DE DATOS'!AJ78</f>
        <v>17</v>
      </c>
      <c r="AK78" s="734">
        <f>'BASE DE DATOS'!AK78</f>
        <v>16</v>
      </c>
      <c r="AL78" s="734">
        <f>'BASE DE DATOS'!AL78</f>
        <v>18.5</v>
      </c>
      <c r="AM78" s="734">
        <f>'BASE DE DATOS'!AM78</f>
        <v>19.399999999999999</v>
      </c>
      <c r="AN78" s="734">
        <f>'BASE DE DATOS'!AN78</f>
        <v>21.8</v>
      </c>
      <c r="AO78" s="734">
        <f>'BASE DE DATOS'!AO78</f>
        <v>23.7</v>
      </c>
      <c r="AP78" s="734">
        <f>'BASE DE DATOS'!AP78</f>
        <v>26.8</v>
      </c>
      <c r="AR78" s="734" t="str">
        <f>'BASE DE DATOS'!AR78</f>
        <v>CHC</v>
      </c>
      <c r="AS78" s="734" t="str">
        <f>'BASE DE DATOS'!AS78</f>
        <v>RESISTENCIA</v>
      </c>
      <c r="AT78" s="734">
        <f>'BASE DE DATOS'!AT78</f>
        <v>6.5</v>
      </c>
      <c r="AU78" s="734">
        <f>'BASE DE DATOS'!AU78</f>
        <v>6</v>
      </c>
      <c r="AV78" s="734">
        <f>'BASE DE DATOS'!AV78</f>
        <v>5</v>
      </c>
      <c r="AW78" s="734">
        <f>'BASE DE DATOS'!AW78</f>
        <v>4</v>
      </c>
      <c r="AX78" s="734">
        <f>'BASE DE DATOS'!AX78</f>
        <v>3</v>
      </c>
      <c r="AY78" s="734">
        <f>'BASE DE DATOS'!AY78</f>
        <v>2.5</v>
      </c>
      <c r="AZ78" s="734">
        <f>'BASE DE DATOS'!AZ78</f>
        <v>2.5</v>
      </c>
      <c r="BA78" s="734">
        <f>'BASE DE DATOS'!BA78</f>
        <v>3</v>
      </c>
      <c r="BB78" s="734">
        <f>'BASE DE DATOS'!BB78</f>
        <v>4</v>
      </c>
      <c r="BC78" s="734">
        <f>'BASE DE DATOS'!BC78</f>
        <v>5.5</v>
      </c>
      <c r="BD78" s="734">
        <f>'BASE DE DATOS'!BD78</f>
        <v>5.5</v>
      </c>
      <c r="BE78" s="734">
        <f>'BASE DE DATOS'!BE78</f>
        <v>6.5</v>
      </c>
      <c r="DO78" s="733" t="str">
        <f>'BASE DE DATOS'!BG78</f>
        <v>CHC</v>
      </c>
      <c r="DP78" s="733" t="str">
        <f>'BASE DE DATOS'!BH78</f>
        <v>RESISTENCIA</v>
      </c>
      <c r="DQ78" s="733">
        <f>'BASE DE DATOS'!BI78</f>
        <v>172</v>
      </c>
      <c r="DR78" s="733">
        <f>'BASE DE DATOS'!BJ78</f>
        <v>214</v>
      </c>
      <c r="DS78" s="733">
        <f>'BASE DE DATOS'!BK78</f>
        <v>237</v>
      </c>
      <c r="DT78" s="733">
        <f>'BASE DE DATOS'!BL78</f>
        <v>292</v>
      </c>
      <c r="DU78" s="733">
        <f>'BASE DE DATOS'!BM78</f>
        <v>280</v>
      </c>
      <c r="DV78" s="733">
        <f>'BASE DE DATOS'!BN78</f>
        <v>302</v>
      </c>
      <c r="DW78" s="733">
        <f>'BASE DE DATOS'!BO78</f>
        <v>288</v>
      </c>
      <c r="DX78" s="733">
        <f>'BASE DE DATOS'!BP78</f>
        <v>209</v>
      </c>
      <c r="DY78" s="733">
        <f>'BASE DE DATOS'!BQ78</f>
        <v>231</v>
      </c>
      <c r="DZ78" s="733">
        <f>'BASE DE DATOS'!BR78</f>
        <v>192</v>
      </c>
      <c r="EA78" s="733">
        <f>'BASE DE DATOS'!BS78</f>
        <v>178</v>
      </c>
      <c r="EB78" s="733">
        <f>'BASE DE DATOS'!BT78</f>
        <v>149</v>
      </c>
      <c r="GM78" s="741"/>
      <c r="GN78" s="741"/>
      <c r="GO78" s="741"/>
      <c r="GP78" s="741"/>
      <c r="GQ78" s="727" t="s">
        <v>2058</v>
      </c>
      <c r="GR78" s="762">
        <v>0</v>
      </c>
      <c r="GS78" s="762">
        <v>0</v>
      </c>
      <c r="GT78" s="762">
        <f>AGUA!AO65</f>
        <v>0</v>
      </c>
      <c r="GU78" s="741"/>
      <c r="GV78" s="741"/>
      <c r="GW78" s="741"/>
      <c r="GX78" s="741"/>
      <c r="GY78" s="741"/>
    </row>
    <row r="79" spans="2:207" ht="16">
      <c r="B79" s="734" t="str">
        <f>'BASE DE DATOS'!B79</f>
        <v>CHC</v>
      </c>
      <c r="C79" s="734" t="str">
        <f>'BASE DE DATOS'!C79</f>
        <v>RESISTENCIA AEROCLUB</v>
      </c>
      <c r="D79" s="734">
        <f>'BASE DE DATOS'!D79</f>
        <v>27.47</v>
      </c>
      <c r="E79" s="734">
        <f>'BASE DE DATOS'!E79</f>
        <v>58.98</v>
      </c>
      <c r="F79" s="734">
        <f>'BASE DE DATOS'!F79</f>
        <v>51</v>
      </c>
      <c r="G79" s="734" t="str">
        <f>'BASE DE DATOS'!G79</f>
        <v>IB</v>
      </c>
      <c r="H79" s="734">
        <f>'BASE DE DATOS'!H79</f>
        <v>4.7</v>
      </c>
      <c r="I79" s="734">
        <f>'BASE DE DATOS'!I79</f>
        <v>16</v>
      </c>
      <c r="J79" s="734">
        <f>'BASE DE DATOS'!J79</f>
        <v>26.1</v>
      </c>
      <c r="K79" s="734">
        <f>'BASE DE DATOS'!K79</f>
        <v>35.4</v>
      </c>
      <c r="L79" s="734">
        <f>'BASE DE DATOS'!L79</f>
        <v>70</v>
      </c>
      <c r="M79" s="734">
        <f>'BASE DE DATOS'!M79</f>
        <v>77</v>
      </c>
      <c r="N79" s="734">
        <f>'BASE DE DATOS'!N79</f>
        <v>70</v>
      </c>
      <c r="O79" s="734">
        <f>'BASE DE DATOS'!O79</f>
        <v>39</v>
      </c>
      <c r="P79" s="734">
        <f>'BASE DE DATOS'!P79</f>
        <v>155</v>
      </c>
      <c r="Q79" s="734">
        <f>'BASE DE DATOS'!Q79</f>
        <v>1</v>
      </c>
      <c r="R79" s="734">
        <f>'BASE DE DATOS'!R79</f>
        <v>25.9</v>
      </c>
      <c r="S79" s="734">
        <f>'BASE DE DATOS'!S79</f>
        <v>0.51</v>
      </c>
      <c r="T79" s="734">
        <f>'BASE DE DATOS'!T79</f>
        <v>10.3</v>
      </c>
      <c r="U79" s="734">
        <f>'BASE DE DATOS'!U79</f>
        <v>13.7</v>
      </c>
      <c r="V79" s="734">
        <f>'BASE DE DATOS'!V79</f>
        <v>49</v>
      </c>
      <c r="W79" s="734">
        <f>'BASE DE DATOS'!W79</f>
        <v>97</v>
      </c>
      <c r="X79" s="734">
        <f>'BASE DE DATOS'!X79</f>
        <v>0.01</v>
      </c>
      <c r="Y79" s="734">
        <f>'BASE DE DATOS'!Y79</f>
        <v>0.01</v>
      </c>
      <c r="Z79" s="734">
        <f>'BASE DE DATOS'!Z79</f>
        <v>165</v>
      </c>
      <c r="AA79" s="734">
        <f>'BASE DE DATOS'!AA79</f>
        <v>1.6500000000000001</v>
      </c>
      <c r="AB79" s="734">
        <f>'BASE DE DATOS'!AB79</f>
        <v>30</v>
      </c>
      <c r="AD79" s="734" t="str">
        <f>'BASE DE DATOS'!AD79</f>
        <v>RESISTENCIA AEROCLUB</v>
      </c>
      <c r="AE79" s="734">
        <f>'BASE DE DATOS'!AE79</f>
        <v>27</v>
      </c>
      <c r="AF79" s="734">
        <f>'BASE DE DATOS'!AF79</f>
        <v>26.5</v>
      </c>
      <c r="AG79" s="734">
        <f>'BASE DE DATOS'!AG79</f>
        <v>24.5</v>
      </c>
      <c r="AH79" s="734">
        <f>'BASE DE DATOS'!AH79</f>
        <v>20.8</v>
      </c>
      <c r="AI79" s="734">
        <f>'BASE DE DATOS'!AI79</f>
        <v>18</v>
      </c>
      <c r="AJ79" s="734">
        <f>'BASE DE DATOS'!AJ79</f>
        <v>16.100000000000001</v>
      </c>
      <c r="AK79" s="734">
        <f>'BASE DE DATOS'!AK79</f>
        <v>15.4</v>
      </c>
      <c r="AL79" s="734">
        <f>'BASE DE DATOS'!AL79</f>
        <v>17</v>
      </c>
      <c r="AM79" s="734">
        <f>'BASE DE DATOS'!AM79</f>
        <v>18.899999999999999</v>
      </c>
      <c r="AN79" s="734">
        <f>'BASE DE DATOS'!AN79</f>
        <v>21.2</v>
      </c>
      <c r="AO79" s="734">
        <f>'BASE DE DATOS'!AO79</f>
        <v>23.7</v>
      </c>
      <c r="AP79" s="734">
        <f>'BASE DE DATOS'!AP79</f>
        <v>26</v>
      </c>
      <c r="AR79" s="734" t="str">
        <f>'BASE DE DATOS'!AR79</f>
        <v>CHC</v>
      </c>
      <c r="AS79" s="734" t="str">
        <f>'BASE DE DATOS'!AS79</f>
        <v>RESISTENCIA AEROCLUB</v>
      </c>
      <c r="AT79" s="734">
        <f>'BASE DE DATOS'!AT79</f>
        <v>6.5</v>
      </c>
      <c r="AU79" s="734">
        <f>'BASE DE DATOS'!AU79</f>
        <v>6</v>
      </c>
      <c r="AV79" s="734">
        <f>'BASE DE DATOS'!AV79</f>
        <v>5</v>
      </c>
      <c r="AW79" s="734">
        <f>'BASE DE DATOS'!AW79</f>
        <v>4</v>
      </c>
      <c r="AX79" s="734">
        <f>'BASE DE DATOS'!AX79</f>
        <v>3</v>
      </c>
      <c r="AY79" s="734">
        <f>'BASE DE DATOS'!AY79</f>
        <v>2.5</v>
      </c>
      <c r="AZ79" s="734">
        <f>'BASE DE DATOS'!AZ79</f>
        <v>2.5</v>
      </c>
      <c r="BA79" s="734">
        <f>'BASE DE DATOS'!BA79</f>
        <v>3</v>
      </c>
      <c r="BB79" s="734">
        <f>'BASE DE DATOS'!BB79</f>
        <v>4</v>
      </c>
      <c r="BC79" s="734">
        <f>'BASE DE DATOS'!BC79</f>
        <v>5.5</v>
      </c>
      <c r="BD79" s="734">
        <f>'BASE DE DATOS'!BD79</f>
        <v>5.5</v>
      </c>
      <c r="BE79" s="734">
        <f>'BASE DE DATOS'!BE79</f>
        <v>6.5</v>
      </c>
      <c r="DO79" s="733" t="str">
        <f>'BASE DE DATOS'!BG79</f>
        <v>CHC</v>
      </c>
      <c r="DP79" s="733" t="str">
        <f>'BASE DE DATOS'!BH79</f>
        <v>RESISTENCIA AEROCLUB</v>
      </c>
      <c r="DQ79" s="733">
        <f>'BASE DE DATOS'!BI79</f>
        <v>172</v>
      </c>
      <c r="DR79" s="733">
        <f>'BASE DE DATOS'!BJ79</f>
        <v>214</v>
      </c>
      <c r="DS79" s="733">
        <f>'BASE DE DATOS'!BK79</f>
        <v>237</v>
      </c>
      <c r="DT79" s="733">
        <f>'BASE DE DATOS'!BL79</f>
        <v>292</v>
      </c>
      <c r="DU79" s="733">
        <f>'BASE DE DATOS'!BM79</f>
        <v>280</v>
      </c>
      <c r="DV79" s="733">
        <f>'BASE DE DATOS'!BN79</f>
        <v>302</v>
      </c>
      <c r="DW79" s="733">
        <f>'BASE DE DATOS'!BO79</f>
        <v>288</v>
      </c>
      <c r="DX79" s="733">
        <f>'BASE DE DATOS'!BP79</f>
        <v>209</v>
      </c>
      <c r="DY79" s="733">
        <f>'BASE DE DATOS'!BQ79</f>
        <v>231</v>
      </c>
      <c r="DZ79" s="733">
        <f>'BASE DE DATOS'!BR79</f>
        <v>192</v>
      </c>
      <c r="EA79" s="733">
        <f>'BASE DE DATOS'!BS79</f>
        <v>178</v>
      </c>
      <c r="EB79" s="733">
        <f>'BASE DE DATOS'!BT79</f>
        <v>149</v>
      </c>
      <c r="GM79" s="741"/>
      <c r="GN79" s="741"/>
      <c r="GO79" s="741"/>
      <c r="GP79" s="741"/>
      <c r="GQ79" s="727" t="s">
        <v>2059</v>
      </c>
      <c r="GR79" s="762">
        <v>0</v>
      </c>
      <c r="GS79" s="762">
        <v>0</v>
      </c>
      <c r="GT79" s="762">
        <f>AGUA!AO66</f>
        <v>0</v>
      </c>
      <c r="GU79" s="741"/>
      <c r="GV79" s="741"/>
      <c r="GW79" s="741"/>
      <c r="GX79" s="741"/>
      <c r="GY79" s="741"/>
    </row>
    <row r="80" spans="2:207" ht="16">
      <c r="B80" s="734" t="str">
        <f>'BASE DE DATOS'!B80</f>
        <v>CHC</v>
      </c>
      <c r="C80" s="734" t="str">
        <f>'BASE DE DATOS'!C80</f>
        <v>VILLA ANGELA</v>
      </c>
      <c r="D80" s="734">
        <f>'BASE DE DATOS'!D80</f>
        <v>27.57</v>
      </c>
      <c r="E80" s="734">
        <f>'BASE DE DATOS'!E80</f>
        <v>60.73</v>
      </c>
      <c r="F80" s="734">
        <f>'BASE DE DATOS'!F80</f>
        <v>74</v>
      </c>
      <c r="G80" s="734" t="str">
        <f>'BASE DE DATOS'!G80</f>
        <v>IA</v>
      </c>
      <c r="H80" s="734">
        <f>'BASE DE DATOS'!H80</f>
        <v>2.4</v>
      </c>
      <c r="I80" s="734">
        <f>'BASE DE DATOS'!I80</f>
        <v>14.9</v>
      </c>
      <c r="J80" s="734">
        <f>'BASE DE DATOS'!J80</f>
        <v>26</v>
      </c>
      <c r="K80" s="734">
        <f>'BASE DE DATOS'!K80</f>
        <v>37.299999999999997</v>
      </c>
      <c r="L80" s="734">
        <f>'BASE DE DATOS'!L80</f>
        <v>68</v>
      </c>
      <c r="M80" s="734">
        <f>'BASE DE DATOS'!M80</f>
        <v>72</v>
      </c>
      <c r="N80" s="734">
        <f>'BASE DE DATOS'!N80</f>
        <v>67</v>
      </c>
      <c r="O80" s="734">
        <f>'BASE DE DATOS'!O80</f>
        <v>22</v>
      </c>
      <c r="P80" s="734">
        <f>'BASE DE DATOS'!P80</f>
        <v>126</v>
      </c>
      <c r="Q80" s="734">
        <f>'BASE DE DATOS'!Q80</f>
        <v>1</v>
      </c>
      <c r="R80" s="734">
        <f>'BASE DE DATOS'!R80</f>
        <v>26.3</v>
      </c>
      <c r="S80" s="734">
        <f>'BASE DE DATOS'!S80</f>
        <v>0.51</v>
      </c>
      <c r="T80" s="734">
        <f>'BASE DE DATOS'!T80</f>
        <v>10.3</v>
      </c>
      <c r="U80" s="734">
        <f>'BASE DE DATOS'!U80</f>
        <v>13.7</v>
      </c>
      <c r="V80" s="734">
        <f>'BASE DE DATOS'!V80</f>
        <v>49</v>
      </c>
      <c r="W80" s="734">
        <f>'BASE DE DATOS'!W80</f>
        <v>97</v>
      </c>
      <c r="X80" s="734">
        <f>'BASE DE DATOS'!X80</f>
        <v>0.01</v>
      </c>
      <c r="Y80" s="734">
        <f>'BASE DE DATOS'!Y80</f>
        <v>0.01</v>
      </c>
      <c r="Z80" s="734">
        <f>'BASE DE DATOS'!Z80</f>
        <v>165</v>
      </c>
      <c r="AA80" s="734">
        <f>'BASE DE DATOS'!AA80</f>
        <v>1.6500000000000001</v>
      </c>
      <c r="AB80" s="734">
        <f>'BASE DE DATOS'!AB80</f>
        <v>30</v>
      </c>
      <c r="AD80" s="734" t="str">
        <f>'BASE DE DATOS'!AD80</f>
        <v>VILLA ANGELA</v>
      </c>
      <c r="AE80" s="734">
        <f>'BASE DE DATOS'!AE80</f>
        <v>28.2</v>
      </c>
      <c r="AF80" s="734">
        <f>'BASE DE DATOS'!AF80</f>
        <v>27</v>
      </c>
      <c r="AG80" s="734">
        <f>'BASE DE DATOS'!AG80</f>
        <v>25.6</v>
      </c>
      <c r="AH80" s="734">
        <f>'BASE DE DATOS'!AH80</f>
        <v>20.3</v>
      </c>
      <c r="AI80" s="734">
        <f>'BASE DE DATOS'!AI80</f>
        <v>18.5</v>
      </c>
      <c r="AJ80" s="734">
        <f>'BASE DE DATOS'!AJ80</f>
        <v>15.3</v>
      </c>
      <c r="AK80" s="734">
        <f>'BASE DE DATOS'!AK80</f>
        <v>15.5</v>
      </c>
      <c r="AL80" s="734">
        <f>'BASE DE DATOS'!AL80</f>
        <v>17.7</v>
      </c>
      <c r="AM80" s="734">
        <f>'BASE DE DATOS'!AM80</f>
        <v>20.100000000000001</v>
      </c>
      <c r="AN80" s="734">
        <f>'BASE DE DATOS'!AN80</f>
        <v>21.7</v>
      </c>
      <c r="AO80" s="734">
        <f>'BASE DE DATOS'!AO80</f>
        <v>24.1</v>
      </c>
      <c r="AP80" s="734">
        <f>'BASE DE DATOS'!AP80</f>
        <v>26.5</v>
      </c>
      <c r="AR80" s="734" t="str">
        <f>'BASE DE DATOS'!AR80</f>
        <v>CHC</v>
      </c>
      <c r="AS80" s="734" t="str">
        <f>'BASE DE DATOS'!AS80</f>
        <v>VILLA ANGELA</v>
      </c>
      <c r="AT80" s="734">
        <f>'BASE DE DATOS'!AT80</f>
        <v>6</v>
      </c>
      <c r="AU80" s="734">
        <f>'BASE DE DATOS'!AU80</f>
        <v>6</v>
      </c>
      <c r="AV80" s="734">
        <f>'BASE DE DATOS'!AV80</f>
        <v>5</v>
      </c>
      <c r="AW80" s="734">
        <f>'BASE DE DATOS'!AW80</f>
        <v>4</v>
      </c>
      <c r="AX80" s="734">
        <f>'BASE DE DATOS'!AX80</f>
        <v>3</v>
      </c>
      <c r="AY80" s="734">
        <f>'BASE DE DATOS'!AY80</f>
        <v>2.5</v>
      </c>
      <c r="AZ80" s="734">
        <f>'BASE DE DATOS'!AZ80</f>
        <v>2.5</v>
      </c>
      <c r="BA80" s="734">
        <f>'BASE DE DATOS'!BA80</f>
        <v>3</v>
      </c>
      <c r="BB80" s="734">
        <f>'BASE DE DATOS'!BB80</f>
        <v>4.5</v>
      </c>
      <c r="BC80" s="734">
        <f>'BASE DE DATOS'!BC80</f>
        <v>5.5</v>
      </c>
      <c r="BD80" s="734">
        <f>'BASE DE DATOS'!BD80</f>
        <v>5.5</v>
      </c>
      <c r="BE80" s="734">
        <f>'BASE DE DATOS'!BE80</f>
        <v>6.5</v>
      </c>
      <c r="DO80" s="733" t="str">
        <f>'BASE DE DATOS'!BG80</f>
        <v>CHC</v>
      </c>
      <c r="DP80" s="733" t="str">
        <f>'BASE DE DATOS'!BH80</f>
        <v>VILLA ANGELA</v>
      </c>
      <c r="DQ80" s="733">
        <f>'BASE DE DATOS'!BI80</f>
        <v>172</v>
      </c>
      <c r="DR80" s="733">
        <f>'BASE DE DATOS'!BJ80</f>
        <v>214</v>
      </c>
      <c r="DS80" s="733">
        <f>'BASE DE DATOS'!BK80</f>
        <v>237</v>
      </c>
      <c r="DT80" s="733">
        <f>'BASE DE DATOS'!BL80</f>
        <v>292</v>
      </c>
      <c r="DU80" s="733">
        <f>'BASE DE DATOS'!BM80</f>
        <v>280</v>
      </c>
      <c r="DV80" s="733">
        <f>'BASE DE DATOS'!BN80</f>
        <v>302</v>
      </c>
      <c r="DW80" s="733">
        <f>'BASE DE DATOS'!BO80</f>
        <v>288</v>
      </c>
      <c r="DX80" s="733">
        <f>'BASE DE DATOS'!BP80</f>
        <v>209</v>
      </c>
      <c r="DY80" s="733">
        <f>'BASE DE DATOS'!BQ80</f>
        <v>231</v>
      </c>
      <c r="DZ80" s="733">
        <f>'BASE DE DATOS'!BR80</f>
        <v>192</v>
      </c>
      <c r="EA80" s="733">
        <f>'BASE DE DATOS'!BS80</f>
        <v>178</v>
      </c>
      <c r="EB80" s="733">
        <f>'BASE DE DATOS'!BT80</f>
        <v>149</v>
      </c>
      <c r="GM80" s="741"/>
      <c r="GN80" s="741"/>
      <c r="GO80" s="741"/>
      <c r="GP80" s="741"/>
      <c r="GQ80" s="727"/>
      <c r="GR80" s="762"/>
      <c r="GS80" s="762"/>
      <c r="GT80" s="762"/>
      <c r="GU80" s="741"/>
      <c r="GV80" s="741"/>
      <c r="GW80" s="741"/>
      <c r="GX80" s="741"/>
      <c r="GY80" s="741"/>
    </row>
    <row r="81" spans="2:207" ht="16">
      <c r="B81" s="734" t="str">
        <f>'BASE DE DATOS'!B81</f>
        <v>CHB</v>
      </c>
      <c r="C81" s="734" t="str">
        <f>'BASE DE DATOS'!C81</f>
        <v>COMODORO RIVADAVIA</v>
      </c>
      <c r="D81" s="734">
        <f>'BASE DE DATOS'!D81</f>
        <v>45.78</v>
      </c>
      <c r="E81" s="734">
        <f>'BASE DE DATOS'!E81</f>
        <v>67.5</v>
      </c>
      <c r="F81" s="734">
        <f>'BASE DE DATOS'!F81</f>
        <v>61</v>
      </c>
      <c r="G81" s="734" t="str">
        <f>'BASE DE DATOS'!G81</f>
        <v>V</v>
      </c>
      <c r="H81" s="734">
        <f>'BASE DE DATOS'!H81</f>
        <v>-1.8</v>
      </c>
      <c r="I81" s="734">
        <f>'BASE DE DATOS'!I81</f>
        <v>7.1</v>
      </c>
      <c r="J81" s="734">
        <f>'BASE DE DATOS'!J81</f>
        <v>18.2</v>
      </c>
      <c r="K81" s="734">
        <f>'BASE DE DATOS'!K81</f>
        <v>28.1</v>
      </c>
      <c r="L81" s="734">
        <f>'BASE DE DATOS'!L81</f>
        <v>40</v>
      </c>
      <c r="M81" s="734">
        <f>'BASE DE DATOS'!M81</f>
        <v>58</v>
      </c>
      <c r="N81" s="734">
        <f>'BASE DE DATOS'!N81</f>
        <v>40</v>
      </c>
      <c r="O81" s="734">
        <f>'BASE DE DATOS'!O81</f>
        <v>22</v>
      </c>
      <c r="P81" s="734">
        <f>'BASE DE DATOS'!P81</f>
        <v>13</v>
      </c>
      <c r="Q81" s="734">
        <f>'BASE DE DATOS'!Q81</f>
        <v>5</v>
      </c>
      <c r="R81" s="734">
        <f>'BASE DE DATOS'!R81</f>
        <v>18.100000000000001</v>
      </c>
      <c r="S81" s="734">
        <f>'BASE DE DATOS'!S81</f>
        <v>0.51</v>
      </c>
      <c r="T81" s="734">
        <f>'BASE DE DATOS'!T81</f>
        <v>48.8</v>
      </c>
      <c r="U81" s="734">
        <f>'BASE DE DATOS'!U81</f>
        <v>1.2</v>
      </c>
      <c r="V81" s="734">
        <f>'BASE DE DATOS'!V81</f>
        <v>276</v>
      </c>
      <c r="W81" s="734">
        <f>'BASE DE DATOS'!W81</f>
        <v>35</v>
      </c>
      <c r="X81" s="734">
        <f>'BASE DE DATOS'!X81</f>
        <v>2.8000000000000001E-2</v>
      </c>
      <c r="Y81" s="734">
        <f>'BASE DE DATOS'!Y81</f>
        <v>0.04</v>
      </c>
      <c r="Z81" s="734">
        <f>'BASE DE DATOS'!Z81</f>
        <v>105</v>
      </c>
      <c r="AA81" s="734">
        <f>'BASE DE DATOS'!AA81</f>
        <v>1.05</v>
      </c>
      <c r="AB81" s="734">
        <f>'BASE DE DATOS'!AB81</f>
        <v>40</v>
      </c>
      <c r="AD81" s="734" t="str">
        <f>'BASE DE DATOS'!AD81</f>
        <v>COMODORO RIVADAVIA</v>
      </c>
      <c r="AE81" s="734">
        <f>'BASE DE DATOS'!AE81</f>
        <v>18.7</v>
      </c>
      <c r="AF81" s="734">
        <f>'BASE DE DATOS'!AF81</f>
        <v>18.2</v>
      </c>
      <c r="AG81" s="734">
        <f>'BASE DE DATOS'!AG81</f>
        <v>16</v>
      </c>
      <c r="AH81" s="734">
        <f>'BASE DE DATOS'!AH81</f>
        <v>12.6</v>
      </c>
      <c r="AI81" s="734">
        <f>'BASE DE DATOS'!AI81</f>
        <v>9.4</v>
      </c>
      <c r="AJ81" s="734">
        <f>'BASE DE DATOS'!AJ81</f>
        <v>6.9</v>
      </c>
      <c r="AK81" s="734">
        <f>'BASE DE DATOS'!AK81</f>
        <v>6.7</v>
      </c>
      <c r="AL81" s="734">
        <f>'BASE DE DATOS'!AL81</f>
        <v>7.4</v>
      </c>
      <c r="AM81" s="734">
        <f>'BASE DE DATOS'!AM81</f>
        <v>9.6</v>
      </c>
      <c r="AN81" s="734">
        <f>'BASE DE DATOS'!AN81</f>
        <v>12.8</v>
      </c>
      <c r="AO81" s="734">
        <f>'BASE DE DATOS'!AO81</f>
        <v>15.5</v>
      </c>
      <c r="AP81" s="734">
        <f>'BASE DE DATOS'!AP81</f>
        <v>17.399999999999999</v>
      </c>
      <c r="AR81" s="734" t="str">
        <f>'BASE DE DATOS'!AR81</f>
        <v>CHB</v>
      </c>
      <c r="AS81" s="734" t="str">
        <f>'BASE DE DATOS'!AS81</f>
        <v>COMODORO RIVADAVIA</v>
      </c>
      <c r="AT81" s="734">
        <f>'BASE DE DATOS'!AT81</f>
        <v>6.5</v>
      </c>
      <c r="AU81" s="734">
        <f>'BASE DE DATOS'!AU81</f>
        <v>5.5</v>
      </c>
      <c r="AV81" s="734">
        <f>'BASE DE DATOS'!AV81</f>
        <v>4</v>
      </c>
      <c r="AW81" s="734">
        <f>'BASE DE DATOS'!AW81</f>
        <v>3.5</v>
      </c>
      <c r="AX81" s="734">
        <f>'BASE DE DATOS'!AX81</f>
        <v>3</v>
      </c>
      <c r="AY81" s="734">
        <f>'BASE DE DATOS'!AY81</f>
        <v>2.5</v>
      </c>
      <c r="AZ81" s="734">
        <f>'BASE DE DATOS'!AZ81</f>
        <v>1</v>
      </c>
      <c r="BA81" s="734">
        <f>'BASE DE DATOS'!BA81</f>
        <v>2</v>
      </c>
      <c r="BB81" s="734">
        <f>'BASE DE DATOS'!BB81</f>
        <v>3.5</v>
      </c>
      <c r="BC81" s="734">
        <f>'BASE DE DATOS'!BC81</f>
        <v>5</v>
      </c>
      <c r="BD81" s="734">
        <f>'BASE DE DATOS'!BD81</f>
        <v>6</v>
      </c>
      <c r="BE81" s="734">
        <f>'BASE DE DATOS'!BE81</f>
        <v>6.5</v>
      </c>
      <c r="DO81" s="733" t="str">
        <f>'BASE DE DATOS'!BG81</f>
        <v>CHB</v>
      </c>
      <c r="DP81" s="733" t="str">
        <f>'BASE DE DATOS'!BH81</f>
        <v>COMODORO RIVADAVIA</v>
      </c>
      <c r="DQ81" s="733">
        <f>'BASE DE DATOS'!BI81</f>
        <v>9</v>
      </c>
      <c r="DR81" s="733">
        <f>'BASE DE DATOS'!BJ81</f>
        <v>13</v>
      </c>
      <c r="DS81" s="733">
        <f>'BASE DE DATOS'!BK81</f>
        <v>17</v>
      </c>
      <c r="DT81" s="733">
        <f>'BASE DE DATOS'!BL81</f>
        <v>27</v>
      </c>
      <c r="DU81" s="733">
        <f>'BASE DE DATOS'!BM81</f>
        <v>56</v>
      </c>
      <c r="DV81" s="733">
        <f>'BASE DE DATOS'!BN81</f>
        <v>54</v>
      </c>
      <c r="DW81" s="733">
        <f>'BASE DE DATOS'!BO81</f>
        <v>35</v>
      </c>
      <c r="DX81" s="733">
        <f>'BASE DE DATOS'!BP81</f>
        <v>33</v>
      </c>
      <c r="DY81" s="733">
        <f>'BASE DE DATOS'!BQ81</f>
        <v>18</v>
      </c>
      <c r="DZ81" s="733">
        <f>'BASE DE DATOS'!BR81</f>
        <v>12</v>
      </c>
      <c r="EA81" s="733">
        <f>'BASE DE DATOS'!BS81</f>
        <v>18</v>
      </c>
      <c r="EB81" s="733">
        <f>'BASE DE DATOS'!BT81</f>
        <v>9</v>
      </c>
      <c r="GM81" s="741"/>
      <c r="GN81" s="741"/>
      <c r="GO81" s="741"/>
      <c r="GP81" s="741"/>
      <c r="GQ81" s="727"/>
      <c r="GR81" s="762"/>
      <c r="GS81" s="762"/>
      <c r="GT81" s="762"/>
      <c r="GU81" s="741"/>
      <c r="GV81" s="741"/>
      <c r="GW81" s="741"/>
      <c r="GX81" s="741"/>
      <c r="GY81" s="741"/>
    </row>
    <row r="82" spans="2:207" ht="16">
      <c r="B82" s="734" t="str">
        <f>'BASE DE DATOS'!B82</f>
        <v>CHB</v>
      </c>
      <c r="C82" s="734" t="str">
        <f>'BASE DE DATOS'!C82</f>
        <v>ESQUEL</v>
      </c>
      <c r="D82" s="734">
        <f>'BASE DE DATOS'!D82</f>
        <v>42.9</v>
      </c>
      <c r="E82" s="734">
        <f>'BASE DE DATOS'!E82</f>
        <v>71.37</v>
      </c>
      <c r="F82" s="734">
        <f>'BASE DE DATOS'!F82</f>
        <v>785</v>
      </c>
      <c r="G82" s="734" t="str">
        <f>'BASE DE DATOS'!G82</f>
        <v>VI</v>
      </c>
      <c r="H82" s="734">
        <f>'BASE DE DATOS'!H82</f>
        <v>-12.4</v>
      </c>
      <c r="I82" s="734">
        <f>'BASE DE DATOS'!I82</f>
        <v>2.2000000000000002</v>
      </c>
      <c r="J82" s="734">
        <f>'BASE DE DATOS'!J82</f>
        <v>13.4</v>
      </c>
      <c r="K82" s="734">
        <f>'BASE DE DATOS'!K82</f>
        <v>23.5</v>
      </c>
      <c r="L82" s="734">
        <f>'BASE DE DATOS'!L82</f>
        <v>51</v>
      </c>
      <c r="M82" s="734">
        <f>'BASE DE DATOS'!M82</f>
        <v>76</v>
      </c>
      <c r="N82" s="734">
        <f>'BASE DE DATOS'!N82</f>
        <v>51</v>
      </c>
      <c r="O82" s="734">
        <f>'BASE DE DATOS'!O82</f>
        <v>77</v>
      </c>
      <c r="P82" s="734">
        <f>'BASE DE DATOS'!P82</f>
        <v>22</v>
      </c>
      <c r="Q82" s="734">
        <f>'BASE DE DATOS'!Q82</f>
        <v>6</v>
      </c>
      <c r="R82" s="734">
        <f>'BASE DE DATOS'!R82</f>
        <v>12.8</v>
      </c>
      <c r="S82" s="734">
        <f>'BASE DE DATOS'!S82</f>
        <v>0.53</v>
      </c>
      <c r="T82" s="734">
        <f>'BASE DE DATOS'!T82</f>
        <v>48.8</v>
      </c>
      <c r="U82" s="734">
        <f>'BASE DE DATOS'!U82</f>
        <v>1.2</v>
      </c>
      <c r="V82" s="734">
        <f>'BASE DE DATOS'!V82</f>
        <v>276</v>
      </c>
      <c r="W82" s="734">
        <f>'BASE DE DATOS'!W82</f>
        <v>35</v>
      </c>
      <c r="X82" s="734">
        <f>'BASE DE DATOS'!X82</f>
        <v>2.8000000000000001E-2</v>
      </c>
      <c r="Y82" s="734">
        <f>'BASE DE DATOS'!Y82</f>
        <v>0.04</v>
      </c>
      <c r="Z82" s="734">
        <f>'BASE DE DATOS'!Z82</f>
        <v>95</v>
      </c>
      <c r="AA82" s="734">
        <f>'BASE DE DATOS'!AA82</f>
        <v>0.95000000000000007</v>
      </c>
      <c r="AB82" s="734">
        <f>'BASE DE DATOS'!AB82</f>
        <v>40</v>
      </c>
      <c r="AD82" s="734" t="str">
        <f>'BASE DE DATOS'!AD82</f>
        <v>ESQUEL</v>
      </c>
      <c r="AE82" s="734">
        <f>'BASE DE DATOS'!AE82</f>
        <v>14.1</v>
      </c>
      <c r="AF82" s="734">
        <f>'BASE DE DATOS'!AF82</f>
        <v>13.5</v>
      </c>
      <c r="AG82" s="734">
        <f>'BASE DE DATOS'!AG82</f>
        <v>12.1</v>
      </c>
      <c r="AH82" s="734">
        <f>'BASE DE DATOS'!AH82</f>
        <v>8.4</v>
      </c>
      <c r="AI82" s="734">
        <f>'BASE DE DATOS'!AI82</f>
        <v>5.5</v>
      </c>
      <c r="AJ82" s="734">
        <f>'BASE DE DATOS'!AJ82</f>
        <v>1.7</v>
      </c>
      <c r="AK82" s="734">
        <f>'BASE DE DATOS'!AK82</f>
        <v>1.8</v>
      </c>
      <c r="AL82" s="734">
        <f>'BASE DE DATOS'!AL82</f>
        <v>3.1</v>
      </c>
      <c r="AM82" s="734">
        <f>'BASE DE DATOS'!AM82</f>
        <v>4.7</v>
      </c>
      <c r="AN82" s="734">
        <f>'BASE DE DATOS'!AN82</f>
        <v>7.8</v>
      </c>
      <c r="AO82" s="734">
        <f>'BASE DE DATOS'!AO82</f>
        <v>11.2</v>
      </c>
      <c r="AP82" s="734">
        <f>'BASE DE DATOS'!AP82</f>
        <v>12.4</v>
      </c>
      <c r="AR82" s="734" t="str">
        <f>'BASE DE DATOS'!AR82</f>
        <v>CHB</v>
      </c>
      <c r="AS82" s="734" t="str">
        <f>'BASE DE DATOS'!AS82</f>
        <v>ESQUEL</v>
      </c>
      <c r="AT82" s="734">
        <f>'BASE DE DATOS'!AT82</f>
        <v>7</v>
      </c>
      <c r="AU82" s="734">
        <f>'BASE DE DATOS'!AU82</f>
        <v>6</v>
      </c>
      <c r="AV82" s="734">
        <f>'BASE DE DATOS'!AV82</f>
        <v>4</v>
      </c>
      <c r="AW82" s="734">
        <f>'BASE DE DATOS'!AW82</f>
        <v>3.5</v>
      </c>
      <c r="AX82" s="734">
        <f>'BASE DE DATOS'!AX82</f>
        <v>3</v>
      </c>
      <c r="AY82" s="734">
        <f>'BASE DE DATOS'!AY82</f>
        <v>2.5</v>
      </c>
      <c r="AZ82" s="734">
        <f>'BASE DE DATOS'!AZ82</f>
        <v>1</v>
      </c>
      <c r="BA82" s="734">
        <f>'BASE DE DATOS'!BA82</f>
        <v>2</v>
      </c>
      <c r="BB82" s="734">
        <f>'BASE DE DATOS'!BB82</f>
        <v>3.5</v>
      </c>
      <c r="BC82" s="734">
        <f>'BASE DE DATOS'!BC82</f>
        <v>5</v>
      </c>
      <c r="BD82" s="734">
        <f>'BASE DE DATOS'!BD82</f>
        <v>6</v>
      </c>
      <c r="BE82" s="734">
        <f>'BASE DE DATOS'!BE82</f>
        <v>7</v>
      </c>
      <c r="DO82" s="733" t="str">
        <f>'BASE DE DATOS'!BG82</f>
        <v>CHB</v>
      </c>
      <c r="DP82" s="733" t="str">
        <f>'BASE DE DATOS'!BH82</f>
        <v>ESQUEL</v>
      </c>
      <c r="DQ82" s="733">
        <f>'BASE DE DATOS'!BI82</f>
        <v>9</v>
      </c>
      <c r="DR82" s="733">
        <f>'BASE DE DATOS'!BJ82</f>
        <v>13</v>
      </c>
      <c r="DS82" s="733">
        <f>'BASE DE DATOS'!BK82</f>
        <v>17</v>
      </c>
      <c r="DT82" s="733">
        <f>'BASE DE DATOS'!BL82</f>
        <v>27</v>
      </c>
      <c r="DU82" s="733">
        <f>'BASE DE DATOS'!BM82</f>
        <v>56</v>
      </c>
      <c r="DV82" s="733">
        <f>'BASE DE DATOS'!BN82</f>
        <v>54</v>
      </c>
      <c r="DW82" s="733">
        <f>'BASE DE DATOS'!BO82</f>
        <v>35</v>
      </c>
      <c r="DX82" s="733">
        <f>'BASE DE DATOS'!BP82</f>
        <v>33</v>
      </c>
      <c r="DY82" s="733">
        <f>'BASE DE DATOS'!BQ82</f>
        <v>18</v>
      </c>
      <c r="DZ82" s="733">
        <f>'BASE DE DATOS'!BR82</f>
        <v>12</v>
      </c>
      <c r="EA82" s="733">
        <f>'BASE DE DATOS'!BS82</f>
        <v>18</v>
      </c>
      <c r="EB82" s="733">
        <f>'BASE DE DATOS'!BT82</f>
        <v>9</v>
      </c>
      <c r="GM82" s="741"/>
      <c r="GN82" s="741"/>
      <c r="GO82" s="741"/>
      <c r="GP82" s="741"/>
      <c r="GQ82" s="727"/>
      <c r="GR82" s="762"/>
      <c r="GS82" s="762"/>
      <c r="GT82" s="762"/>
      <c r="GU82" s="741"/>
      <c r="GV82" s="741"/>
      <c r="GW82" s="741"/>
      <c r="GX82" s="741"/>
      <c r="GY82" s="741"/>
    </row>
    <row r="83" spans="2:207" ht="16">
      <c r="B83" s="734" t="str">
        <f>'BASE DE DATOS'!B83</f>
        <v>CHB</v>
      </c>
      <c r="C83" s="734" t="str">
        <f>'BASE DE DATOS'!C83</f>
        <v>GOBERNADOR COSTA</v>
      </c>
      <c r="D83" s="734">
        <f>'BASE DE DATOS'!D83</f>
        <v>44.03</v>
      </c>
      <c r="E83" s="734">
        <f>'BASE DE DATOS'!E83</f>
        <v>70.400000000000006</v>
      </c>
      <c r="F83" s="734">
        <f>'BASE DE DATOS'!F83</f>
        <v>730</v>
      </c>
      <c r="G83" s="734" t="str">
        <f>'BASE DE DATOS'!G83</f>
        <v>VI</v>
      </c>
      <c r="H83" s="734">
        <f>'BASE DE DATOS'!H83</f>
        <v>-12.1</v>
      </c>
      <c r="I83" s="734">
        <f>'BASE DE DATOS'!I83</f>
        <v>2.1</v>
      </c>
      <c r="J83" s="734">
        <f>'BASE DE DATOS'!J83</f>
        <v>13</v>
      </c>
      <c r="K83" s="734">
        <f>'BASE DE DATOS'!K83</f>
        <v>24.4</v>
      </c>
      <c r="L83" s="734">
        <f>'BASE DE DATOS'!L83</f>
        <v>50</v>
      </c>
      <c r="M83" s="734">
        <f>'BASE DE DATOS'!M83</f>
        <v>74</v>
      </c>
      <c r="N83" s="734">
        <f>'BASE DE DATOS'!N83</f>
        <v>50</v>
      </c>
      <c r="O83" s="734">
        <f>'BASE DE DATOS'!O83</f>
        <v>25</v>
      </c>
      <c r="P83" s="734">
        <f>'BASE DE DATOS'!P83</f>
        <v>6</v>
      </c>
      <c r="Q83" s="734">
        <f>'BASE DE DATOS'!Q83</f>
        <v>6</v>
      </c>
      <c r="R83" s="734">
        <f>'BASE DE DATOS'!R83</f>
        <v>12.7</v>
      </c>
      <c r="S83" s="734">
        <f>'BASE DE DATOS'!S83</f>
        <v>0.53</v>
      </c>
      <c r="T83" s="734">
        <f>'BASE DE DATOS'!T83</f>
        <v>48.8</v>
      </c>
      <c r="U83" s="734">
        <f>'BASE DE DATOS'!U83</f>
        <v>1.2</v>
      </c>
      <c r="V83" s="734">
        <f>'BASE DE DATOS'!V83</f>
        <v>276</v>
      </c>
      <c r="W83" s="734">
        <f>'BASE DE DATOS'!W83</f>
        <v>35</v>
      </c>
      <c r="X83" s="734">
        <f>'BASE DE DATOS'!X83</f>
        <v>2.8000000000000001E-2</v>
      </c>
      <c r="Y83" s="734">
        <f>'BASE DE DATOS'!Y83</f>
        <v>0.04</v>
      </c>
      <c r="Z83" s="734">
        <f>'BASE DE DATOS'!Z83</f>
        <v>95</v>
      </c>
      <c r="AA83" s="734">
        <f>'BASE DE DATOS'!AA83</f>
        <v>0.95000000000000007</v>
      </c>
      <c r="AB83" s="734">
        <f>'BASE DE DATOS'!AB83</f>
        <v>40</v>
      </c>
      <c r="AD83" s="734" t="str">
        <f>'BASE DE DATOS'!AD83</f>
        <v>GOBERNADOR COSTA</v>
      </c>
      <c r="AE83" s="734">
        <f>'BASE DE DATOS'!AE83</f>
        <v>23.4</v>
      </c>
      <c r="AF83" s="734">
        <f>'BASE DE DATOS'!AF83</f>
        <v>22.4</v>
      </c>
      <c r="AG83" s="734">
        <f>'BASE DE DATOS'!AG83</f>
        <v>20.7</v>
      </c>
      <c r="AH83" s="734">
        <f>'BASE DE DATOS'!AH83</f>
        <v>16.2</v>
      </c>
      <c r="AI83" s="734">
        <f>'BASE DE DATOS'!AI83</f>
        <v>13.2</v>
      </c>
      <c r="AJ83" s="734">
        <f>'BASE DE DATOS'!AJ83</f>
        <v>10.7</v>
      </c>
      <c r="AK83" s="734">
        <f>'BASE DE DATOS'!AK83</f>
        <v>10.4</v>
      </c>
      <c r="AL83" s="734">
        <f>'BASE DE DATOS'!AL83</f>
        <v>11.3</v>
      </c>
      <c r="AM83" s="734">
        <f>'BASE DE DATOS'!AM83</f>
        <v>13.2</v>
      </c>
      <c r="AN83" s="734">
        <f>'BASE DE DATOS'!AN83</f>
        <v>16.2</v>
      </c>
      <c r="AO83" s="734">
        <f>'BASE DE DATOS'!AO83</f>
        <v>19.3</v>
      </c>
      <c r="AP83" s="734">
        <f>'BASE DE DATOS'!AP83</f>
        <v>21.7</v>
      </c>
      <c r="AR83" s="734" t="str">
        <f>'BASE DE DATOS'!AR83</f>
        <v>CHB</v>
      </c>
      <c r="AS83" s="734" t="str">
        <f>'BASE DE DATOS'!AS83</f>
        <v>GOBERNADOR COSTA</v>
      </c>
      <c r="AT83" s="734">
        <f>'BASE DE DATOS'!AT83</f>
        <v>7</v>
      </c>
      <c r="AU83" s="734">
        <f>'BASE DE DATOS'!AU83</f>
        <v>6</v>
      </c>
      <c r="AV83" s="734">
        <f>'BASE DE DATOS'!AV83</f>
        <v>4</v>
      </c>
      <c r="AW83" s="734">
        <f>'BASE DE DATOS'!AW83</f>
        <v>3.5</v>
      </c>
      <c r="AX83" s="734">
        <f>'BASE DE DATOS'!AX83</f>
        <v>3</v>
      </c>
      <c r="AY83" s="734">
        <f>'BASE DE DATOS'!AY83</f>
        <v>2.5</v>
      </c>
      <c r="AZ83" s="734">
        <f>'BASE DE DATOS'!AZ83</f>
        <v>1</v>
      </c>
      <c r="BA83" s="734">
        <f>'BASE DE DATOS'!BA83</f>
        <v>2</v>
      </c>
      <c r="BB83" s="734">
        <f>'BASE DE DATOS'!BB83</f>
        <v>3.5</v>
      </c>
      <c r="BC83" s="734">
        <f>'BASE DE DATOS'!BC83</f>
        <v>5</v>
      </c>
      <c r="BD83" s="734">
        <f>'BASE DE DATOS'!BD83</f>
        <v>6</v>
      </c>
      <c r="BE83" s="734">
        <f>'BASE DE DATOS'!BE83</f>
        <v>6.5</v>
      </c>
      <c r="DO83" s="733" t="str">
        <f>'BASE DE DATOS'!BG83</f>
        <v>CHB</v>
      </c>
      <c r="DP83" s="733" t="str">
        <f>'BASE DE DATOS'!BH83</f>
        <v>GOBERNADOR COSTA</v>
      </c>
      <c r="DQ83" s="733">
        <f>'BASE DE DATOS'!BI83</f>
        <v>9</v>
      </c>
      <c r="DR83" s="733">
        <f>'BASE DE DATOS'!BJ83</f>
        <v>13</v>
      </c>
      <c r="DS83" s="733">
        <f>'BASE DE DATOS'!BK83</f>
        <v>17</v>
      </c>
      <c r="DT83" s="733">
        <f>'BASE DE DATOS'!BL83</f>
        <v>27</v>
      </c>
      <c r="DU83" s="733">
        <f>'BASE DE DATOS'!BM83</f>
        <v>56</v>
      </c>
      <c r="DV83" s="733">
        <f>'BASE DE DATOS'!BN83</f>
        <v>54</v>
      </c>
      <c r="DW83" s="733">
        <f>'BASE DE DATOS'!BO83</f>
        <v>35</v>
      </c>
      <c r="DX83" s="733">
        <f>'BASE DE DATOS'!BP83</f>
        <v>33</v>
      </c>
      <c r="DY83" s="733">
        <f>'BASE DE DATOS'!BQ83</f>
        <v>18</v>
      </c>
      <c r="DZ83" s="733">
        <f>'BASE DE DATOS'!BR83</f>
        <v>12</v>
      </c>
      <c r="EA83" s="733">
        <f>'BASE DE DATOS'!BS83</f>
        <v>18</v>
      </c>
      <c r="EB83" s="733">
        <f>'BASE DE DATOS'!BT83</f>
        <v>9</v>
      </c>
      <c r="GM83" s="741"/>
      <c r="GN83" s="741"/>
      <c r="GO83" s="741"/>
      <c r="GP83" s="741"/>
      <c r="GQ83" s="727" t="str">
        <f>GQ60</f>
        <v>Energías Renovables</v>
      </c>
      <c r="GR83" s="762">
        <f>GR60</f>
        <v>0</v>
      </c>
      <c r="GS83" s="762">
        <f>GS60</f>
        <v>0</v>
      </c>
      <c r="GT83" s="762">
        <f>GT60</f>
        <v>0</v>
      </c>
      <c r="GU83" s="741"/>
      <c r="GV83" s="741"/>
      <c r="GW83" s="741"/>
      <c r="GX83" s="741"/>
      <c r="GY83" s="741"/>
    </row>
    <row r="84" spans="2:207" ht="16">
      <c r="B84" s="734" t="str">
        <f>'BASE DE DATOS'!B84</f>
        <v>CHB</v>
      </c>
      <c r="C84" s="734" t="str">
        <f>'BASE DE DATOS'!C84</f>
        <v>TRELEW</v>
      </c>
      <c r="D84" s="734">
        <f>'BASE DE DATOS'!D84</f>
        <v>43.23</v>
      </c>
      <c r="E84" s="734">
        <f>'BASE DE DATOS'!E84</f>
        <v>65.3</v>
      </c>
      <c r="F84" s="734">
        <f>'BASE DE DATOS'!F84</f>
        <v>39</v>
      </c>
      <c r="G84" s="734" t="str">
        <f>'BASE DE DATOS'!G84</f>
        <v>IVC</v>
      </c>
      <c r="H84" s="734">
        <f>'BASE DE DATOS'!H84</f>
        <v>-3.4</v>
      </c>
      <c r="I84" s="734">
        <f>'BASE DE DATOS'!I84</f>
        <v>6.8</v>
      </c>
      <c r="J84" s="734">
        <f>'BASE DE DATOS'!J84</f>
        <v>19.7</v>
      </c>
      <c r="K84" s="734">
        <f>'BASE DE DATOS'!K84</f>
        <v>30.9</v>
      </c>
      <c r="L84" s="734">
        <f>'BASE DE DATOS'!L84</f>
        <v>38</v>
      </c>
      <c r="M84" s="734">
        <f>'BASE DE DATOS'!M84</f>
        <v>60</v>
      </c>
      <c r="N84" s="734">
        <f>'BASE DE DATOS'!N84</f>
        <v>38</v>
      </c>
      <c r="O84" s="734">
        <f>'BASE DE DATOS'!O84</f>
        <v>14</v>
      </c>
      <c r="P84" s="734">
        <f>'BASE DE DATOS'!P84</f>
        <v>11</v>
      </c>
      <c r="Q84" s="734">
        <f>'BASE DE DATOS'!Q84</f>
        <v>4</v>
      </c>
      <c r="R84" s="734">
        <f>'BASE DE DATOS'!R84</f>
        <v>19.7</v>
      </c>
      <c r="S84" s="734">
        <f>'BASE DE DATOS'!S84</f>
        <v>0.51</v>
      </c>
      <c r="T84" s="734">
        <f>'BASE DE DATOS'!T84</f>
        <v>48.8</v>
      </c>
      <c r="U84" s="734">
        <f>'BASE DE DATOS'!U84</f>
        <v>1.2</v>
      </c>
      <c r="V84" s="734">
        <f>'BASE DE DATOS'!V84</f>
        <v>276</v>
      </c>
      <c r="W84" s="734">
        <f>'BASE DE DATOS'!W84</f>
        <v>35</v>
      </c>
      <c r="X84" s="734">
        <f>'BASE DE DATOS'!X84</f>
        <v>2.8000000000000001E-2</v>
      </c>
      <c r="Y84" s="734">
        <f>'BASE DE DATOS'!Y84</f>
        <v>0.04</v>
      </c>
      <c r="Z84" s="734">
        <f>'BASE DE DATOS'!Z84</f>
        <v>115</v>
      </c>
      <c r="AA84" s="734">
        <f>'BASE DE DATOS'!AA84</f>
        <v>1.1500000000000001</v>
      </c>
      <c r="AB84" s="734">
        <f>'BASE DE DATOS'!AB84</f>
        <v>40</v>
      </c>
      <c r="AD84" s="734" t="str">
        <f>'BASE DE DATOS'!AD84</f>
        <v>TRELEW</v>
      </c>
      <c r="AE84" s="734">
        <f>'BASE DE DATOS'!AE84</f>
        <v>20.6</v>
      </c>
      <c r="AF84" s="734">
        <f>'BASE DE DATOS'!AF84</f>
        <v>20.100000000000001</v>
      </c>
      <c r="AG84" s="734">
        <f>'BASE DE DATOS'!AG84</f>
        <v>17.3</v>
      </c>
      <c r="AH84" s="734">
        <f>'BASE DE DATOS'!AH84</f>
        <v>13.5</v>
      </c>
      <c r="AI84" s="734">
        <f>'BASE DE DATOS'!AI84</f>
        <v>9.4</v>
      </c>
      <c r="AJ84" s="734">
        <f>'BASE DE DATOS'!AJ84</f>
        <v>6</v>
      </c>
      <c r="AK84" s="734">
        <f>'BASE DE DATOS'!AK84</f>
        <v>6</v>
      </c>
      <c r="AL84" s="734">
        <f>'BASE DE DATOS'!AL84</f>
        <v>7.8</v>
      </c>
      <c r="AM84" s="734">
        <f>'BASE DE DATOS'!AM84</f>
        <v>10.5</v>
      </c>
      <c r="AN84" s="734">
        <f>'BASE DE DATOS'!AN84</f>
        <v>13.9</v>
      </c>
      <c r="AO84" s="734">
        <f>'BASE DE DATOS'!AO84</f>
        <v>17.100000000000001</v>
      </c>
      <c r="AP84" s="734">
        <f>'BASE DE DATOS'!AP84</f>
        <v>19.3</v>
      </c>
      <c r="AR84" s="734" t="str">
        <f>'BASE DE DATOS'!AR84</f>
        <v>CHB</v>
      </c>
      <c r="AS84" s="734" t="str">
        <f>'BASE DE DATOS'!AS84</f>
        <v>TRELEW</v>
      </c>
      <c r="AT84" s="734">
        <f>'BASE DE DATOS'!AT84</f>
        <v>7</v>
      </c>
      <c r="AU84" s="734">
        <f>'BASE DE DATOS'!AU84</f>
        <v>6</v>
      </c>
      <c r="AV84" s="734">
        <f>'BASE DE DATOS'!AV84</f>
        <v>4.5</v>
      </c>
      <c r="AW84" s="734">
        <f>'BASE DE DATOS'!AW84</f>
        <v>3.5</v>
      </c>
      <c r="AX84" s="734">
        <f>'BASE DE DATOS'!AX84</f>
        <v>3</v>
      </c>
      <c r="AY84" s="734">
        <f>'BASE DE DATOS'!AY84</f>
        <v>2.5</v>
      </c>
      <c r="AZ84" s="734">
        <f>'BASE DE DATOS'!AZ84</f>
        <v>1.5</v>
      </c>
      <c r="BA84" s="734">
        <f>'BASE DE DATOS'!BA84</f>
        <v>2.5</v>
      </c>
      <c r="BB84" s="734">
        <f>'BASE DE DATOS'!BB84</f>
        <v>3.5</v>
      </c>
      <c r="BC84" s="734">
        <f>'BASE DE DATOS'!BC84</f>
        <v>5</v>
      </c>
      <c r="BD84" s="734">
        <f>'BASE DE DATOS'!BD84</f>
        <v>6.5</v>
      </c>
      <c r="BE84" s="734">
        <f>'BASE DE DATOS'!BE84</f>
        <v>7</v>
      </c>
      <c r="DO84" s="733" t="str">
        <f>'BASE DE DATOS'!BG84</f>
        <v>CHB</v>
      </c>
      <c r="DP84" s="733" t="str">
        <f>'BASE DE DATOS'!BH84</f>
        <v>TRELEW</v>
      </c>
      <c r="DQ84" s="733">
        <f>'BASE DE DATOS'!BI84</f>
        <v>9</v>
      </c>
      <c r="DR84" s="733">
        <f>'BASE DE DATOS'!BJ84</f>
        <v>13</v>
      </c>
      <c r="DS84" s="733">
        <f>'BASE DE DATOS'!BK84</f>
        <v>17</v>
      </c>
      <c r="DT84" s="733">
        <f>'BASE DE DATOS'!BL84</f>
        <v>27</v>
      </c>
      <c r="DU84" s="733">
        <f>'BASE DE DATOS'!BM84</f>
        <v>56</v>
      </c>
      <c r="DV84" s="733">
        <f>'BASE DE DATOS'!BN84</f>
        <v>54</v>
      </c>
      <c r="DW84" s="733">
        <f>'BASE DE DATOS'!BO84</f>
        <v>35</v>
      </c>
      <c r="DX84" s="733">
        <f>'BASE DE DATOS'!BP84</f>
        <v>33</v>
      </c>
      <c r="DY84" s="733">
        <f>'BASE DE DATOS'!BQ84</f>
        <v>18</v>
      </c>
      <c r="DZ84" s="733">
        <f>'BASE DE DATOS'!BR84</f>
        <v>12</v>
      </c>
      <c r="EA84" s="733">
        <f>'BASE DE DATOS'!BS84</f>
        <v>18</v>
      </c>
      <c r="EB84" s="733">
        <f>'BASE DE DATOS'!BT84</f>
        <v>9</v>
      </c>
      <c r="GM84" s="741"/>
      <c r="GN84" s="741"/>
      <c r="GO84" s="741"/>
      <c r="GP84" s="741"/>
      <c r="GQ84" s="727"/>
      <c r="GR84" s="762"/>
      <c r="GS84" s="762"/>
      <c r="GT84" s="762"/>
      <c r="GU84" s="741"/>
      <c r="GV84" s="741"/>
      <c r="GW84" s="741"/>
      <c r="GX84" s="741"/>
      <c r="GY84" s="741"/>
    </row>
    <row r="85" spans="2:207" ht="16">
      <c r="B85" s="734" t="str">
        <f>'BASE DE DATOS'!B85</f>
        <v>ER</v>
      </c>
      <c r="C85" s="734" t="str">
        <f>'BASE DE DATOS'!C85</f>
        <v>CONCORDIA</v>
      </c>
      <c r="D85" s="734">
        <f>'BASE DE DATOS'!D85</f>
        <v>31.3</v>
      </c>
      <c r="E85" s="734">
        <f>'BASE DE DATOS'!E85</f>
        <v>58.02</v>
      </c>
      <c r="F85" s="734">
        <f>'BASE DE DATOS'!F85</f>
        <v>38</v>
      </c>
      <c r="G85" s="734" t="str">
        <f>'BASE DE DATOS'!G85</f>
        <v>IIB</v>
      </c>
      <c r="H85" s="734">
        <f>'BASE DE DATOS'!H85</f>
        <v>2.4</v>
      </c>
      <c r="I85" s="734">
        <f>'BASE DE DATOS'!I85</f>
        <v>13.1</v>
      </c>
      <c r="J85" s="734">
        <f>'BASE DE DATOS'!J85</f>
        <v>24.8</v>
      </c>
      <c r="K85" s="734">
        <f>'BASE DE DATOS'!K85</f>
        <v>34.5</v>
      </c>
      <c r="L85" s="734">
        <f>'BASE DE DATOS'!L85</f>
        <v>63</v>
      </c>
      <c r="M85" s="734">
        <f>'BASE DE DATOS'!M85</f>
        <v>80</v>
      </c>
      <c r="N85" s="734">
        <f>'BASE DE DATOS'!N85</f>
        <v>63</v>
      </c>
      <c r="O85" s="734">
        <f>'BASE DE DATOS'!O85</f>
        <v>90</v>
      </c>
      <c r="P85" s="734">
        <f>'BASE DE DATOS'!P85</f>
        <v>128</v>
      </c>
      <c r="Q85" s="734">
        <f>'BASE DE DATOS'!Q85</f>
        <v>2</v>
      </c>
      <c r="R85" s="734">
        <f>'BASE DE DATOS'!R85</f>
        <v>24.1</v>
      </c>
      <c r="S85" s="734">
        <f>'BASE DE DATOS'!S85</f>
        <v>0.53</v>
      </c>
      <c r="T85" s="734">
        <f>'BASE DE DATOS'!T85</f>
        <v>18.100000000000001</v>
      </c>
      <c r="U85" s="734">
        <f>'BASE DE DATOS'!U85</f>
        <v>14.6</v>
      </c>
      <c r="V85" s="734">
        <f>'BASE DE DATOS'!V85</f>
        <v>50</v>
      </c>
      <c r="W85" s="734">
        <f>'BASE DE DATOS'!W85</f>
        <v>115</v>
      </c>
      <c r="X85" s="734">
        <f>'BASE DE DATOS'!X85</f>
        <v>8.9999999999999993E-3</v>
      </c>
      <c r="Y85" s="734">
        <f>'BASE DE DATOS'!Y85</f>
        <v>8.0000000000000002E-3</v>
      </c>
      <c r="Z85" s="734">
        <f>'BASE DE DATOS'!Z85</f>
        <v>155</v>
      </c>
      <c r="AA85" s="734">
        <f>'BASE DE DATOS'!AA85</f>
        <v>1.55</v>
      </c>
      <c r="AB85" s="734">
        <f>'BASE DE DATOS'!AB85</f>
        <v>30</v>
      </c>
      <c r="AD85" s="734" t="str">
        <f>'BASE DE DATOS'!AD85</f>
        <v>CONCORDIA</v>
      </c>
      <c r="AE85" s="734">
        <f>'BASE DE DATOS'!AE85</f>
        <v>25.4</v>
      </c>
      <c r="AF85" s="734">
        <f>'BASE DE DATOS'!AF85</f>
        <v>24.5</v>
      </c>
      <c r="AG85" s="734">
        <f>'BASE DE DATOS'!AG85</f>
        <v>22.5</v>
      </c>
      <c r="AH85" s="734">
        <f>'BASE DE DATOS'!AH85</f>
        <v>18.100000000000001</v>
      </c>
      <c r="AI85" s="734">
        <f>'BASE DE DATOS'!AI85</f>
        <v>15.5</v>
      </c>
      <c r="AJ85" s="734">
        <f>'BASE DE DATOS'!AJ85</f>
        <v>12.8</v>
      </c>
      <c r="AK85" s="734">
        <f>'BASE DE DATOS'!AK85</f>
        <v>12.4</v>
      </c>
      <c r="AL85" s="734">
        <f>'BASE DE DATOS'!AL85</f>
        <v>13.6</v>
      </c>
      <c r="AM85" s="734">
        <f>'BASE DE DATOS'!AM85</f>
        <v>15.2</v>
      </c>
      <c r="AN85" s="734">
        <f>'BASE DE DATOS'!AN85</f>
        <v>18.100000000000001</v>
      </c>
      <c r="AO85" s="734">
        <f>'BASE DE DATOS'!AO85</f>
        <v>21.1</v>
      </c>
      <c r="AP85" s="734">
        <f>'BASE DE DATOS'!AP85</f>
        <v>23.8</v>
      </c>
      <c r="AR85" s="734" t="str">
        <f>'BASE DE DATOS'!AR85</f>
        <v>ER</v>
      </c>
      <c r="AS85" s="734" t="str">
        <f>'BASE DE DATOS'!AS85</f>
        <v>CONCORDIA</v>
      </c>
      <c r="AT85" s="734">
        <f>'BASE DE DATOS'!AT85</f>
        <v>6.5</v>
      </c>
      <c r="AU85" s="734">
        <f>'BASE DE DATOS'!AU85</f>
        <v>5.5</v>
      </c>
      <c r="AV85" s="734">
        <f>'BASE DE DATOS'!AV85</f>
        <v>5</v>
      </c>
      <c r="AW85" s="734">
        <f>'BASE DE DATOS'!AW85</f>
        <v>3.5</v>
      </c>
      <c r="AX85" s="734">
        <f>'BASE DE DATOS'!AX85</f>
        <v>3</v>
      </c>
      <c r="AY85" s="734">
        <f>'BASE DE DATOS'!AY85</f>
        <v>2</v>
      </c>
      <c r="AZ85" s="734">
        <f>'BASE DE DATOS'!AZ85</f>
        <v>2</v>
      </c>
      <c r="BA85" s="734">
        <f>'BASE DE DATOS'!BA85</f>
        <v>3</v>
      </c>
      <c r="BB85" s="734">
        <f>'BASE DE DATOS'!BB85</f>
        <v>4</v>
      </c>
      <c r="BC85" s="734">
        <f>'BASE DE DATOS'!BC85</f>
        <v>5.5</v>
      </c>
      <c r="BD85" s="734">
        <f>'BASE DE DATOS'!BD85</f>
        <v>6</v>
      </c>
      <c r="BE85" s="734">
        <f>'BASE DE DATOS'!BE85</f>
        <v>6.5</v>
      </c>
      <c r="DO85" s="733" t="str">
        <f>'BASE DE DATOS'!BG85</f>
        <v>ER</v>
      </c>
      <c r="DP85" s="733" t="str">
        <f>'BASE DE DATOS'!BH85</f>
        <v>CONCORDIA</v>
      </c>
      <c r="DQ85" s="733">
        <f>'BASE DE DATOS'!BI85</f>
        <v>65</v>
      </c>
      <c r="DR85" s="733">
        <f>'BASE DE DATOS'!BJ85</f>
        <v>79</v>
      </c>
      <c r="DS85" s="733">
        <f>'BASE DE DATOS'!BK85</f>
        <v>123</v>
      </c>
      <c r="DT85" s="733">
        <f>'BASE DE DATOS'!BL85</f>
        <v>162</v>
      </c>
      <c r="DU85" s="733">
        <f>'BASE DE DATOS'!BM85</f>
        <v>191</v>
      </c>
      <c r="DV85" s="733">
        <f>'BASE DE DATOS'!BN85</f>
        <v>157</v>
      </c>
      <c r="DW85" s="733">
        <f>'BASE DE DATOS'!BO85</f>
        <v>139</v>
      </c>
      <c r="DX85" s="733">
        <f>'BASE DE DATOS'!BP85</f>
        <v>107</v>
      </c>
      <c r="DY85" s="733">
        <f>'BASE DE DATOS'!BQ85</f>
        <v>72</v>
      </c>
      <c r="DZ85" s="733">
        <f>'BASE DE DATOS'!BR85</f>
        <v>68</v>
      </c>
      <c r="EA85" s="733">
        <f>'BASE DE DATOS'!BS85</f>
        <v>84</v>
      </c>
      <c r="EB85" s="733">
        <f>'BASE DE DATOS'!BT85</f>
        <v>92</v>
      </c>
      <c r="GM85" s="741"/>
      <c r="GN85" s="741"/>
      <c r="GO85" s="741"/>
      <c r="GP85" s="741"/>
      <c r="GQ85" s="727" t="s">
        <v>2060</v>
      </c>
      <c r="GR85" s="762">
        <v>0</v>
      </c>
      <c r="GS85" s="762">
        <f>(GT45*0.3)</f>
        <v>0</v>
      </c>
      <c r="GT85" s="762">
        <f>(GO45*0.6)</f>
        <v>0</v>
      </c>
      <c r="GU85" s="741"/>
      <c r="GV85" s="741"/>
      <c r="GW85" s="741"/>
      <c r="GX85" s="741"/>
      <c r="GY85" s="741"/>
    </row>
    <row r="86" spans="2:207" ht="16">
      <c r="B86" s="734" t="str">
        <f>'BASE DE DATOS'!B86</f>
        <v>ER</v>
      </c>
      <c r="C86" s="734" t="str">
        <f>'BASE DE DATOS'!C86</f>
        <v>GUALEGUAYCHÚ</v>
      </c>
      <c r="D86" s="734">
        <f>'BASE DE DATOS'!D86</f>
        <v>32.869999999999997</v>
      </c>
      <c r="E86" s="734">
        <f>'BASE DE DATOS'!E86</f>
        <v>58.52</v>
      </c>
      <c r="F86" s="734">
        <f>'BASE DE DATOS'!F86</f>
        <v>14</v>
      </c>
      <c r="G86" s="734" t="str">
        <f>'BASE DE DATOS'!G86</f>
        <v>IIIB</v>
      </c>
      <c r="H86" s="734">
        <f>'BASE DE DATOS'!H86</f>
        <v>0.1</v>
      </c>
      <c r="I86" s="734">
        <f>'BASE DE DATOS'!I86</f>
        <v>11.5</v>
      </c>
      <c r="J86" s="734">
        <f>'BASE DE DATOS'!J86</f>
        <v>23.7</v>
      </c>
      <c r="K86" s="734">
        <f>'BASE DE DATOS'!K86</f>
        <v>33.799999999999997</v>
      </c>
      <c r="L86" s="734">
        <f>'BASE DE DATOS'!L86</f>
        <v>67</v>
      </c>
      <c r="M86" s="734">
        <f>'BASE DE DATOS'!M86</f>
        <v>84</v>
      </c>
      <c r="N86" s="734">
        <f>'BASE DE DATOS'!N86</f>
        <v>67</v>
      </c>
      <c r="O86" s="734">
        <f>'BASE DE DATOS'!O86</f>
        <v>62</v>
      </c>
      <c r="P86" s="734">
        <f>'BASE DE DATOS'!P86</f>
        <v>93</v>
      </c>
      <c r="Q86" s="734">
        <f>'BASE DE DATOS'!Q86</f>
        <v>3</v>
      </c>
      <c r="R86" s="734">
        <f>'BASE DE DATOS'!R86</f>
        <v>22.6</v>
      </c>
      <c r="S86" s="734">
        <f>'BASE DE DATOS'!S86</f>
        <v>0.53</v>
      </c>
      <c r="T86" s="734">
        <f>'BASE DE DATOS'!T86</f>
        <v>18.100000000000001</v>
      </c>
      <c r="U86" s="734">
        <f>'BASE DE DATOS'!U86</f>
        <v>14.6</v>
      </c>
      <c r="V86" s="734">
        <f>'BASE DE DATOS'!V86</f>
        <v>50</v>
      </c>
      <c r="W86" s="734">
        <f>'BASE DE DATOS'!W86</f>
        <v>115</v>
      </c>
      <c r="X86" s="734">
        <f>'BASE DE DATOS'!X86</f>
        <v>8.9999999999999993E-3</v>
      </c>
      <c r="Y86" s="734">
        <f>'BASE DE DATOS'!Y86</f>
        <v>8.0000000000000002E-3</v>
      </c>
      <c r="Z86" s="734">
        <f>'BASE DE DATOS'!Z86</f>
        <v>145</v>
      </c>
      <c r="AA86" s="734">
        <f>'BASE DE DATOS'!AA86</f>
        <v>1.45</v>
      </c>
      <c r="AB86" s="734">
        <f>'BASE DE DATOS'!AB86</f>
        <v>30</v>
      </c>
      <c r="AD86" s="734" t="str">
        <f>'BASE DE DATOS'!AD86</f>
        <v>GUALEGUAYCHÚ</v>
      </c>
      <c r="AE86" s="734">
        <f>'BASE DE DATOS'!AE86</f>
        <v>25</v>
      </c>
      <c r="AF86" s="734">
        <f>'BASE DE DATOS'!AF86</f>
        <v>23.9</v>
      </c>
      <c r="AG86" s="734">
        <f>'BASE DE DATOS'!AG86</f>
        <v>23</v>
      </c>
      <c r="AH86" s="734">
        <f>'BASE DE DATOS'!AH86</f>
        <v>18.8</v>
      </c>
      <c r="AI86" s="734">
        <f>'BASE DE DATOS'!AI86</f>
        <v>14.5</v>
      </c>
      <c r="AJ86" s="734">
        <f>'BASE DE DATOS'!AJ86</f>
        <v>12.5</v>
      </c>
      <c r="AK86" s="734">
        <f>'BASE DE DATOS'!AK86</f>
        <v>11.5</v>
      </c>
      <c r="AL86" s="734">
        <f>'BASE DE DATOS'!AL86</f>
        <v>14</v>
      </c>
      <c r="AM86" s="734">
        <f>'BASE DE DATOS'!AM86</f>
        <v>15</v>
      </c>
      <c r="AN86" s="734">
        <f>'BASE DE DATOS'!AN86</f>
        <v>18.8</v>
      </c>
      <c r="AO86" s="734">
        <f>'BASE DE DATOS'!AO86</f>
        <v>20.8</v>
      </c>
      <c r="AP86" s="734">
        <f>'BASE DE DATOS'!AP86</f>
        <v>23.9</v>
      </c>
      <c r="AR86" s="734" t="str">
        <f>'BASE DE DATOS'!AR86</f>
        <v>ER</v>
      </c>
      <c r="AS86" s="734" t="str">
        <f>'BASE DE DATOS'!AS86</f>
        <v>GUALEGUAYCHÚ</v>
      </c>
      <c r="AT86" s="734">
        <f>'BASE DE DATOS'!AT86</f>
        <v>6.5</v>
      </c>
      <c r="AU86" s="734">
        <f>'BASE DE DATOS'!AU86</f>
        <v>5.5</v>
      </c>
      <c r="AV86" s="734">
        <f>'BASE DE DATOS'!AV86</f>
        <v>5</v>
      </c>
      <c r="AW86" s="734">
        <f>'BASE DE DATOS'!AW86</f>
        <v>3.5</v>
      </c>
      <c r="AX86" s="734">
        <f>'BASE DE DATOS'!AX86</f>
        <v>2.5</v>
      </c>
      <c r="AY86" s="734">
        <f>'BASE DE DATOS'!AY86</f>
        <v>2</v>
      </c>
      <c r="AZ86" s="734">
        <f>'BASE DE DATOS'!AZ86</f>
        <v>2</v>
      </c>
      <c r="BA86" s="734">
        <f>'BASE DE DATOS'!BA86</f>
        <v>3</v>
      </c>
      <c r="BB86" s="734">
        <f>'BASE DE DATOS'!BB86</f>
        <v>4</v>
      </c>
      <c r="BC86" s="734">
        <f>'BASE DE DATOS'!BC86</f>
        <v>5</v>
      </c>
      <c r="BD86" s="734">
        <f>'BASE DE DATOS'!BD86</f>
        <v>6</v>
      </c>
      <c r="BE86" s="734">
        <f>'BASE DE DATOS'!BE86</f>
        <v>6.5</v>
      </c>
      <c r="DO86" s="733" t="str">
        <f>'BASE DE DATOS'!BG86</f>
        <v>ER</v>
      </c>
      <c r="DP86" s="733" t="str">
        <f>'BASE DE DATOS'!BH86</f>
        <v>GUALEGUAYCHÚ</v>
      </c>
      <c r="DQ86" s="733">
        <f>'BASE DE DATOS'!BI86</f>
        <v>65</v>
      </c>
      <c r="DR86" s="733">
        <f>'BASE DE DATOS'!BJ86</f>
        <v>79</v>
      </c>
      <c r="DS86" s="733">
        <f>'BASE DE DATOS'!BK86</f>
        <v>123</v>
      </c>
      <c r="DT86" s="733">
        <f>'BASE DE DATOS'!BL86</f>
        <v>162</v>
      </c>
      <c r="DU86" s="733">
        <f>'BASE DE DATOS'!BM86</f>
        <v>191</v>
      </c>
      <c r="DV86" s="733">
        <f>'BASE DE DATOS'!BN86</f>
        <v>157</v>
      </c>
      <c r="DW86" s="733">
        <f>'BASE DE DATOS'!BO86</f>
        <v>139</v>
      </c>
      <c r="DX86" s="733">
        <f>'BASE DE DATOS'!BP86</f>
        <v>107</v>
      </c>
      <c r="DY86" s="733">
        <f>'BASE DE DATOS'!BQ86</f>
        <v>72</v>
      </c>
      <c r="DZ86" s="733">
        <f>'BASE DE DATOS'!BR86</f>
        <v>68</v>
      </c>
      <c r="EA86" s="733">
        <f>'BASE DE DATOS'!BS86</f>
        <v>84</v>
      </c>
      <c r="EB86" s="733">
        <f>'BASE DE DATOS'!BT86</f>
        <v>92</v>
      </c>
      <c r="GM86" s="741"/>
      <c r="GN86" s="741"/>
      <c r="GO86" s="741"/>
      <c r="GP86" s="741"/>
      <c r="GQ86" s="727" t="str">
        <f>GQ64</f>
        <v>Recuperación de Aguas Residuales</v>
      </c>
      <c r="GR86" s="762">
        <f>GR64</f>
        <v>0</v>
      </c>
      <c r="GS86" s="762">
        <f>GS64</f>
        <v>0</v>
      </c>
      <c r="GT86" s="762">
        <f>GT64</f>
        <v>0</v>
      </c>
      <c r="GU86" s="741"/>
      <c r="GV86" s="741"/>
      <c r="GW86" s="741"/>
      <c r="GX86" s="741"/>
      <c r="GY86" s="741"/>
    </row>
    <row r="87" spans="2:207" ht="18">
      <c r="B87" s="734" t="str">
        <f>'BASE DE DATOS'!B87</f>
        <v>ER</v>
      </c>
      <c r="C87" s="734" t="str">
        <f>'BASE DE DATOS'!C87</f>
        <v>GUALEGUAYCHÚ AERO</v>
      </c>
      <c r="D87" s="734">
        <f>'BASE DE DATOS'!D87</f>
        <v>33</v>
      </c>
      <c r="E87" s="734">
        <f>'BASE DE DATOS'!E87</f>
        <v>58.62</v>
      </c>
      <c r="F87" s="734">
        <f>'BASE DE DATOS'!F87</f>
        <v>24</v>
      </c>
      <c r="G87" s="734" t="str">
        <f>'BASE DE DATOS'!G87</f>
        <v>IIIB</v>
      </c>
      <c r="H87" s="734">
        <f>'BASE DE DATOS'!H87</f>
        <v>0.3</v>
      </c>
      <c r="I87" s="734">
        <f>'BASE DE DATOS'!I87</f>
        <v>11.3</v>
      </c>
      <c r="J87" s="734">
        <f>'BASE DE DATOS'!J87</f>
        <v>23.7</v>
      </c>
      <c r="K87" s="734">
        <f>'BASE DE DATOS'!K87</f>
        <v>34.1</v>
      </c>
      <c r="L87" s="734">
        <f>'BASE DE DATOS'!L87</f>
        <v>64</v>
      </c>
      <c r="M87" s="734">
        <f>'BASE DE DATOS'!M87</f>
        <v>81</v>
      </c>
      <c r="N87" s="734">
        <f>'BASE DE DATOS'!N87</f>
        <v>64</v>
      </c>
      <c r="O87" s="734">
        <f>'BASE DE DATOS'!O87</f>
        <v>56</v>
      </c>
      <c r="P87" s="734">
        <f>'BASE DE DATOS'!P87</f>
        <v>92</v>
      </c>
      <c r="Q87" s="734">
        <f>'BASE DE DATOS'!Q87</f>
        <v>3</v>
      </c>
      <c r="R87" s="734">
        <f>'BASE DE DATOS'!R87</f>
        <v>23.2</v>
      </c>
      <c r="S87" s="734">
        <f>'BASE DE DATOS'!S87</f>
        <v>0.53</v>
      </c>
      <c r="T87" s="734">
        <f>'BASE DE DATOS'!T87</f>
        <v>18.100000000000001</v>
      </c>
      <c r="U87" s="734">
        <f>'BASE DE DATOS'!U87</f>
        <v>14.6</v>
      </c>
      <c r="V87" s="734">
        <f>'BASE DE DATOS'!V87</f>
        <v>50</v>
      </c>
      <c r="W87" s="734">
        <f>'BASE DE DATOS'!W87</f>
        <v>115</v>
      </c>
      <c r="X87" s="734">
        <f>'BASE DE DATOS'!X87</f>
        <v>8.9999999999999993E-3</v>
      </c>
      <c r="Y87" s="734">
        <f>'BASE DE DATOS'!Y87</f>
        <v>8.0000000000000002E-3</v>
      </c>
      <c r="Z87" s="734">
        <f>'BASE DE DATOS'!Z87</f>
        <v>145</v>
      </c>
      <c r="AA87" s="734">
        <f>'BASE DE DATOS'!AA87</f>
        <v>1.45</v>
      </c>
      <c r="AB87" s="734">
        <f>'BASE DE DATOS'!AB87</f>
        <v>30</v>
      </c>
      <c r="AD87" s="734" t="str">
        <f>'BASE DE DATOS'!AD87</f>
        <v>GUALEGUAYCHÚ AERO</v>
      </c>
      <c r="AE87" s="734">
        <f>'BASE DE DATOS'!AE87</f>
        <v>24.8</v>
      </c>
      <c r="AF87" s="734">
        <f>'BASE DE DATOS'!AF87</f>
        <v>23.6</v>
      </c>
      <c r="AG87" s="734">
        <f>'BASE DE DATOS'!AG87</f>
        <v>21.8</v>
      </c>
      <c r="AH87" s="734">
        <f>'BASE DE DATOS'!AH87</f>
        <v>17.399999999999999</v>
      </c>
      <c r="AI87" s="734">
        <f>'BASE DE DATOS'!AI87</f>
        <v>14.2</v>
      </c>
      <c r="AJ87" s="734">
        <f>'BASE DE DATOS'!AJ87</f>
        <v>11.6</v>
      </c>
      <c r="AK87" s="734">
        <f>'BASE DE DATOS'!AK87</f>
        <v>11.4</v>
      </c>
      <c r="AL87" s="734">
        <f>'BASE DE DATOS'!AL87</f>
        <v>12.5</v>
      </c>
      <c r="AM87" s="734">
        <f>'BASE DE DATOS'!AM87</f>
        <v>14.4</v>
      </c>
      <c r="AN87" s="734">
        <f>'BASE DE DATOS'!AN87</f>
        <v>17.3</v>
      </c>
      <c r="AO87" s="734">
        <f>'BASE DE DATOS'!AO87</f>
        <v>20</v>
      </c>
      <c r="AP87" s="734">
        <f>'BASE DE DATOS'!AP87</f>
        <v>22.8</v>
      </c>
      <c r="AR87" s="734" t="str">
        <f>'BASE DE DATOS'!AR87</f>
        <v>ER</v>
      </c>
      <c r="AS87" s="734" t="str">
        <f>'BASE DE DATOS'!AS87</f>
        <v>GUALEGUAYCHÚ AERO</v>
      </c>
      <c r="AT87" s="734">
        <f>'BASE DE DATOS'!AT87</f>
        <v>6.5</v>
      </c>
      <c r="AU87" s="734">
        <f>'BASE DE DATOS'!AU87</f>
        <v>5.5</v>
      </c>
      <c r="AV87" s="734">
        <f>'BASE DE DATOS'!AV87</f>
        <v>5</v>
      </c>
      <c r="AW87" s="734">
        <f>'BASE DE DATOS'!AW87</f>
        <v>3.5</v>
      </c>
      <c r="AX87" s="734">
        <f>'BASE DE DATOS'!AX87</f>
        <v>2.5</v>
      </c>
      <c r="AY87" s="734">
        <f>'BASE DE DATOS'!AY87</f>
        <v>2</v>
      </c>
      <c r="AZ87" s="734">
        <f>'BASE DE DATOS'!AZ87</f>
        <v>2</v>
      </c>
      <c r="BA87" s="734">
        <f>'BASE DE DATOS'!BA87</f>
        <v>3</v>
      </c>
      <c r="BB87" s="734">
        <f>'BASE DE DATOS'!BB87</f>
        <v>4</v>
      </c>
      <c r="BC87" s="734">
        <f>'BASE DE DATOS'!BC87</f>
        <v>5</v>
      </c>
      <c r="BD87" s="734">
        <f>'BASE DE DATOS'!BD87</f>
        <v>6</v>
      </c>
      <c r="BE87" s="734">
        <f>'BASE DE DATOS'!BE87</f>
        <v>6.5</v>
      </c>
      <c r="DO87" s="733" t="str">
        <f>'BASE DE DATOS'!BG87</f>
        <v>ER</v>
      </c>
      <c r="DP87" s="733" t="str">
        <f>'BASE DE DATOS'!BH87</f>
        <v>GUALEGUAYCHÚ AERO</v>
      </c>
      <c r="DQ87" s="733">
        <f>'BASE DE DATOS'!BI87</f>
        <v>65</v>
      </c>
      <c r="DR87" s="733">
        <f>'BASE DE DATOS'!BJ87</f>
        <v>79</v>
      </c>
      <c r="DS87" s="733">
        <f>'BASE DE DATOS'!BK87</f>
        <v>123</v>
      </c>
      <c r="DT87" s="733">
        <f>'BASE DE DATOS'!BL87</f>
        <v>162</v>
      </c>
      <c r="DU87" s="733">
        <f>'BASE DE DATOS'!BM87</f>
        <v>191</v>
      </c>
      <c r="DV87" s="733">
        <f>'BASE DE DATOS'!BN87</f>
        <v>157</v>
      </c>
      <c r="DW87" s="733">
        <f>'BASE DE DATOS'!BO87</f>
        <v>139</v>
      </c>
      <c r="DX87" s="733">
        <f>'BASE DE DATOS'!BP87</f>
        <v>107</v>
      </c>
      <c r="DY87" s="733">
        <f>'BASE DE DATOS'!BQ87</f>
        <v>72</v>
      </c>
      <c r="DZ87" s="733">
        <f>'BASE DE DATOS'!BR87</f>
        <v>68</v>
      </c>
      <c r="EA87" s="733">
        <f>'BASE DE DATOS'!BS87</f>
        <v>84</v>
      </c>
      <c r="EB87" s="733">
        <f>'BASE DE DATOS'!BT87</f>
        <v>92</v>
      </c>
      <c r="GM87" s="741"/>
      <c r="GN87" s="741"/>
      <c r="GO87" s="741"/>
      <c r="GP87" s="751"/>
      <c r="GQ87" s="741"/>
      <c r="GR87" s="741"/>
      <c r="GS87" s="741"/>
      <c r="GT87" s="741"/>
      <c r="GU87" s="741"/>
      <c r="GV87" s="741"/>
      <c r="GW87" s="741"/>
      <c r="GX87" s="741"/>
      <c r="GY87" s="741"/>
    </row>
    <row r="88" spans="2:207" ht="16">
      <c r="B88" s="734" t="str">
        <f>'BASE DE DATOS'!B88</f>
        <v>ER</v>
      </c>
      <c r="C88" s="734" t="str">
        <f>'BASE DE DATOS'!C88</f>
        <v>MAZARUCA</v>
      </c>
      <c r="D88" s="734">
        <f>'BASE DE DATOS'!D88</f>
        <v>33.58</v>
      </c>
      <c r="E88" s="734">
        <f>'BASE DE DATOS'!E88</f>
        <v>59.4</v>
      </c>
      <c r="F88" s="734">
        <f>'BASE DE DATOS'!F88</f>
        <v>5</v>
      </c>
      <c r="G88" s="734" t="str">
        <f>'BASE DE DATOS'!G88</f>
        <v>IIIB</v>
      </c>
      <c r="H88" s="734">
        <f>'BASE DE DATOS'!H88</f>
        <v>0.9</v>
      </c>
      <c r="I88" s="734">
        <f>'BASE DE DATOS'!I88</f>
        <v>11</v>
      </c>
      <c r="J88" s="734">
        <f>'BASE DE DATOS'!J88</f>
        <v>22.9</v>
      </c>
      <c r="K88" s="734">
        <f>'BASE DE DATOS'!K88</f>
        <v>33.5</v>
      </c>
      <c r="L88" s="734">
        <f>'BASE DE DATOS'!L88</f>
        <v>68</v>
      </c>
      <c r="M88" s="734">
        <f>'BASE DE DATOS'!M88</f>
        <v>82</v>
      </c>
      <c r="N88" s="734">
        <f>'BASE DE DATOS'!N88</f>
        <v>68</v>
      </c>
      <c r="O88" s="734">
        <f>'BASE DE DATOS'!O88</f>
        <v>51</v>
      </c>
      <c r="P88" s="734">
        <f>'BASE DE DATOS'!P88</f>
        <v>101</v>
      </c>
      <c r="Q88" s="734">
        <f>'BASE DE DATOS'!Q88</f>
        <v>3</v>
      </c>
      <c r="R88" s="734">
        <f>'BASE DE DATOS'!R88</f>
        <v>22.7</v>
      </c>
      <c r="S88" s="734">
        <f>'BASE DE DATOS'!S88</f>
        <v>0.53</v>
      </c>
      <c r="T88" s="734">
        <f>'BASE DE DATOS'!T88</f>
        <v>18.100000000000001</v>
      </c>
      <c r="U88" s="734">
        <f>'BASE DE DATOS'!U88</f>
        <v>14.6</v>
      </c>
      <c r="V88" s="734">
        <f>'BASE DE DATOS'!V88</f>
        <v>50</v>
      </c>
      <c r="W88" s="734">
        <f>'BASE DE DATOS'!W88</f>
        <v>115</v>
      </c>
      <c r="X88" s="734">
        <f>'BASE DE DATOS'!X88</f>
        <v>8.9999999999999993E-3</v>
      </c>
      <c r="Y88" s="734">
        <f>'BASE DE DATOS'!Y88</f>
        <v>8.0000000000000002E-3</v>
      </c>
      <c r="Z88" s="734">
        <f>'BASE DE DATOS'!Z88</f>
        <v>145</v>
      </c>
      <c r="AA88" s="734">
        <f>'BASE DE DATOS'!AA88</f>
        <v>1.45</v>
      </c>
      <c r="AB88" s="734">
        <f>'BASE DE DATOS'!AB88</f>
        <v>30</v>
      </c>
      <c r="AD88" s="734" t="str">
        <f>'BASE DE DATOS'!AD88</f>
        <v>MAZARUCA</v>
      </c>
      <c r="AE88" s="734">
        <f>'BASE DE DATOS'!AE88</f>
        <v>23.9</v>
      </c>
      <c r="AF88" s="734">
        <f>'BASE DE DATOS'!AF88</f>
        <v>22.9</v>
      </c>
      <c r="AG88" s="734">
        <f>'BASE DE DATOS'!AG88</f>
        <v>21.2</v>
      </c>
      <c r="AH88" s="734">
        <f>'BASE DE DATOS'!AH88</f>
        <v>16.100000000000001</v>
      </c>
      <c r="AI88" s="734">
        <f>'BASE DE DATOS'!AI88</f>
        <v>13.6</v>
      </c>
      <c r="AJ88" s="734">
        <f>'BASE DE DATOS'!AJ88</f>
        <v>10.8</v>
      </c>
      <c r="AK88" s="734">
        <f>'BASE DE DATOS'!AK88</f>
        <v>10.7</v>
      </c>
      <c r="AL88" s="734">
        <f>'BASE DE DATOS'!AL88</f>
        <v>12</v>
      </c>
      <c r="AM88" s="734">
        <f>'BASE DE DATOS'!AM88</f>
        <v>13.9</v>
      </c>
      <c r="AN88" s="734">
        <f>'BASE DE DATOS'!AN88</f>
        <v>16.5</v>
      </c>
      <c r="AO88" s="734">
        <f>'BASE DE DATOS'!AO88</f>
        <v>19.600000000000001</v>
      </c>
      <c r="AP88" s="734">
        <f>'BASE DE DATOS'!AP88</f>
        <v>21.7</v>
      </c>
      <c r="AR88" s="734" t="str">
        <f>'BASE DE DATOS'!AR88</f>
        <v>ER</v>
      </c>
      <c r="AS88" s="734" t="str">
        <f>'BASE DE DATOS'!AS88</f>
        <v>MAZARUCA</v>
      </c>
      <c r="AT88" s="734">
        <f>'BASE DE DATOS'!AT88</f>
        <v>6.5</v>
      </c>
      <c r="AU88" s="734">
        <f>'BASE DE DATOS'!AU88</f>
        <v>5.5</v>
      </c>
      <c r="AV88" s="734">
        <f>'BASE DE DATOS'!AV88</f>
        <v>5</v>
      </c>
      <c r="AW88" s="734">
        <f>'BASE DE DATOS'!AW88</f>
        <v>3.5</v>
      </c>
      <c r="AX88" s="734">
        <f>'BASE DE DATOS'!AX88</f>
        <v>2.5</v>
      </c>
      <c r="AY88" s="734">
        <f>'BASE DE DATOS'!AY88</f>
        <v>2</v>
      </c>
      <c r="AZ88" s="734">
        <f>'BASE DE DATOS'!AZ88</f>
        <v>2</v>
      </c>
      <c r="BA88" s="734">
        <f>'BASE DE DATOS'!BA88</f>
        <v>3</v>
      </c>
      <c r="BB88" s="734">
        <f>'BASE DE DATOS'!BB88</f>
        <v>4</v>
      </c>
      <c r="BC88" s="734">
        <f>'BASE DE DATOS'!BC88</f>
        <v>5</v>
      </c>
      <c r="BD88" s="734">
        <f>'BASE DE DATOS'!BD88</f>
        <v>6</v>
      </c>
      <c r="BE88" s="734">
        <f>'BASE DE DATOS'!BE88</f>
        <v>6.5</v>
      </c>
      <c r="DO88" s="733" t="str">
        <f>'BASE DE DATOS'!BG88</f>
        <v>ER</v>
      </c>
      <c r="DP88" s="733" t="str">
        <f>'BASE DE DATOS'!BH88</f>
        <v>MAZARUCA</v>
      </c>
      <c r="DQ88" s="733">
        <f>'BASE DE DATOS'!BI88</f>
        <v>65</v>
      </c>
      <c r="DR88" s="733">
        <f>'BASE DE DATOS'!BJ88</f>
        <v>79</v>
      </c>
      <c r="DS88" s="733">
        <f>'BASE DE DATOS'!BK88</f>
        <v>123</v>
      </c>
      <c r="DT88" s="733">
        <f>'BASE DE DATOS'!BL88</f>
        <v>162</v>
      </c>
      <c r="DU88" s="733">
        <f>'BASE DE DATOS'!BM88</f>
        <v>191</v>
      </c>
      <c r="DV88" s="733">
        <f>'BASE DE DATOS'!BN88</f>
        <v>157</v>
      </c>
      <c r="DW88" s="733">
        <f>'BASE DE DATOS'!BO88</f>
        <v>139</v>
      </c>
      <c r="DX88" s="733">
        <f>'BASE DE DATOS'!BP88</f>
        <v>107</v>
      </c>
      <c r="DY88" s="733">
        <f>'BASE DE DATOS'!BQ88</f>
        <v>72</v>
      </c>
      <c r="DZ88" s="733">
        <f>'BASE DE DATOS'!BR88</f>
        <v>68</v>
      </c>
      <c r="EA88" s="733">
        <f>'BASE DE DATOS'!BS88</f>
        <v>84</v>
      </c>
      <c r="EB88" s="733">
        <f>'BASE DE DATOS'!BT88</f>
        <v>92</v>
      </c>
      <c r="GM88" s="741"/>
      <c r="GN88" s="741"/>
      <c r="GO88" s="741"/>
      <c r="GP88" s="741"/>
      <c r="GQ88" s="741"/>
      <c r="GR88" s="741"/>
      <c r="GS88" s="741"/>
      <c r="GT88" s="741"/>
      <c r="GU88" s="741"/>
      <c r="GV88" s="741"/>
      <c r="GW88" s="741"/>
      <c r="GX88" s="741"/>
      <c r="GY88" s="741"/>
    </row>
    <row r="89" spans="2:207" ht="16">
      <c r="B89" s="734" t="str">
        <f>'BASE DE DATOS'!B89</f>
        <v>ER</v>
      </c>
      <c r="C89" s="734" t="str">
        <f>'BASE DE DATOS'!C89</f>
        <v>PARANÁ AERO</v>
      </c>
      <c r="D89" s="734">
        <f>'BASE DE DATOS'!D89</f>
        <v>31.78</v>
      </c>
      <c r="E89" s="734">
        <f>'BASE DE DATOS'!E89</f>
        <v>60.48</v>
      </c>
      <c r="F89" s="734">
        <f>'BASE DE DATOS'!F89</f>
        <v>62</v>
      </c>
      <c r="G89" s="734" t="str">
        <f>'BASE DE DATOS'!G89</f>
        <v>IIB</v>
      </c>
      <c r="H89" s="734">
        <f>'BASE DE DATOS'!H89</f>
        <v>1.2</v>
      </c>
      <c r="I89" s="734">
        <f>'BASE DE DATOS'!I89</f>
        <v>12.2</v>
      </c>
      <c r="J89" s="734">
        <f>'BASE DE DATOS'!J89</f>
        <v>24.3</v>
      </c>
      <c r="K89" s="734">
        <f>'BASE DE DATOS'!K89</f>
        <v>34.4</v>
      </c>
      <c r="L89" s="734">
        <f>'BASE DE DATOS'!L89</f>
        <v>63</v>
      </c>
      <c r="M89" s="734">
        <f>'BASE DE DATOS'!M89</f>
        <v>72</v>
      </c>
      <c r="N89" s="734">
        <f>'BASE DE DATOS'!N89</f>
        <v>63</v>
      </c>
      <c r="O89" s="734">
        <f>'BASE DE DATOS'!O89</f>
        <v>29</v>
      </c>
      <c r="P89" s="734">
        <f>'BASE DE DATOS'!P89</f>
        <v>107</v>
      </c>
      <c r="Q89" s="734">
        <f>'BASE DE DATOS'!Q89</f>
        <v>2</v>
      </c>
      <c r="R89" s="734">
        <f>'BASE DE DATOS'!R89</f>
        <v>23.7</v>
      </c>
      <c r="S89" s="734">
        <f>'BASE DE DATOS'!S89</f>
        <v>0.53</v>
      </c>
      <c r="T89" s="734">
        <f>'BASE DE DATOS'!T89</f>
        <v>18.100000000000001</v>
      </c>
      <c r="U89" s="734">
        <f>'BASE DE DATOS'!U89</f>
        <v>14.6</v>
      </c>
      <c r="V89" s="734">
        <f>'BASE DE DATOS'!V89</f>
        <v>50</v>
      </c>
      <c r="W89" s="734">
        <f>'BASE DE DATOS'!W89</f>
        <v>115</v>
      </c>
      <c r="X89" s="734">
        <f>'BASE DE DATOS'!X89</f>
        <v>8.9999999999999993E-3</v>
      </c>
      <c r="Y89" s="734">
        <f>'BASE DE DATOS'!Y89</f>
        <v>8.0000000000000002E-3</v>
      </c>
      <c r="Z89" s="734">
        <f>'BASE DE DATOS'!Z89</f>
        <v>155</v>
      </c>
      <c r="AA89" s="734">
        <f>'BASE DE DATOS'!AA89</f>
        <v>1.55</v>
      </c>
      <c r="AB89" s="734">
        <f>'BASE DE DATOS'!AB89</f>
        <v>30</v>
      </c>
      <c r="AD89" s="734" t="str">
        <f>'BASE DE DATOS'!AD89</f>
        <v>PARANÁ AERO</v>
      </c>
      <c r="AE89" s="734">
        <f>'BASE DE DATOS'!AE89</f>
        <v>25.2</v>
      </c>
      <c r="AF89" s="734">
        <f>'BASE DE DATOS'!AF89</f>
        <v>24.1</v>
      </c>
      <c r="AG89" s="734">
        <f>'BASE DE DATOS'!AG89</f>
        <v>22.3</v>
      </c>
      <c r="AH89" s="734">
        <f>'BASE DE DATOS'!AH89</f>
        <v>17</v>
      </c>
      <c r="AI89" s="734">
        <f>'BASE DE DATOS'!AI89</f>
        <v>14.9</v>
      </c>
      <c r="AJ89" s="734">
        <f>'BASE DE DATOS'!AJ89</f>
        <v>12.1</v>
      </c>
      <c r="AK89" s="734">
        <f>'BASE DE DATOS'!AK89</f>
        <v>11.9</v>
      </c>
      <c r="AL89" s="734">
        <f>'BASE DE DATOS'!AL89</f>
        <v>13.3</v>
      </c>
      <c r="AM89" s="734">
        <f>'BASE DE DATOS'!AM89</f>
        <v>14.9</v>
      </c>
      <c r="AN89" s="734">
        <f>'BASE DE DATOS'!AN89</f>
        <v>17.8</v>
      </c>
      <c r="AO89" s="734">
        <f>'BASE DE DATOS'!AO89</f>
        <v>21.1</v>
      </c>
      <c r="AP89" s="734">
        <f>'BASE DE DATOS'!AP89</f>
        <v>23.2</v>
      </c>
      <c r="AR89" s="734" t="str">
        <f>'BASE DE DATOS'!AR89</f>
        <v>ER</v>
      </c>
      <c r="AS89" s="734" t="str">
        <f>'BASE DE DATOS'!AS89</f>
        <v>PARANÁ AERO</v>
      </c>
      <c r="AT89" s="734">
        <f>'BASE DE DATOS'!AT89</f>
        <v>6.5</v>
      </c>
      <c r="AU89" s="734">
        <f>'BASE DE DATOS'!AU89</f>
        <v>5.5</v>
      </c>
      <c r="AV89" s="734">
        <f>'BASE DE DATOS'!AV89</f>
        <v>5</v>
      </c>
      <c r="AW89" s="734">
        <f>'BASE DE DATOS'!AW89</f>
        <v>3.5</v>
      </c>
      <c r="AX89" s="734">
        <f>'BASE DE DATOS'!AX89</f>
        <v>3</v>
      </c>
      <c r="AY89" s="734">
        <f>'BASE DE DATOS'!AY89</f>
        <v>2.5</v>
      </c>
      <c r="AZ89" s="734">
        <f>'BASE DE DATOS'!AZ89</f>
        <v>2.5</v>
      </c>
      <c r="BA89" s="734">
        <f>'BASE DE DATOS'!BA89</f>
        <v>3.5</v>
      </c>
      <c r="BB89" s="734">
        <f>'BASE DE DATOS'!BB89</f>
        <v>4</v>
      </c>
      <c r="BC89" s="734">
        <f>'BASE DE DATOS'!BC89</f>
        <v>5.5</v>
      </c>
      <c r="BD89" s="734">
        <f>'BASE DE DATOS'!BD89</f>
        <v>6</v>
      </c>
      <c r="BE89" s="734">
        <f>'BASE DE DATOS'!BE89</f>
        <v>6.5</v>
      </c>
      <c r="DO89" s="733" t="str">
        <f>'BASE DE DATOS'!BG89</f>
        <v>ER</v>
      </c>
      <c r="DP89" s="733" t="str">
        <f>'BASE DE DATOS'!BH89</f>
        <v>PARANÁ AERO</v>
      </c>
      <c r="DQ89" s="733">
        <f>'BASE DE DATOS'!BI89</f>
        <v>65</v>
      </c>
      <c r="DR89" s="733">
        <f>'BASE DE DATOS'!BJ89</f>
        <v>79</v>
      </c>
      <c r="DS89" s="733">
        <f>'BASE DE DATOS'!BK89</f>
        <v>123</v>
      </c>
      <c r="DT89" s="733">
        <f>'BASE DE DATOS'!BL89</f>
        <v>162</v>
      </c>
      <c r="DU89" s="733">
        <f>'BASE DE DATOS'!BM89</f>
        <v>191</v>
      </c>
      <c r="DV89" s="733">
        <f>'BASE DE DATOS'!BN89</f>
        <v>157</v>
      </c>
      <c r="DW89" s="733">
        <f>'BASE DE DATOS'!BO89</f>
        <v>139</v>
      </c>
      <c r="DX89" s="733">
        <f>'BASE DE DATOS'!BP89</f>
        <v>107</v>
      </c>
      <c r="DY89" s="733">
        <f>'BASE DE DATOS'!BQ89</f>
        <v>72</v>
      </c>
      <c r="DZ89" s="733">
        <f>'BASE DE DATOS'!BR89</f>
        <v>68</v>
      </c>
      <c r="EA89" s="733">
        <f>'BASE DE DATOS'!BS89</f>
        <v>84</v>
      </c>
      <c r="EB89" s="733">
        <f>'BASE DE DATOS'!BT89</f>
        <v>92</v>
      </c>
      <c r="GM89" s="741"/>
      <c r="GN89" s="741"/>
      <c r="GO89" s="741"/>
      <c r="GP89" s="741"/>
      <c r="GQ89" s="727"/>
      <c r="GR89" s="727"/>
      <c r="GS89" s="727"/>
      <c r="GT89" s="741"/>
      <c r="GU89" s="741"/>
      <c r="GV89" s="741"/>
      <c r="GW89" s="741"/>
      <c r="GX89" s="741"/>
      <c r="GY89" s="741"/>
    </row>
    <row r="90" spans="2:207" ht="16">
      <c r="B90" s="734" t="str">
        <f>'BASE DE DATOS'!B90</f>
        <v>ER</v>
      </c>
      <c r="C90" s="734" t="str">
        <f>'BASE DE DATOS'!C90</f>
        <v>PARANÁ</v>
      </c>
      <c r="D90" s="734">
        <f>'BASE DE DATOS'!D90</f>
        <v>31.83</v>
      </c>
      <c r="E90" s="734">
        <f>'BASE DE DATOS'!E90</f>
        <v>60.52</v>
      </c>
      <c r="F90" s="734">
        <f>'BASE DE DATOS'!F90</f>
        <v>110</v>
      </c>
      <c r="G90" s="734" t="str">
        <f>'BASE DE DATOS'!G90</f>
        <v>IIB</v>
      </c>
      <c r="H90" s="734">
        <f>'BASE DE DATOS'!H90</f>
        <v>3.1</v>
      </c>
      <c r="I90" s="734">
        <f>'BASE DE DATOS'!I90</f>
        <v>12.5</v>
      </c>
      <c r="J90" s="734">
        <f>'BASE DE DATOS'!J90</f>
        <v>24.1</v>
      </c>
      <c r="K90" s="734">
        <f>'BASE DE DATOS'!K90</f>
        <v>33.799999999999997</v>
      </c>
      <c r="L90" s="734">
        <f>'BASE DE DATOS'!L90</f>
        <v>63</v>
      </c>
      <c r="M90" s="734">
        <f>'BASE DE DATOS'!M90</f>
        <v>77</v>
      </c>
      <c r="N90" s="734">
        <f>'BASE DE DATOS'!N90</f>
        <v>63</v>
      </c>
      <c r="O90" s="734">
        <f>'BASE DE DATOS'!O90</f>
        <v>32</v>
      </c>
      <c r="P90" s="734">
        <f>'BASE DE DATOS'!P90</f>
        <v>103</v>
      </c>
      <c r="Q90" s="734">
        <f>'BASE DE DATOS'!Q90</f>
        <v>2</v>
      </c>
      <c r="R90" s="734">
        <f>'BASE DE DATOS'!R90</f>
        <v>23.8</v>
      </c>
      <c r="S90" s="734">
        <f>'BASE DE DATOS'!S90</f>
        <v>0.53</v>
      </c>
      <c r="T90" s="734">
        <f>'BASE DE DATOS'!T90</f>
        <v>18.100000000000001</v>
      </c>
      <c r="U90" s="734">
        <f>'BASE DE DATOS'!U90</f>
        <v>14.6</v>
      </c>
      <c r="V90" s="734">
        <f>'BASE DE DATOS'!V90</f>
        <v>50</v>
      </c>
      <c r="W90" s="734">
        <f>'BASE DE DATOS'!W90</f>
        <v>115</v>
      </c>
      <c r="X90" s="734">
        <f>'BASE DE DATOS'!X90</f>
        <v>8.9999999999999993E-3</v>
      </c>
      <c r="Y90" s="734">
        <f>'BASE DE DATOS'!Y90</f>
        <v>8.0000000000000002E-3</v>
      </c>
      <c r="Z90" s="734">
        <f>'BASE DE DATOS'!Z90</f>
        <v>155</v>
      </c>
      <c r="AA90" s="734">
        <f>'BASE DE DATOS'!AA90</f>
        <v>1.55</v>
      </c>
      <c r="AB90" s="734">
        <f>'BASE DE DATOS'!AB90</f>
        <v>30</v>
      </c>
      <c r="AD90" s="734" t="str">
        <f>'BASE DE DATOS'!AD90</f>
        <v>PARANÁ</v>
      </c>
      <c r="AE90" s="734">
        <f>'BASE DE DATOS'!AE90</f>
        <v>25.5</v>
      </c>
      <c r="AF90" s="734">
        <f>'BASE DE DATOS'!AF90</f>
        <v>24.4</v>
      </c>
      <c r="AG90" s="734">
        <f>'BASE DE DATOS'!AG90</f>
        <v>23.5</v>
      </c>
      <c r="AH90" s="734">
        <f>'BASE DE DATOS'!AH90</f>
        <v>19.3</v>
      </c>
      <c r="AI90" s="734">
        <f>'BASE DE DATOS'!AI90</f>
        <v>15</v>
      </c>
      <c r="AJ90" s="734">
        <f>'BASE DE DATOS'!AJ90</f>
        <v>12.4</v>
      </c>
      <c r="AK90" s="734">
        <f>'BASE DE DATOS'!AK90</f>
        <v>12</v>
      </c>
      <c r="AL90" s="734">
        <f>'BASE DE DATOS'!AL90</f>
        <v>14</v>
      </c>
      <c r="AM90" s="734">
        <f>'BASE DE DATOS'!AM90</f>
        <v>15.8</v>
      </c>
      <c r="AN90" s="734">
        <f>'BASE DE DATOS'!AN90</f>
        <v>19</v>
      </c>
      <c r="AO90" s="734">
        <f>'BASE DE DATOS'!AO90</f>
        <v>21.5</v>
      </c>
      <c r="AP90" s="734">
        <f>'BASE DE DATOS'!AP90</f>
        <v>24.5</v>
      </c>
      <c r="AR90" s="734" t="str">
        <f>'BASE DE DATOS'!AR90</f>
        <v>ER</v>
      </c>
      <c r="AS90" s="734" t="str">
        <f>'BASE DE DATOS'!AS90</f>
        <v>PARANÁ</v>
      </c>
      <c r="AT90" s="734">
        <f>'BASE DE DATOS'!AT90</f>
        <v>6.5</v>
      </c>
      <c r="AU90" s="734">
        <f>'BASE DE DATOS'!AU90</f>
        <v>5.5</v>
      </c>
      <c r="AV90" s="734">
        <f>'BASE DE DATOS'!AV90</f>
        <v>5</v>
      </c>
      <c r="AW90" s="734">
        <f>'BASE DE DATOS'!AW90</f>
        <v>3.5</v>
      </c>
      <c r="AX90" s="734">
        <f>'BASE DE DATOS'!AX90</f>
        <v>3</v>
      </c>
      <c r="AY90" s="734">
        <f>'BASE DE DATOS'!AY90</f>
        <v>2.5</v>
      </c>
      <c r="AZ90" s="734">
        <f>'BASE DE DATOS'!AZ90</f>
        <v>2.5</v>
      </c>
      <c r="BA90" s="734">
        <f>'BASE DE DATOS'!BA90</f>
        <v>3.5</v>
      </c>
      <c r="BB90" s="734">
        <f>'BASE DE DATOS'!BB90</f>
        <v>4</v>
      </c>
      <c r="BC90" s="734">
        <f>'BASE DE DATOS'!BC90</f>
        <v>5.5</v>
      </c>
      <c r="BD90" s="734">
        <f>'BASE DE DATOS'!BD90</f>
        <v>6</v>
      </c>
      <c r="BE90" s="734">
        <f>'BASE DE DATOS'!BE90</f>
        <v>6.5</v>
      </c>
      <c r="DO90" s="733" t="str">
        <f>'BASE DE DATOS'!BG90</f>
        <v>ER</v>
      </c>
      <c r="DP90" s="733" t="str">
        <f>'BASE DE DATOS'!BH90</f>
        <v>PARANÁ</v>
      </c>
      <c r="DQ90" s="733">
        <f>'BASE DE DATOS'!BI90</f>
        <v>65</v>
      </c>
      <c r="DR90" s="733">
        <f>'BASE DE DATOS'!BJ90</f>
        <v>79</v>
      </c>
      <c r="DS90" s="733">
        <f>'BASE DE DATOS'!BK90</f>
        <v>123</v>
      </c>
      <c r="DT90" s="733">
        <f>'BASE DE DATOS'!BL90</f>
        <v>162</v>
      </c>
      <c r="DU90" s="733">
        <f>'BASE DE DATOS'!BM90</f>
        <v>191</v>
      </c>
      <c r="DV90" s="733">
        <f>'BASE DE DATOS'!BN90</f>
        <v>157</v>
      </c>
      <c r="DW90" s="733">
        <f>'BASE DE DATOS'!BO90</f>
        <v>139</v>
      </c>
      <c r="DX90" s="733">
        <f>'BASE DE DATOS'!BP90</f>
        <v>107</v>
      </c>
      <c r="DY90" s="733">
        <f>'BASE DE DATOS'!BQ90</f>
        <v>72</v>
      </c>
      <c r="DZ90" s="733">
        <f>'BASE DE DATOS'!BR90</f>
        <v>68</v>
      </c>
      <c r="EA90" s="733">
        <f>'BASE DE DATOS'!BS90</f>
        <v>84</v>
      </c>
      <c r="EB90" s="733">
        <f>'BASE DE DATOS'!BT90</f>
        <v>92</v>
      </c>
      <c r="GM90" s="741"/>
      <c r="GN90" s="741"/>
      <c r="GO90" s="741"/>
      <c r="GP90" s="741"/>
      <c r="GQ90" s="741"/>
      <c r="GR90" s="741"/>
      <c r="GS90" s="741"/>
      <c r="GT90" s="741"/>
      <c r="GU90" s="741"/>
      <c r="GV90" s="741"/>
      <c r="GW90" s="741"/>
      <c r="GX90" s="741"/>
      <c r="GY90" s="741"/>
    </row>
    <row r="91" spans="2:207" ht="16">
      <c r="B91" s="734" t="str">
        <f>'BASE DE DATOS'!B91</f>
        <v>ER</v>
      </c>
      <c r="C91" s="734" t="str">
        <f>'BASE DE DATOS'!C91</f>
        <v>SALTO GRANDE</v>
      </c>
      <c r="D91" s="734">
        <f>'BASE DE DATOS'!D91</f>
        <v>31.2</v>
      </c>
      <c r="E91" s="734">
        <f>'BASE DE DATOS'!E91</f>
        <v>57.92</v>
      </c>
      <c r="F91" s="734">
        <f>'BASE DE DATOS'!F91</f>
        <v>37</v>
      </c>
      <c r="G91" s="734" t="str">
        <f>'BASE DE DATOS'!G91</f>
        <v>IIIB</v>
      </c>
      <c r="H91" s="734">
        <f>'BASE DE DATOS'!H91</f>
        <v>3</v>
      </c>
      <c r="I91" s="734">
        <f>'BASE DE DATOS'!I91</f>
        <v>909</v>
      </c>
      <c r="J91" s="734">
        <f>'BASE DE DATOS'!J91</f>
        <v>22.9</v>
      </c>
      <c r="K91" s="734">
        <f>'BASE DE DATOS'!K91</f>
        <v>33.5</v>
      </c>
      <c r="L91" s="734">
        <f>'BASE DE DATOS'!L91</f>
        <v>68</v>
      </c>
      <c r="M91" s="734">
        <f>'BASE DE DATOS'!M91</f>
        <v>82</v>
      </c>
      <c r="N91" s="734">
        <f>'BASE DE DATOS'!N91</f>
        <v>68</v>
      </c>
      <c r="O91" s="734">
        <f>'BASE DE DATOS'!O91</f>
        <v>51</v>
      </c>
      <c r="P91" s="734">
        <f>'BASE DE DATOS'!P91</f>
        <v>101</v>
      </c>
      <c r="Q91" s="734">
        <f>'BASE DE DATOS'!Q91</f>
        <v>3</v>
      </c>
      <c r="R91" s="734">
        <f>'BASE DE DATOS'!R91</f>
        <v>22.7</v>
      </c>
      <c r="S91" s="734">
        <f>'BASE DE DATOS'!S91</f>
        <v>0.53</v>
      </c>
      <c r="T91" s="734">
        <f>'BASE DE DATOS'!T91</f>
        <v>18.100000000000001</v>
      </c>
      <c r="U91" s="734">
        <f>'BASE DE DATOS'!U91</f>
        <v>14.6</v>
      </c>
      <c r="V91" s="734">
        <f>'BASE DE DATOS'!V91</f>
        <v>50</v>
      </c>
      <c r="W91" s="734">
        <f>'BASE DE DATOS'!W91</f>
        <v>115</v>
      </c>
      <c r="X91" s="734">
        <f>'BASE DE DATOS'!X91</f>
        <v>8.9999999999999993E-3</v>
      </c>
      <c r="Y91" s="734">
        <f>'BASE DE DATOS'!Y91</f>
        <v>8.0000000000000002E-3</v>
      </c>
      <c r="Z91" s="734">
        <f>'BASE DE DATOS'!Z91</f>
        <v>155</v>
      </c>
      <c r="AA91" s="734">
        <f>'BASE DE DATOS'!AA91</f>
        <v>1.55</v>
      </c>
      <c r="AB91" s="734">
        <f>'BASE DE DATOS'!AB91</f>
        <v>30</v>
      </c>
      <c r="AD91" s="734" t="str">
        <f>'BASE DE DATOS'!AD91</f>
        <v>SALTO GRANDE</v>
      </c>
      <c r="AE91" s="734">
        <f>'BASE DE DATOS'!AE91</f>
        <v>24.1</v>
      </c>
      <c r="AF91" s="734">
        <f>'BASE DE DATOS'!AF91</f>
        <v>23.1</v>
      </c>
      <c r="AG91" s="734">
        <f>'BASE DE DATOS'!AG91</f>
        <v>21.1</v>
      </c>
      <c r="AH91" s="734">
        <f>'BASE DE DATOS'!AH91</f>
        <v>16.7</v>
      </c>
      <c r="AI91" s="734">
        <f>'BASE DE DATOS'!AI91</f>
        <v>14.2</v>
      </c>
      <c r="AJ91" s="734">
        <f>'BASE DE DATOS'!AJ91</f>
        <v>10.9</v>
      </c>
      <c r="AK91" s="734">
        <f>'BASE DE DATOS'!AK91</f>
        <v>11</v>
      </c>
      <c r="AL91" s="734">
        <f>'BASE DE DATOS'!AL91</f>
        <v>11.8</v>
      </c>
      <c r="AM91" s="734">
        <f>'BASE DE DATOS'!AM91</f>
        <v>14.1</v>
      </c>
      <c r="AN91" s="734">
        <f>'BASE DE DATOS'!AN91</f>
        <v>17</v>
      </c>
      <c r="AO91" s="734">
        <f>'BASE DE DATOS'!AO91</f>
        <v>20</v>
      </c>
      <c r="AP91" s="734">
        <f>'BASE DE DATOS'!AP91</f>
        <v>22.5</v>
      </c>
      <c r="AR91" s="734" t="str">
        <f>'BASE DE DATOS'!AR91</f>
        <v>ER</v>
      </c>
      <c r="AS91" s="734" t="str">
        <f>'BASE DE DATOS'!AS91</f>
        <v>SALTO GRANDE</v>
      </c>
      <c r="AT91" s="734">
        <f>'BASE DE DATOS'!AT91</f>
        <v>6.5</v>
      </c>
      <c r="AU91" s="734">
        <f>'BASE DE DATOS'!AU91</f>
        <v>5.5</v>
      </c>
      <c r="AV91" s="734">
        <f>'BASE DE DATOS'!AV91</f>
        <v>5</v>
      </c>
      <c r="AW91" s="734">
        <f>'BASE DE DATOS'!AW91</f>
        <v>3.5</v>
      </c>
      <c r="AX91" s="734">
        <f>'BASE DE DATOS'!AX91</f>
        <v>3</v>
      </c>
      <c r="AY91" s="734">
        <f>'BASE DE DATOS'!AY91</f>
        <v>2.5</v>
      </c>
      <c r="AZ91" s="734">
        <f>'BASE DE DATOS'!AZ91</f>
        <v>2.5</v>
      </c>
      <c r="BA91" s="734">
        <f>'BASE DE DATOS'!BA91</f>
        <v>3</v>
      </c>
      <c r="BB91" s="734">
        <f>'BASE DE DATOS'!BB91</f>
        <v>4</v>
      </c>
      <c r="BC91" s="734">
        <f>'BASE DE DATOS'!BC91</f>
        <v>5.5</v>
      </c>
      <c r="BD91" s="734">
        <f>'BASE DE DATOS'!BD91</f>
        <v>6</v>
      </c>
      <c r="BE91" s="734">
        <f>'BASE DE DATOS'!BE91</f>
        <v>6.5</v>
      </c>
      <c r="DO91" s="733" t="str">
        <f>'BASE DE DATOS'!BG91</f>
        <v>ER</v>
      </c>
      <c r="DP91" s="733" t="str">
        <f>'BASE DE DATOS'!BH91</f>
        <v>SALTO GRANDE</v>
      </c>
      <c r="DQ91" s="733">
        <f>'BASE DE DATOS'!BI91</f>
        <v>65</v>
      </c>
      <c r="DR91" s="733">
        <f>'BASE DE DATOS'!BJ91</f>
        <v>79</v>
      </c>
      <c r="DS91" s="733">
        <f>'BASE DE DATOS'!BK91</f>
        <v>123</v>
      </c>
      <c r="DT91" s="733">
        <f>'BASE DE DATOS'!BL91</f>
        <v>162</v>
      </c>
      <c r="DU91" s="733">
        <f>'BASE DE DATOS'!BM91</f>
        <v>191</v>
      </c>
      <c r="DV91" s="733">
        <f>'BASE DE DATOS'!BN91</f>
        <v>157</v>
      </c>
      <c r="DW91" s="733">
        <f>'BASE DE DATOS'!BO91</f>
        <v>139</v>
      </c>
      <c r="DX91" s="733">
        <f>'BASE DE DATOS'!BP91</f>
        <v>107</v>
      </c>
      <c r="DY91" s="733">
        <f>'BASE DE DATOS'!BQ91</f>
        <v>72</v>
      </c>
      <c r="DZ91" s="733">
        <f>'BASE DE DATOS'!BR91</f>
        <v>68</v>
      </c>
      <c r="EA91" s="733">
        <f>'BASE DE DATOS'!BS91</f>
        <v>84</v>
      </c>
      <c r="EB91" s="733">
        <f>'BASE DE DATOS'!BT91</f>
        <v>92</v>
      </c>
      <c r="GM91" s="741"/>
      <c r="GN91" s="741"/>
      <c r="GO91" s="741"/>
      <c r="GP91" s="741"/>
      <c r="GQ91" s="741"/>
      <c r="GR91" s="741"/>
      <c r="GS91" s="741"/>
      <c r="GT91" s="741"/>
      <c r="GU91" s="741"/>
      <c r="GV91" s="741"/>
      <c r="GW91" s="741"/>
      <c r="GX91" s="741"/>
      <c r="GY91" s="741"/>
    </row>
    <row r="92" spans="2:207" ht="16">
      <c r="B92" s="734" t="str">
        <f>'BASE DE DATOS'!B92</f>
        <v>ER</v>
      </c>
      <c r="C92" s="734" t="str">
        <f>'BASE DE DATOS'!C92</f>
        <v>VICTORIA</v>
      </c>
      <c r="D92" s="734">
        <f>'BASE DE DATOS'!D92</f>
        <v>32.619999999999997</v>
      </c>
      <c r="E92" s="734">
        <f>'BASE DE DATOS'!E92</f>
        <v>60.18</v>
      </c>
      <c r="F92" s="734">
        <f>'BASE DE DATOS'!F92</f>
        <v>29</v>
      </c>
      <c r="G92" s="734" t="str">
        <f>'BASE DE DATOS'!G92</f>
        <v>IIIB</v>
      </c>
      <c r="H92" s="734">
        <f>'BASE DE DATOS'!H92</f>
        <v>2.1</v>
      </c>
      <c r="I92" s="734">
        <f>'BASE DE DATOS'!I92</f>
        <v>1020</v>
      </c>
      <c r="J92" s="734">
        <f>'BASE DE DATOS'!J92</f>
        <v>22.9</v>
      </c>
      <c r="K92" s="734">
        <f>'BASE DE DATOS'!K92</f>
        <v>33.5</v>
      </c>
      <c r="L92" s="734">
        <f>'BASE DE DATOS'!L92</f>
        <v>68</v>
      </c>
      <c r="M92" s="734">
        <f>'BASE DE DATOS'!M92</f>
        <v>82</v>
      </c>
      <c r="N92" s="734">
        <f>'BASE DE DATOS'!N92</f>
        <v>68</v>
      </c>
      <c r="O92" s="734">
        <f>'BASE DE DATOS'!O92</f>
        <v>51</v>
      </c>
      <c r="P92" s="734">
        <f>'BASE DE DATOS'!P92</f>
        <v>101</v>
      </c>
      <c r="Q92" s="734">
        <f>'BASE DE DATOS'!Q92</f>
        <v>3</v>
      </c>
      <c r="R92" s="734">
        <f>'BASE DE DATOS'!R92</f>
        <v>22.7</v>
      </c>
      <c r="S92" s="734">
        <f>'BASE DE DATOS'!S92</f>
        <v>0.53</v>
      </c>
      <c r="T92" s="734">
        <f>'BASE DE DATOS'!T92</f>
        <v>18.100000000000001</v>
      </c>
      <c r="U92" s="734">
        <f>'BASE DE DATOS'!U92</f>
        <v>14.6</v>
      </c>
      <c r="V92" s="734">
        <f>'BASE DE DATOS'!V92</f>
        <v>50</v>
      </c>
      <c r="W92" s="734">
        <f>'BASE DE DATOS'!W92</f>
        <v>115</v>
      </c>
      <c r="X92" s="734">
        <f>'BASE DE DATOS'!X92</f>
        <v>8.9999999999999993E-3</v>
      </c>
      <c r="Y92" s="734">
        <f>'BASE DE DATOS'!Y92</f>
        <v>8.0000000000000002E-3</v>
      </c>
      <c r="Z92" s="734">
        <f>'BASE DE DATOS'!Z92</f>
        <v>155</v>
      </c>
      <c r="AA92" s="734">
        <f>'BASE DE DATOS'!AA92</f>
        <v>1.55</v>
      </c>
      <c r="AB92" s="734">
        <f>'BASE DE DATOS'!AB92</f>
        <v>30</v>
      </c>
      <c r="AD92" s="734" t="str">
        <f>'BASE DE DATOS'!AD92</f>
        <v>VICTORIA</v>
      </c>
      <c r="AE92" s="734">
        <f>'BASE DE DATOS'!AE92</f>
        <v>25.1</v>
      </c>
      <c r="AF92" s="734">
        <f>'BASE DE DATOS'!AF92</f>
        <v>24.1</v>
      </c>
      <c r="AG92" s="734">
        <f>'BASE DE DATOS'!AG92</f>
        <v>22.3</v>
      </c>
      <c r="AH92" s="734">
        <f>'BASE DE DATOS'!AH92</f>
        <v>17.3</v>
      </c>
      <c r="AI92" s="734">
        <f>'BASE DE DATOS'!AI92</f>
        <v>15</v>
      </c>
      <c r="AJ92" s="734">
        <f>'BASE DE DATOS'!AJ92</f>
        <v>11.8</v>
      </c>
      <c r="AK92" s="734">
        <f>'BASE DE DATOS'!AK92</f>
        <v>11.8</v>
      </c>
      <c r="AL92" s="734">
        <f>'BASE DE DATOS'!AL92</f>
        <v>13.1</v>
      </c>
      <c r="AM92" s="734">
        <f>'BASE DE DATOS'!AM92</f>
        <v>15</v>
      </c>
      <c r="AN92" s="734">
        <f>'BASE DE DATOS'!AN92</f>
        <v>17.7</v>
      </c>
      <c r="AO92" s="734">
        <f>'BASE DE DATOS'!AO92</f>
        <v>20.7</v>
      </c>
      <c r="AP92" s="734">
        <f>'BASE DE DATOS'!AP92</f>
        <v>22.8</v>
      </c>
      <c r="AR92" s="734" t="str">
        <f>'BASE DE DATOS'!AR92</f>
        <v>ER</v>
      </c>
      <c r="AS92" s="734" t="str">
        <f>'BASE DE DATOS'!AS92</f>
        <v>VICTORIA</v>
      </c>
      <c r="AT92" s="734">
        <f>'BASE DE DATOS'!AT92</f>
        <v>6.5</v>
      </c>
      <c r="AU92" s="734">
        <f>'BASE DE DATOS'!AU92</f>
        <v>5.5</v>
      </c>
      <c r="AV92" s="734">
        <f>'BASE DE DATOS'!AV92</f>
        <v>5</v>
      </c>
      <c r="AW92" s="734">
        <f>'BASE DE DATOS'!AW92</f>
        <v>3.5</v>
      </c>
      <c r="AX92" s="734">
        <f>'BASE DE DATOS'!AX92</f>
        <v>2.5</v>
      </c>
      <c r="AY92" s="734">
        <f>'BASE DE DATOS'!AY92</f>
        <v>2</v>
      </c>
      <c r="AZ92" s="734">
        <f>'BASE DE DATOS'!AZ92</f>
        <v>2</v>
      </c>
      <c r="BA92" s="734">
        <f>'BASE DE DATOS'!BA92</f>
        <v>3</v>
      </c>
      <c r="BB92" s="734">
        <f>'BASE DE DATOS'!BB92</f>
        <v>4</v>
      </c>
      <c r="BC92" s="734">
        <f>'BASE DE DATOS'!BC92</f>
        <v>5.5</v>
      </c>
      <c r="BD92" s="734">
        <f>'BASE DE DATOS'!BD92</f>
        <v>6</v>
      </c>
      <c r="BE92" s="734">
        <f>'BASE DE DATOS'!BE92</f>
        <v>6.5</v>
      </c>
      <c r="DO92" s="733" t="str">
        <f>'BASE DE DATOS'!BG92</f>
        <v>ER</v>
      </c>
      <c r="DP92" s="733" t="str">
        <f>'BASE DE DATOS'!BH92</f>
        <v>VICTORIA</v>
      </c>
      <c r="DQ92" s="733">
        <f>'BASE DE DATOS'!BI92</f>
        <v>65</v>
      </c>
      <c r="DR92" s="733">
        <f>'BASE DE DATOS'!BJ92</f>
        <v>79</v>
      </c>
      <c r="DS92" s="733">
        <f>'BASE DE DATOS'!BK92</f>
        <v>123</v>
      </c>
      <c r="DT92" s="733">
        <f>'BASE DE DATOS'!BL92</f>
        <v>162</v>
      </c>
      <c r="DU92" s="733">
        <f>'BASE DE DATOS'!BM92</f>
        <v>191</v>
      </c>
      <c r="DV92" s="733">
        <f>'BASE DE DATOS'!BN92</f>
        <v>157</v>
      </c>
      <c r="DW92" s="733">
        <f>'BASE DE DATOS'!BO92</f>
        <v>139</v>
      </c>
      <c r="DX92" s="733">
        <f>'BASE DE DATOS'!BP92</f>
        <v>107</v>
      </c>
      <c r="DY92" s="733">
        <f>'BASE DE DATOS'!BQ92</f>
        <v>72</v>
      </c>
      <c r="DZ92" s="733">
        <f>'BASE DE DATOS'!BR92</f>
        <v>68</v>
      </c>
      <c r="EA92" s="733">
        <f>'BASE DE DATOS'!BS92</f>
        <v>84</v>
      </c>
      <c r="EB92" s="733">
        <f>'BASE DE DATOS'!BT92</f>
        <v>92</v>
      </c>
      <c r="GM92" s="741"/>
      <c r="GN92" s="741"/>
      <c r="GO92" s="741"/>
      <c r="GP92" s="741"/>
      <c r="GQ92" s="741"/>
      <c r="GR92" s="741"/>
      <c r="GS92" s="741"/>
      <c r="GT92" s="741"/>
      <c r="GU92" s="741"/>
      <c r="GV92" s="741"/>
      <c r="GW92" s="741"/>
      <c r="GX92" s="741"/>
      <c r="GY92" s="741"/>
    </row>
    <row r="93" spans="2:207" ht="16">
      <c r="B93" s="734" t="str">
        <f>'BASE DE DATOS'!B93</f>
        <v>ER</v>
      </c>
      <c r="C93" s="734" t="str">
        <f>'BASE DE DATOS'!C93</f>
        <v>VILLAGUAY</v>
      </c>
      <c r="D93" s="734">
        <f>'BASE DE DATOS'!D93</f>
        <v>31.85</v>
      </c>
      <c r="E93" s="734">
        <f>'BASE DE DATOS'!E93</f>
        <v>59.08</v>
      </c>
      <c r="F93" s="734">
        <f>'BASE DE DATOS'!F93</f>
        <v>43</v>
      </c>
      <c r="G93" s="734" t="str">
        <f>'BASE DE DATOS'!G93</f>
        <v>IIB</v>
      </c>
      <c r="H93" s="734">
        <f>'BASE DE DATOS'!H93</f>
        <v>0.3</v>
      </c>
      <c r="I93" s="734">
        <f>'BASE DE DATOS'!I93</f>
        <v>1121</v>
      </c>
      <c r="J93" s="734">
        <f>'BASE DE DATOS'!J93</f>
        <v>24.3</v>
      </c>
      <c r="K93" s="734">
        <f>'BASE DE DATOS'!K93</f>
        <v>34.4</v>
      </c>
      <c r="L93" s="734">
        <f>'BASE DE DATOS'!L93</f>
        <v>63</v>
      </c>
      <c r="M93" s="734">
        <f>'BASE DE DATOS'!M93</f>
        <v>72</v>
      </c>
      <c r="N93" s="734">
        <f>'BASE DE DATOS'!N93</f>
        <v>63</v>
      </c>
      <c r="O93" s="734">
        <f>'BASE DE DATOS'!O93</f>
        <v>29</v>
      </c>
      <c r="P93" s="734">
        <f>'BASE DE DATOS'!P93</f>
        <v>107</v>
      </c>
      <c r="Q93" s="734">
        <f>'BASE DE DATOS'!Q93</f>
        <v>2</v>
      </c>
      <c r="R93" s="734">
        <f>'BASE DE DATOS'!R93</f>
        <v>23.7</v>
      </c>
      <c r="S93" s="734">
        <f>'BASE DE DATOS'!S93</f>
        <v>0.53</v>
      </c>
      <c r="T93" s="734">
        <f>'BASE DE DATOS'!T93</f>
        <v>18.100000000000001</v>
      </c>
      <c r="U93" s="734">
        <f>'BASE DE DATOS'!U93</f>
        <v>14.6</v>
      </c>
      <c r="V93" s="734">
        <f>'BASE DE DATOS'!V93</f>
        <v>50</v>
      </c>
      <c r="W93" s="734">
        <f>'BASE DE DATOS'!W93</f>
        <v>115</v>
      </c>
      <c r="X93" s="734">
        <f>'BASE DE DATOS'!X93</f>
        <v>8.9999999999999993E-3</v>
      </c>
      <c r="Y93" s="734">
        <f>'BASE DE DATOS'!Y93</f>
        <v>8.0000000000000002E-3</v>
      </c>
      <c r="Z93" s="734">
        <f>'BASE DE DATOS'!Z93</f>
        <v>155</v>
      </c>
      <c r="AA93" s="734">
        <f>'BASE DE DATOS'!AA93</f>
        <v>1.55</v>
      </c>
      <c r="AB93" s="734">
        <f>'BASE DE DATOS'!AB93</f>
        <v>30</v>
      </c>
      <c r="AD93" s="734" t="str">
        <f>'BASE DE DATOS'!AD93</f>
        <v>VILLAGUAY</v>
      </c>
      <c r="AE93" s="734">
        <f>'BASE DE DATOS'!AE93</f>
        <v>25.2</v>
      </c>
      <c r="AF93" s="734">
        <f>'BASE DE DATOS'!AF93</f>
        <v>24</v>
      </c>
      <c r="AG93" s="734">
        <f>'BASE DE DATOS'!AG93</f>
        <v>21.2</v>
      </c>
      <c r="AH93" s="734">
        <f>'BASE DE DATOS'!AH93</f>
        <v>17.5</v>
      </c>
      <c r="AI93" s="734">
        <f>'BASE DE DATOS'!AI93</f>
        <v>14.3</v>
      </c>
      <c r="AJ93" s="734">
        <f>'BASE DE DATOS'!AJ93</f>
        <v>11.8</v>
      </c>
      <c r="AK93" s="734">
        <f>'BASE DE DATOS'!AK93</f>
        <v>11.3</v>
      </c>
      <c r="AL93" s="734">
        <f>'BASE DE DATOS'!AL93</f>
        <v>12.7</v>
      </c>
      <c r="AM93" s="734">
        <f>'BASE DE DATOS'!AM93</f>
        <v>15.2</v>
      </c>
      <c r="AN93" s="734">
        <f>'BASE DE DATOS'!AN93</f>
        <v>17.899999999999999</v>
      </c>
      <c r="AO93" s="734">
        <f>'BASE DE DATOS'!AO93</f>
        <v>21.4</v>
      </c>
      <c r="AP93" s="734">
        <f>'BASE DE DATOS'!AP93</f>
        <v>23.9</v>
      </c>
      <c r="AR93" s="734" t="str">
        <f>'BASE DE DATOS'!AR93</f>
        <v>ER</v>
      </c>
      <c r="AS93" s="734" t="str">
        <f>'BASE DE DATOS'!AS93</f>
        <v>VILLAGUAY</v>
      </c>
      <c r="AT93" s="734">
        <f>'BASE DE DATOS'!AT93</f>
        <v>6.5</v>
      </c>
      <c r="AU93" s="734">
        <f>'BASE DE DATOS'!AU93</f>
        <v>5.5</v>
      </c>
      <c r="AV93" s="734">
        <f>'BASE DE DATOS'!AV93</f>
        <v>5</v>
      </c>
      <c r="AW93" s="734">
        <f>'BASE DE DATOS'!AW93</f>
        <v>3.5</v>
      </c>
      <c r="AX93" s="734">
        <f>'BASE DE DATOS'!AX93</f>
        <v>3</v>
      </c>
      <c r="AY93" s="734">
        <f>'BASE DE DATOS'!AY93</f>
        <v>2</v>
      </c>
      <c r="AZ93" s="734">
        <f>'BASE DE DATOS'!AZ93</f>
        <v>2.5</v>
      </c>
      <c r="BA93" s="734">
        <f>'BASE DE DATOS'!BA93</f>
        <v>3</v>
      </c>
      <c r="BB93" s="734">
        <f>'BASE DE DATOS'!BB93</f>
        <v>4</v>
      </c>
      <c r="BC93" s="734">
        <f>'BASE DE DATOS'!BC93</f>
        <v>5.5</v>
      </c>
      <c r="BD93" s="734">
        <f>'BASE DE DATOS'!BD93</f>
        <v>6</v>
      </c>
      <c r="BE93" s="734">
        <f>'BASE DE DATOS'!BE93</f>
        <v>6.5</v>
      </c>
      <c r="DO93" s="733" t="str">
        <f>'BASE DE DATOS'!BG93</f>
        <v>ER</v>
      </c>
      <c r="DP93" s="733" t="str">
        <f>'BASE DE DATOS'!BH93</f>
        <v>VILLAGUAY</v>
      </c>
      <c r="DQ93" s="733">
        <f>'BASE DE DATOS'!BI93</f>
        <v>65</v>
      </c>
      <c r="DR93" s="733">
        <f>'BASE DE DATOS'!BJ93</f>
        <v>79</v>
      </c>
      <c r="DS93" s="733">
        <f>'BASE DE DATOS'!BK93</f>
        <v>123</v>
      </c>
      <c r="DT93" s="733">
        <f>'BASE DE DATOS'!BL93</f>
        <v>162</v>
      </c>
      <c r="DU93" s="733">
        <f>'BASE DE DATOS'!BM93</f>
        <v>191</v>
      </c>
      <c r="DV93" s="733">
        <f>'BASE DE DATOS'!BN93</f>
        <v>157</v>
      </c>
      <c r="DW93" s="733">
        <f>'BASE DE DATOS'!BO93</f>
        <v>139</v>
      </c>
      <c r="DX93" s="733">
        <f>'BASE DE DATOS'!BP93</f>
        <v>107</v>
      </c>
      <c r="DY93" s="733">
        <f>'BASE DE DATOS'!BQ93</f>
        <v>72</v>
      </c>
      <c r="DZ93" s="733">
        <f>'BASE DE DATOS'!BR93</f>
        <v>68</v>
      </c>
      <c r="EA93" s="733">
        <f>'BASE DE DATOS'!BS93</f>
        <v>84</v>
      </c>
      <c r="EB93" s="733">
        <f>'BASE DE DATOS'!BT93</f>
        <v>92</v>
      </c>
      <c r="GM93" s="741"/>
      <c r="GN93" s="741"/>
      <c r="GO93" s="741"/>
      <c r="GP93" s="741"/>
      <c r="GQ93" s="741"/>
      <c r="GR93" s="741"/>
      <c r="GS93" s="727"/>
      <c r="GT93" s="741"/>
      <c r="GU93" s="741"/>
      <c r="GV93" s="741"/>
      <c r="GW93" s="741"/>
      <c r="GX93" s="741"/>
      <c r="GY93" s="741"/>
    </row>
    <row r="94" spans="2:207" ht="16">
      <c r="B94" s="734" t="str">
        <f>'BASE DE DATOS'!B94</f>
        <v>FM</v>
      </c>
      <c r="C94" s="734" t="str">
        <f>'BASE DE DATOS'!C94</f>
        <v>FORMOSA</v>
      </c>
      <c r="D94" s="734">
        <f>'BASE DE DATOS'!D94</f>
        <v>26.2</v>
      </c>
      <c r="E94" s="734">
        <f>'BASE DE DATOS'!E94</f>
        <v>58.23</v>
      </c>
      <c r="F94" s="734">
        <f>'BASE DE DATOS'!F94</f>
        <v>60</v>
      </c>
      <c r="G94" s="734" t="str">
        <f>'BASE DE DATOS'!G94</f>
        <v>IB</v>
      </c>
      <c r="H94" s="734">
        <f>'BASE DE DATOS'!H94</f>
        <v>5.7</v>
      </c>
      <c r="I94" s="734">
        <f>'BASE DE DATOS'!I94</f>
        <v>17.2</v>
      </c>
      <c r="J94" s="734">
        <f>'BASE DE DATOS'!J94</f>
        <v>26.6</v>
      </c>
      <c r="K94" s="734">
        <f>'BASE DE DATOS'!K94</f>
        <v>36.5</v>
      </c>
      <c r="L94" s="734">
        <f>'BASE DE DATOS'!L94</f>
        <v>71</v>
      </c>
      <c r="M94" s="734">
        <f>'BASE DE DATOS'!M94</f>
        <v>76</v>
      </c>
      <c r="N94" s="734">
        <f>'BASE DE DATOS'!N94</f>
        <v>71</v>
      </c>
      <c r="O94" s="734">
        <f>'BASE DE DATOS'!O94</f>
        <v>58</v>
      </c>
      <c r="P94" s="734">
        <f>'BASE DE DATOS'!P94</f>
        <v>159</v>
      </c>
      <c r="Q94" s="734">
        <f>'BASE DE DATOS'!Q94</f>
        <v>1</v>
      </c>
      <c r="R94" s="734">
        <f>'BASE DE DATOS'!R94</f>
        <v>26.6</v>
      </c>
      <c r="S94" s="734">
        <f>'BASE DE DATOS'!S94</f>
        <v>0.49</v>
      </c>
      <c r="T94" s="734">
        <f>'BASE DE DATOS'!T94</f>
        <v>6.2</v>
      </c>
      <c r="U94" s="734">
        <f>'BASE DE DATOS'!U94</f>
        <v>19.7</v>
      </c>
      <c r="V94" s="734">
        <f>'BASE DE DATOS'!V94</f>
        <v>31</v>
      </c>
      <c r="W94" s="734">
        <f>'BASE DE DATOS'!W94</f>
        <v>101</v>
      </c>
      <c r="X94" s="734">
        <f>'BASE DE DATOS'!X94</f>
        <v>8.9999999999999993E-3</v>
      </c>
      <c r="Y94" s="734">
        <f>'BASE DE DATOS'!Y94</f>
        <v>0.01</v>
      </c>
      <c r="Z94" s="734">
        <f>'BASE DE DATOS'!Z94</f>
        <v>155</v>
      </c>
      <c r="AA94" s="734">
        <f>'BASE DE DATOS'!AA94</f>
        <v>1.55</v>
      </c>
      <c r="AB94" s="734">
        <f>'BASE DE DATOS'!AB94</f>
        <v>25</v>
      </c>
      <c r="AD94" s="734" t="str">
        <f>'BASE DE DATOS'!AD94</f>
        <v>FORMOSA</v>
      </c>
      <c r="AE94" s="734">
        <f>'BASE DE DATOS'!AE94</f>
        <v>28</v>
      </c>
      <c r="AF94" s="734">
        <f>'BASE DE DATOS'!AF94</f>
        <v>27.2</v>
      </c>
      <c r="AG94" s="734">
        <f>'BASE DE DATOS'!AG94</f>
        <v>26</v>
      </c>
      <c r="AH94" s="734">
        <f>'BASE DE DATOS'!AH94</f>
        <v>22</v>
      </c>
      <c r="AI94" s="734">
        <f>'BASE DE DATOS'!AI94</f>
        <v>19.5</v>
      </c>
      <c r="AJ94" s="734">
        <f>'BASE DE DATOS'!AJ94</f>
        <v>17.8</v>
      </c>
      <c r="AK94" s="734">
        <f>'BASE DE DATOS'!AK94</f>
        <v>17</v>
      </c>
      <c r="AL94" s="734">
        <f>'BASE DE DATOS'!AL94</f>
        <v>19.600000000000001</v>
      </c>
      <c r="AM94" s="734">
        <f>'BASE DE DATOS'!AM94</f>
        <v>20.5</v>
      </c>
      <c r="AN94" s="734">
        <f>'BASE DE DATOS'!AN94</f>
        <v>24</v>
      </c>
      <c r="AO94" s="734">
        <f>'BASE DE DATOS'!AO94</f>
        <v>25</v>
      </c>
      <c r="AP94" s="734">
        <f>'BASE DE DATOS'!AP94</f>
        <v>26</v>
      </c>
      <c r="AR94" s="734" t="str">
        <f>'BASE DE DATOS'!AR94</f>
        <v>FM</v>
      </c>
      <c r="AS94" s="734" t="str">
        <f>'BASE DE DATOS'!AS94</f>
        <v>FORMOSA</v>
      </c>
      <c r="AT94" s="734">
        <f>'BASE DE DATOS'!AT94</f>
        <v>6</v>
      </c>
      <c r="AU94" s="734">
        <f>'BASE DE DATOS'!AU94</f>
        <v>5.5</v>
      </c>
      <c r="AV94" s="734">
        <f>'BASE DE DATOS'!AV94</f>
        <v>4.5</v>
      </c>
      <c r="AW94" s="734">
        <f>'BASE DE DATOS'!AW94</f>
        <v>3.5</v>
      </c>
      <c r="AX94" s="734">
        <f>'BASE DE DATOS'!AX94</f>
        <v>3</v>
      </c>
      <c r="AY94" s="734">
        <f>'BASE DE DATOS'!AY94</f>
        <v>2.5</v>
      </c>
      <c r="AZ94" s="734">
        <f>'BASE DE DATOS'!AZ94</f>
        <v>2.5</v>
      </c>
      <c r="BA94" s="734">
        <f>'BASE DE DATOS'!BA94</f>
        <v>3</v>
      </c>
      <c r="BB94" s="734">
        <f>'BASE DE DATOS'!BB94</f>
        <v>4</v>
      </c>
      <c r="BC94" s="734">
        <f>'BASE DE DATOS'!BC94</f>
        <v>5</v>
      </c>
      <c r="BD94" s="734">
        <f>'BASE DE DATOS'!BD94</f>
        <v>5.5</v>
      </c>
      <c r="BE94" s="734">
        <f>'BASE DE DATOS'!BE94</f>
        <v>6.5</v>
      </c>
      <c r="DO94" s="733" t="str">
        <f>'BASE DE DATOS'!BG94</f>
        <v>FM</v>
      </c>
      <c r="DP94" s="733" t="str">
        <f>'BASE DE DATOS'!BH94</f>
        <v>FORMOSA</v>
      </c>
      <c r="DQ94" s="733">
        <f>'BASE DE DATOS'!BI94</f>
        <v>171</v>
      </c>
      <c r="DR94" s="733">
        <f>'BASE DE DATOS'!BJ94</f>
        <v>143</v>
      </c>
      <c r="DS94" s="733">
        <f>'BASE DE DATOS'!BK94</f>
        <v>151</v>
      </c>
      <c r="DT94" s="733">
        <f>'BASE DE DATOS'!BL94</f>
        <v>155</v>
      </c>
      <c r="DU94" s="733">
        <f>'BASE DE DATOS'!BM94</f>
        <v>108</v>
      </c>
      <c r="DV94" s="733">
        <f>'BASE DE DATOS'!BN94</f>
        <v>68</v>
      </c>
      <c r="DW94" s="733">
        <f>'BASE DE DATOS'!BO94</f>
        <v>47</v>
      </c>
      <c r="DX94" s="733">
        <f>'BASE DE DATOS'!BP94</f>
        <v>52</v>
      </c>
      <c r="DY94" s="733">
        <f>'BASE DE DATOS'!BQ94</f>
        <v>86</v>
      </c>
      <c r="DZ94" s="733">
        <f>'BASE DE DATOS'!BR94</f>
        <v>132</v>
      </c>
      <c r="EA94" s="733">
        <f>'BASE DE DATOS'!BS94</f>
        <v>157</v>
      </c>
      <c r="EB94" s="733">
        <f>'BASE DE DATOS'!BT94</f>
        <v>149</v>
      </c>
      <c r="GM94" s="741"/>
      <c r="GN94" s="741"/>
      <c r="GO94" s="741"/>
      <c r="GP94" s="741"/>
      <c r="GQ94" s="741"/>
      <c r="GR94" s="741"/>
      <c r="GS94" s="727"/>
      <c r="GT94" s="741"/>
      <c r="GU94" s="741"/>
      <c r="GV94" s="741"/>
      <c r="GW94" s="741"/>
      <c r="GX94" s="741"/>
      <c r="GY94" s="741"/>
    </row>
    <row r="95" spans="2:207" ht="16">
      <c r="B95" s="734" t="str">
        <f>'BASE DE DATOS'!B95</f>
        <v>FM</v>
      </c>
      <c r="C95" s="734" t="str">
        <f>'BASE DE DATOS'!C95</f>
        <v>LAS LOMITAS</v>
      </c>
      <c r="D95" s="734">
        <f>'BASE DE DATOS'!D95</f>
        <v>24.7</v>
      </c>
      <c r="E95" s="734">
        <f>'BASE DE DATOS'!E95</f>
        <v>60.58</v>
      </c>
      <c r="F95" s="734">
        <f>'BASE DE DATOS'!F95</f>
        <v>130</v>
      </c>
      <c r="G95" s="734" t="str">
        <f>'BASE DE DATOS'!G95</f>
        <v>IA</v>
      </c>
      <c r="H95" s="734">
        <f>'BASE DE DATOS'!H95</f>
        <v>2.4</v>
      </c>
      <c r="I95" s="734">
        <f>'BASE DE DATOS'!I95</f>
        <v>17.3</v>
      </c>
      <c r="J95" s="734">
        <f>'BASE DE DATOS'!J95</f>
        <v>27.4</v>
      </c>
      <c r="K95" s="734">
        <f>'BASE DE DATOS'!K95</f>
        <v>38.200000000000003</v>
      </c>
      <c r="L95" s="734">
        <f>'BASE DE DATOS'!L95</f>
        <v>64</v>
      </c>
      <c r="M95" s="734">
        <f>'BASE DE DATOS'!M95</f>
        <v>68</v>
      </c>
      <c r="N95" s="734">
        <f>'BASE DE DATOS'!N95</f>
        <v>64</v>
      </c>
      <c r="O95" s="734">
        <f>'BASE DE DATOS'!O95</f>
        <v>13</v>
      </c>
      <c r="P95" s="734">
        <f>'BASE DE DATOS'!P95</f>
        <v>114</v>
      </c>
      <c r="Q95" s="734">
        <f>'BASE DE DATOS'!Q95</f>
        <v>1</v>
      </c>
      <c r="R95" s="734">
        <f>'BASE DE DATOS'!R95</f>
        <v>27.3</v>
      </c>
      <c r="S95" s="734">
        <f>'BASE DE DATOS'!S95</f>
        <v>0.47</v>
      </c>
      <c r="T95" s="734">
        <f>'BASE DE DATOS'!T95</f>
        <v>6.2</v>
      </c>
      <c r="U95" s="734">
        <f>'BASE DE DATOS'!U95</f>
        <v>19.7</v>
      </c>
      <c r="V95" s="734">
        <f>'BASE DE DATOS'!V95</f>
        <v>31</v>
      </c>
      <c r="W95" s="734">
        <f>'BASE DE DATOS'!W95</f>
        <v>101</v>
      </c>
      <c r="X95" s="734">
        <f>'BASE DE DATOS'!X95</f>
        <v>8.9999999999999993E-3</v>
      </c>
      <c r="Y95" s="734">
        <f>'BASE DE DATOS'!Y95</f>
        <v>0.01</v>
      </c>
      <c r="Z95" s="734">
        <f>'BASE DE DATOS'!Z95</f>
        <v>175</v>
      </c>
      <c r="AA95" s="734">
        <f>'BASE DE DATOS'!AA95</f>
        <v>1.75</v>
      </c>
      <c r="AB95" s="734">
        <f>'BASE DE DATOS'!AB95</f>
        <v>25</v>
      </c>
      <c r="AD95" s="734" t="str">
        <f>'BASE DE DATOS'!AD95</f>
        <v>LAS LOMITAS</v>
      </c>
      <c r="AE95" s="734">
        <f>'BASE DE DATOS'!AE95</f>
        <v>27.9</v>
      </c>
      <c r="AF95" s="734">
        <f>'BASE DE DATOS'!AF95</f>
        <v>27.4</v>
      </c>
      <c r="AG95" s="734">
        <f>'BASE DE DATOS'!AG95</f>
        <v>25.1</v>
      </c>
      <c r="AH95" s="734">
        <f>'BASE DE DATOS'!AH95</f>
        <v>21.2</v>
      </c>
      <c r="AI95" s="734">
        <f>'BASE DE DATOS'!AI95</f>
        <v>18.100000000000001</v>
      </c>
      <c r="AJ95" s="734">
        <f>'BASE DE DATOS'!AJ95</f>
        <v>17.600000000000001</v>
      </c>
      <c r="AK95" s="734">
        <f>'BASE DE DATOS'!AK95</f>
        <v>16.399999999999999</v>
      </c>
      <c r="AL95" s="734">
        <f>'BASE DE DATOS'!AL95</f>
        <v>18.899999999999999</v>
      </c>
      <c r="AM95" s="734">
        <f>'BASE DE DATOS'!AM95</f>
        <v>21.6</v>
      </c>
      <c r="AN95" s="734">
        <f>'BASE DE DATOS'!AN95</f>
        <v>23.7</v>
      </c>
      <c r="AO95" s="734">
        <f>'BASE DE DATOS'!AO95</f>
        <v>25.5</v>
      </c>
      <c r="AP95" s="734">
        <f>'BASE DE DATOS'!AP95</f>
        <v>27</v>
      </c>
      <c r="AR95" s="734" t="str">
        <f>'BASE DE DATOS'!AR95</f>
        <v>FM</v>
      </c>
      <c r="AS95" s="734" t="str">
        <f>'BASE DE DATOS'!AS95</f>
        <v>LAS LOMITAS</v>
      </c>
      <c r="AT95" s="734">
        <f>'BASE DE DATOS'!AT95</f>
        <v>6</v>
      </c>
      <c r="AU95" s="734">
        <f>'BASE DE DATOS'!AU95</f>
        <v>5.5</v>
      </c>
      <c r="AV95" s="734">
        <f>'BASE DE DATOS'!AV95</f>
        <v>4.5</v>
      </c>
      <c r="AW95" s="734">
        <f>'BASE DE DATOS'!AW95</f>
        <v>3.5</v>
      </c>
      <c r="AX95" s="734">
        <f>'BASE DE DATOS'!AX95</f>
        <v>3</v>
      </c>
      <c r="AY95" s="734">
        <f>'BASE DE DATOS'!AY95</f>
        <v>2.5</v>
      </c>
      <c r="AZ95" s="734">
        <f>'BASE DE DATOS'!AZ95</f>
        <v>2.5</v>
      </c>
      <c r="BA95" s="734">
        <f>'BASE DE DATOS'!BA95</f>
        <v>3</v>
      </c>
      <c r="BB95" s="734">
        <f>'BASE DE DATOS'!BB95</f>
        <v>4</v>
      </c>
      <c r="BC95" s="734">
        <f>'BASE DE DATOS'!BC95</f>
        <v>5</v>
      </c>
      <c r="BD95" s="734">
        <f>'BASE DE DATOS'!BD95</f>
        <v>5.5</v>
      </c>
      <c r="BE95" s="734">
        <f>'BASE DE DATOS'!BE95</f>
        <v>6</v>
      </c>
      <c r="DO95" s="733" t="str">
        <f>'BASE DE DATOS'!BG95</f>
        <v>FM</v>
      </c>
      <c r="DP95" s="733" t="str">
        <f>'BASE DE DATOS'!BH95</f>
        <v>LAS LOMITAS</v>
      </c>
      <c r="DQ95" s="733">
        <f>'BASE DE DATOS'!BI95</f>
        <v>171</v>
      </c>
      <c r="DR95" s="733">
        <f>'BASE DE DATOS'!BJ95</f>
        <v>143</v>
      </c>
      <c r="DS95" s="733">
        <f>'BASE DE DATOS'!BK95</f>
        <v>151</v>
      </c>
      <c r="DT95" s="733">
        <f>'BASE DE DATOS'!BL95</f>
        <v>155</v>
      </c>
      <c r="DU95" s="733">
        <f>'BASE DE DATOS'!BM95</f>
        <v>108</v>
      </c>
      <c r="DV95" s="733">
        <f>'BASE DE DATOS'!BN95</f>
        <v>68</v>
      </c>
      <c r="DW95" s="733">
        <f>'BASE DE DATOS'!BO95</f>
        <v>47</v>
      </c>
      <c r="DX95" s="733">
        <f>'BASE DE DATOS'!BP95</f>
        <v>52</v>
      </c>
      <c r="DY95" s="733">
        <f>'BASE DE DATOS'!BQ95</f>
        <v>86</v>
      </c>
      <c r="DZ95" s="733">
        <f>'BASE DE DATOS'!BR95</f>
        <v>132</v>
      </c>
      <c r="EA95" s="733">
        <f>'BASE DE DATOS'!BS95</f>
        <v>157</v>
      </c>
      <c r="EB95" s="733">
        <f>'BASE DE DATOS'!BT95</f>
        <v>149</v>
      </c>
      <c r="GM95" s="741"/>
      <c r="GN95" s="741"/>
      <c r="GO95" s="741"/>
      <c r="GP95" s="741"/>
      <c r="GQ95" s="741"/>
      <c r="GR95" s="741"/>
      <c r="GS95" s="727"/>
      <c r="GT95" s="727"/>
      <c r="GU95" s="727"/>
      <c r="GV95" s="727"/>
      <c r="GW95" s="727"/>
      <c r="GX95" s="727"/>
      <c r="GY95" s="727"/>
    </row>
    <row r="96" spans="2:207" ht="16">
      <c r="B96" s="734" t="str">
        <f>'BASE DE DATOS'!B96</f>
        <v>FM</v>
      </c>
      <c r="C96" s="734" t="str">
        <f>'BASE DE DATOS'!C96</f>
        <v>SAN FRANCISCO</v>
      </c>
      <c r="D96" s="734">
        <f>'BASE DE DATOS'!D96</f>
        <v>26.2</v>
      </c>
      <c r="E96" s="734">
        <f>'BASE DE DATOS'!E96</f>
        <v>58.7</v>
      </c>
      <c r="F96" s="734">
        <f>'BASE DE DATOS'!F96</f>
        <v>75</v>
      </c>
      <c r="G96" s="734" t="str">
        <f>'BASE DE DATOS'!G96</f>
        <v>IA</v>
      </c>
      <c r="H96" s="734">
        <f>'BASE DE DATOS'!H96</f>
        <v>4.7</v>
      </c>
      <c r="I96" s="734">
        <f>'BASE DE DATOS'!I96</f>
        <v>17</v>
      </c>
      <c r="J96" s="734">
        <f>'BASE DE DATOS'!J96</f>
        <v>27</v>
      </c>
      <c r="K96" s="734">
        <f>'BASE DE DATOS'!K96</f>
        <v>38.1</v>
      </c>
      <c r="L96" s="734">
        <f>'BASE DE DATOS'!L96</f>
        <v>70</v>
      </c>
      <c r="M96" s="734">
        <f>'BASE DE DATOS'!M96</f>
        <v>77</v>
      </c>
      <c r="N96" s="734">
        <f>'BASE DE DATOS'!N96</f>
        <v>70</v>
      </c>
      <c r="O96" s="734">
        <f>'BASE DE DATOS'!O96</f>
        <v>39</v>
      </c>
      <c r="P96" s="734">
        <f>'BASE DE DATOS'!P96</f>
        <v>163</v>
      </c>
      <c r="Q96" s="734">
        <f>'BASE DE DATOS'!Q96</f>
        <v>1</v>
      </c>
      <c r="R96" s="734">
        <f>'BASE DE DATOS'!R96</f>
        <v>27.1</v>
      </c>
      <c r="S96" s="734">
        <f>'BASE DE DATOS'!S96</f>
        <v>0.49</v>
      </c>
      <c r="T96" s="734">
        <f>'BASE DE DATOS'!T96</f>
        <v>6.2</v>
      </c>
      <c r="U96" s="734">
        <f>'BASE DE DATOS'!U96</f>
        <v>19.7</v>
      </c>
      <c r="V96" s="734">
        <f>'BASE DE DATOS'!V96</f>
        <v>31</v>
      </c>
      <c r="W96" s="734">
        <f>'BASE DE DATOS'!W96</f>
        <v>101</v>
      </c>
      <c r="X96" s="734">
        <f>'BASE DE DATOS'!X96</f>
        <v>8.9999999999999993E-3</v>
      </c>
      <c r="Y96" s="734">
        <f>'BASE DE DATOS'!Y96</f>
        <v>0.01</v>
      </c>
      <c r="Z96" s="734">
        <f>'BASE DE DATOS'!Z96</f>
        <v>155</v>
      </c>
      <c r="AA96" s="734">
        <f>'BASE DE DATOS'!AA96</f>
        <v>1.55</v>
      </c>
      <c r="AB96" s="734">
        <f>'BASE DE DATOS'!AB96</f>
        <v>25</v>
      </c>
      <c r="AD96" s="734" t="str">
        <f>'BASE DE DATOS'!AD96</f>
        <v>SAN FRANCISCO</v>
      </c>
      <c r="AE96" s="734">
        <f>'BASE DE DATOS'!AE96</f>
        <v>24.3</v>
      </c>
      <c r="AF96" s="734">
        <f>'BASE DE DATOS'!AF96</f>
        <v>24</v>
      </c>
      <c r="AG96" s="734">
        <f>'BASE DE DATOS'!AG96</f>
        <v>20.8</v>
      </c>
      <c r="AH96" s="734">
        <f>'BASE DE DATOS'!AH96</f>
        <v>17.399999999999999</v>
      </c>
      <c r="AI96" s="734">
        <f>'BASE DE DATOS'!AI96</f>
        <v>14.3</v>
      </c>
      <c r="AJ96" s="734">
        <f>'BASE DE DATOS'!AJ96</f>
        <v>11.3</v>
      </c>
      <c r="AK96" s="734">
        <f>'BASE DE DATOS'!AK96</f>
        <v>10.7</v>
      </c>
      <c r="AL96" s="734">
        <f>'BASE DE DATOS'!AL96</f>
        <v>12</v>
      </c>
      <c r="AM96" s="734">
        <f>'BASE DE DATOS'!AM96</f>
        <v>14.7</v>
      </c>
      <c r="AN96" s="734">
        <f>'BASE DE DATOS'!AN96</f>
        <v>17.600000000000001</v>
      </c>
      <c r="AO96" s="734">
        <f>'BASE DE DATOS'!AO96</f>
        <v>20.8</v>
      </c>
      <c r="AP96" s="734">
        <f>'BASE DE DATOS'!AP96</f>
        <v>23.6</v>
      </c>
      <c r="AR96" s="734" t="str">
        <f>'BASE DE DATOS'!AR96</f>
        <v>FM</v>
      </c>
      <c r="AS96" s="734" t="str">
        <f>'BASE DE DATOS'!AS96</f>
        <v>SAN FRANCISCO</v>
      </c>
      <c r="AT96" s="734">
        <f>'BASE DE DATOS'!AT96</f>
        <v>6</v>
      </c>
      <c r="AU96" s="734">
        <f>'BASE DE DATOS'!AU96</f>
        <v>5.5</v>
      </c>
      <c r="AV96" s="734">
        <f>'BASE DE DATOS'!AV96</f>
        <v>4.5</v>
      </c>
      <c r="AW96" s="734">
        <f>'BASE DE DATOS'!AW96</f>
        <v>3.5</v>
      </c>
      <c r="AX96" s="734">
        <f>'BASE DE DATOS'!AX96</f>
        <v>3</v>
      </c>
      <c r="AY96" s="734">
        <f>'BASE DE DATOS'!AY96</f>
        <v>2.5</v>
      </c>
      <c r="AZ96" s="734">
        <f>'BASE DE DATOS'!AZ96</f>
        <v>2.5</v>
      </c>
      <c r="BA96" s="734">
        <f>'BASE DE DATOS'!BA96</f>
        <v>3</v>
      </c>
      <c r="BB96" s="734">
        <f>'BASE DE DATOS'!BB96</f>
        <v>4</v>
      </c>
      <c r="BC96" s="734">
        <f>'BASE DE DATOS'!BC96</f>
        <v>5</v>
      </c>
      <c r="BD96" s="734">
        <f>'BASE DE DATOS'!BD96</f>
        <v>5.5</v>
      </c>
      <c r="BE96" s="734">
        <f>'BASE DE DATOS'!BE96</f>
        <v>6.5</v>
      </c>
      <c r="DO96" s="733" t="str">
        <f>'BASE DE DATOS'!BG96</f>
        <v>FM</v>
      </c>
      <c r="DP96" s="733" t="str">
        <f>'BASE DE DATOS'!BH96</f>
        <v>SAN FRANCISCO</v>
      </c>
      <c r="DQ96" s="733">
        <f>'BASE DE DATOS'!BI96</f>
        <v>171</v>
      </c>
      <c r="DR96" s="733">
        <f>'BASE DE DATOS'!BJ96</f>
        <v>143</v>
      </c>
      <c r="DS96" s="733">
        <f>'BASE DE DATOS'!BK96</f>
        <v>151</v>
      </c>
      <c r="DT96" s="733">
        <f>'BASE DE DATOS'!BL96</f>
        <v>155</v>
      </c>
      <c r="DU96" s="733">
        <f>'BASE DE DATOS'!BM96</f>
        <v>108</v>
      </c>
      <c r="DV96" s="733">
        <f>'BASE DE DATOS'!BN96</f>
        <v>68</v>
      </c>
      <c r="DW96" s="733">
        <f>'BASE DE DATOS'!BO96</f>
        <v>47</v>
      </c>
      <c r="DX96" s="733">
        <f>'BASE DE DATOS'!BP96</f>
        <v>52</v>
      </c>
      <c r="DY96" s="733">
        <f>'BASE DE DATOS'!BQ96</f>
        <v>86</v>
      </c>
      <c r="DZ96" s="733">
        <f>'BASE DE DATOS'!BR96</f>
        <v>132</v>
      </c>
      <c r="EA96" s="733">
        <f>'BASE DE DATOS'!BS96</f>
        <v>157</v>
      </c>
      <c r="EB96" s="733">
        <f>'BASE DE DATOS'!BT96</f>
        <v>149</v>
      </c>
      <c r="GM96" s="741"/>
      <c r="GN96" s="741"/>
      <c r="GO96" s="741"/>
      <c r="GP96" s="741"/>
      <c r="GQ96" s="741"/>
      <c r="GR96" s="741"/>
      <c r="GS96" s="727"/>
      <c r="GT96" s="727"/>
      <c r="GU96" s="727"/>
      <c r="GV96" s="727"/>
      <c r="GW96" s="727"/>
      <c r="GX96" s="727"/>
      <c r="GY96" s="727"/>
    </row>
    <row r="97" spans="2:207" ht="16">
      <c r="B97" s="734" t="str">
        <f>'BASE DE DATOS'!B97</f>
        <v>FM</v>
      </c>
      <c r="C97" s="734" t="str">
        <f>'BASE DE DATOS'!C97</f>
        <v>TACAAGLE</v>
      </c>
      <c r="D97" s="734">
        <f>'BASE DE DATOS'!D97</f>
        <v>24.97</v>
      </c>
      <c r="E97" s="734">
        <f>'BASE DE DATOS'!E97</f>
        <v>58.82</v>
      </c>
      <c r="F97" s="734">
        <f>'BASE DE DATOS'!F97</f>
        <v>87</v>
      </c>
      <c r="G97" s="734" t="str">
        <f>'BASE DE DATOS'!G97</f>
        <v>IA</v>
      </c>
      <c r="H97" s="734">
        <f>'BASE DE DATOS'!H97</f>
        <v>5.9</v>
      </c>
      <c r="I97" s="734">
        <f>'BASE DE DATOS'!I97</f>
        <v>18.3</v>
      </c>
      <c r="J97" s="734">
        <f>'BASE DE DATOS'!J97</f>
        <v>27.7</v>
      </c>
      <c r="K97" s="734">
        <f>'BASE DE DATOS'!K97</f>
        <v>38.200000000000003</v>
      </c>
      <c r="L97" s="734">
        <f>'BASE DE DATOS'!L97</f>
        <v>68</v>
      </c>
      <c r="M97" s="734">
        <f>'BASE DE DATOS'!M97</f>
        <v>73</v>
      </c>
      <c r="N97" s="734">
        <f>'BASE DE DATOS'!N97</f>
        <v>68</v>
      </c>
      <c r="O97" s="734">
        <f>'BASE DE DATOS'!O97</f>
        <v>32</v>
      </c>
      <c r="P97" s="734">
        <f>'BASE DE DATOS'!P97</f>
        <v>134</v>
      </c>
      <c r="Q97" s="734">
        <f>'BASE DE DATOS'!Q97</f>
        <v>1</v>
      </c>
      <c r="R97" s="734">
        <f>'BASE DE DATOS'!R97</f>
        <v>27.8</v>
      </c>
      <c r="S97" s="734">
        <f>'BASE DE DATOS'!S97</f>
        <v>0.49</v>
      </c>
      <c r="T97" s="734">
        <f>'BASE DE DATOS'!T97</f>
        <v>6.2</v>
      </c>
      <c r="U97" s="734">
        <f>'BASE DE DATOS'!U97</f>
        <v>19.7</v>
      </c>
      <c r="V97" s="734">
        <f>'BASE DE DATOS'!V97</f>
        <v>31</v>
      </c>
      <c r="W97" s="734">
        <f>'BASE DE DATOS'!W97</f>
        <v>101</v>
      </c>
      <c r="X97" s="734">
        <f>'BASE DE DATOS'!X97</f>
        <v>8.9999999999999993E-3</v>
      </c>
      <c r="Y97" s="734">
        <f>'BASE DE DATOS'!Y97</f>
        <v>0.01</v>
      </c>
      <c r="Z97" s="734">
        <f>'BASE DE DATOS'!Z97</f>
        <v>165</v>
      </c>
      <c r="AA97" s="734">
        <f>'BASE DE DATOS'!AA97</f>
        <v>1.6500000000000001</v>
      </c>
      <c r="AB97" s="734">
        <f>'BASE DE DATOS'!AB97</f>
        <v>25</v>
      </c>
      <c r="AD97" s="734" t="str">
        <f>'BASE DE DATOS'!AD97</f>
        <v>TACAAGLE</v>
      </c>
      <c r="AE97" s="734">
        <f>'BASE DE DATOS'!AE97</f>
        <v>28.2</v>
      </c>
      <c r="AF97" s="734">
        <f>'BASE DE DATOS'!AF97</f>
        <v>27.7</v>
      </c>
      <c r="AG97" s="734">
        <f>'BASE DE DATOS'!AG97</f>
        <v>25.7</v>
      </c>
      <c r="AH97" s="734">
        <f>'BASE DE DATOS'!AH97</f>
        <v>21.8</v>
      </c>
      <c r="AI97" s="734">
        <f>'BASE DE DATOS'!AI97</f>
        <v>19.399999999999999</v>
      </c>
      <c r="AJ97" s="734">
        <f>'BASE DE DATOS'!AJ97</f>
        <v>17.7</v>
      </c>
      <c r="AK97" s="734">
        <f>'BASE DE DATOS'!AK97</f>
        <v>17.100000000000001</v>
      </c>
      <c r="AL97" s="734">
        <f>'BASE DE DATOS'!AL97</f>
        <v>19.2</v>
      </c>
      <c r="AM97" s="734">
        <f>'BASE DE DATOS'!AM97</f>
        <v>21.2</v>
      </c>
      <c r="AN97" s="734">
        <f>'BASE DE DATOS'!AN97</f>
        <v>23.4</v>
      </c>
      <c r="AO97" s="734">
        <f>'BASE DE DATOS'!AO97</f>
        <v>25.3</v>
      </c>
      <c r="AP97" s="734">
        <f>'BASE DE DATOS'!AP97</f>
        <v>27.3</v>
      </c>
      <c r="AR97" s="734" t="str">
        <f>'BASE DE DATOS'!AR97</f>
        <v>FM</v>
      </c>
      <c r="AS97" s="734" t="str">
        <f>'BASE DE DATOS'!AS97</f>
        <v>TACAAGLE</v>
      </c>
      <c r="AT97" s="734">
        <f>'BASE DE DATOS'!AT97</f>
        <v>6</v>
      </c>
      <c r="AU97" s="734">
        <f>'BASE DE DATOS'!AU97</f>
        <v>5.5</v>
      </c>
      <c r="AV97" s="734">
        <f>'BASE DE DATOS'!AV97</f>
        <v>4.5</v>
      </c>
      <c r="AW97" s="734">
        <f>'BASE DE DATOS'!AW97</f>
        <v>3.5</v>
      </c>
      <c r="AX97" s="734">
        <f>'BASE DE DATOS'!AX97</f>
        <v>3</v>
      </c>
      <c r="AY97" s="734">
        <f>'BASE DE DATOS'!AY97</f>
        <v>2.5</v>
      </c>
      <c r="AZ97" s="734">
        <f>'BASE DE DATOS'!AZ97</f>
        <v>2.5</v>
      </c>
      <c r="BA97" s="734">
        <f>'BASE DE DATOS'!BA97</f>
        <v>3</v>
      </c>
      <c r="BB97" s="734">
        <f>'BASE DE DATOS'!BB97</f>
        <v>4</v>
      </c>
      <c r="BC97" s="734">
        <f>'BASE DE DATOS'!BC97</f>
        <v>5</v>
      </c>
      <c r="BD97" s="734">
        <f>'BASE DE DATOS'!BD97</f>
        <v>5.5</v>
      </c>
      <c r="BE97" s="734">
        <f>'BASE DE DATOS'!BE97</f>
        <v>6.5</v>
      </c>
      <c r="DO97" s="733" t="str">
        <f>'BASE DE DATOS'!BG97</f>
        <v>FM</v>
      </c>
      <c r="DP97" s="733" t="str">
        <f>'BASE DE DATOS'!BH97</f>
        <v>TACAAGLE</v>
      </c>
      <c r="DQ97" s="733">
        <f>'BASE DE DATOS'!BI97</f>
        <v>171</v>
      </c>
      <c r="DR97" s="733">
        <f>'BASE DE DATOS'!BJ97</f>
        <v>143</v>
      </c>
      <c r="DS97" s="733">
        <f>'BASE DE DATOS'!BK97</f>
        <v>151</v>
      </c>
      <c r="DT97" s="733">
        <f>'BASE DE DATOS'!BL97</f>
        <v>155</v>
      </c>
      <c r="DU97" s="733">
        <f>'BASE DE DATOS'!BM97</f>
        <v>108</v>
      </c>
      <c r="DV97" s="733">
        <f>'BASE DE DATOS'!BN97</f>
        <v>68</v>
      </c>
      <c r="DW97" s="733">
        <f>'BASE DE DATOS'!BO97</f>
        <v>47</v>
      </c>
      <c r="DX97" s="733">
        <f>'BASE DE DATOS'!BP97</f>
        <v>52</v>
      </c>
      <c r="DY97" s="733">
        <f>'BASE DE DATOS'!BQ97</f>
        <v>86</v>
      </c>
      <c r="DZ97" s="733">
        <f>'BASE DE DATOS'!BR97</f>
        <v>132</v>
      </c>
      <c r="EA97" s="733">
        <f>'BASE DE DATOS'!BS97</f>
        <v>157</v>
      </c>
      <c r="EB97" s="733">
        <f>'BASE DE DATOS'!BT97</f>
        <v>149</v>
      </c>
      <c r="GM97" s="741"/>
      <c r="GN97" s="741"/>
      <c r="GO97" s="741"/>
      <c r="GP97" s="741"/>
      <c r="GQ97" s="741"/>
      <c r="GR97" s="741"/>
      <c r="GS97" s="727"/>
      <c r="GT97" s="727"/>
      <c r="GU97" s="727"/>
      <c r="GV97" s="763"/>
      <c r="GW97" s="728"/>
      <c r="GX97" s="764"/>
      <c r="GY97" s="764"/>
    </row>
    <row r="98" spans="2:207" ht="16">
      <c r="B98" s="734" t="str">
        <f>'BASE DE DATOS'!B98</f>
        <v>JJ</v>
      </c>
      <c r="C98" s="734" t="str">
        <f>'BASE DE DATOS'!C98</f>
        <v>ALTO DEL COMEDERO</v>
      </c>
      <c r="D98" s="734">
        <f>'BASE DE DATOS'!D98</f>
        <v>24.23</v>
      </c>
      <c r="E98" s="734">
        <f>'BASE DE DATOS'!E98</f>
        <v>65.28</v>
      </c>
      <c r="F98" s="734">
        <f>'BASE DE DATOS'!F98</f>
        <v>1253</v>
      </c>
      <c r="G98" s="734" t="str">
        <f>'BASE DE DATOS'!G98</f>
        <v>IIIB</v>
      </c>
      <c r="H98" s="734">
        <f>'BASE DE DATOS'!H98</f>
        <v>-0.6</v>
      </c>
      <c r="I98" s="734">
        <f>'BASE DE DATOS'!I98</f>
        <v>11.5</v>
      </c>
      <c r="J98" s="734">
        <f>'BASE DE DATOS'!J98</f>
        <v>20.2</v>
      </c>
      <c r="K98" s="734">
        <f>'BASE DE DATOS'!K98</f>
        <v>30</v>
      </c>
      <c r="L98" s="734">
        <f>'BASE DE DATOS'!L98</f>
        <v>80</v>
      </c>
      <c r="M98" s="734">
        <f>'BASE DE DATOS'!M98</f>
        <v>70</v>
      </c>
      <c r="N98" s="734">
        <f>'BASE DE DATOS'!N98</f>
        <v>80</v>
      </c>
      <c r="O98" s="734">
        <f>'BASE DE DATOS'!O98</f>
        <v>4</v>
      </c>
      <c r="P98" s="734">
        <f>'BASE DE DATOS'!P98</f>
        <v>183</v>
      </c>
      <c r="Q98" s="734">
        <f>'BASE DE DATOS'!Q98</f>
        <v>3</v>
      </c>
      <c r="R98" s="734">
        <f>'BASE DE DATOS'!R98</f>
        <v>20.8</v>
      </c>
      <c r="S98" s="734">
        <f>'BASE DE DATOS'!S98</f>
        <v>0.47</v>
      </c>
      <c r="T98" s="734">
        <f>'BASE DE DATOS'!T98</f>
        <v>7.9</v>
      </c>
      <c r="U98" s="734">
        <f>'BASE DE DATOS'!U98</f>
        <v>12.3</v>
      </c>
      <c r="V98" s="734">
        <f>'BASE DE DATOS'!V98</f>
        <v>43</v>
      </c>
      <c r="W98" s="734">
        <f>'BASE DE DATOS'!W98</f>
        <v>88</v>
      </c>
      <c r="X98" s="734">
        <f>'BASE DE DATOS'!X98</f>
        <v>8.9999999999999993E-3</v>
      </c>
      <c r="Y98" s="734">
        <f>'BASE DE DATOS'!Y98</f>
        <v>7.0000000000000001E-3</v>
      </c>
      <c r="Z98" s="734">
        <f>'BASE DE DATOS'!Z98</f>
        <v>105</v>
      </c>
      <c r="AA98" s="734">
        <f>'BASE DE DATOS'!AA98</f>
        <v>1.05</v>
      </c>
      <c r="AB98" s="734">
        <f>'BASE DE DATOS'!AB98</f>
        <v>25</v>
      </c>
      <c r="AD98" s="734" t="str">
        <f>'BASE DE DATOS'!AD98</f>
        <v>ALTO DEL COMEDERO</v>
      </c>
      <c r="AE98" s="734">
        <f>'BASE DE DATOS'!AE98</f>
        <v>21.5</v>
      </c>
      <c r="AF98" s="734">
        <f>'BASE DE DATOS'!AF98</f>
        <v>20.7</v>
      </c>
      <c r="AG98" s="734">
        <f>'BASE DE DATOS'!AG98</f>
        <v>19.7</v>
      </c>
      <c r="AH98" s="734">
        <f>'BASE DE DATOS'!AH98</f>
        <v>15.9</v>
      </c>
      <c r="AI98" s="734">
        <f>'BASE DE DATOS'!AI98</f>
        <v>14</v>
      </c>
      <c r="AJ98" s="734">
        <f>'BASE DE DATOS'!AJ98</f>
        <v>11.7</v>
      </c>
      <c r="AK98" s="734">
        <f>'BASE DE DATOS'!AK98</f>
        <v>11.3</v>
      </c>
      <c r="AL98" s="734">
        <f>'BASE DE DATOS'!AL98</f>
        <v>13.7</v>
      </c>
      <c r="AM98" s="734">
        <f>'BASE DE DATOS'!AM98</f>
        <v>16.399999999999999</v>
      </c>
      <c r="AN98" s="734">
        <f>'BASE DE DATOS'!AN98</f>
        <v>18.600000000000001</v>
      </c>
      <c r="AO98" s="734">
        <f>'BASE DE DATOS'!AO98</f>
        <v>20.100000000000001</v>
      </c>
      <c r="AP98" s="734">
        <f>'BASE DE DATOS'!AP98</f>
        <v>21</v>
      </c>
      <c r="AR98" s="734" t="str">
        <f>'BASE DE DATOS'!AR98</f>
        <v>JJ</v>
      </c>
      <c r="AS98" s="734" t="str">
        <f>'BASE DE DATOS'!AS98</f>
        <v>ALTO DEL COMEDERO</v>
      </c>
      <c r="AT98" s="734">
        <f>'BASE DE DATOS'!AT98</f>
        <v>5</v>
      </c>
      <c r="AU98" s="734">
        <f>'BASE DE DATOS'!AU98</f>
        <v>4.5</v>
      </c>
      <c r="AV98" s="734">
        <f>'BASE DE DATOS'!AV98</f>
        <v>4.5</v>
      </c>
      <c r="AW98" s="734">
        <f>'BASE DE DATOS'!AW98</f>
        <v>3.5</v>
      </c>
      <c r="AX98" s="734">
        <f>'BASE DE DATOS'!AX98</f>
        <v>3</v>
      </c>
      <c r="AY98" s="734">
        <f>'BASE DE DATOS'!AY98</f>
        <v>3</v>
      </c>
      <c r="AZ98" s="734">
        <f>'BASE DE DATOS'!AZ98</f>
        <v>3</v>
      </c>
      <c r="BA98" s="734">
        <f>'BASE DE DATOS'!BA98</f>
        <v>3</v>
      </c>
      <c r="BB98" s="734">
        <f>'BASE DE DATOS'!BB98</f>
        <v>4.5</v>
      </c>
      <c r="BC98" s="734">
        <f>'BASE DE DATOS'!BC98</f>
        <v>4.5</v>
      </c>
      <c r="BD98" s="734">
        <f>'BASE DE DATOS'!BD98</f>
        <v>5</v>
      </c>
      <c r="BE98" s="734">
        <f>'BASE DE DATOS'!BE98</f>
        <v>5.5</v>
      </c>
      <c r="DO98" s="733" t="str">
        <f>'BASE DE DATOS'!BG98</f>
        <v>JJ</v>
      </c>
      <c r="DP98" s="733" t="str">
        <f>'BASE DE DATOS'!BH98</f>
        <v>ALTO DEL COMEDERO</v>
      </c>
      <c r="DQ98" s="733">
        <f>'BASE DE DATOS'!BI98</f>
        <v>195</v>
      </c>
      <c r="DR98" s="733">
        <f>'BASE DE DATOS'!BJ98</f>
        <v>186</v>
      </c>
      <c r="DS98" s="733">
        <f>'BASE DE DATOS'!BK98</f>
        <v>125</v>
      </c>
      <c r="DT98" s="733">
        <f>'BASE DE DATOS'!BL98</f>
        <v>35</v>
      </c>
      <c r="DU98" s="733">
        <f>'BASE DE DATOS'!BM98</f>
        <v>13</v>
      </c>
      <c r="DV98" s="733">
        <f>'BASE DE DATOS'!BN98</f>
        <v>13</v>
      </c>
      <c r="DW98" s="733">
        <f>'BASE DE DATOS'!BO98</f>
        <v>9</v>
      </c>
      <c r="DX98" s="733">
        <f>'BASE DE DATOS'!BP98</f>
        <v>7</v>
      </c>
      <c r="DY98" s="733">
        <f>'BASE DE DATOS'!BQ98</f>
        <v>9</v>
      </c>
      <c r="DZ98" s="733">
        <f>'BASE DE DATOS'!BR98</f>
        <v>44</v>
      </c>
      <c r="EA98" s="733">
        <f>'BASE DE DATOS'!BS98</f>
        <v>86</v>
      </c>
      <c r="EB98" s="733">
        <f>'BASE DE DATOS'!BT98</f>
        <v>142</v>
      </c>
      <c r="GM98" s="741"/>
      <c r="GN98" s="741"/>
      <c r="GO98" s="741"/>
      <c r="GP98" s="741"/>
      <c r="GQ98" s="741"/>
      <c r="GR98" s="741"/>
      <c r="GS98" s="727"/>
      <c r="GT98" s="727"/>
      <c r="GU98" s="727"/>
      <c r="GV98" s="727"/>
      <c r="GW98" s="727"/>
      <c r="GX98" s="727"/>
      <c r="GY98" s="727"/>
    </row>
    <row r="99" spans="2:207" ht="16">
      <c r="B99" s="734" t="str">
        <f>'BASE DE DATOS'!B99</f>
        <v>JJ</v>
      </c>
      <c r="C99" s="734" t="str">
        <f>'BASE DE DATOS'!C99</f>
        <v>HUMAHUACA</v>
      </c>
      <c r="D99" s="734">
        <f>'BASE DE DATOS'!D99</f>
        <v>23.2</v>
      </c>
      <c r="E99" s="734">
        <f>'BASE DE DATOS'!E99</f>
        <v>65.37</v>
      </c>
      <c r="F99" s="734">
        <f>'BASE DE DATOS'!F99</f>
        <v>2980</v>
      </c>
      <c r="G99" s="734" t="str">
        <f>'BASE DE DATOS'!G99</f>
        <v>IVA</v>
      </c>
      <c r="H99" s="734">
        <f>'BASE DE DATOS'!H99</f>
        <v>-8.6999999999999993</v>
      </c>
      <c r="I99" s="734">
        <f>'BASE DE DATOS'!I99</f>
        <v>8.4</v>
      </c>
      <c r="J99" s="734">
        <f>'BASE DE DATOS'!J99</f>
        <v>14.8</v>
      </c>
      <c r="K99" s="734">
        <f>'BASE DE DATOS'!K99</f>
        <v>27.1</v>
      </c>
      <c r="L99" s="734">
        <f>'BASE DE DATOS'!L99</f>
        <v>63</v>
      </c>
      <c r="M99" s="734">
        <f>'BASE DE DATOS'!M99</f>
        <v>44</v>
      </c>
      <c r="N99" s="734">
        <f>'BASE DE DATOS'!N99</f>
        <v>63</v>
      </c>
      <c r="O99" s="734">
        <f>'BASE DE DATOS'!O99</f>
        <v>0</v>
      </c>
      <c r="P99" s="734">
        <f>'BASE DE DATOS'!P99</f>
        <v>41</v>
      </c>
      <c r="Q99" s="734">
        <f>'BASE DE DATOS'!Q99</f>
        <v>4</v>
      </c>
      <c r="R99" s="734">
        <f>'BASE DE DATOS'!R99</f>
        <v>15.4</v>
      </c>
      <c r="S99" s="734">
        <f>'BASE DE DATOS'!S99</f>
        <v>0.47</v>
      </c>
      <c r="T99" s="734">
        <f>'BASE DE DATOS'!T99</f>
        <v>7.9</v>
      </c>
      <c r="U99" s="734">
        <f>'BASE DE DATOS'!U99</f>
        <v>12.3</v>
      </c>
      <c r="V99" s="734">
        <f>'BASE DE DATOS'!V99</f>
        <v>43</v>
      </c>
      <c r="W99" s="734">
        <f>'BASE DE DATOS'!W99</f>
        <v>88</v>
      </c>
      <c r="X99" s="734">
        <f>'BASE DE DATOS'!X99</f>
        <v>8.9999999999999993E-3</v>
      </c>
      <c r="Y99" s="734">
        <f>'BASE DE DATOS'!Y99</f>
        <v>7.0000000000000001E-3</v>
      </c>
      <c r="Z99" s="734">
        <f>'BASE DE DATOS'!Z99</f>
        <v>75</v>
      </c>
      <c r="AA99" s="734">
        <f>'BASE DE DATOS'!AA99</f>
        <v>0.75</v>
      </c>
      <c r="AB99" s="734">
        <f>'BASE DE DATOS'!AB99</f>
        <v>25</v>
      </c>
      <c r="AD99" s="734" t="str">
        <f>'BASE DE DATOS'!AD99</f>
        <v>HUMAHUACA</v>
      </c>
      <c r="AE99" s="734">
        <f>'BASE DE DATOS'!AE99</f>
        <v>16.3</v>
      </c>
      <c r="AF99" s="734">
        <f>'BASE DE DATOS'!AF99</f>
        <v>15.6</v>
      </c>
      <c r="AG99" s="734">
        <f>'BASE DE DATOS'!AG99</f>
        <v>14.8</v>
      </c>
      <c r="AH99" s="734">
        <f>'BASE DE DATOS'!AH99</f>
        <v>11.6</v>
      </c>
      <c r="AI99" s="734">
        <f>'BASE DE DATOS'!AI99</f>
        <v>8.1999999999999993</v>
      </c>
      <c r="AJ99" s="734">
        <f>'BASE DE DATOS'!AJ99</f>
        <v>5.0999999999999996</v>
      </c>
      <c r="AK99" s="734">
        <f>'BASE DE DATOS'!AK99</f>
        <v>5.0999999999999996</v>
      </c>
      <c r="AL99" s="734">
        <f>'BASE DE DATOS'!AL99</f>
        <v>7.8</v>
      </c>
      <c r="AM99" s="734">
        <f>'BASE DE DATOS'!AM99</f>
        <v>11.3</v>
      </c>
      <c r="AN99" s="734">
        <f>'BASE DE DATOS'!AN99</f>
        <v>13.5</v>
      </c>
      <c r="AO99" s="734">
        <f>'BASE DE DATOS'!AO99</f>
        <v>15.2</v>
      </c>
      <c r="AP99" s="734">
        <f>'BASE DE DATOS'!AP99</f>
        <v>15.6</v>
      </c>
      <c r="AR99" s="734" t="str">
        <f>'BASE DE DATOS'!AR99</f>
        <v>JJ</v>
      </c>
      <c r="AS99" s="734" t="str">
        <f>'BASE DE DATOS'!AS99</f>
        <v>HUMAHUACA</v>
      </c>
      <c r="AT99" s="734">
        <f>'BASE DE DATOS'!AT99</f>
        <v>5.5</v>
      </c>
      <c r="AU99" s="734">
        <f>'BASE DE DATOS'!AU99</f>
        <v>5</v>
      </c>
      <c r="AV99" s="734">
        <f>'BASE DE DATOS'!AV99</f>
        <v>4.5</v>
      </c>
      <c r="AW99" s="734">
        <f>'BASE DE DATOS'!AW99</f>
        <v>3.5</v>
      </c>
      <c r="AX99" s="734">
        <f>'BASE DE DATOS'!AX99</f>
        <v>3</v>
      </c>
      <c r="AY99" s="734">
        <f>'BASE DE DATOS'!AY99</f>
        <v>3</v>
      </c>
      <c r="AZ99" s="734">
        <f>'BASE DE DATOS'!AZ99</f>
        <v>3</v>
      </c>
      <c r="BA99" s="734">
        <f>'BASE DE DATOS'!BA99</f>
        <v>3</v>
      </c>
      <c r="BB99" s="734">
        <f>'BASE DE DATOS'!BB99</f>
        <v>4.5</v>
      </c>
      <c r="BC99" s="734">
        <f>'BASE DE DATOS'!BC99</f>
        <v>4.5</v>
      </c>
      <c r="BD99" s="734">
        <f>'BASE DE DATOS'!BD99</f>
        <v>5</v>
      </c>
      <c r="BE99" s="734">
        <f>'BASE DE DATOS'!BE99</f>
        <v>5.5</v>
      </c>
      <c r="DO99" s="733" t="str">
        <f>'BASE DE DATOS'!BG99</f>
        <v>JJ</v>
      </c>
      <c r="DP99" s="733" t="str">
        <f>'BASE DE DATOS'!BH99</f>
        <v>HUMAHUACA</v>
      </c>
      <c r="DQ99" s="733">
        <f>'BASE DE DATOS'!BI99</f>
        <v>195</v>
      </c>
      <c r="DR99" s="733">
        <f>'BASE DE DATOS'!BJ99</f>
        <v>186</v>
      </c>
      <c r="DS99" s="733">
        <f>'BASE DE DATOS'!BK99</f>
        <v>125</v>
      </c>
      <c r="DT99" s="733">
        <f>'BASE DE DATOS'!BL99</f>
        <v>35</v>
      </c>
      <c r="DU99" s="733">
        <f>'BASE DE DATOS'!BM99</f>
        <v>13</v>
      </c>
      <c r="DV99" s="733">
        <f>'BASE DE DATOS'!BN99</f>
        <v>13</v>
      </c>
      <c r="DW99" s="733">
        <f>'BASE DE DATOS'!BO99</f>
        <v>9</v>
      </c>
      <c r="DX99" s="733">
        <f>'BASE DE DATOS'!BP99</f>
        <v>7</v>
      </c>
      <c r="DY99" s="733">
        <f>'BASE DE DATOS'!BQ99</f>
        <v>9</v>
      </c>
      <c r="DZ99" s="733">
        <f>'BASE DE DATOS'!BR99</f>
        <v>44</v>
      </c>
      <c r="EA99" s="733">
        <f>'BASE DE DATOS'!BS99</f>
        <v>86</v>
      </c>
      <c r="EB99" s="733">
        <f>'BASE DE DATOS'!BT99</f>
        <v>142</v>
      </c>
      <c r="GM99" s="741"/>
      <c r="GN99" s="741"/>
      <c r="GO99" s="741"/>
      <c r="GP99" s="741"/>
      <c r="GQ99" s="741"/>
      <c r="GR99" s="741"/>
      <c r="GS99" s="727"/>
      <c r="GT99" s="727"/>
      <c r="GU99" s="727"/>
      <c r="GV99" s="763"/>
      <c r="GW99" s="728"/>
      <c r="GX99" s="764"/>
      <c r="GY99" s="764"/>
    </row>
    <row r="100" spans="2:207" ht="16">
      <c r="B100" s="734" t="str">
        <f>'BASE DE DATOS'!B100</f>
        <v>JJ</v>
      </c>
      <c r="C100" s="734" t="str">
        <f>'BASE DE DATOS'!C100</f>
        <v>JUJUY</v>
      </c>
      <c r="D100" s="734">
        <f>'BASE DE DATOS'!D100</f>
        <v>24.18</v>
      </c>
      <c r="E100" s="734">
        <f>'BASE DE DATOS'!E100</f>
        <v>65.3</v>
      </c>
      <c r="F100" s="734">
        <f>'BASE DE DATOS'!F100</f>
        <v>1303</v>
      </c>
      <c r="G100" s="734" t="str">
        <f>'BASE DE DATOS'!G100</f>
        <v>IIIB</v>
      </c>
      <c r="H100" s="734">
        <f>'BASE DE DATOS'!H100</f>
        <v>-1.5</v>
      </c>
      <c r="I100" s="734">
        <f>'BASE DE DATOS'!I100</f>
        <v>11.4</v>
      </c>
      <c r="J100" s="734">
        <f>'BASE DE DATOS'!J100</f>
        <v>21</v>
      </c>
      <c r="K100" s="734">
        <f>'BASE DE DATOS'!K100</f>
        <v>31.2</v>
      </c>
      <c r="L100" s="734">
        <f>'BASE DE DATOS'!L100</f>
        <v>78</v>
      </c>
      <c r="M100" s="734">
        <f>'BASE DE DATOS'!M100</f>
        <v>71</v>
      </c>
      <c r="N100" s="734">
        <f>'BASE DE DATOS'!N100</f>
        <v>78</v>
      </c>
      <c r="O100" s="734">
        <f>'BASE DE DATOS'!O100</f>
        <v>7</v>
      </c>
      <c r="P100" s="734">
        <f>'BASE DE DATOS'!P100</f>
        <v>167</v>
      </c>
      <c r="Q100" s="734">
        <f>'BASE DE DATOS'!Q100</f>
        <v>3</v>
      </c>
      <c r="R100" s="734">
        <f>'BASE DE DATOS'!R100</f>
        <v>21</v>
      </c>
      <c r="S100" s="734">
        <f>'BASE DE DATOS'!S100</f>
        <v>0.47</v>
      </c>
      <c r="T100" s="734">
        <f>'BASE DE DATOS'!T100</f>
        <v>7.9</v>
      </c>
      <c r="U100" s="734">
        <f>'BASE DE DATOS'!U100</f>
        <v>12.3</v>
      </c>
      <c r="V100" s="734">
        <f>'BASE DE DATOS'!V100</f>
        <v>43</v>
      </c>
      <c r="W100" s="734">
        <f>'BASE DE DATOS'!W100</f>
        <v>88</v>
      </c>
      <c r="X100" s="734">
        <f>'BASE DE DATOS'!X100</f>
        <v>8.9999999999999993E-3</v>
      </c>
      <c r="Y100" s="734">
        <f>'BASE DE DATOS'!Y100</f>
        <v>7.0000000000000001E-3</v>
      </c>
      <c r="Z100" s="734">
        <f>'BASE DE DATOS'!Z100</f>
        <v>105</v>
      </c>
      <c r="AA100" s="734">
        <f>'BASE DE DATOS'!AA100</f>
        <v>1.05</v>
      </c>
      <c r="AB100" s="734">
        <f>'BASE DE DATOS'!AB100</f>
        <v>25</v>
      </c>
      <c r="AD100" s="734" t="str">
        <f>'BASE DE DATOS'!AD100</f>
        <v>JUJUY</v>
      </c>
      <c r="AE100" s="734">
        <f>'BASE DE DATOS'!AE100</f>
        <v>21.5</v>
      </c>
      <c r="AF100" s="734">
        <f>'BASE DE DATOS'!AF100</f>
        <v>20.7</v>
      </c>
      <c r="AG100" s="734">
        <f>'BASE DE DATOS'!AG100</f>
        <v>19.7</v>
      </c>
      <c r="AH100" s="734">
        <f>'BASE DE DATOS'!AH100</f>
        <v>15.9</v>
      </c>
      <c r="AI100" s="734">
        <f>'BASE DE DATOS'!AI100</f>
        <v>14</v>
      </c>
      <c r="AJ100" s="734">
        <f>'BASE DE DATOS'!AJ100</f>
        <v>11.7</v>
      </c>
      <c r="AK100" s="734">
        <f>'BASE DE DATOS'!AK100</f>
        <v>11.3</v>
      </c>
      <c r="AL100" s="734">
        <f>'BASE DE DATOS'!AL100</f>
        <v>13.7</v>
      </c>
      <c r="AM100" s="734">
        <f>'BASE DE DATOS'!AM100</f>
        <v>16.399999999999999</v>
      </c>
      <c r="AN100" s="734">
        <f>'BASE DE DATOS'!AN100</f>
        <v>18.600000000000001</v>
      </c>
      <c r="AO100" s="734">
        <f>'BASE DE DATOS'!AO100</f>
        <v>20.100000000000001</v>
      </c>
      <c r="AP100" s="734">
        <f>'BASE DE DATOS'!AP100</f>
        <v>21</v>
      </c>
      <c r="AR100" s="734" t="str">
        <f>'BASE DE DATOS'!AR100</f>
        <v>JJ</v>
      </c>
      <c r="AS100" s="734" t="str">
        <f>'BASE DE DATOS'!AS100</f>
        <v>JUJUY</v>
      </c>
      <c r="AT100" s="734">
        <f>'BASE DE DATOS'!AT100</f>
        <v>5</v>
      </c>
      <c r="AU100" s="734">
        <f>'BASE DE DATOS'!AU100</f>
        <v>4.5</v>
      </c>
      <c r="AV100" s="734">
        <f>'BASE DE DATOS'!AV100</f>
        <v>4.5</v>
      </c>
      <c r="AW100" s="734">
        <f>'BASE DE DATOS'!AW100</f>
        <v>3.5</v>
      </c>
      <c r="AX100" s="734">
        <f>'BASE DE DATOS'!AX100</f>
        <v>3</v>
      </c>
      <c r="AY100" s="734">
        <f>'BASE DE DATOS'!AY100</f>
        <v>3</v>
      </c>
      <c r="AZ100" s="734">
        <f>'BASE DE DATOS'!AZ100</f>
        <v>3</v>
      </c>
      <c r="BA100" s="734">
        <f>'BASE DE DATOS'!BA100</f>
        <v>3</v>
      </c>
      <c r="BB100" s="734">
        <f>'BASE DE DATOS'!BB100</f>
        <v>4.5</v>
      </c>
      <c r="BC100" s="734">
        <f>'BASE DE DATOS'!BC100</f>
        <v>4.5</v>
      </c>
      <c r="BD100" s="734">
        <f>'BASE DE DATOS'!BD100</f>
        <v>5</v>
      </c>
      <c r="BE100" s="734">
        <f>'BASE DE DATOS'!BE100</f>
        <v>5.5</v>
      </c>
      <c r="DO100" s="733" t="str">
        <f>'BASE DE DATOS'!BG100</f>
        <v>JJ</v>
      </c>
      <c r="DP100" s="733" t="str">
        <f>'BASE DE DATOS'!BH100</f>
        <v>JUJUY</v>
      </c>
      <c r="DQ100" s="733">
        <f>'BASE DE DATOS'!BI100</f>
        <v>195</v>
      </c>
      <c r="DR100" s="733">
        <f>'BASE DE DATOS'!BJ100</f>
        <v>186</v>
      </c>
      <c r="DS100" s="733">
        <f>'BASE DE DATOS'!BK100</f>
        <v>125</v>
      </c>
      <c r="DT100" s="733">
        <f>'BASE DE DATOS'!BL100</f>
        <v>35</v>
      </c>
      <c r="DU100" s="733">
        <f>'BASE DE DATOS'!BM100</f>
        <v>13</v>
      </c>
      <c r="DV100" s="733">
        <f>'BASE DE DATOS'!BN100</f>
        <v>13</v>
      </c>
      <c r="DW100" s="733">
        <f>'BASE DE DATOS'!BO100</f>
        <v>9</v>
      </c>
      <c r="DX100" s="733">
        <f>'BASE DE DATOS'!BP100</f>
        <v>7</v>
      </c>
      <c r="DY100" s="733">
        <f>'BASE DE DATOS'!BQ100</f>
        <v>9</v>
      </c>
      <c r="DZ100" s="733">
        <f>'BASE DE DATOS'!BR100</f>
        <v>44</v>
      </c>
      <c r="EA100" s="733">
        <f>'BASE DE DATOS'!BS100</f>
        <v>86</v>
      </c>
      <c r="EB100" s="733">
        <f>'BASE DE DATOS'!BT100</f>
        <v>142</v>
      </c>
      <c r="GM100" s="741"/>
      <c r="GN100" s="741"/>
      <c r="GO100" s="741"/>
      <c r="GP100" s="741"/>
      <c r="GQ100" s="741"/>
      <c r="GR100" s="741"/>
      <c r="GS100" s="727"/>
      <c r="GT100" s="727"/>
      <c r="GU100" s="727"/>
      <c r="GV100" s="727"/>
      <c r="GW100" s="727"/>
      <c r="GX100" s="727"/>
      <c r="GY100" s="727"/>
    </row>
    <row r="101" spans="2:207" ht="16">
      <c r="B101" s="734" t="str">
        <f>'BASE DE DATOS'!B101</f>
        <v>JJ</v>
      </c>
      <c r="C101" s="734" t="str">
        <f>'BASE DE DATOS'!C101</f>
        <v>JUJUY EL CADILLAL</v>
      </c>
      <c r="D101" s="734">
        <f>'BASE DE DATOS'!D101</f>
        <v>24.38</v>
      </c>
      <c r="E101" s="734">
        <f>'BASE DE DATOS'!E101</f>
        <v>65.08</v>
      </c>
      <c r="F101" s="734">
        <f>'BASE DE DATOS'!F101</f>
        <v>905</v>
      </c>
      <c r="G101" s="734" t="str">
        <f>'BASE DE DATOS'!G101</f>
        <v>IIIB</v>
      </c>
      <c r="H101" s="734">
        <f>'BASE DE DATOS'!H101</f>
        <v>0.2</v>
      </c>
      <c r="I101" s="734">
        <f>'BASE DE DATOS'!I101</f>
        <v>13.3</v>
      </c>
      <c r="J101" s="734">
        <f>'BASE DE DATOS'!J101</f>
        <v>23.6</v>
      </c>
      <c r="K101" s="734">
        <f>'BASE DE DATOS'!K101</f>
        <v>34</v>
      </c>
      <c r="L101" s="734">
        <f>'BASE DE DATOS'!L101</f>
        <v>68</v>
      </c>
      <c r="M101" s="734">
        <f>'BASE DE DATOS'!M101</f>
        <v>63</v>
      </c>
      <c r="N101" s="734">
        <f>'BASE DE DATOS'!N101</f>
        <v>68</v>
      </c>
      <c r="O101" s="734">
        <f>'BASE DE DATOS'!O101</f>
        <v>2</v>
      </c>
      <c r="P101" s="734">
        <f>'BASE DE DATOS'!P101</f>
        <v>122</v>
      </c>
      <c r="Q101" s="734">
        <f>'BASE DE DATOS'!Q101</f>
        <v>3</v>
      </c>
      <c r="R101" s="734">
        <f>'BASE DE DATOS'!R101</f>
        <v>23.6</v>
      </c>
      <c r="S101" s="734">
        <f>'BASE DE DATOS'!S101</f>
        <v>0.47</v>
      </c>
      <c r="T101" s="734">
        <f>'BASE DE DATOS'!T101</f>
        <v>7.9</v>
      </c>
      <c r="U101" s="734">
        <f>'BASE DE DATOS'!U101</f>
        <v>12.3</v>
      </c>
      <c r="V101" s="734">
        <f>'BASE DE DATOS'!V101</f>
        <v>43</v>
      </c>
      <c r="W101" s="734">
        <f>'BASE DE DATOS'!W101</f>
        <v>88</v>
      </c>
      <c r="X101" s="734">
        <f>'BASE DE DATOS'!X101</f>
        <v>8.9999999999999993E-3</v>
      </c>
      <c r="Y101" s="734">
        <f>'BASE DE DATOS'!Y101</f>
        <v>7.0000000000000001E-3</v>
      </c>
      <c r="Z101" s="734">
        <f>'BASE DE DATOS'!Z101</f>
        <v>105</v>
      </c>
      <c r="AA101" s="734">
        <f>'BASE DE DATOS'!AA101</f>
        <v>1.05</v>
      </c>
      <c r="AB101" s="734">
        <f>'BASE DE DATOS'!AB101</f>
        <v>25</v>
      </c>
      <c r="AD101" s="734" t="str">
        <f>'BASE DE DATOS'!AD101</f>
        <v>JUJUY EL CADILLAL</v>
      </c>
      <c r="AE101" s="734">
        <f>'BASE DE DATOS'!AE101</f>
        <v>24.2</v>
      </c>
      <c r="AF101" s="734">
        <f>'BASE DE DATOS'!AF101</f>
        <v>23.4</v>
      </c>
      <c r="AG101" s="734">
        <f>'BASE DE DATOS'!AG101</f>
        <v>21.5</v>
      </c>
      <c r="AH101" s="734">
        <f>'BASE DE DATOS'!AH101</f>
        <v>18.100000000000001</v>
      </c>
      <c r="AI101" s="734">
        <f>'BASE DE DATOS'!AI101</f>
        <v>15.4</v>
      </c>
      <c r="AJ101" s="734">
        <f>'BASE DE DATOS'!AJ101</f>
        <v>12.3</v>
      </c>
      <c r="AK101" s="734">
        <f>'BASE DE DATOS'!AK101</f>
        <v>12.9</v>
      </c>
      <c r="AL101" s="734">
        <f>'BASE DE DATOS'!AL101</f>
        <v>14.5</v>
      </c>
      <c r="AM101" s="734">
        <f>'BASE DE DATOS'!AM101</f>
        <v>17.3</v>
      </c>
      <c r="AN101" s="734">
        <f>'BASE DE DATOS'!AN101</f>
        <v>19.7</v>
      </c>
      <c r="AO101" s="734">
        <f>'BASE DE DATOS'!AO101</f>
        <v>22.3</v>
      </c>
      <c r="AP101" s="734">
        <f>'BASE DE DATOS'!AP101</f>
        <v>23.7</v>
      </c>
      <c r="AR101" s="734" t="str">
        <f>'BASE DE DATOS'!AR101</f>
        <v>JJ</v>
      </c>
      <c r="AS101" s="734" t="str">
        <f>'BASE DE DATOS'!AS101</f>
        <v>JUJUY EL CADILLAL</v>
      </c>
      <c r="AT101" s="734">
        <f>'BASE DE DATOS'!AT101</f>
        <v>5</v>
      </c>
      <c r="AU101" s="734">
        <f>'BASE DE DATOS'!AU101</f>
        <v>4.5</v>
      </c>
      <c r="AV101" s="734">
        <f>'BASE DE DATOS'!AV101</f>
        <v>4.5</v>
      </c>
      <c r="AW101" s="734">
        <f>'BASE DE DATOS'!AW101</f>
        <v>3.5</v>
      </c>
      <c r="AX101" s="734">
        <f>'BASE DE DATOS'!AX101</f>
        <v>3</v>
      </c>
      <c r="AY101" s="734">
        <f>'BASE DE DATOS'!AY101</f>
        <v>3</v>
      </c>
      <c r="AZ101" s="734">
        <f>'BASE DE DATOS'!AZ101</f>
        <v>3</v>
      </c>
      <c r="BA101" s="734">
        <f>'BASE DE DATOS'!BA101</f>
        <v>3</v>
      </c>
      <c r="BB101" s="734">
        <f>'BASE DE DATOS'!BB101</f>
        <v>4.5</v>
      </c>
      <c r="BC101" s="734">
        <f>'BASE DE DATOS'!BC101</f>
        <v>4.5</v>
      </c>
      <c r="BD101" s="734">
        <f>'BASE DE DATOS'!BD101</f>
        <v>5</v>
      </c>
      <c r="BE101" s="734">
        <f>'BASE DE DATOS'!BE101</f>
        <v>5.5</v>
      </c>
      <c r="DO101" s="733" t="str">
        <f>'BASE DE DATOS'!BG101</f>
        <v>JJ</v>
      </c>
      <c r="DP101" s="733" t="str">
        <f>'BASE DE DATOS'!BH101</f>
        <v>JUJUY EL CADILLAL</v>
      </c>
      <c r="DQ101" s="733">
        <f>'BASE DE DATOS'!BI101</f>
        <v>195</v>
      </c>
      <c r="DR101" s="733">
        <f>'BASE DE DATOS'!BJ101</f>
        <v>186</v>
      </c>
      <c r="DS101" s="733">
        <f>'BASE DE DATOS'!BK101</f>
        <v>125</v>
      </c>
      <c r="DT101" s="733">
        <f>'BASE DE DATOS'!BL101</f>
        <v>35</v>
      </c>
      <c r="DU101" s="733">
        <f>'BASE DE DATOS'!BM101</f>
        <v>13</v>
      </c>
      <c r="DV101" s="733">
        <f>'BASE DE DATOS'!BN101</f>
        <v>13</v>
      </c>
      <c r="DW101" s="733">
        <f>'BASE DE DATOS'!BO101</f>
        <v>9</v>
      </c>
      <c r="DX101" s="733">
        <f>'BASE DE DATOS'!BP101</f>
        <v>7</v>
      </c>
      <c r="DY101" s="733">
        <f>'BASE DE DATOS'!BQ101</f>
        <v>9</v>
      </c>
      <c r="DZ101" s="733">
        <f>'BASE DE DATOS'!BR101</f>
        <v>44</v>
      </c>
      <c r="EA101" s="733">
        <f>'BASE DE DATOS'!BS101</f>
        <v>86</v>
      </c>
      <c r="EB101" s="733">
        <f>'BASE DE DATOS'!BT101</f>
        <v>142</v>
      </c>
      <c r="GM101" s="741"/>
      <c r="GN101" s="741"/>
      <c r="GO101" s="741"/>
      <c r="GP101" s="741"/>
      <c r="GQ101" s="741"/>
      <c r="GR101" s="741"/>
      <c r="GS101" s="727"/>
      <c r="GT101" s="727"/>
      <c r="GU101" s="727"/>
      <c r="GV101" s="763"/>
      <c r="GW101" s="728"/>
      <c r="GX101" s="764"/>
      <c r="GY101" s="764"/>
    </row>
    <row r="102" spans="2:207" ht="16">
      <c r="B102" s="734" t="str">
        <f>'BASE DE DATOS'!B102</f>
        <v>JJ</v>
      </c>
      <c r="C102" s="734" t="str">
        <f>'BASE DE DATOS'!C102</f>
        <v>LA QUIACA</v>
      </c>
      <c r="D102" s="734">
        <f>'BASE DE DATOS'!D102</f>
        <v>22.1</v>
      </c>
      <c r="E102" s="734">
        <f>'BASE DE DATOS'!E102</f>
        <v>65.599999999999994</v>
      </c>
      <c r="F102" s="734">
        <f>'BASE DE DATOS'!F102</f>
        <v>3459</v>
      </c>
      <c r="G102" s="734" t="str">
        <f>'BASE DE DATOS'!G102</f>
        <v>V</v>
      </c>
      <c r="H102" s="734">
        <f>'BASE DE DATOS'!H102</f>
        <v>-10.7</v>
      </c>
      <c r="I102" s="734">
        <f>'BASE DE DATOS'!I102</f>
        <v>4.7</v>
      </c>
      <c r="J102" s="734">
        <f>'BASE DE DATOS'!J102</f>
        <v>12.4</v>
      </c>
      <c r="K102" s="734">
        <f>'BASE DE DATOS'!K102</f>
        <v>23.9</v>
      </c>
      <c r="L102" s="734">
        <f>'BASE DE DATOS'!L102</f>
        <v>63</v>
      </c>
      <c r="M102" s="734">
        <f>'BASE DE DATOS'!M102</f>
        <v>29</v>
      </c>
      <c r="N102" s="734">
        <f>'BASE DE DATOS'!N102</f>
        <v>63</v>
      </c>
      <c r="O102" s="734">
        <f>'BASE DE DATOS'!O102</f>
        <v>0</v>
      </c>
      <c r="P102" s="734">
        <f>'BASE DE DATOS'!P102</f>
        <v>70</v>
      </c>
      <c r="Q102" s="734">
        <f>'BASE DE DATOS'!Q102</f>
        <v>5</v>
      </c>
      <c r="R102" s="734">
        <f>'BASE DE DATOS'!R102</f>
        <v>13.1</v>
      </c>
      <c r="S102" s="734">
        <f>'BASE DE DATOS'!S102</f>
        <v>0.47</v>
      </c>
      <c r="T102" s="734">
        <f>'BASE DE DATOS'!T102</f>
        <v>7.9</v>
      </c>
      <c r="U102" s="734">
        <f>'BASE DE DATOS'!U102</f>
        <v>12.3</v>
      </c>
      <c r="V102" s="734">
        <f>'BASE DE DATOS'!V102</f>
        <v>43</v>
      </c>
      <c r="W102" s="734">
        <f>'BASE DE DATOS'!W102</f>
        <v>88</v>
      </c>
      <c r="X102" s="734">
        <f>'BASE DE DATOS'!X102</f>
        <v>8.9999999999999993E-3</v>
      </c>
      <c r="Y102" s="734">
        <f>'BASE DE DATOS'!Y102</f>
        <v>7.0000000000000001E-3</v>
      </c>
      <c r="Z102" s="734">
        <f>'BASE DE DATOS'!Z102</f>
        <v>75</v>
      </c>
      <c r="AA102" s="734">
        <f>'BASE DE DATOS'!AA102</f>
        <v>0.75</v>
      </c>
      <c r="AB102" s="734">
        <f>'BASE DE DATOS'!AB102</f>
        <v>25</v>
      </c>
      <c r="AD102" s="734" t="str">
        <f>'BASE DE DATOS'!AD102</f>
        <v>LA QUIACA</v>
      </c>
      <c r="AE102" s="734">
        <f>'BASE DE DATOS'!AE102</f>
        <v>12.7</v>
      </c>
      <c r="AF102" s="734">
        <f>'BASE DE DATOS'!AF102</f>
        <v>12.5</v>
      </c>
      <c r="AG102" s="734">
        <f>'BASE DE DATOS'!AG102</f>
        <v>12</v>
      </c>
      <c r="AH102" s="734">
        <f>'BASE DE DATOS'!AH102</f>
        <v>10.4</v>
      </c>
      <c r="AI102" s="734">
        <f>'BASE DE DATOS'!AI102</f>
        <v>7</v>
      </c>
      <c r="AJ102" s="734">
        <f>'BASE DE DATOS'!AJ102</f>
        <v>4.3</v>
      </c>
      <c r="AK102" s="734">
        <f>'BASE DE DATOS'!AK102</f>
        <v>3.7</v>
      </c>
      <c r="AL102" s="734">
        <f>'BASE DE DATOS'!AL102</f>
        <v>6</v>
      </c>
      <c r="AM102" s="734">
        <f>'BASE DE DATOS'!AM102</f>
        <v>8.9</v>
      </c>
      <c r="AN102" s="734">
        <f>'BASE DE DATOS'!AN102</f>
        <v>10.9</v>
      </c>
      <c r="AO102" s="734">
        <f>'BASE DE DATOS'!AO102</f>
        <v>12</v>
      </c>
      <c r="AP102" s="734">
        <f>'BASE DE DATOS'!AP102</f>
        <v>12.1</v>
      </c>
      <c r="AR102" s="734" t="str">
        <f>'BASE DE DATOS'!AR102</f>
        <v>JJ</v>
      </c>
      <c r="AS102" s="734" t="str">
        <f>'BASE DE DATOS'!AS102</f>
        <v>LA QUIACA</v>
      </c>
      <c r="AT102" s="734">
        <f>'BASE DE DATOS'!AT102</f>
        <v>6</v>
      </c>
      <c r="AU102" s="734">
        <f>'BASE DE DATOS'!AU102</f>
        <v>5.5</v>
      </c>
      <c r="AV102" s="734">
        <f>'BASE DE DATOS'!AV102</f>
        <v>5</v>
      </c>
      <c r="AW102" s="734">
        <f>'BASE DE DATOS'!AW102</f>
        <v>5.5</v>
      </c>
      <c r="AX102" s="734">
        <f>'BASE DE DATOS'!AX102</f>
        <v>4.5</v>
      </c>
      <c r="AY102" s="734">
        <f>'BASE DE DATOS'!AY102</f>
        <v>4.5</v>
      </c>
      <c r="AZ102" s="734">
        <f>'BASE DE DATOS'!AZ102</f>
        <v>4</v>
      </c>
      <c r="BA102" s="734">
        <f>'BASE DE DATOS'!BA102</f>
        <v>5</v>
      </c>
      <c r="BB102" s="734">
        <f>'BASE DE DATOS'!BB102</f>
        <v>5</v>
      </c>
      <c r="BC102" s="734">
        <f>'BASE DE DATOS'!BC102</f>
        <v>6.5</v>
      </c>
      <c r="BD102" s="734">
        <f>'BASE DE DATOS'!BD102</f>
        <v>5.5</v>
      </c>
      <c r="BE102" s="734">
        <f>'BASE DE DATOS'!BE102</f>
        <v>6.5</v>
      </c>
      <c r="DO102" s="733" t="str">
        <f>'BASE DE DATOS'!BG102</f>
        <v>JJ</v>
      </c>
      <c r="DP102" s="733" t="str">
        <f>'BASE DE DATOS'!BH102</f>
        <v>LA QUIACA</v>
      </c>
      <c r="DQ102" s="733">
        <f>'BASE DE DATOS'!BI102</f>
        <v>195</v>
      </c>
      <c r="DR102" s="733">
        <f>'BASE DE DATOS'!BJ102</f>
        <v>186</v>
      </c>
      <c r="DS102" s="733">
        <f>'BASE DE DATOS'!BK102</f>
        <v>125</v>
      </c>
      <c r="DT102" s="733">
        <f>'BASE DE DATOS'!BL102</f>
        <v>35</v>
      </c>
      <c r="DU102" s="733">
        <f>'BASE DE DATOS'!BM102</f>
        <v>13</v>
      </c>
      <c r="DV102" s="733">
        <f>'BASE DE DATOS'!BN102</f>
        <v>13</v>
      </c>
      <c r="DW102" s="733">
        <f>'BASE DE DATOS'!BO102</f>
        <v>9</v>
      </c>
      <c r="DX102" s="733">
        <f>'BASE DE DATOS'!BP102</f>
        <v>7</v>
      </c>
      <c r="DY102" s="733">
        <f>'BASE DE DATOS'!BQ102</f>
        <v>9</v>
      </c>
      <c r="DZ102" s="733">
        <f>'BASE DE DATOS'!BR102</f>
        <v>44</v>
      </c>
      <c r="EA102" s="733">
        <f>'BASE DE DATOS'!BS102</f>
        <v>86</v>
      </c>
      <c r="EB102" s="733">
        <f>'BASE DE DATOS'!BT102</f>
        <v>142</v>
      </c>
      <c r="GM102" s="741"/>
      <c r="GN102" s="741"/>
      <c r="GO102" s="741"/>
      <c r="GP102" s="741"/>
      <c r="GQ102" s="741"/>
      <c r="GR102" s="741"/>
      <c r="GS102" s="727"/>
      <c r="GT102" s="727"/>
      <c r="GU102" s="1182"/>
      <c r="GV102" s="763"/>
      <c r="GW102" s="728"/>
      <c r="GX102" s="764"/>
      <c r="GY102" s="764"/>
    </row>
    <row r="103" spans="2:207" ht="16">
      <c r="B103" s="734" t="str">
        <f>'BASE DE DATOS'!B103</f>
        <v>LP</v>
      </c>
      <c r="C103" s="734" t="str">
        <f>'BASE DE DATOS'!C103</f>
        <v>GENERAL PICO</v>
      </c>
      <c r="D103" s="734">
        <f>'BASE DE DATOS'!D103</f>
        <v>35.700000000000003</v>
      </c>
      <c r="E103" s="734">
        <f>'BASE DE DATOS'!E103</f>
        <v>63.75</v>
      </c>
      <c r="F103" s="734">
        <f>'BASE DE DATOS'!F103</f>
        <v>141</v>
      </c>
      <c r="G103" s="734" t="str">
        <f>'BASE DE DATOS'!G103</f>
        <v>IIIA</v>
      </c>
      <c r="H103" s="734">
        <f>'BASE DE DATOS'!H103</f>
        <v>-4</v>
      </c>
      <c r="I103" s="734">
        <f>'BASE DE DATOS'!I103</f>
        <v>8.9</v>
      </c>
      <c r="J103" s="734">
        <f>'BASE DE DATOS'!J103</f>
        <v>23.4</v>
      </c>
      <c r="K103" s="734">
        <f>'BASE DE DATOS'!K103</f>
        <v>34.4</v>
      </c>
      <c r="L103" s="734">
        <f>'BASE DE DATOS'!L103</f>
        <v>56</v>
      </c>
      <c r="M103" s="734">
        <f>'BASE DE DATOS'!M103</f>
        <v>74</v>
      </c>
      <c r="N103" s="734">
        <f>'BASE DE DATOS'!N103</f>
        <v>54</v>
      </c>
      <c r="O103" s="734">
        <f>'BASE DE DATOS'!O103</f>
        <v>15</v>
      </c>
      <c r="P103" s="734">
        <f>'BASE DE DATOS'!P103</f>
        <v>78</v>
      </c>
      <c r="Q103" s="734">
        <f>'BASE DE DATOS'!Q103</f>
        <v>3</v>
      </c>
      <c r="R103" s="734">
        <f>'BASE DE DATOS'!R103</f>
        <v>22.5</v>
      </c>
      <c r="S103" s="734">
        <f>'BASE DE DATOS'!S103</f>
        <v>0.55000000000000004</v>
      </c>
      <c r="T103" s="734">
        <f>'BASE DE DATOS'!T103</f>
        <v>36.9</v>
      </c>
      <c r="U103" s="734">
        <f>'BASE DE DATOS'!U103</f>
        <v>3.4</v>
      </c>
      <c r="V103" s="734">
        <f>'BASE DE DATOS'!V103</f>
        <v>185</v>
      </c>
      <c r="W103" s="734">
        <f>'BASE DE DATOS'!W103</f>
        <v>41</v>
      </c>
      <c r="X103" s="734">
        <f>'BASE DE DATOS'!X103</f>
        <v>1.4E-2</v>
      </c>
      <c r="Y103" s="734">
        <f>'BASE DE DATOS'!Y103</f>
        <v>1.9E-2</v>
      </c>
      <c r="Z103" s="734">
        <f>'BASE DE DATOS'!Z103</f>
        <v>130</v>
      </c>
      <c r="AA103" s="734">
        <f>'BASE DE DATOS'!AA103</f>
        <v>1.3</v>
      </c>
      <c r="AB103" s="734">
        <f>'BASE DE DATOS'!AB103</f>
        <v>35</v>
      </c>
      <c r="AD103" s="734" t="str">
        <f>'BASE DE DATOS'!AD103</f>
        <v>GENERAL PICO</v>
      </c>
      <c r="AE103" s="734">
        <f>'BASE DE DATOS'!AE103</f>
        <v>24.3</v>
      </c>
      <c r="AF103" s="734">
        <f>'BASE DE DATOS'!AF103</f>
        <v>23.2</v>
      </c>
      <c r="AG103" s="734">
        <f>'BASE DE DATOS'!AG103</f>
        <v>19.7</v>
      </c>
      <c r="AH103" s="734">
        <f>'BASE DE DATOS'!AH103</f>
        <v>15.5</v>
      </c>
      <c r="AI103" s="734">
        <f>'BASE DE DATOS'!AI103</f>
        <v>11.7</v>
      </c>
      <c r="AJ103" s="734">
        <f>'BASE DE DATOS'!AJ103</f>
        <v>8.1</v>
      </c>
      <c r="AK103" s="734">
        <f>'BASE DE DATOS'!AK103</f>
        <v>8</v>
      </c>
      <c r="AL103" s="734">
        <f>'BASE DE DATOS'!AL103</f>
        <v>9.6</v>
      </c>
      <c r="AM103" s="734">
        <f>'BASE DE DATOS'!AM103</f>
        <v>12.6</v>
      </c>
      <c r="AN103" s="734">
        <f>'BASE DE DATOS'!AN103</f>
        <v>16</v>
      </c>
      <c r="AO103" s="734">
        <f>'BASE DE DATOS'!AO103</f>
        <v>19.899999999999999</v>
      </c>
      <c r="AP103" s="734">
        <f>'BASE DE DATOS'!AP103</f>
        <v>23.1</v>
      </c>
      <c r="AR103" s="734" t="str">
        <f>'BASE DE DATOS'!AR103</f>
        <v>LP</v>
      </c>
      <c r="AS103" s="734" t="str">
        <f>'BASE DE DATOS'!AS103</f>
        <v>GENERAL PICO</v>
      </c>
      <c r="AT103" s="734">
        <f>'BASE DE DATOS'!AT103</f>
        <v>6.5</v>
      </c>
      <c r="AU103" s="734">
        <f>'BASE DE DATOS'!AU103</f>
        <v>6</v>
      </c>
      <c r="AV103" s="734">
        <f>'BASE DE DATOS'!AV103</f>
        <v>4.5</v>
      </c>
      <c r="AW103" s="734">
        <f>'BASE DE DATOS'!AW103</f>
        <v>3</v>
      </c>
      <c r="AX103" s="734">
        <f>'BASE DE DATOS'!AX103</f>
        <v>2.5</v>
      </c>
      <c r="AY103" s="734">
        <f>'BASE DE DATOS'!AY103</f>
        <v>1.5</v>
      </c>
      <c r="AZ103" s="734">
        <f>'BASE DE DATOS'!AZ103</f>
        <v>2</v>
      </c>
      <c r="BA103" s="734">
        <f>'BASE DE DATOS'!BA103</f>
        <v>3</v>
      </c>
      <c r="BB103" s="734">
        <f>'BASE DE DATOS'!BB103</f>
        <v>4</v>
      </c>
      <c r="BC103" s="734">
        <f>'BASE DE DATOS'!BC103</f>
        <v>5</v>
      </c>
      <c r="BD103" s="734">
        <f>'BASE DE DATOS'!BD103</f>
        <v>6</v>
      </c>
      <c r="BE103" s="734">
        <f>'BASE DE DATOS'!BE103</f>
        <v>6.5</v>
      </c>
      <c r="DO103" s="733" t="str">
        <f>'BASE DE DATOS'!BG103</f>
        <v>LP</v>
      </c>
      <c r="DP103" s="733" t="str">
        <f>'BASE DE DATOS'!BH103</f>
        <v>GENERAL PICO</v>
      </c>
      <c r="DQ103" s="733">
        <f>'BASE DE DATOS'!BI103</f>
        <v>4</v>
      </c>
      <c r="DR103" s="733">
        <f>'BASE DE DATOS'!BJ103</f>
        <v>6</v>
      </c>
      <c r="DS103" s="733">
        <f>'BASE DE DATOS'!BK103</f>
        <v>8</v>
      </c>
      <c r="DT103" s="733">
        <f>'BASE DE DATOS'!BL103</f>
        <v>41</v>
      </c>
      <c r="DU103" s="733">
        <f>'BASE DE DATOS'!BM103</f>
        <v>126</v>
      </c>
      <c r="DV103" s="733">
        <f>'BASE DE DATOS'!BN103</f>
        <v>154</v>
      </c>
      <c r="DW103" s="733">
        <f>'BASE DE DATOS'!BO103</f>
        <v>133</v>
      </c>
      <c r="DX103" s="733">
        <f>'BASE DE DATOS'!BP103</f>
        <v>99</v>
      </c>
      <c r="DY103" s="733">
        <f>'BASE DE DATOS'!BQ103</f>
        <v>53</v>
      </c>
      <c r="DZ103" s="733">
        <f>'BASE DE DATOS'!BR103</f>
        <v>26</v>
      </c>
      <c r="EA103" s="733">
        <f>'BASE DE DATOS'!BS103</f>
        <v>15</v>
      </c>
      <c r="EB103" s="733">
        <f>'BASE DE DATOS'!BT103</f>
        <v>8</v>
      </c>
      <c r="GM103" s="741"/>
      <c r="GN103" s="741"/>
      <c r="GO103" s="741"/>
      <c r="GP103" s="741"/>
      <c r="GQ103" s="741"/>
      <c r="GR103" s="741"/>
      <c r="GS103" s="727"/>
      <c r="GT103" s="727"/>
      <c r="GU103" s="1182"/>
      <c r="GV103" s="727"/>
      <c r="GW103" s="728"/>
      <c r="GX103" s="728"/>
      <c r="GY103" s="727"/>
    </row>
    <row r="104" spans="2:207" ht="16">
      <c r="B104" s="734" t="str">
        <f>'BASE DE DATOS'!B104</f>
        <v>LP</v>
      </c>
      <c r="C104" s="734" t="str">
        <f>'BASE DE DATOS'!C104</f>
        <v>GUATRACHE</v>
      </c>
      <c r="D104" s="734">
        <f>'BASE DE DATOS'!D104</f>
        <v>37.630000000000003</v>
      </c>
      <c r="E104" s="734">
        <f>'BASE DE DATOS'!E104</f>
        <v>63.57</v>
      </c>
      <c r="F104" s="734">
        <f>'BASE DE DATOS'!F104</f>
        <v>175</v>
      </c>
      <c r="G104" s="734" t="str">
        <f>'BASE DE DATOS'!G104</f>
        <v>IVC</v>
      </c>
      <c r="H104" s="734">
        <f>'BASE DE DATOS'!H104</f>
        <v>-3.5</v>
      </c>
      <c r="I104" s="734">
        <f>'BASE DE DATOS'!I104</f>
        <v>8.4</v>
      </c>
      <c r="J104" s="734">
        <f>'BASE DE DATOS'!J104</f>
        <v>21.9</v>
      </c>
      <c r="K104" s="734">
        <f>'BASE DE DATOS'!K104</f>
        <v>33.200000000000003</v>
      </c>
      <c r="L104" s="734">
        <f>'BASE DE DATOS'!L104</f>
        <v>55</v>
      </c>
      <c r="M104" s="734">
        <f>'BASE DE DATOS'!M104</f>
        <v>52</v>
      </c>
      <c r="N104" s="734">
        <f>'BASE DE DATOS'!N104</f>
        <v>55</v>
      </c>
      <c r="O104" s="734">
        <f>'BASE DE DATOS'!O104</f>
        <v>19</v>
      </c>
      <c r="P104" s="734">
        <f>'BASE DE DATOS'!P104</f>
        <v>68</v>
      </c>
      <c r="Q104" s="734">
        <f>'BASE DE DATOS'!Q104</f>
        <v>4</v>
      </c>
      <c r="R104" s="734">
        <f>'BASE DE DATOS'!R104</f>
        <v>21.4</v>
      </c>
      <c r="S104" s="734">
        <f>'BASE DE DATOS'!S104</f>
        <v>0.55000000000000004</v>
      </c>
      <c r="T104" s="734">
        <f>'BASE DE DATOS'!T104</f>
        <v>36.9</v>
      </c>
      <c r="U104" s="734">
        <f>'BASE DE DATOS'!U104</f>
        <v>3.4</v>
      </c>
      <c r="V104" s="734">
        <f>'BASE DE DATOS'!V104</f>
        <v>185</v>
      </c>
      <c r="W104" s="734">
        <f>'BASE DE DATOS'!W104</f>
        <v>41</v>
      </c>
      <c r="X104" s="734">
        <f>'BASE DE DATOS'!X104</f>
        <v>1.4E-2</v>
      </c>
      <c r="Y104" s="734">
        <f>'BASE DE DATOS'!Y104</f>
        <v>1.9E-2</v>
      </c>
      <c r="Z104" s="734">
        <f>'BASE DE DATOS'!Z104</f>
        <v>130</v>
      </c>
      <c r="AA104" s="734">
        <f>'BASE DE DATOS'!AA104</f>
        <v>1.3</v>
      </c>
      <c r="AB104" s="734">
        <f>'BASE DE DATOS'!AB104</f>
        <v>35</v>
      </c>
      <c r="AD104" s="734" t="str">
        <f>'BASE DE DATOS'!AD104</f>
        <v>GUATRACHE</v>
      </c>
      <c r="AE104" s="734">
        <f>'BASE DE DATOS'!AE104</f>
        <v>23.1</v>
      </c>
      <c r="AF104" s="734">
        <f>'BASE DE DATOS'!AF104</f>
        <v>22.3</v>
      </c>
      <c r="AG104" s="734">
        <f>'BASE DE DATOS'!AG104</f>
        <v>19</v>
      </c>
      <c r="AH104" s="734">
        <f>'BASE DE DATOS'!AH104</f>
        <v>14.1</v>
      </c>
      <c r="AI104" s="734">
        <f>'BASE DE DATOS'!AI104</f>
        <v>10.5</v>
      </c>
      <c r="AJ104" s="734">
        <f>'BASE DE DATOS'!AJ104</f>
        <v>7.3</v>
      </c>
      <c r="AK104" s="734">
        <f>'BASE DE DATOS'!AK104</f>
        <v>6.7</v>
      </c>
      <c r="AL104" s="734">
        <f>'BASE DE DATOS'!AL104</f>
        <v>8.8000000000000007</v>
      </c>
      <c r="AM104" s="734">
        <f>'BASE DE DATOS'!AM104</f>
        <v>10.9</v>
      </c>
      <c r="AN104" s="734">
        <f>'BASE DE DATOS'!AN104</f>
        <v>13.9</v>
      </c>
      <c r="AO104" s="734">
        <f>'BASE DE DATOS'!AO104</f>
        <v>18.399999999999999</v>
      </c>
      <c r="AP104" s="734">
        <f>'BASE DE DATOS'!AP104</f>
        <v>21.4</v>
      </c>
      <c r="AR104" s="734" t="str">
        <f>'BASE DE DATOS'!AR104</f>
        <v>LP</v>
      </c>
      <c r="AS104" s="734" t="str">
        <f>'BASE DE DATOS'!AS104</f>
        <v>GUATRACHE</v>
      </c>
      <c r="AT104" s="734">
        <f>'BASE DE DATOS'!AT104</f>
        <v>6.5</v>
      </c>
      <c r="AU104" s="734">
        <f>'BASE DE DATOS'!AU104</f>
        <v>6</v>
      </c>
      <c r="AV104" s="734">
        <f>'BASE DE DATOS'!AV104</f>
        <v>4.5</v>
      </c>
      <c r="AW104" s="734">
        <f>'BASE DE DATOS'!AW104</f>
        <v>3</v>
      </c>
      <c r="AX104" s="734">
        <f>'BASE DE DATOS'!AX104</f>
        <v>2</v>
      </c>
      <c r="AY104" s="734">
        <f>'BASE DE DATOS'!AY104</f>
        <v>1.5</v>
      </c>
      <c r="AZ104" s="734">
        <f>'BASE DE DATOS'!AZ104</f>
        <v>2</v>
      </c>
      <c r="BA104" s="734">
        <f>'BASE DE DATOS'!BA104</f>
        <v>2.5</v>
      </c>
      <c r="BB104" s="734">
        <f>'BASE DE DATOS'!BB104</f>
        <v>3.5</v>
      </c>
      <c r="BC104" s="734">
        <f>'BASE DE DATOS'!BC104</f>
        <v>5</v>
      </c>
      <c r="BD104" s="734">
        <f>'BASE DE DATOS'!BD104</f>
        <v>6</v>
      </c>
      <c r="BE104" s="734">
        <f>'BASE DE DATOS'!BE104</f>
        <v>7</v>
      </c>
      <c r="DO104" s="733" t="str">
        <f>'BASE DE DATOS'!BG104</f>
        <v>LP</v>
      </c>
      <c r="DP104" s="733" t="str">
        <f>'BASE DE DATOS'!BH104</f>
        <v>GUATRACHE</v>
      </c>
      <c r="DQ104" s="733">
        <f>'BASE DE DATOS'!BI104</f>
        <v>4</v>
      </c>
      <c r="DR104" s="733">
        <f>'BASE DE DATOS'!BJ104</f>
        <v>6</v>
      </c>
      <c r="DS104" s="733">
        <f>'BASE DE DATOS'!BK104</f>
        <v>8</v>
      </c>
      <c r="DT104" s="733">
        <f>'BASE DE DATOS'!BL104</f>
        <v>41</v>
      </c>
      <c r="DU104" s="733">
        <f>'BASE DE DATOS'!BM104</f>
        <v>126</v>
      </c>
      <c r="DV104" s="733">
        <f>'BASE DE DATOS'!BN104</f>
        <v>154</v>
      </c>
      <c r="DW104" s="733">
        <f>'BASE DE DATOS'!BO104</f>
        <v>133</v>
      </c>
      <c r="DX104" s="733">
        <f>'BASE DE DATOS'!BP104</f>
        <v>99</v>
      </c>
      <c r="DY104" s="733">
        <f>'BASE DE DATOS'!BQ104</f>
        <v>53</v>
      </c>
      <c r="DZ104" s="733">
        <f>'BASE DE DATOS'!BR104</f>
        <v>26</v>
      </c>
      <c r="EA104" s="733">
        <f>'BASE DE DATOS'!BS104</f>
        <v>15</v>
      </c>
      <c r="EB104" s="733">
        <f>'BASE DE DATOS'!BT104</f>
        <v>8</v>
      </c>
      <c r="GM104" s="741"/>
      <c r="GN104" s="741"/>
      <c r="GO104" s="741"/>
      <c r="GP104" s="741"/>
      <c r="GQ104" s="741"/>
      <c r="GR104" s="741"/>
      <c r="GS104" s="727"/>
      <c r="GT104" s="727"/>
      <c r="GU104" s="727"/>
      <c r="GV104" s="727"/>
      <c r="GW104" s="727"/>
      <c r="GX104" s="727"/>
      <c r="GY104" s="727"/>
    </row>
    <row r="105" spans="2:207" ht="16">
      <c r="B105" s="734" t="str">
        <f>'BASE DE DATOS'!B105</f>
        <v>LP</v>
      </c>
      <c r="C105" s="734" t="str">
        <f>'BASE DE DATOS'!C105</f>
        <v>MACACHIN</v>
      </c>
      <c r="D105" s="734">
        <f>'BASE DE DATOS'!D105</f>
        <v>37.130000000000003</v>
      </c>
      <c r="E105" s="734">
        <f>'BASE DE DATOS'!E105</f>
        <v>63.68</v>
      </c>
      <c r="F105" s="734">
        <f>'BASE DE DATOS'!F105</f>
        <v>142</v>
      </c>
      <c r="G105" s="734" t="str">
        <f>'BASE DE DATOS'!G105</f>
        <v>IVC</v>
      </c>
      <c r="H105" s="734">
        <f>'BASE DE DATOS'!H105</f>
        <v>-4.0999999999999996</v>
      </c>
      <c r="I105" s="734">
        <f>'BASE DE DATOS'!I105</f>
        <v>8.1999999999999993</v>
      </c>
      <c r="J105" s="734">
        <f>'BASE DE DATOS'!J105</f>
        <v>22.5</v>
      </c>
      <c r="K105" s="734">
        <f>'BASE DE DATOS'!K105</f>
        <v>34.299999999999997</v>
      </c>
      <c r="L105" s="734">
        <f>'BASE DE DATOS'!L105</f>
        <v>54</v>
      </c>
      <c r="M105" s="734">
        <f>'BASE DE DATOS'!M105</f>
        <v>71</v>
      </c>
      <c r="N105" s="734">
        <f>'BASE DE DATOS'!N105</f>
        <v>54</v>
      </c>
      <c r="O105" s="734">
        <f>'BASE DE DATOS'!O105</f>
        <v>19</v>
      </c>
      <c r="P105" s="734">
        <f>'BASE DE DATOS'!P105</f>
        <v>70</v>
      </c>
      <c r="Q105" s="734">
        <f>'BASE DE DATOS'!Q105</f>
        <v>4</v>
      </c>
      <c r="R105" s="734">
        <f>'BASE DE DATOS'!R105</f>
        <v>21.9</v>
      </c>
      <c r="S105" s="734">
        <f>'BASE DE DATOS'!S105</f>
        <v>0.55000000000000004</v>
      </c>
      <c r="T105" s="734">
        <f>'BASE DE DATOS'!T105</f>
        <v>36.9</v>
      </c>
      <c r="U105" s="734">
        <f>'BASE DE DATOS'!U105</f>
        <v>3.4</v>
      </c>
      <c r="V105" s="734">
        <f>'BASE DE DATOS'!V105</f>
        <v>185</v>
      </c>
      <c r="W105" s="734">
        <f>'BASE DE DATOS'!W105</f>
        <v>41</v>
      </c>
      <c r="X105" s="734">
        <f>'BASE DE DATOS'!X105</f>
        <v>1.4E-2</v>
      </c>
      <c r="Y105" s="734">
        <f>'BASE DE DATOS'!Y105</f>
        <v>1.9E-2</v>
      </c>
      <c r="Z105" s="734">
        <f>'BASE DE DATOS'!Z105</f>
        <v>130</v>
      </c>
      <c r="AA105" s="734">
        <f>'BASE DE DATOS'!AA105</f>
        <v>1.3</v>
      </c>
      <c r="AB105" s="734">
        <f>'BASE DE DATOS'!AB105</f>
        <v>35</v>
      </c>
      <c r="AD105" s="734" t="str">
        <f>'BASE DE DATOS'!AD105</f>
        <v>MACACHIN</v>
      </c>
      <c r="AE105" s="734">
        <f>'BASE DE DATOS'!AE105</f>
        <v>23.6</v>
      </c>
      <c r="AF105" s="734">
        <f>'BASE DE DATOS'!AF105</f>
        <v>22.4</v>
      </c>
      <c r="AG105" s="734">
        <f>'BASE DE DATOS'!AG105</f>
        <v>19</v>
      </c>
      <c r="AH105" s="734">
        <f>'BASE DE DATOS'!AH105</f>
        <v>14.4</v>
      </c>
      <c r="AI105" s="734">
        <f>'BASE DE DATOS'!AI105</f>
        <v>10.5</v>
      </c>
      <c r="AJ105" s="734">
        <f>'BASE DE DATOS'!AJ105</f>
        <v>7.5</v>
      </c>
      <c r="AK105" s="734">
        <f>'BASE DE DATOS'!AK105</f>
        <v>7.2</v>
      </c>
      <c r="AL105" s="734">
        <f>'BASE DE DATOS'!AL105</f>
        <v>8.6</v>
      </c>
      <c r="AM105" s="734">
        <f>'BASE DE DATOS'!AM105</f>
        <v>11.4</v>
      </c>
      <c r="AN105" s="734">
        <f>'BASE DE DATOS'!AN105</f>
        <v>15</v>
      </c>
      <c r="AO105" s="734">
        <f>'BASE DE DATOS'!AO105</f>
        <v>19.2</v>
      </c>
      <c r="AP105" s="734">
        <f>'BASE DE DATOS'!AP105</f>
        <v>22.1</v>
      </c>
      <c r="AR105" s="734" t="str">
        <f>'BASE DE DATOS'!AR105</f>
        <v>LP</v>
      </c>
      <c r="AS105" s="734" t="str">
        <f>'BASE DE DATOS'!AS105</f>
        <v>MACACHIN</v>
      </c>
      <c r="AT105" s="734">
        <f>'BASE DE DATOS'!AT105</f>
        <v>6.5</v>
      </c>
      <c r="AU105" s="734">
        <f>'BASE DE DATOS'!AU105</f>
        <v>6</v>
      </c>
      <c r="AV105" s="734">
        <f>'BASE DE DATOS'!AV105</f>
        <v>4.5</v>
      </c>
      <c r="AW105" s="734">
        <f>'BASE DE DATOS'!AW105</f>
        <v>3</v>
      </c>
      <c r="AX105" s="734">
        <f>'BASE DE DATOS'!AX105</f>
        <v>2</v>
      </c>
      <c r="AY105" s="734">
        <f>'BASE DE DATOS'!AY105</f>
        <v>1.5</v>
      </c>
      <c r="AZ105" s="734">
        <f>'BASE DE DATOS'!AZ105</f>
        <v>2</v>
      </c>
      <c r="BA105" s="734">
        <f>'BASE DE DATOS'!BA105</f>
        <v>2.5</v>
      </c>
      <c r="BB105" s="734">
        <f>'BASE DE DATOS'!BB105</f>
        <v>4</v>
      </c>
      <c r="BC105" s="734">
        <f>'BASE DE DATOS'!BC105</f>
        <v>5</v>
      </c>
      <c r="BD105" s="734">
        <f>'BASE DE DATOS'!BD105</f>
        <v>6</v>
      </c>
      <c r="BE105" s="734">
        <f>'BASE DE DATOS'!BE105</f>
        <v>7</v>
      </c>
      <c r="DO105" s="733" t="str">
        <f>'BASE DE DATOS'!BG105</f>
        <v>LP</v>
      </c>
      <c r="DP105" s="733" t="str">
        <f>'BASE DE DATOS'!BH105</f>
        <v>MACACHIN</v>
      </c>
      <c r="DQ105" s="733">
        <f>'BASE DE DATOS'!BI105</f>
        <v>4</v>
      </c>
      <c r="DR105" s="733">
        <f>'BASE DE DATOS'!BJ105</f>
        <v>6</v>
      </c>
      <c r="DS105" s="733">
        <f>'BASE DE DATOS'!BK105</f>
        <v>8</v>
      </c>
      <c r="DT105" s="733">
        <f>'BASE DE DATOS'!BL105</f>
        <v>41</v>
      </c>
      <c r="DU105" s="733">
        <f>'BASE DE DATOS'!BM105</f>
        <v>126</v>
      </c>
      <c r="DV105" s="733">
        <f>'BASE DE DATOS'!BN105</f>
        <v>154</v>
      </c>
      <c r="DW105" s="733">
        <f>'BASE DE DATOS'!BO105</f>
        <v>133</v>
      </c>
      <c r="DX105" s="733">
        <f>'BASE DE DATOS'!BP105</f>
        <v>99</v>
      </c>
      <c r="DY105" s="733">
        <f>'BASE DE DATOS'!BQ105</f>
        <v>53</v>
      </c>
      <c r="DZ105" s="733">
        <f>'BASE DE DATOS'!BR105</f>
        <v>26</v>
      </c>
      <c r="EA105" s="733">
        <f>'BASE DE DATOS'!BS105</f>
        <v>15</v>
      </c>
      <c r="EB105" s="733">
        <f>'BASE DE DATOS'!BT105</f>
        <v>8</v>
      </c>
      <c r="GM105" s="741"/>
      <c r="GN105" s="741"/>
      <c r="GO105" s="741"/>
      <c r="GP105" s="741"/>
      <c r="GQ105" s="741"/>
      <c r="GR105" s="741"/>
      <c r="GS105" s="727"/>
      <c r="GT105" s="727"/>
      <c r="GU105" s="727"/>
      <c r="GV105" s="727"/>
      <c r="GW105" s="741"/>
      <c r="GX105" s="741"/>
      <c r="GY105" s="741"/>
    </row>
    <row r="106" spans="2:207" ht="16">
      <c r="B106" s="734" t="str">
        <f>'BASE DE DATOS'!B106</f>
        <v>LP</v>
      </c>
      <c r="C106" s="734" t="str">
        <f>'BASE DE DATOS'!C106</f>
        <v>PUELCHES</v>
      </c>
      <c r="D106" s="734">
        <f>'BASE DE DATOS'!D106</f>
        <v>38.130000000000003</v>
      </c>
      <c r="E106" s="734">
        <f>'BASE DE DATOS'!E106</f>
        <v>65.92</v>
      </c>
      <c r="F106" s="734">
        <f>'BASE DE DATOS'!F106</f>
        <v>232</v>
      </c>
      <c r="G106" s="734" t="str">
        <f>'BASE DE DATOS'!G106</f>
        <v>IVC</v>
      </c>
      <c r="H106" s="734">
        <f>'BASE DE DATOS'!H106</f>
        <v>-6</v>
      </c>
      <c r="I106" s="734">
        <f>'BASE DE DATOS'!I106</f>
        <v>7.3</v>
      </c>
      <c r="J106" s="734">
        <f>'BASE DE DATOS'!J106</f>
        <v>17.399999999999999</v>
      </c>
      <c r="K106" s="734">
        <f>'BASE DE DATOS'!K106</f>
        <v>28.1</v>
      </c>
      <c r="L106" s="734">
        <f>'BASE DE DATOS'!L106</f>
        <v>51</v>
      </c>
      <c r="M106" s="734">
        <f>'BASE DE DATOS'!M106</f>
        <v>69</v>
      </c>
      <c r="N106" s="734">
        <f>'BASE DE DATOS'!N106</f>
        <v>51</v>
      </c>
      <c r="O106" s="734">
        <f>'BASE DE DATOS'!O106</f>
        <v>14</v>
      </c>
      <c r="P106" s="734">
        <f>'BASE DE DATOS'!P106</f>
        <v>21</v>
      </c>
      <c r="Q106" s="734">
        <f>'BASE DE DATOS'!Q106</f>
        <v>4</v>
      </c>
      <c r="R106" s="734">
        <f>'BASE DE DATOS'!R106</f>
        <v>17.3</v>
      </c>
      <c r="S106" s="734">
        <f>'BASE DE DATOS'!S106</f>
        <v>0.55000000000000004</v>
      </c>
      <c r="T106" s="734">
        <f>'BASE DE DATOS'!T106</f>
        <v>36.9</v>
      </c>
      <c r="U106" s="734">
        <f>'BASE DE DATOS'!U106</f>
        <v>3.4</v>
      </c>
      <c r="V106" s="734">
        <f>'BASE DE DATOS'!V106</f>
        <v>185</v>
      </c>
      <c r="W106" s="734">
        <f>'BASE DE DATOS'!W106</f>
        <v>41</v>
      </c>
      <c r="X106" s="734">
        <f>'BASE DE DATOS'!X106</f>
        <v>1.4E-2</v>
      </c>
      <c r="Y106" s="734">
        <f>'BASE DE DATOS'!Y106</f>
        <v>1.9E-2</v>
      </c>
      <c r="Z106" s="734">
        <f>'BASE DE DATOS'!Z106</f>
        <v>130</v>
      </c>
      <c r="AA106" s="734">
        <f>'BASE DE DATOS'!AA106</f>
        <v>1.3</v>
      </c>
      <c r="AB106" s="734">
        <f>'BASE DE DATOS'!AB106</f>
        <v>35</v>
      </c>
      <c r="AD106" s="734" t="str">
        <f>'BASE DE DATOS'!AD106</f>
        <v>PUELCHES</v>
      </c>
      <c r="AE106" s="734">
        <f>'BASE DE DATOS'!AE106</f>
        <v>25</v>
      </c>
      <c r="AF106" s="734">
        <f>'BASE DE DATOS'!AF106</f>
        <v>24</v>
      </c>
      <c r="AG106" s="734">
        <f>'BASE DE DATOS'!AG106</f>
        <v>21.5</v>
      </c>
      <c r="AH106" s="734">
        <f>'BASE DE DATOS'!AH106</f>
        <v>15.8</v>
      </c>
      <c r="AI106" s="734">
        <f>'BASE DE DATOS'!AI106</f>
        <v>11.5</v>
      </c>
      <c r="AJ106" s="734">
        <f>'BASE DE DATOS'!AJ106</f>
        <v>8.3000000000000007</v>
      </c>
      <c r="AK106" s="734">
        <f>'BASE DE DATOS'!AK106</f>
        <v>7.5</v>
      </c>
      <c r="AL106" s="734">
        <f>'BASE DE DATOS'!AL106</f>
        <v>10</v>
      </c>
      <c r="AM106" s="734">
        <f>'BASE DE DATOS'!AM106</f>
        <v>12.5</v>
      </c>
      <c r="AN106" s="734">
        <f>'BASE DE DATOS'!AN106</f>
        <v>16</v>
      </c>
      <c r="AO106" s="734">
        <f>'BASE DE DATOS'!AO106</f>
        <v>20.3</v>
      </c>
      <c r="AP106" s="734">
        <f>'BASE DE DATOS'!AP106</f>
        <v>24</v>
      </c>
      <c r="AR106" s="734" t="str">
        <f>'BASE DE DATOS'!AR106</f>
        <v>LP</v>
      </c>
      <c r="AS106" s="734" t="str">
        <f>'BASE DE DATOS'!AS106</f>
        <v>PUELCHES</v>
      </c>
      <c r="AT106" s="734">
        <f>'BASE DE DATOS'!AT106</f>
        <v>7</v>
      </c>
      <c r="AU106" s="734">
        <f>'BASE DE DATOS'!AU106</f>
        <v>6.5</v>
      </c>
      <c r="AV106" s="734">
        <f>'BASE DE DATOS'!AV106</f>
        <v>5</v>
      </c>
      <c r="AW106" s="734">
        <f>'BASE DE DATOS'!AW106</f>
        <v>3</v>
      </c>
      <c r="AX106" s="734">
        <f>'BASE DE DATOS'!AX106</f>
        <v>2</v>
      </c>
      <c r="AY106" s="734">
        <f>'BASE DE DATOS'!AY106</f>
        <v>1.5</v>
      </c>
      <c r="AZ106" s="734">
        <f>'BASE DE DATOS'!AZ106</f>
        <v>2</v>
      </c>
      <c r="BA106" s="734">
        <f>'BASE DE DATOS'!BA106</f>
        <v>2.5</v>
      </c>
      <c r="BB106" s="734">
        <f>'BASE DE DATOS'!BB106</f>
        <v>3.5</v>
      </c>
      <c r="BC106" s="734">
        <f>'BASE DE DATOS'!BC106</f>
        <v>5</v>
      </c>
      <c r="BD106" s="734">
        <f>'BASE DE DATOS'!BD106</f>
        <v>6</v>
      </c>
      <c r="BE106" s="734">
        <f>'BASE DE DATOS'!BE106</f>
        <v>7</v>
      </c>
      <c r="DO106" s="733" t="str">
        <f>'BASE DE DATOS'!BG106</f>
        <v>LP</v>
      </c>
      <c r="DP106" s="733" t="str">
        <f>'BASE DE DATOS'!BH106</f>
        <v>PUELCHES</v>
      </c>
      <c r="DQ106" s="733">
        <f>'BASE DE DATOS'!BI106</f>
        <v>4</v>
      </c>
      <c r="DR106" s="733">
        <f>'BASE DE DATOS'!BJ106</f>
        <v>6</v>
      </c>
      <c r="DS106" s="733">
        <f>'BASE DE DATOS'!BK106</f>
        <v>8</v>
      </c>
      <c r="DT106" s="733">
        <f>'BASE DE DATOS'!BL106</f>
        <v>41</v>
      </c>
      <c r="DU106" s="733">
        <f>'BASE DE DATOS'!BM106</f>
        <v>126</v>
      </c>
      <c r="DV106" s="733">
        <f>'BASE DE DATOS'!BN106</f>
        <v>154</v>
      </c>
      <c r="DW106" s="733">
        <f>'BASE DE DATOS'!BO106</f>
        <v>133</v>
      </c>
      <c r="DX106" s="733">
        <f>'BASE DE DATOS'!BP106</f>
        <v>99</v>
      </c>
      <c r="DY106" s="733">
        <f>'BASE DE DATOS'!BQ106</f>
        <v>53</v>
      </c>
      <c r="DZ106" s="733">
        <f>'BASE DE DATOS'!BR106</f>
        <v>26</v>
      </c>
      <c r="EA106" s="733">
        <f>'BASE DE DATOS'!BS106</f>
        <v>15</v>
      </c>
      <c r="EB106" s="733">
        <f>'BASE DE DATOS'!BT106</f>
        <v>8</v>
      </c>
      <c r="GM106" s="741"/>
      <c r="GN106" s="741"/>
      <c r="GO106" s="741"/>
      <c r="GP106" s="741"/>
      <c r="GQ106" s="741"/>
      <c r="GR106" s="741"/>
      <c r="GS106" s="727"/>
      <c r="GT106" s="727"/>
      <c r="GU106" s="727"/>
      <c r="GV106" s="727"/>
      <c r="GW106" s="727"/>
      <c r="GX106" s="727"/>
      <c r="GY106" s="1182"/>
    </row>
    <row r="107" spans="2:207" ht="16">
      <c r="B107" s="734" t="str">
        <f>'BASE DE DATOS'!B107</f>
        <v>LP</v>
      </c>
      <c r="C107" s="734" t="str">
        <f>'BASE DE DATOS'!C107</f>
        <v>QUEMU QUEMU</v>
      </c>
      <c r="D107" s="734">
        <f>'BASE DE DATOS'!D107</f>
        <v>36.07</v>
      </c>
      <c r="E107" s="734">
        <f>'BASE DE DATOS'!E107</f>
        <v>63.57</v>
      </c>
      <c r="F107" s="734">
        <f>'BASE DE DATOS'!F107</f>
        <v>120</v>
      </c>
      <c r="G107" s="734" t="str">
        <f>'BASE DE DATOS'!G107</f>
        <v>IIIA</v>
      </c>
      <c r="H107" s="734">
        <f>'BASE DE DATOS'!H107</f>
        <v>-3.9</v>
      </c>
      <c r="I107" s="734">
        <f>'BASE DE DATOS'!I107</f>
        <v>86</v>
      </c>
      <c r="J107" s="734">
        <f>'BASE DE DATOS'!J107</f>
        <v>23.2</v>
      </c>
      <c r="K107" s="734">
        <f>'BASE DE DATOS'!K107</f>
        <v>34.799999999999997</v>
      </c>
      <c r="L107" s="734">
        <f>'BASE DE DATOS'!L107</f>
        <v>54</v>
      </c>
      <c r="M107" s="734">
        <f>'BASE DE DATOS'!M107</f>
        <v>71</v>
      </c>
      <c r="N107" s="734">
        <f>'BASE DE DATOS'!N107</f>
        <v>54</v>
      </c>
      <c r="O107" s="734">
        <f>'BASE DE DATOS'!O107</f>
        <v>18</v>
      </c>
      <c r="P107" s="734">
        <f>'BASE DE DATOS'!P107</f>
        <v>73</v>
      </c>
      <c r="Q107" s="734">
        <f>'BASE DE DATOS'!Q107</f>
        <v>3</v>
      </c>
      <c r="R107" s="734">
        <f>'BASE DE DATOS'!R107</f>
        <v>22.8</v>
      </c>
      <c r="S107" s="734">
        <f>'BASE DE DATOS'!S107</f>
        <v>0.55000000000000004</v>
      </c>
      <c r="T107" s="734">
        <f>'BASE DE DATOS'!T107</f>
        <v>36.9</v>
      </c>
      <c r="U107" s="734">
        <f>'BASE DE DATOS'!U107</f>
        <v>3.4</v>
      </c>
      <c r="V107" s="734">
        <f>'BASE DE DATOS'!V107</f>
        <v>185</v>
      </c>
      <c r="W107" s="734">
        <f>'BASE DE DATOS'!W107</f>
        <v>41</v>
      </c>
      <c r="X107" s="734">
        <f>'BASE DE DATOS'!X107</f>
        <v>1.4E-2</v>
      </c>
      <c r="Y107" s="734">
        <f>'BASE DE DATOS'!Y107</f>
        <v>1.9E-2</v>
      </c>
      <c r="Z107" s="734">
        <f>'BASE DE DATOS'!Z107</f>
        <v>130</v>
      </c>
      <c r="AA107" s="734">
        <f>'BASE DE DATOS'!AA107</f>
        <v>1.3</v>
      </c>
      <c r="AB107" s="734">
        <f>'BASE DE DATOS'!AB107</f>
        <v>35</v>
      </c>
      <c r="AD107" s="734" t="str">
        <f>'BASE DE DATOS'!AD107</f>
        <v>QUEMU QUEMU</v>
      </c>
      <c r="AE107" s="734">
        <f>'BASE DE DATOS'!AE107</f>
        <v>24.2</v>
      </c>
      <c r="AF107" s="734">
        <f>'BASE DE DATOS'!AF107</f>
        <v>23.2</v>
      </c>
      <c r="AG107" s="734">
        <f>'BASE DE DATOS'!AG107</f>
        <v>20.100000000000001</v>
      </c>
      <c r="AH107" s="734">
        <f>'BASE DE DATOS'!AH107</f>
        <v>14.8</v>
      </c>
      <c r="AI107" s="734">
        <f>'BASE DE DATOS'!AI107</f>
        <v>11.7</v>
      </c>
      <c r="AJ107" s="734">
        <f>'BASE DE DATOS'!AJ107</f>
        <v>7.9</v>
      </c>
      <c r="AK107" s="734">
        <f>'BASE DE DATOS'!AK107</f>
        <v>8.1</v>
      </c>
      <c r="AL107" s="734">
        <f>'BASE DE DATOS'!AL107</f>
        <v>9.9</v>
      </c>
      <c r="AM107" s="734">
        <f>'BASE DE DATOS'!AM107</f>
        <v>12.4</v>
      </c>
      <c r="AN107" s="734">
        <f>'BASE DE DATOS'!AN107</f>
        <v>15.7</v>
      </c>
      <c r="AO107" s="734">
        <f>'BASE DE DATOS'!AO107</f>
        <v>19.8</v>
      </c>
      <c r="AP107" s="734">
        <f>'BASE DE DATOS'!AP107</f>
        <v>22.5</v>
      </c>
      <c r="AR107" s="734" t="str">
        <f>'BASE DE DATOS'!AR107</f>
        <v>LP</v>
      </c>
      <c r="AS107" s="734" t="str">
        <f>'BASE DE DATOS'!AS107</f>
        <v>QUEMU QUEMU</v>
      </c>
      <c r="AT107" s="734">
        <f>'BASE DE DATOS'!AT107</f>
        <v>6.5</v>
      </c>
      <c r="AU107" s="734">
        <f>'BASE DE DATOS'!AU107</f>
        <v>6</v>
      </c>
      <c r="AV107" s="734">
        <f>'BASE DE DATOS'!AV107</f>
        <v>4.5</v>
      </c>
      <c r="AW107" s="734">
        <f>'BASE DE DATOS'!AW107</f>
        <v>3</v>
      </c>
      <c r="AX107" s="734">
        <f>'BASE DE DATOS'!AX107</f>
        <v>2.5</v>
      </c>
      <c r="AY107" s="734">
        <f>'BASE DE DATOS'!AY107</f>
        <v>1.5</v>
      </c>
      <c r="AZ107" s="734">
        <f>'BASE DE DATOS'!AZ107</f>
        <v>2</v>
      </c>
      <c r="BA107" s="734">
        <f>'BASE DE DATOS'!BA107</f>
        <v>3</v>
      </c>
      <c r="BB107" s="734">
        <f>'BASE DE DATOS'!BB107</f>
        <v>4</v>
      </c>
      <c r="BC107" s="734">
        <f>'BASE DE DATOS'!BC107</f>
        <v>5</v>
      </c>
      <c r="BD107" s="734">
        <f>'BASE DE DATOS'!BD107</f>
        <v>6</v>
      </c>
      <c r="BE107" s="734">
        <f>'BASE DE DATOS'!BE107</f>
        <v>6.5</v>
      </c>
      <c r="DO107" s="733" t="str">
        <f>'BASE DE DATOS'!BG107</f>
        <v>LP</v>
      </c>
      <c r="DP107" s="733" t="str">
        <f>'BASE DE DATOS'!BH107</f>
        <v>QUEMU QUEMU</v>
      </c>
      <c r="DQ107" s="733">
        <f>'BASE DE DATOS'!BI107</f>
        <v>4</v>
      </c>
      <c r="DR107" s="733">
        <f>'BASE DE DATOS'!BJ107</f>
        <v>6</v>
      </c>
      <c r="DS107" s="733">
        <f>'BASE DE DATOS'!BK107</f>
        <v>8</v>
      </c>
      <c r="DT107" s="733">
        <f>'BASE DE DATOS'!BL107</f>
        <v>41</v>
      </c>
      <c r="DU107" s="733">
        <f>'BASE DE DATOS'!BM107</f>
        <v>126</v>
      </c>
      <c r="DV107" s="733">
        <f>'BASE DE DATOS'!BN107</f>
        <v>154</v>
      </c>
      <c r="DW107" s="733">
        <f>'BASE DE DATOS'!BO107</f>
        <v>133</v>
      </c>
      <c r="DX107" s="733">
        <f>'BASE DE DATOS'!BP107</f>
        <v>99</v>
      </c>
      <c r="DY107" s="733">
        <f>'BASE DE DATOS'!BQ107</f>
        <v>53</v>
      </c>
      <c r="DZ107" s="733">
        <f>'BASE DE DATOS'!BR107</f>
        <v>26</v>
      </c>
      <c r="EA107" s="733">
        <f>'BASE DE DATOS'!BS107</f>
        <v>15</v>
      </c>
      <c r="EB107" s="733">
        <f>'BASE DE DATOS'!BT107</f>
        <v>8</v>
      </c>
      <c r="GM107" s="741"/>
      <c r="GN107" s="741"/>
      <c r="GO107" s="741"/>
      <c r="GP107" s="741"/>
      <c r="GQ107" s="741"/>
      <c r="GR107" s="741"/>
      <c r="GS107" s="727"/>
      <c r="GT107" s="727"/>
      <c r="GU107" s="727"/>
      <c r="GV107" s="741"/>
      <c r="GW107" s="741"/>
      <c r="GX107" s="741"/>
      <c r="GY107" s="1182"/>
    </row>
    <row r="108" spans="2:207" ht="16">
      <c r="B108" s="734" t="str">
        <f>'BASE DE DATOS'!B108</f>
        <v>LP</v>
      </c>
      <c r="C108" s="734" t="str">
        <f>'BASE DE DATOS'!C108</f>
        <v>SANTA ROSA</v>
      </c>
      <c r="D108" s="734">
        <f>'BASE DE DATOS'!D108</f>
        <v>36.57</v>
      </c>
      <c r="E108" s="734">
        <f>'BASE DE DATOS'!E108</f>
        <v>64.27</v>
      </c>
      <c r="F108" s="734">
        <f>'BASE DE DATOS'!F108</f>
        <v>189</v>
      </c>
      <c r="G108" s="734" t="str">
        <f>'BASE DE DATOS'!G108</f>
        <v>IIIA</v>
      </c>
      <c r="H108" s="734">
        <f>'BASE DE DATOS'!H108</f>
        <v>-4.9000000000000004</v>
      </c>
      <c r="I108" s="734">
        <f>'BASE DE DATOS'!I108</f>
        <v>8.1999999999999993</v>
      </c>
      <c r="J108" s="734">
        <f>'BASE DE DATOS'!J108</f>
        <v>22.3</v>
      </c>
      <c r="K108" s="734">
        <f>'BASE DE DATOS'!K108</f>
        <v>33.799999999999997</v>
      </c>
      <c r="L108" s="734">
        <f>'BASE DE DATOS'!L108</f>
        <v>59</v>
      </c>
      <c r="M108" s="734">
        <f>'BASE DE DATOS'!M108</f>
        <v>76</v>
      </c>
      <c r="N108" s="734">
        <f>'BASE DE DATOS'!N108</f>
        <v>59</v>
      </c>
      <c r="O108" s="734">
        <f>'BASE DE DATOS'!O108</f>
        <v>17</v>
      </c>
      <c r="P108" s="734">
        <f>'BASE DE DATOS'!P108</f>
        <v>74</v>
      </c>
      <c r="Q108" s="734">
        <f>'BASE DE DATOS'!Q108</f>
        <v>3</v>
      </c>
      <c r="R108" s="734">
        <f>'BASE DE DATOS'!R108</f>
        <v>21.6</v>
      </c>
      <c r="S108" s="734">
        <f>'BASE DE DATOS'!S108</f>
        <v>0.55000000000000004</v>
      </c>
      <c r="T108" s="734">
        <f>'BASE DE DATOS'!T108</f>
        <v>36.9</v>
      </c>
      <c r="U108" s="734">
        <f>'BASE DE DATOS'!U108</f>
        <v>3.4</v>
      </c>
      <c r="V108" s="734">
        <f>'BASE DE DATOS'!V108</f>
        <v>185</v>
      </c>
      <c r="W108" s="734">
        <f>'BASE DE DATOS'!W108</f>
        <v>41</v>
      </c>
      <c r="X108" s="734">
        <f>'BASE DE DATOS'!X108</f>
        <v>1.4E-2</v>
      </c>
      <c r="Y108" s="734">
        <f>'BASE DE DATOS'!Y108</f>
        <v>1.9E-2</v>
      </c>
      <c r="Z108" s="734">
        <f>'BASE DE DATOS'!Z108</f>
        <v>130</v>
      </c>
      <c r="AA108" s="734">
        <f>'BASE DE DATOS'!AA108</f>
        <v>1.3</v>
      </c>
      <c r="AB108" s="734">
        <f>'BASE DE DATOS'!AB108</f>
        <v>35</v>
      </c>
      <c r="AD108" s="734" t="str">
        <f>'BASE DE DATOS'!AD108</f>
        <v>SANTA ROSA</v>
      </c>
      <c r="AE108" s="734">
        <f>'BASE DE DATOS'!AE108</f>
        <v>23.4</v>
      </c>
      <c r="AF108" s="734">
        <f>'BASE DE DATOS'!AF108</f>
        <v>22.6</v>
      </c>
      <c r="AG108" s="734">
        <f>'BASE DE DATOS'!AG108</f>
        <v>20</v>
      </c>
      <c r="AH108" s="734">
        <f>'BASE DE DATOS'!AH108</f>
        <v>14.1</v>
      </c>
      <c r="AI108" s="734">
        <f>'BASE DE DATOS'!AI108</f>
        <v>10.9</v>
      </c>
      <c r="AJ108" s="734">
        <f>'BASE DE DATOS'!AJ108</f>
        <v>7.7</v>
      </c>
      <c r="AK108" s="734">
        <f>'BASE DE DATOS'!AK108</f>
        <v>8</v>
      </c>
      <c r="AL108" s="734">
        <f>'BASE DE DATOS'!AL108</f>
        <v>9.1999999999999993</v>
      </c>
      <c r="AM108" s="734">
        <f>'BASE DE DATOS'!AM108</f>
        <v>11.8</v>
      </c>
      <c r="AN108" s="734">
        <f>'BASE DE DATOS'!AN108</f>
        <v>14.9</v>
      </c>
      <c r="AO108" s="734">
        <f>'BASE DE DATOS'!AO108</f>
        <v>19.2</v>
      </c>
      <c r="AP108" s="734">
        <f>'BASE DE DATOS'!AP108</f>
        <v>22.2</v>
      </c>
      <c r="AR108" s="734" t="str">
        <f>'BASE DE DATOS'!AR108</f>
        <v>LP</v>
      </c>
      <c r="AS108" s="734" t="str">
        <f>'BASE DE DATOS'!AS108</f>
        <v>SANTA ROSA</v>
      </c>
      <c r="AT108" s="734">
        <f>'BASE DE DATOS'!AT108</f>
        <v>6.5</v>
      </c>
      <c r="AU108" s="734">
        <f>'BASE DE DATOS'!AU108</f>
        <v>6</v>
      </c>
      <c r="AV108" s="734">
        <f>'BASE DE DATOS'!AV108</f>
        <v>4.5</v>
      </c>
      <c r="AW108" s="734">
        <f>'BASE DE DATOS'!AW108</f>
        <v>3</v>
      </c>
      <c r="AX108" s="734">
        <f>'BASE DE DATOS'!AX108</f>
        <v>2.5</v>
      </c>
      <c r="AY108" s="734">
        <f>'BASE DE DATOS'!AY108</f>
        <v>1.5</v>
      </c>
      <c r="AZ108" s="734">
        <f>'BASE DE DATOS'!AZ108</f>
        <v>2</v>
      </c>
      <c r="BA108" s="734">
        <f>'BASE DE DATOS'!BA108</f>
        <v>3</v>
      </c>
      <c r="BB108" s="734">
        <f>'BASE DE DATOS'!BB108</f>
        <v>4</v>
      </c>
      <c r="BC108" s="734">
        <f>'BASE DE DATOS'!BC108</f>
        <v>5</v>
      </c>
      <c r="BD108" s="734">
        <f>'BASE DE DATOS'!BD108</f>
        <v>6</v>
      </c>
      <c r="BE108" s="734">
        <f>'BASE DE DATOS'!BE108</f>
        <v>7</v>
      </c>
      <c r="DO108" s="733" t="str">
        <f>'BASE DE DATOS'!BG108</f>
        <v>LP</v>
      </c>
      <c r="DP108" s="733" t="str">
        <f>'BASE DE DATOS'!BH108</f>
        <v>SANTA ROSA</v>
      </c>
      <c r="DQ108" s="733">
        <f>'BASE DE DATOS'!BI108</f>
        <v>4</v>
      </c>
      <c r="DR108" s="733">
        <f>'BASE DE DATOS'!BJ108</f>
        <v>6</v>
      </c>
      <c r="DS108" s="733">
        <f>'BASE DE DATOS'!BK108</f>
        <v>8</v>
      </c>
      <c r="DT108" s="733">
        <f>'BASE DE DATOS'!BL108</f>
        <v>41</v>
      </c>
      <c r="DU108" s="733">
        <f>'BASE DE DATOS'!BM108</f>
        <v>126</v>
      </c>
      <c r="DV108" s="733">
        <f>'BASE DE DATOS'!BN108</f>
        <v>154</v>
      </c>
      <c r="DW108" s="733">
        <f>'BASE DE DATOS'!BO108</f>
        <v>133</v>
      </c>
      <c r="DX108" s="733">
        <f>'BASE DE DATOS'!BP108</f>
        <v>99</v>
      </c>
      <c r="DY108" s="733">
        <f>'BASE DE DATOS'!BQ108</f>
        <v>53</v>
      </c>
      <c r="DZ108" s="733">
        <f>'BASE DE DATOS'!BR108</f>
        <v>26</v>
      </c>
      <c r="EA108" s="733">
        <f>'BASE DE DATOS'!BS108</f>
        <v>15</v>
      </c>
      <c r="EB108" s="733">
        <f>'BASE DE DATOS'!BT108</f>
        <v>8</v>
      </c>
      <c r="GM108" s="741"/>
      <c r="GN108" s="741"/>
      <c r="GO108" s="741"/>
      <c r="GP108" s="741"/>
      <c r="GQ108" s="741"/>
      <c r="GR108" s="741"/>
      <c r="GS108" s="727"/>
      <c r="GT108" s="727"/>
      <c r="GU108" s="727"/>
      <c r="GV108" s="741"/>
      <c r="GW108" s="741"/>
      <c r="GX108" s="741"/>
      <c r="GY108" s="1182"/>
    </row>
    <row r="109" spans="2:207" ht="16">
      <c r="B109" s="734" t="str">
        <f>'BASE DE DATOS'!B109</f>
        <v>LR</v>
      </c>
      <c r="C109" s="734" t="str">
        <f>'BASE DE DATOS'!C109</f>
        <v>CHAMICAL</v>
      </c>
      <c r="D109" s="734">
        <f>'BASE DE DATOS'!D109</f>
        <v>30.37</v>
      </c>
      <c r="E109" s="734">
        <f>'BASE DE DATOS'!E109</f>
        <v>66.28</v>
      </c>
      <c r="F109" s="734">
        <f>'BASE DE DATOS'!F109</f>
        <v>461</v>
      </c>
      <c r="G109" s="734" t="str">
        <f>'BASE DE DATOS'!G109</f>
        <v>IIA</v>
      </c>
      <c r="H109" s="734">
        <f>'BASE DE DATOS'!H109</f>
        <v>-0.2</v>
      </c>
      <c r="I109" s="734">
        <f>'BASE DE DATOS'!I109</f>
        <v>12.6</v>
      </c>
      <c r="J109" s="734">
        <f>'BASE DE DATOS'!J109</f>
        <v>25.9</v>
      </c>
      <c r="K109" s="734">
        <f>'BASE DE DATOS'!K109</f>
        <v>36.6</v>
      </c>
      <c r="L109" s="734">
        <f>'BASE DE DATOS'!L109</f>
        <v>54</v>
      </c>
      <c r="M109" s="734">
        <f>'BASE DE DATOS'!M109</f>
        <v>58</v>
      </c>
      <c r="N109" s="734">
        <f>'BASE DE DATOS'!N109</f>
        <v>54</v>
      </c>
      <c r="O109" s="734">
        <f>'BASE DE DATOS'!O109</f>
        <v>4</v>
      </c>
      <c r="P109" s="734">
        <f>'BASE DE DATOS'!P109</f>
        <v>67</v>
      </c>
      <c r="Q109" s="734">
        <f>'BASE DE DATOS'!Q109</f>
        <v>2</v>
      </c>
      <c r="R109" s="734">
        <f>'BASE DE DATOS'!R109</f>
        <v>25.7</v>
      </c>
      <c r="S109" s="734">
        <f>'BASE DE DATOS'!S109</f>
        <v>0.49</v>
      </c>
      <c r="T109" s="734">
        <f>'BASE DE DATOS'!T109</f>
        <v>7.9</v>
      </c>
      <c r="U109" s="734">
        <f>'BASE DE DATOS'!U109</f>
        <v>12.3</v>
      </c>
      <c r="V109" s="734">
        <f>'BASE DE DATOS'!V109</f>
        <v>165</v>
      </c>
      <c r="W109" s="734">
        <f>'BASE DE DATOS'!W109</f>
        <v>50</v>
      </c>
      <c r="X109" s="734">
        <f>'BASE DE DATOS'!X109</f>
        <v>8.9999999999999993E-3</v>
      </c>
      <c r="Y109" s="734">
        <f>'BASE DE DATOS'!Y109</f>
        <v>7.0000000000000001E-3</v>
      </c>
      <c r="Z109" s="734">
        <f>'BASE DE DATOS'!Z109</f>
        <v>155</v>
      </c>
      <c r="AA109" s="734">
        <f>'BASE DE DATOS'!AA109</f>
        <v>1.55</v>
      </c>
      <c r="AB109" s="734">
        <f>'BASE DE DATOS'!AB109</f>
        <v>30</v>
      </c>
      <c r="AD109" s="734" t="str">
        <f>'BASE DE DATOS'!AD109</f>
        <v>CHAMICAL</v>
      </c>
      <c r="AE109" s="734">
        <f>'BASE DE DATOS'!AE109</f>
        <v>26.9</v>
      </c>
      <c r="AF109" s="734">
        <f>'BASE DE DATOS'!AF109</f>
        <v>25.5</v>
      </c>
      <c r="AG109" s="734">
        <f>'BASE DE DATOS'!AG109</f>
        <v>23.3</v>
      </c>
      <c r="AH109" s="734">
        <f>'BASE DE DATOS'!AH109</f>
        <v>19.5</v>
      </c>
      <c r="AI109" s="734">
        <f>'BASE DE DATOS'!AI109</f>
        <v>16</v>
      </c>
      <c r="AJ109" s="734">
        <f>'BASE DE DATOS'!AJ109</f>
        <v>12.2</v>
      </c>
      <c r="AK109" s="734">
        <f>'BASE DE DATOS'!AK109</f>
        <v>11.9</v>
      </c>
      <c r="AL109" s="734">
        <f>'BASE DE DATOS'!AL109</f>
        <v>14.3</v>
      </c>
      <c r="AM109" s="734">
        <f>'BASE DE DATOS'!AM109</f>
        <v>17.5</v>
      </c>
      <c r="AN109" s="734">
        <f>'BASE DE DATOS'!AN109</f>
        <v>21.6</v>
      </c>
      <c r="AO109" s="734">
        <f>'BASE DE DATOS'!AO109</f>
        <v>24.1</v>
      </c>
      <c r="AP109" s="734">
        <f>'BASE DE DATOS'!AP109</f>
        <v>26.4</v>
      </c>
      <c r="AR109" s="734" t="str">
        <f>'BASE DE DATOS'!AR109</f>
        <v>LR</v>
      </c>
      <c r="AS109" s="734" t="str">
        <f>'BASE DE DATOS'!AS109</f>
        <v>CHAMICAL</v>
      </c>
      <c r="AT109" s="734">
        <f>'BASE DE DATOS'!AT109</f>
        <v>5.5</v>
      </c>
      <c r="AU109" s="734">
        <f>'BASE DE DATOS'!AU109</f>
        <v>5</v>
      </c>
      <c r="AV109" s="734">
        <f>'BASE DE DATOS'!AV109</f>
        <v>4</v>
      </c>
      <c r="AW109" s="734">
        <f>'BASE DE DATOS'!AW109</f>
        <v>3.5</v>
      </c>
      <c r="AX109" s="734">
        <f>'BASE DE DATOS'!AX109</f>
        <v>3</v>
      </c>
      <c r="AY109" s="734">
        <f>'BASE DE DATOS'!AY109</f>
        <v>2.5</v>
      </c>
      <c r="AZ109" s="734">
        <f>'BASE DE DATOS'!AZ109</f>
        <v>2.5</v>
      </c>
      <c r="BA109" s="734">
        <f>'BASE DE DATOS'!BA109</f>
        <v>3.5</v>
      </c>
      <c r="BB109" s="734">
        <f>'BASE DE DATOS'!BB109</f>
        <v>4.5</v>
      </c>
      <c r="BC109" s="734">
        <f>'BASE DE DATOS'!BC109</f>
        <v>5</v>
      </c>
      <c r="BD109" s="734">
        <f>'BASE DE DATOS'!BD109</f>
        <v>5.5</v>
      </c>
      <c r="BE109" s="734">
        <f>'BASE DE DATOS'!BE109</f>
        <v>5.5</v>
      </c>
      <c r="DO109" s="733" t="str">
        <f>'BASE DE DATOS'!BG109</f>
        <v>LR</v>
      </c>
      <c r="DP109" s="733" t="str">
        <f>'BASE DE DATOS'!BH109</f>
        <v>CHAMICAL</v>
      </c>
      <c r="DQ109" s="733">
        <f>'BASE DE DATOS'!BI109</f>
        <v>71</v>
      </c>
      <c r="DR109" s="733">
        <f>'BASE DE DATOS'!BJ109</f>
        <v>58</v>
      </c>
      <c r="DS109" s="733">
        <f>'BASE DE DATOS'!BK109</f>
        <v>54</v>
      </c>
      <c r="DT109" s="733">
        <f>'BASE DE DATOS'!BL109</f>
        <v>18</v>
      </c>
      <c r="DU109" s="733">
        <f>'BASE DE DATOS'!BM109</f>
        <v>10</v>
      </c>
      <c r="DV109" s="733">
        <f>'BASE DE DATOS'!BN109</f>
        <v>3</v>
      </c>
      <c r="DW109" s="733">
        <f>'BASE DE DATOS'!BO109</f>
        <v>4</v>
      </c>
      <c r="DX109" s="733">
        <f>'BASE DE DATOS'!BP109</f>
        <v>5</v>
      </c>
      <c r="DY109" s="733">
        <f>'BASE DE DATOS'!BQ109</f>
        <v>6</v>
      </c>
      <c r="DZ109" s="733">
        <f>'BASE DE DATOS'!BR109</f>
        <v>20</v>
      </c>
      <c r="EA109" s="733">
        <f>'BASE DE DATOS'!BS109</f>
        <v>30</v>
      </c>
      <c r="EB109" s="733">
        <f>'BASE DE DATOS'!BT109</f>
        <v>51</v>
      </c>
      <c r="GM109" s="741"/>
      <c r="GN109" s="741"/>
      <c r="GO109" s="741"/>
      <c r="GP109" s="741"/>
      <c r="GQ109" s="741"/>
      <c r="GR109" s="741"/>
      <c r="GS109" s="727"/>
      <c r="GT109" s="727"/>
      <c r="GU109" s="727"/>
      <c r="GV109" s="741"/>
      <c r="GW109" s="741"/>
      <c r="GX109" s="741"/>
      <c r="GY109" s="727"/>
    </row>
    <row r="110" spans="2:207" ht="16">
      <c r="B110" s="734" t="str">
        <f>'BASE DE DATOS'!B110</f>
        <v>LR</v>
      </c>
      <c r="C110" s="734" t="str">
        <f>'BASE DE DATOS'!C110</f>
        <v>CHEPES</v>
      </c>
      <c r="D110" s="734">
        <f>'BASE DE DATOS'!D110</f>
        <v>31.33</v>
      </c>
      <c r="E110" s="734">
        <f>'BASE DE DATOS'!E110</f>
        <v>66.599999999999994</v>
      </c>
      <c r="F110" s="734">
        <f>'BASE DE DATOS'!F110</f>
        <v>658</v>
      </c>
      <c r="G110" s="734" t="str">
        <f>'BASE DE DATOS'!G110</f>
        <v>IIA</v>
      </c>
      <c r="H110" s="734">
        <f>'BASE DE DATOS'!H110</f>
        <v>-0.8</v>
      </c>
      <c r="I110" s="734">
        <f>'BASE DE DATOS'!I110</f>
        <v>11.5</v>
      </c>
      <c r="J110" s="734">
        <f>'BASE DE DATOS'!J110</f>
        <v>25.8</v>
      </c>
      <c r="K110" s="734">
        <f>'BASE DE DATOS'!K110</f>
        <v>37.200000000000003</v>
      </c>
      <c r="L110" s="734">
        <f>'BASE DE DATOS'!L110</f>
        <v>57</v>
      </c>
      <c r="M110" s="734">
        <f>'BASE DE DATOS'!M110</f>
        <v>63</v>
      </c>
      <c r="N110" s="734">
        <f>'BASE DE DATOS'!N110</f>
        <v>57</v>
      </c>
      <c r="O110" s="734">
        <f>'BASE DE DATOS'!O110</f>
        <v>5</v>
      </c>
      <c r="P110" s="734">
        <f>'BASE DE DATOS'!P110</f>
        <v>60</v>
      </c>
      <c r="Q110" s="734">
        <f>'BASE DE DATOS'!Q110</f>
        <v>2</v>
      </c>
      <c r="R110" s="734">
        <f>'BASE DE DATOS'!R110</f>
        <v>26.2</v>
      </c>
      <c r="S110" s="734">
        <f>'BASE DE DATOS'!S110</f>
        <v>0.51</v>
      </c>
      <c r="T110" s="734">
        <f>'BASE DE DATOS'!T110</f>
        <v>7.9</v>
      </c>
      <c r="U110" s="734">
        <f>'BASE DE DATOS'!U110</f>
        <v>12.3</v>
      </c>
      <c r="V110" s="734">
        <f>'BASE DE DATOS'!V110</f>
        <v>165</v>
      </c>
      <c r="W110" s="734">
        <f>'BASE DE DATOS'!W110</f>
        <v>50</v>
      </c>
      <c r="X110" s="734">
        <f>'BASE DE DATOS'!X110</f>
        <v>8.9999999999999993E-3</v>
      </c>
      <c r="Y110" s="734">
        <f>'BASE DE DATOS'!Y110</f>
        <v>7.0000000000000001E-3</v>
      </c>
      <c r="Z110" s="734">
        <f>'BASE DE DATOS'!Z110</f>
        <v>145</v>
      </c>
      <c r="AA110" s="734">
        <f>'BASE DE DATOS'!AA110</f>
        <v>1.45</v>
      </c>
      <c r="AB110" s="734">
        <f>'BASE DE DATOS'!AB110</f>
        <v>30</v>
      </c>
      <c r="AD110" s="734" t="str">
        <f>'BASE DE DATOS'!AD110</f>
        <v>CHEPES</v>
      </c>
      <c r="AE110" s="734">
        <f>'BASE DE DATOS'!AE110</f>
        <v>26.5</v>
      </c>
      <c r="AF110" s="734">
        <f>'BASE DE DATOS'!AF110</f>
        <v>25.5</v>
      </c>
      <c r="AG110" s="734">
        <f>'BASE DE DATOS'!AG110</f>
        <v>23</v>
      </c>
      <c r="AH110" s="734">
        <f>'BASE DE DATOS'!AH110</f>
        <v>18.100000000000001</v>
      </c>
      <c r="AI110" s="734">
        <f>'BASE DE DATOS'!AI110</f>
        <v>14.4</v>
      </c>
      <c r="AJ110" s="734">
        <f>'BASE DE DATOS'!AJ110</f>
        <v>10.9</v>
      </c>
      <c r="AK110" s="734">
        <f>'BASE DE DATOS'!AK110</f>
        <v>10.8</v>
      </c>
      <c r="AL110" s="734">
        <f>'BASE DE DATOS'!AL110</f>
        <v>12.7</v>
      </c>
      <c r="AM110" s="734">
        <f>'BASE DE DATOS'!AM110</f>
        <v>16.399999999999999</v>
      </c>
      <c r="AN110" s="734">
        <f>'BASE DE DATOS'!AN110</f>
        <v>19.399999999999999</v>
      </c>
      <c r="AO110" s="734">
        <f>'BASE DE DATOS'!AO110</f>
        <v>22.5</v>
      </c>
      <c r="AP110" s="734">
        <f>'BASE DE DATOS'!AP110</f>
        <v>25</v>
      </c>
      <c r="AR110" s="734" t="str">
        <f>'BASE DE DATOS'!AR110</f>
        <v>LR</v>
      </c>
      <c r="AS110" s="734" t="str">
        <f>'BASE DE DATOS'!AS110</f>
        <v>CHEPES</v>
      </c>
      <c r="AT110" s="734">
        <f>'BASE DE DATOS'!AT110</f>
        <v>5.5</v>
      </c>
      <c r="AU110" s="734">
        <f>'BASE DE DATOS'!AU110</f>
        <v>5</v>
      </c>
      <c r="AV110" s="734">
        <f>'BASE DE DATOS'!AV110</f>
        <v>4</v>
      </c>
      <c r="AW110" s="734">
        <f>'BASE DE DATOS'!AW110</f>
        <v>3.5</v>
      </c>
      <c r="AX110" s="734">
        <f>'BASE DE DATOS'!AX110</f>
        <v>3</v>
      </c>
      <c r="AY110" s="734">
        <f>'BASE DE DATOS'!AY110</f>
        <v>2.5</v>
      </c>
      <c r="AZ110" s="734">
        <f>'BASE DE DATOS'!AZ110</f>
        <v>2.5</v>
      </c>
      <c r="BA110" s="734">
        <f>'BASE DE DATOS'!BA110</f>
        <v>3.5</v>
      </c>
      <c r="BB110" s="734">
        <f>'BASE DE DATOS'!BB110</f>
        <v>4.5</v>
      </c>
      <c r="BC110" s="734">
        <f>'BASE DE DATOS'!BC110</f>
        <v>5</v>
      </c>
      <c r="BD110" s="734">
        <f>'BASE DE DATOS'!BD110</f>
        <v>5.5</v>
      </c>
      <c r="BE110" s="734">
        <f>'BASE DE DATOS'!BE110</f>
        <v>6</v>
      </c>
      <c r="DO110" s="733" t="str">
        <f>'BASE DE DATOS'!BG110</f>
        <v>LR</v>
      </c>
      <c r="DP110" s="733" t="str">
        <f>'BASE DE DATOS'!BH110</f>
        <v>CHEPES</v>
      </c>
      <c r="DQ110" s="733">
        <f>'BASE DE DATOS'!BI110</f>
        <v>71</v>
      </c>
      <c r="DR110" s="733">
        <f>'BASE DE DATOS'!BJ110</f>
        <v>58</v>
      </c>
      <c r="DS110" s="733">
        <f>'BASE DE DATOS'!BK110</f>
        <v>54</v>
      </c>
      <c r="DT110" s="733">
        <f>'BASE DE DATOS'!BL110</f>
        <v>18</v>
      </c>
      <c r="DU110" s="733">
        <f>'BASE DE DATOS'!BM110</f>
        <v>10</v>
      </c>
      <c r="DV110" s="733">
        <f>'BASE DE DATOS'!BN110</f>
        <v>3</v>
      </c>
      <c r="DW110" s="733">
        <f>'BASE DE DATOS'!BO110</f>
        <v>4</v>
      </c>
      <c r="DX110" s="733">
        <f>'BASE DE DATOS'!BP110</f>
        <v>5</v>
      </c>
      <c r="DY110" s="733">
        <f>'BASE DE DATOS'!BQ110</f>
        <v>6</v>
      </c>
      <c r="DZ110" s="733">
        <f>'BASE DE DATOS'!BR110</f>
        <v>20</v>
      </c>
      <c r="EA110" s="733">
        <f>'BASE DE DATOS'!BS110</f>
        <v>30</v>
      </c>
      <c r="EB110" s="733">
        <f>'BASE DE DATOS'!BT110</f>
        <v>51</v>
      </c>
      <c r="GM110" s="741"/>
      <c r="GN110" s="741"/>
      <c r="GO110" s="741"/>
      <c r="GP110" s="741"/>
      <c r="GQ110" s="741"/>
      <c r="GR110" s="741"/>
      <c r="GS110" s="727"/>
      <c r="GT110" s="727"/>
      <c r="GU110" s="727"/>
      <c r="GV110" s="741"/>
      <c r="GW110" s="741"/>
      <c r="GX110" s="741"/>
      <c r="GY110" s="727"/>
    </row>
    <row r="111" spans="2:207" ht="16">
      <c r="B111" s="734" t="str">
        <f>'BASE DE DATOS'!B111</f>
        <v>LR</v>
      </c>
      <c r="C111" s="734" t="str">
        <f>'BASE DE DATOS'!C111</f>
        <v>CHILECITO</v>
      </c>
      <c r="D111" s="734">
        <f>'BASE DE DATOS'!D111</f>
        <v>29.17</v>
      </c>
      <c r="E111" s="734">
        <f>'BASE DE DATOS'!E111</f>
        <v>67.52</v>
      </c>
      <c r="F111" s="734">
        <f>'BASE DE DATOS'!F111</f>
        <v>1170</v>
      </c>
      <c r="G111" s="734" t="str">
        <f>'BASE DE DATOS'!G111</f>
        <v>IIIA</v>
      </c>
      <c r="H111" s="734">
        <f>'BASE DE DATOS'!H111</f>
        <v>-2.2000000000000002</v>
      </c>
      <c r="I111" s="734">
        <f>'BASE DE DATOS'!I111</f>
        <v>10.3</v>
      </c>
      <c r="J111" s="734">
        <f>'BASE DE DATOS'!J111</f>
        <v>23.4</v>
      </c>
      <c r="K111" s="734">
        <f>'BASE DE DATOS'!K111</f>
        <v>34.6</v>
      </c>
      <c r="L111" s="734">
        <f>'BASE DE DATOS'!L111</f>
        <v>60</v>
      </c>
      <c r="M111" s="734">
        <f>'BASE DE DATOS'!M111</f>
        <v>59</v>
      </c>
      <c r="N111" s="734">
        <f>'BASE DE DATOS'!N111</f>
        <v>60</v>
      </c>
      <c r="O111" s="734">
        <f>'BASE DE DATOS'!O111</f>
        <v>5</v>
      </c>
      <c r="P111" s="734">
        <f>'BASE DE DATOS'!P111</f>
        <v>33</v>
      </c>
      <c r="Q111" s="734">
        <f>'BASE DE DATOS'!Q111</f>
        <v>3</v>
      </c>
      <c r="R111" s="734">
        <f>'BASE DE DATOS'!R111</f>
        <v>23.3</v>
      </c>
      <c r="S111" s="734">
        <f>'BASE DE DATOS'!S111</f>
        <v>0.49</v>
      </c>
      <c r="T111" s="734">
        <f>'BASE DE DATOS'!T111</f>
        <v>7.9</v>
      </c>
      <c r="U111" s="734">
        <f>'BASE DE DATOS'!U111</f>
        <v>12.3</v>
      </c>
      <c r="V111" s="734">
        <f>'BASE DE DATOS'!V111</f>
        <v>165</v>
      </c>
      <c r="W111" s="734">
        <f>'BASE DE DATOS'!W111</f>
        <v>50</v>
      </c>
      <c r="X111" s="734">
        <f>'BASE DE DATOS'!X111</f>
        <v>8.9999999999999993E-3</v>
      </c>
      <c r="Y111" s="734">
        <f>'BASE DE DATOS'!Y111</f>
        <v>7.0000000000000001E-3</v>
      </c>
      <c r="Z111" s="734">
        <f>'BASE DE DATOS'!Z111</f>
        <v>95</v>
      </c>
      <c r="AA111" s="734">
        <f>'BASE DE DATOS'!AA111</f>
        <v>0.95000000000000007</v>
      </c>
      <c r="AB111" s="734">
        <f>'BASE DE DATOS'!AB111</f>
        <v>30</v>
      </c>
      <c r="AD111" s="734" t="str">
        <f>'BASE DE DATOS'!AD111</f>
        <v>CHILECITO</v>
      </c>
      <c r="AE111" s="734">
        <f>'BASE DE DATOS'!AE111</f>
        <v>25.8</v>
      </c>
      <c r="AF111" s="734">
        <f>'BASE DE DATOS'!AF111</f>
        <v>24.9</v>
      </c>
      <c r="AG111" s="734">
        <f>'BASE DE DATOS'!AG111</f>
        <v>21.3</v>
      </c>
      <c r="AH111" s="734">
        <f>'BASE DE DATOS'!AH111</f>
        <v>16.600000000000001</v>
      </c>
      <c r="AI111" s="734">
        <f>'BASE DE DATOS'!AI111</f>
        <v>13</v>
      </c>
      <c r="AJ111" s="734">
        <f>'BASE DE DATOS'!AJ111</f>
        <v>9.6999999999999993</v>
      </c>
      <c r="AK111" s="734">
        <f>'BASE DE DATOS'!AK111</f>
        <v>9.4</v>
      </c>
      <c r="AL111" s="734">
        <f>'BASE DE DATOS'!AL111</f>
        <v>12.2</v>
      </c>
      <c r="AM111" s="734">
        <f>'BASE DE DATOS'!AM111</f>
        <v>15.1</v>
      </c>
      <c r="AN111" s="734">
        <f>'BASE DE DATOS'!AN111</f>
        <v>18.5</v>
      </c>
      <c r="AO111" s="734">
        <f>'BASE DE DATOS'!AO111</f>
        <v>22.5</v>
      </c>
      <c r="AP111" s="734">
        <f>'BASE DE DATOS'!AP111</f>
        <v>24.7</v>
      </c>
      <c r="AR111" s="734" t="str">
        <f>'BASE DE DATOS'!AR111</f>
        <v>LR</v>
      </c>
      <c r="AS111" s="734" t="str">
        <f>'BASE DE DATOS'!AS111</f>
        <v>CHILECITO</v>
      </c>
      <c r="AT111" s="734">
        <f>'BASE DE DATOS'!AT111</f>
        <v>5.5</v>
      </c>
      <c r="AU111" s="734">
        <f>'BASE DE DATOS'!AU111</f>
        <v>5.5</v>
      </c>
      <c r="AV111" s="734">
        <f>'BASE DE DATOS'!AV111</f>
        <v>5</v>
      </c>
      <c r="AW111" s="734">
        <f>'BASE DE DATOS'!AW111</f>
        <v>4</v>
      </c>
      <c r="AX111" s="734">
        <f>'BASE DE DATOS'!AX111</f>
        <v>3.5</v>
      </c>
      <c r="AY111" s="734">
        <f>'BASE DE DATOS'!AY111</f>
        <v>3</v>
      </c>
      <c r="AZ111" s="734">
        <f>'BASE DE DATOS'!AZ111</f>
        <v>3</v>
      </c>
      <c r="BA111" s="734">
        <f>'BASE DE DATOS'!BA111</f>
        <v>4</v>
      </c>
      <c r="BB111" s="734">
        <f>'BASE DE DATOS'!BB111</f>
        <v>5</v>
      </c>
      <c r="BC111" s="734">
        <f>'BASE DE DATOS'!BC111</f>
        <v>6</v>
      </c>
      <c r="BD111" s="734">
        <f>'BASE DE DATOS'!BD111</f>
        <v>6.5</v>
      </c>
      <c r="BE111" s="734">
        <f>'BASE DE DATOS'!BE111</f>
        <v>7</v>
      </c>
      <c r="DO111" s="733" t="str">
        <f>'BASE DE DATOS'!BG111</f>
        <v>LR</v>
      </c>
      <c r="DP111" s="733" t="str">
        <f>'BASE DE DATOS'!BH111</f>
        <v>CHILECITO</v>
      </c>
      <c r="DQ111" s="733">
        <f>'BASE DE DATOS'!BI111</f>
        <v>71</v>
      </c>
      <c r="DR111" s="733">
        <f>'BASE DE DATOS'!BJ111</f>
        <v>58</v>
      </c>
      <c r="DS111" s="733">
        <f>'BASE DE DATOS'!BK111</f>
        <v>54</v>
      </c>
      <c r="DT111" s="733">
        <f>'BASE DE DATOS'!BL111</f>
        <v>18</v>
      </c>
      <c r="DU111" s="733">
        <f>'BASE DE DATOS'!BM111</f>
        <v>10</v>
      </c>
      <c r="DV111" s="733">
        <f>'BASE DE DATOS'!BN111</f>
        <v>3</v>
      </c>
      <c r="DW111" s="733">
        <f>'BASE DE DATOS'!BO111</f>
        <v>4</v>
      </c>
      <c r="DX111" s="733">
        <f>'BASE DE DATOS'!BP111</f>
        <v>5</v>
      </c>
      <c r="DY111" s="733">
        <f>'BASE DE DATOS'!BQ111</f>
        <v>6</v>
      </c>
      <c r="DZ111" s="733">
        <f>'BASE DE DATOS'!BR111</f>
        <v>20</v>
      </c>
      <c r="EA111" s="733">
        <f>'BASE DE DATOS'!BS111</f>
        <v>30</v>
      </c>
      <c r="EB111" s="733">
        <f>'BASE DE DATOS'!BT111</f>
        <v>51</v>
      </c>
      <c r="GM111" s="741"/>
      <c r="GN111" s="741"/>
      <c r="GO111" s="741"/>
      <c r="GP111" s="741"/>
      <c r="GQ111" s="741"/>
      <c r="GR111" s="741"/>
      <c r="GS111" s="727"/>
      <c r="GT111" s="727"/>
      <c r="GU111" s="727"/>
      <c r="GV111" s="741"/>
      <c r="GW111" s="741"/>
      <c r="GX111" s="741"/>
      <c r="GY111" s="727"/>
    </row>
    <row r="112" spans="2:207" ht="16">
      <c r="B112" s="734" t="str">
        <f>'BASE DE DATOS'!B112</f>
        <v>LR</v>
      </c>
      <c r="C112" s="734" t="str">
        <f>'BASE DE DATOS'!C112</f>
        <v>LA RIOJA</v>
      </c>
      <c r="D112" s="734">
        <f>'BASE DE DATOS'!D112</f>
        <v>29.38</v>
      </c>
      <c r="E112" s="734">
        <f>'BASE DE DATOS'!E112</f>
        <v>66.819999999999993</v>
      </c>
      <c r="F112" s="734">
        <f>'BASE DE DATOS'!F112</f>
        <v>430</v>
      </c>
      <c r="G112" s="734" t="str">
        <f>'BASE DE DATOS'!G112</f>
        <v>IA</v>
      </c>
      <c r="H112" s="734">
        <f>'BASE DE DATOS'!H112</f>
        <v>-0.6</v>
      </c>
      <c r="I112" s="734">
        <f>'BASE DE DATOS'!I112</f>
        <v>12.2</v>
      </c>
      <c r="J112" s="734">
        <f>'BASE DE DATOS'!J112</f>
        <v>27.3</v>
      </c>
      <c r="K112" s="734">
        <f>'BASE DE DATOS'!K112</f>
        <v>38.799999999999997</v>
      </c>
      <c r="L112" s="734">
        <f>'BASE DE DATOS'!L112</f>
        <v>56</v>
      </c>
      <c r="M112" s="734">
        <f>'BASE DE DATOS'!M112</f>
        <v>60</v>
      </c>
      <c r="N112" s="734">
        <f>'BASE DE DATOS'!N112</f>
        <v>56</v>
      </c>
      <c r="O112" s="734">
        <f>'BASE DE DATOS'!O112</f>
        <v>4</v>
      </c>
      <c r="P112" s="734">
        <f>'BASE DE DATOS'!P112</f>
        <v>53</v>
      </c>
      <c r="Q112" s="734">
        <f>'BASE DE DATOS'!Q112</f>
        <v>1</v>
      </c>
      <c r="R112" s="734">
        <f>'BASE DE DATOS'!R112</f>
        <v>27.4</v>
      </c>
      <c r="S112" s="734">
        <f>'BASE DE DATOS'!S112</f>
        <v>0.49</v>
      </c>
      <c r="T112" s="734">
        <f>'BASE DE DATOS'!T112</f>
        <v>7.9</v>
      </c>
      <c r="U112" s="734">
        <f>'BASE DE DATOS'!U112</f>
        <v>12.3</v>
      </c>
      <c r="V112" s="734">
        <f>'BASE DE DATOS'!V112</f>
        <v>165</v>
      </c>
      <c r="W112" s="734">
        <f>'BASE DE DATOS'!W112</f>
        <v>50</v>
      </c>
      <c r="X112" s="734">
        <f>'BASE DE DATOS'!X112</f>
        <v>8.9999999999999993E-3</v>
      </c>
      <c r="Y112" s="734">
        <f>'BASE DE DATOS'!Y112</f>
        <v>7.0000000000000001E-3</v>
      </c>
      <c r="Z112" s="734">
        <f>'BASE DE DATOS'!Z112</f>
        <v>155</v>
      </c>
      <c r="AA112" s="734">
        <f>'BASE DE DATOS'!AA112</f>
        <v>1.55</v>
      </c>
      <c r="AB112" s="734">
        <f>'BASE DE DATOS'!AB112</f>
        <v>30</v>
      </c>
      <c r="AD112" s="734" t="str">
        <f>'BASE DE DATOS'!AD112</f>
        <v>LA RIOJA</v>
      </c>
      <c r="AE112" s="734">
        <f>'BASE DE DATOS'!AE112</f>
        <v>28</v>
      </c>
      <c r="AF112" s="734">
        <f>'BASE DE DATOS'!AF112</f>
        <v>26.6</v>
      </c>
      <c r="AG112" s="734">
        <f>'BASE DE DATOS'!AG112</f>
        <v>24</v>
      </c>
      <c r="AH112" s="734">
        <f>'BASE DE DATOS'!AH112</f>
        <v>19</v>
      </c>
      <c r="AI112" s="734">
        <f>'BASE DE DATOS'!AI112</f>
        <v>14.8</v>
      </c>
      <c r="AJ112" s="734">
        <f>'BASE DE DATOS'!AJ112</f>
        <v>11.4</v>
      </c>
      <c r="AK112" s="734">
        <f>'BASE DE DATOS'!AK112</f>
        <v>10.9</v>
      </c>
      <c r="AL112" s="734">
        <f>'BASE DE DATOS'!AL112</f>
        <v>13.8</v>
      </c>
      <c r="AM112" s="734">
        <f>'BASE DE DATOS'!AM112</f>
        <v>17.5</v>
      </c>
      <c r="AN112" s="734">
        <f>'BASE DE DATOS'!AN112</f>
        <v>21.3</v>
      </c>
      <c r="AO112" s="734">
        <f>'BASE DE DATOS'!AO112</f>
        <v>25</v>
      </c>
      <c r="AP112" s="734">
        <f>'BASE DE DATOS'!AP112</f>
        <v>27.3</v>
      </c>
      <c r="AR112" s="734" t="str">
        <f>'BASE DE DATOS'!AR112</f>
        <v>LR</v>
      </c>
      <c r="AS112" s="734" t="str">
        <f>'BASE DE DATOS'!AS112</f>
        <v>LA RIOJA</v>
      </c>
      <c r="AT112" s="734">
        <f>'BASE DE DATOS'!AT112</f>
        <v>5.5</v>
      </c>
      <c r="AU112" s="734">
        <f>'BASE DE DATOS'!AU112</f>
        <v>5.5</v>
      </c>
      <c r="AV112" s="734">
        <f>'BASE DE DATOS'!AV112</f>
        <v>4.5</v>
      </c>
      <c r="AW112" s="734">
        <f>'BASE DE DATOS'!AW112</f>
        <v>3.5</v>
      </c>
      <c r="AX112" s="734">
        <f>'BASE DE DATOS'!AX112</f>
        <v>3</v>
      </c>
      <c r="AY112" s="734">
        <f>'BASE DE DATOS'!AY112</f>
        <v>2.5</v>
      </c>
      <c r="AZ112" s="734">
        <f>'BASE DE DATOS'!AZ112</f>
        <v>2.5</v>
      </c>
      <c r="BA112" s="734">
        <f>'BASE DE DATOS'!BA112</f>
        <v>3.5</v>
      </c>
      <c r="BB112" s="734">
        <f>'BASE DE DATOS'!BB112</f>
        <v>4.5</v>
      </c>
      <c r="BC112" s="734">
        <f>'BASE DE DATOS'!BC112</f>
        <v>4.5</v>
      </c>
      <c r="BD112" s="734">
        <f>'BASE DE DATOS'!BD112</f>
        <v>5.5</v>
      </c>
      <c r="BE112" s="734">
        <f>'BASE DE DATOS'!BE112</f>
        <v>6</v>
      </c>
      <c r="DO112" s="733" t="str">
        <f>'BASE DE DATOS'!BG112</f>
        <v>LR</v>
      </c>
      <c r="DP112" s="733" t="str">
        <f>'BASE DE DATOS'!BH112</f>
        <v>LA RIOJA</v>
      </c>
      <c r="DQ112" s="733">
        <f>'BASE DE DATOS'!BI112</f>
        <v>71</v>
      </c>
      <c r="DR112" s="733">
        <f>'BASE DE DATOS'!BJ112</f>
        <v>58</v>
      </c>
      <c r="DS112" s="733">
        <f>'BASE DE DATOS'!BK112</f>
        <v>54</v>
      </c>
      <c r="DT112" s="733">
        <f>'BASE DE DATOS'!BL112</f>
        <v>18</v>
      </c>
      <c r="DU112" s="733">
        <f>'BASE DE DATOS'!BM112</f>
        <v>10</v>
      </c>
      <c r="DV112" s="733">
        <f>'BASE DE DATOS'!BN112</f>
        <v>3</v>
      </c>
      <c r="DW112" s="733">
        <f>'BASE DE DATOS'!BO112</f>
        <v>4</v>
      </c>
      <c r="DX112" s="733">
        <f>'BASE DE DATOS'!BP112</f>
        <v>5</v>
      </c>
      <c r="DY112" s="733">
        <f>'BASE DE DATOS'!BQ112</f>
        <v>6</v>
      </c>
      <c r="DZ112" s="733">
        <f>'BASE DE DATOS'!BR112</f>
        <v>20</v>
      </c>
      <c r="EA112" s="733">
        <f>'BASE DE DATOS'!BS112</f>
        <v>30</v>
      </c>
      <c r="EB112" s="733">
        <f>'BASE DE DATOS'!BT112</f>
        <v>51</v>
      </c>
      <c r="GM112" s="741"/>
      <c r="GN112" s="741"/>
      <c r="GO112" s="741"/>
      <c r="GP112" s="741"/>
      <c r="GQ112" s="741"/>
      <c r="GR112" s="741"/>
      <c r="GS112" s="727"/>
      <c r="GT112" s="727"/>
      <c r="GU112" s="727"/>
      <c r="GV112" s="727"/>
      <c r="GW112" s="727"/>
      <c r="GX112" s="727"/>
      <c r="GY112" s="727"/>
    </row>
    <row r="113" spans="2:207" ht="16">
      <c r="B113" s="734" t="str">
        <f>'BASE DE DATOS'!B113</f>
        <v>MZ</v>
      </c>
      <c r="C113" s="734" t="str">
        <f>'BASE DE DATOS'!C113</f>
        <v>BARDAS BLANCAS</v>
      </c>
      <c r="D113" s="734">
        <f>'BASE DE DATOS'!D113</f>
        <v>35.869999999999997</v>
      </c>
      <c r="E113" s="734">
        <f>'BASE DE DATOS'!E113</f>
        <v>69.8</v>
      </c>
      <c r="F113" s="734">
        <f>'BASE DE DATOS'!F113</f>
        <v>1450</v>
      </c>
      <c r="G113" s="734" t="str">
        <f>'BASE DE DATOS'!G113</f>
        <v>V</v>
      </c>
      <c r="H113" s="734">
        <f>'BASE DE DATOS'!H113</f>
        <v>-5.7</v>
      </c>
      <c r="I113" s="734">
        <f>'BASE DE DATOS'!I113</f>
        <v>5.2</v>
      </c>
      <c r="J113" s="734">
        <f>'BASE DE DATOS'!J113</f>
        <v>18.5</v>
      </c>
      <c r="K113" s="734">
        <f>'BASE DE DATOS'!K113</f>
        <v>30.5</v>
      </c>
      <c r="L113" s="734">
        <f>'BASE DE DATOS'!L113</f>
        <v>36</v>
      </c>
      <c r="M113" s="734">
        <f>'BASE DE DATOS'!M113</f>
        <v>63</v>
      </c>
      <c r="N113" s="734">
        <f>'BASE DE DATOS'!N113</f>
        <v>36</v>
      </c>
      <c r="O113" s="734">
        <f>'BASE DE DATOS'!O113</f>
        <v>0</v>
      </c>
      <c r="P113" s="734">
        <f>'BASE DE DATOS'!P113</f>
        <v>0</v>
      </c>
      <c r="Q113" s="734">
        <f>'BASE DE DATOS'!Q113</f>
        <v>5</v>
      </c>
      <c r="R113" s="734">
        <f>'BASE DE DATOS'!R113</f>
        <v>18.399999999999999</v>
      </c>
      <c r="S113" s="734">
        <f>'BASE DE DATOS'!S113</f>
        <v>0.53</v>
      </c>
      <c r="T113" s="734">
        <f>'BASE DE DATOS'!T113</f>
        <v>29.7</v>
      </c>
      <c r="U113" s="734">
        <f>'BASE DE DATOS'!U113</f>
        <v>8</v>
      </c>
      <c r="V113" s="734">
        <f>'BASE DE DATOS'!V113</f>
        <v>200</v>
      </c>
      <c r="W113" s="734">
        <f>'BASE DE DATOS'!W113</f>
        <v>123</v>
      </c>
      <c r="X113" s="734">
        <f>'BASE DE DATOS'!X113</f>
        <v>4.0000000000000001E-3</v>
      </c>
      <c r="Y113" s="734">
        <f>'BASE DE DATOS'!Y113</f>
        <v>8.9999999999999993E-3</v>
      </c>
      <c r="Z113" s="734">
        <f>'BASE DE DATOS'!Z113</f>
        <v>115</v>
      </c>
      <c r="AA113" s="734">
        <f>'BASE DE DATOS'!AA113</f>
        <v>1.1500000000000001</v>
      </c>
      <c r="AB113" s="734">
        <f>'BASE DE DATOS'!AB113</f>
        <v>35</v>
      </c>
      <c r="AD113" s="734" t="str">
        <f>'BASE DE DATOS'!AD113</f>
        <v>BARDAS BLANCAS</v>
      </c>
      <c r="AE113" s="734">
        <f>'BASE DE DATOS'!AE113</f>
        <v>18.3</v>
      </c>
      <c r="AF113" s="734">
        <f>'BASE DE DATOS'!AF113</f>
        <v>17.399999999999999</v>
      </c>
      <c r="AG113" s="734">
        <f>'BASE DE DATOS'!AG113</f>
        <v>14.8</v>
      </c>
      <c r="AH113" s="734">
        <f>'BASE DE DATOS'!AH113</f>
        <v>10.6</v>
      </c>
      <c r="AI113" s="734">
        <f>'BASE DE DATOS'!AI113</f>
        <v>7.2</v>
      </c>
      <c r="AJ113" s="734">
        <f>'BASE DE DATOS'!AJ113</f>
        <v>4</v>
      </c>
      <c r="AK113" s="734">
        <f>'BASE DE DATOS'!AK113</f>
        <v>3.6</v>
      </c>
      <c r="AL113" s="734">
        <f>'BASE DE DATOS'!AL113</f>
        <v>5.0999999999999996</v>
      </c>
      <c r="AM113" s="734">
        <f>'BASE DE DATOS'!AM113</f>
        <v>7.3</v>
      </c>
      <c r="AN113" s="734">
        <f>'BASE DE DATOS'!AN113</f>
        <v>10.9</v>
      </c>
      <c r="AO113" s="734">
        <f>'BASE DE DATOS'!AO113</f>
        <v>14.3</v>
      </c>
      <c r="AP113" s="734">
        <f>'BASE DE DATOS'!AP113</f>
        <v>17.100000000000001</v>
      </c>
      <c r="AR113" s="734" t="str">
        <f>'BASE DE DATOS'!AR113</f>
        <v>MZ</v>
      </c>
      <c r="AS113" s="734" t="str">
        <f>'BASE DE DATOS'!AS113</f>
        <v>BARDAS BLANCAS</v>
      </c>
      <c r="AT113" s="734">
        <f>'BASE DE DATOS'!AT113</f>
        <v>7.5</v>
      </c>
      <c r="AU113" s="734">
        <f>'BASE DE DATOS'!AU113</f>
        <v>6.5</v>
      </c>
      <c r="AV113" s="734">
        <f>'BASE DE DATOS'!AV113</f>
        <v>5</v>
      </c>
      <c r="AW113" s="734">
        <f>'BASE DE DATOS'!AW113</f>
        <v>3</v>
      </c>
      <c r="AX113" s="734">
        <f>'BASE DE DATOS'!AX113</f>
        <v>2.5</v>
      </c>
      <c r="AY113" s="734">
        <f>'BASE DE DATOS'!AY113</f>
        <v>1.5</v>
      </c>
      <c r="AZ113" s="734">
        <f>'BASE DE DATOS'!AZ113</f>
        <v>2.5</v>
      </c>
      <c r="BA113" s="734">
        <f>'BASE DE DATOS'!BA113</f>
        <v>3</v>
      </c>
      <c r="BB113" s="734">
        <f>'BASE DE DATOS'!BB113</f>
        <v>4.5</v>
      </c>
      <c r="BC113" s="734">
        <f>'BASE DE DATOS'!BC113</f>
        <v>6</v>
      </c>
      <c r="BD113" s="734">
        <f>'BASE DE DATOS'!BD113</f>
        <v>7</v>
      </c>
      <c r="BE113" s="734">
        <f>'BASE DE DATOS'!BE113</f>
        <v>7.5</v>
      </c>
      <c r="DO113" s="733" t="str">
        <f>'BASE DE DATOS'!BG113</f>
        <v>MZ</v>
      </c>
      <c r="DP113" s="733" t="str">
        <f>'BASE DE DATOS'!BH113</f>
        <v>BARDAS BLANCAS</v>
      </c>
      <c r="DQ113" s="733">
        <f>'BASE DE DATOS'!BI113</f>
        <v>34</v>
      </c>
      <c r="DR113" s="733">
        <f>'BASE DE DATOS'!BJ113</f>
        <v>31</v>
      </c>
      <c r="DS113" s="733">
        <f>'BASE DE DATOS'!BK113</f>
        <v>27</v>
      </c>
      <c r="DT113" s="733">
        <f>'BASE DE DATOS'!BL113</f>
        <v>12</v>
      </c>
      <c r="DU113" s="733">
        <f>'BASE DE DATOS'!BM113</f>
        <v>9</v>
      </c>
      <c r="DV113" s="733">
        <f>'BASE DE DATOS'!BN113</f>
        <v>7</v>
      </c>
      <c r="DW113" s="733">
        <f>'BASE DE DATOS'!BO113</f>
        <v>8</v>
      </c>
      <c r="DX113" s="733">
        <f>'BASE DE DATOS'!BP113</f>
        <v>6</v>
      </c>
      <c r="DY113" s="733">
        <f>'BASE DE DATOS'!BQ113</f>
        <v>11</v>
      </c>
      <c r="DZ113" s="733">
        <f>'BASE DE DATOS'!BR113</f>
        <v>20</v>
      </c>
      <c r="EA113" s="733">
        <f>'BASE DE DATOS'!BS113</f>
        <v>21</v>
      </c>
      <c r="EB113" s="733">
        <f>'BASE DE DATOS'!BT113</f>
        <v>27</v>
      </c>
      <c r="GM113" s="741"/>
      <c r="GN113" s="741"/>
      <c r="GO113" s="741"/>
      <c r="GP113" s="741"/>
      <c r="GQ113" s="741"/>
      <c r="GR113" s="741"/>
      <c r="GS113" s="727"/>
      <c r="GT113" s="727"/>
      <c r="GU113" s="727"/>
      <c r="GV113" s="727"/>
      <c r="GW113" s="727"/>
      <c r="GX113" s="727"/>
      <c r="GY113" s="727"/>
    </row>
    <row r="114" spans="2:207" ht="16">
      <c r="B114" s="734" t="str">
        <f>'BASE DE DATOS'!B114</f>
        <v>MZ</v>
      </c>
      <c r="C114" s="734" t="str">
        <f>'BASE DE DATOS'!C114</f>
        <v>COLONIA ALVEAR</v>
      </c>
      <c r="D114" s="734">
        <f>'BASE DE DATOS'!D114</f>
        <v>35</v>
      </c>
      <c r="E114" s="734">
        <f>'BASE DE DATOS'!E114</f>
        <v>67.650000000000006</v>
      </c>
      <c r="F114" s="734">
        <f>'BASE DE DATOS'!F114</f>
        <v>465</v>
      </c>
      <c r="G114" s="734" t="str">
        <f>'BASE DE DATOS'!G114</f>
        <v>IVB</v>
      </c>
      <c r="H114" s="734">
        <f>'BASE DE DATOS'!H114</f>
        <v>-3.2</v>
      </c>
      <c r="I114" s="734">
        <f>'BASE DE DATOS'!I114</f>
        <v>8.5</v>
      </c>
      <c r="J114" s="734">
        <f>'BASE DE DATOS'!J114</f>
        <v>22.7</v>
      </c>
      <c r="K114" s="734">
        <f>'BASE DE DATOS'!K114</f>
        <v>35.5</v>
      </c>
      <c r="L114" s="734">
        <f>'BASE DE DATOS'!L114</f>
        <v>36</v>
      </c>
      <c r="M114" s="734">
        <f>'BASE DE DATOS'!M114</f>
        <v>63</v>
      </c>
      <c r="N114" s="734">
        <f>'BASE DE DATOS'!N114</f>
        <v>53</v>
      </c>
      <c r="O114" s="734">
        <f>'BASE DE DATOS'!O114</f>
        <v>6</v>
      </c>
      <c r="P114" s="734">
        <f>'BASE DE DATOS'!P114</f>
        <v>36</v>
      </c>
      <c r="Q114" s="734">
        <f>'BASE DE DATOS'!Q114</f>
        <v>4</v>
      </c>
      <c r="R114" s="734">
        <f>'BASE DE DATOS'!R114</f>
        <v>22.8</v>
      </c>
      <c r="S114" s="734">
        <f>'BASE DE DATOS'!S114</f>
        <v>0.53</v>
      </c>
      <c r="T114" s="734">
        <f>'BASE DE DATOS'!T114</f>
        <v>29.7</v>
      </c>
      <c r="U114" s="734">
        <f>'BASE DE DATOS'!U114</f>
        <v>8</v>
      </c>
      <c r="V114" s="734">
        <f>'BASE DE DATOS'!V114</f>
        <v>200</v>
      </c>
      <c r="W114" s="734">
        <f>'BASE DE DATOS'!W114</f>
        <v>123</v>
      </c>
      <c r="X114" s="734">
        <f>'BASE DE DATOS'!X114</f>
        <v>4.0000000000000001E-3</v>
      </c>
      <c r="Y114" s="734">
        <f>'BASE DE DATOS'!Y114</f>
        <v>8.9999999999999993E-3</v>
      </c>
      <c r="Z114" s="734">
        <f>'BASE DE DATOS'!Z114</f>
        <v>145</v>
      </c>
      <c r="AA114" s="734">
        <f>'BASE DE DATOS'!AA114</f>
        <v>1.45</v>
      </c>
      <c r="AB114" s="734">
        <f>'BASE DE DATOS'!AB114</f>
        <v>35</v>
      </c>
      <c r="AD114" s="734" t="str">
        <f>'BASE DE DATOS'!AD114</f>
        <v>COLONIA ALVEAR</v>
      </c>
      <c r="AE114" s="734">
        <f>'BASE DE DATOS'!AE114</f>
        <v>23.8</v>
      </c>
      <c r="AF114" s="734">
        <f>'BASE DE DATOS'!AF114</f>
        <v>23.5</v>
      </c>
      <c r="AG114" s="734">
        <f>'BASE DE DATOS'!AG114</f>
        <v>20.6</v>
      </c>
      <c r="AH114" s="734">
        <f>'BASE DE DATOS'!AH114</f>
        <v>15</v>
      </c>
      <c r="AI114" s="734">
        <f>'BASE DE DATOS'!AI114</f>
        <v>11.7</v>
      </c>
      <c r="AJ114" s="734">
        <f>'BASE DE DATOS'!AJ114</f>
        <v>8.1999999999999993</v>
      </c>
      <c r="AK114" s="734">
        <f>'BASE DE DATOS'!AK114</f>
        <v>8.4</v>
      </c>
      <c r="AL114" s="734">
        <f>'BASE DE DATOS'!AL114</f>
        <v>10.199999999999999</v>
      </c>
      <c r="AM114" s="734">
        <f>'BASE DE DATOS'!AM114</f>
        <v>12.9</v>
      </c>
      <c r="AN114" s="734">
        <f>'BASE DE DATOS'!AN114</f>
        <v>16.3</v>
      </c>
      <c r="AO114" s="734">
        <f>'BASE DE DATOS'!AO114</f>
        <v>20.5</v>
      </c>
      <c r="AP114" s="734">
        <f>'BASE DE DATOS'!AP114</f>
        <v>22.7</v>
      </c>
      <c r="AR114" s="734" t="str">
        <f>'BASE DE DATOS'!AR114</f>
        <v>MZ</v>
      </c>
      <c r="AS114" s="734" t="str">
        <f>'BASE DE DATOS'!AS114</f>
        <v>COLONIA ALVEAR</v>
      </c>
      <c r="AT114" s="734">
        <f>'BASE DE DATOS'!AT114</f>
        <v>7</v>
      </c>
      <c r="AU114" s="734">
        <f>'BASE DE DATOS'!AU114</f>
        <v>6</v>
      </c>
      <c r="AV114" s="734">
        <f>'BASE DE DATOS'!AV114</f>
        <v>5</v>
      </c>
      <c r="AW114" s="734">
        <f>'BASE DE DATOS'!AW114</f>
        <v>3.5</v>
      </c>
      <c r="AX114" s="734">
        <f>'BASE DE DATOS'!AX114</f>
        <v>2.5</v>
      </c>
      <c r="AY114" s="734">
        <f>'BASE DE DATOS'!AY114</f>
        <v>2</v>
      </c>
      <c r="AZ114" s="734">
        <f>'BASE DE DATOS'!AZ114</f>
        <v>2.5</v>
      </c>
      <c r="BA114" s="734">
        <f>'BASE DE DATOS'!BA114</f>
        <v>3.5</v>
      </c>
      <c r="BB114" s="734">
        <f>'BASE DE DATOS'!BB114</f>
        <v>4.5</v>
      </c>
      <c r="BC114" s="734">
        <f>'BASE DE DATOS'!BC114</f>
        <v>5.5</v>
      </c>
      <c r="BD114" s="734">
        <f>'BASE DE DATOS'!BD114</f>
        <v>7</v>
      </c>
      <c r="BE114" s="734">
        <f>'BASE DE DATOS'!BE114</f>
        <v>7.5</v>
      </c>
      <c r="DO114" s="733" t="str">
        <f>'BASE DE DATOS'!BG114</f>
        <v>MZ</v>
      </c>
      <c r="DP114" s="733" t="str">
        <f>'BASE DE DATOS'!BH114</f>
        <v>COLONIA ALVEAR</v>
      </c>
      <c r="DQ114" s="733">
        <f>'BASE DE DATOS'!BI114</f>
        <v>34</v>
      </c>
      <c r="DR114" s="733">
        <f>'BASE DE DATOS'!BJ114</f>
        <v>31</v>
      </c>
      <c r="DS114" s="733">
        <f>'BASE DE DATOS'!BK114</f>
        <v>27</v>
      </c>
      <c r="DT114" s="733">
        <f>'BASE DE DATOS'!BL114</f>
        <v>12</v>
      </c>
      <c r="DU114" s="733">
        <f>'BASE DE DATOS'!BM114</f>
        <v>9</v>
      </c>
      <c r="DV114" s="733">
        <f>'BASE DE DATOS'!BN114</f>
        <v>7</v>
      </c>
      <c r="DW114" s="733">
        <f>'BASE DE DATOS'!BO114</f>
        <v>8</v>
      </c>
      <c r="DX114" s="733">
        <f>'BASE DE DATOS'!BP114</f>
        <v>6</v>
      </c>
      <c r="DY114" s="733">
        <f>'BASE DE DATOS'!BQ114</f>
        <v>11</v>
      </c>
      <c r="DZ114" s="733">
        <f>'BASE DE DATOS'!BR114</f>
        <v>20</v>
      </c>
      <c r="EA114" s="733">
        <f>'BASE DE DATOS'!BS114</f>
        <v>21</v>
      </c>
      <c r="EB114" s="733">
        <f>'BASE DE DATOS'!BT114</f>
        <v>27</v>
      </c>
      <c r="GM114" s="741"/>
      <c r="GN114" s="741"/>
      <c r="GO114" s="741"/>
      <c r="GP114" s="741"/>
      <c r="GQ114" s="741"/>
      <c r="GR114" s="741"/>
      <c r="GS114" s="727"/>
      <c r="GT114" s="727"/>
      <c r="GU114" s="727"/>
      <c r="GV114" s="727"/>
      <c r="GW114" s="727"/>
      <c r="GX114" s="727"/>
      <c r="GY114" s="727"/>
    </row>
    <row r="115" spans="2:207" ht="16">
      <c r="B115" s="734" t="str">
        <f>'BASE DE DATOS'!B115</f>
        <v>MZ</v>
      </c>
      <c r="C115" s="734" t="str">
        <f>'BASE DE DATOS'!C115</f>
        <v>CRISTO REDENTOR</v>
      </c>
      <c r="D115" s="734">
        <f>'BASE DE DATOS'!D115</f>
        <v>32.83</v>
      </c>
      <c r="E115" s="734">
        <f>'BASE DE DATOS'!E115</f>
        <v>70.08</v>
      </c>
      <c r="F115" s="734">
        <f>'BASE DE DATOS'!F115</f>
        <v>3832</v>
      </c>
      <c r="G115" s="734" t="str">
        <f>'BASE DE DATOS'!G115</f>
        <v>VI</v>
      </c>
      <c r="H115" s="734">
        <f>'BASE DE DATOS'!H115</f>
        <v>-16.2</v>
      </c>
      <c r="I115" s="734">
        <f>'BASE DE DATOS'!I115</f>
        <v>-6.6</v>
      </c>
      <c r="J115" s="734">
        <f>'BASE DE DATOS'!J115</f>
        <v>3.2</v>
      </c>
      <c r="K115" s="734">
        <f>'BASE DE DATOS'!K115</f>
        <v>12.5</v>
      </c>
      <c r="L115" s="734">
        <f>'BASE DE DATOS'!L115</f>
        <v>58</v>
      </c>
      <c r="M115" s="734">
        <f>'BASE DE DATOS'!M115</f>
        <v>65</v>
      </c>
      <c r="N115" s="734">
        <f>'BASE DE DATOS'!N115</f>
        <v>58</v>
      </c>
      <c r="O115" s="734">
        <f>'BASE DE DATOS'!O115</f>
        <v>0</v>
      </c>
      <c r="P115" s="734">
        <f>'BASE DE DATOS'!P115</f>
        <v>0</v>
      </c>
      <c r="Q115" s="734">
        <f>'BASE DE DATOS'!Q115</f>
        <v>6</v>
      </c>
      <c r="R115" s="734">
        <f>'BASE DE DATOS'!R115</f>
        <v>3.6</v>
      </c>
      <c r="S115" s="734">
        <f>'BASE DE DATOS'!S115</f>
        <v>0.51</v>
      </c>
      <c r="T115" s="734">
        <f>'BASE DE DATOS'!T115</f>
        <v>29.7</v>
      </c>
      <c r="U115" s="734">
        <f>'BASE DE DATOS'!U115</f>
        <v>8</v>
      </c>
      <c r="V115" s="734">
        <f>'BASE DE DATOS'!V115</f>
        <v>200</v>
      </c>
      <c r="W115" s="734">
        <f>'BASE DE DATOS'!W115</f>
        <v>123</v>
      </c>
      <c r="X115" s="734">
        <f>'BASE DE DATOS'!X115</f>
        <v>4.0000000000000001E-3</v>
      </c>
      <c r="Y115" s="734">
        <f>'BASE DE DATOS'!Y115</f>
        <v>8.9999999999999993E-3</v>
      </c>
      <c r="Z115" s="734">
        <f>'BASE DE DATOS'!Z115</f>
        <v>95</v>
      </c>
      <c r="AA115" s="734">
        <f>'BASE DE DATOS'!AA115</f>
        <v>0.95000000000000007</v>
      </c>
      <c r="AB115" s="734">
        <f>'BASE DE DATOS'!AB115</f>
        <v>35</v>
      </c>
      <c r="AD115" s="734" t="str">
        <f>'BASE DE DATOS'!AD115</f>
        <v>CRISTO REDENTOR</v>
      </c>
      <c r="AE115" s="734">
        <f>'BASE DE DATOS'!AE115</f>
        <v>22.2</v>
      </c>
      <c r="AF115" s="734">
        <f>'BASE DE DATOS'!AF115</f>
        <v>21.6</v>
      </c>
      <c r="AG115" s="734">
        <f>'BASE DE DATOS'!AG115</f>
        <v>20</v>
      </c>
      <c r="AH115" s="734">
        <f>'BASE DE DATOS'!AH115</f>
        <v>16.899999999999999</v>
      </c>
      <c r="AI115" s="734">
        <f>'BASE DE DATOS'!AI115</f>
        <v>14.4</v>
      </c>
      <c r="AJ115" s="734">
        <f>'BASE DE DATOS'!AJ115</f>
        <v>13.2</v>
      </c>
      <c r="AK115" s="734">
        <f>'BASE DE DATOS'!AK115</f>
        <v>13.3</v>
      </c>
      <c r="AL115" s="734">
        <f>'BASE DE DATOS'!AL115</f>
        <v>14.5</v>
      </c>
      <c r="AM115" s="734">
        <f>'BASE DE DATOS'!AM115</f>
        <v>15.7</v>
      </c>
      <c r="AN115" s="734">
        <f>'BASE DE DATOS'!AN115</f>
        <v>17.600000000000001</v>
      </c>
      <c r="AO115" s="734">
        <f>'BASE DE DATOS'!AO115</f>
        <v>19.899999999999999</v>
      </c>
      <c r="AP115" s="734">
        <f>'BASE DE DATOS'!AP115</f>
        <v>20.5</v>
      </c>
      <c r="AR115" s="734" t="str">
        <f>'BASE DE DATOS'!AR115</f>
        <v>MZ</v>
      </c>
      <c r="AS115" s="734" t="str">
        <f>'BASE DE DATOS'!AS115</f>
        <v>CRISTO REDENTOR</v>
      </c>
      <c r="AT115" s="734">
        <f>'BASE DE DATOS'!AT115</f>
        <v>7</v>
      </c>
      <c r="AU115" s="734">
        <f>'BASE DE DATOS'!AU115</f>
        <v>6.5</v>
      </c>
      <c r="AV115" s="734">
        <f>'BASE DE DATOS'!AV115</f>
        <v>5.5</v>
      </c>
      <c r="AW115" s="734">
        <f>'BASE DE DATOS'!AW115</f>
        <v>4</v>
      </c>
      <c r="AX115" s="734">
        <f>'BASE DE DATOS'!AX115</f>
        <v>3</v>
      </c>
      <c r="AY115" s="734">
        <f>'BASE DE DATOS'!AY115</f>
        <v>2</v>
      </c>
      <c r="AZ115" s="734">
        <f>'BASE DE DATOS'!AZ115</f>
        <v>2</v>
      </c>
      <c r="BA115" s="734">
        <f>'BASE DE DATOS'!BA115</f>
        <v>3</v>
      </c>
      <c r="BB115" s="734">
        <f>'BASE DE DATOS'!BB115</f>
        <v>5</v>
      </c>
      <c r="BC115" s="734">
        <f>'BASE DE DATOS'!BC115</f>
        <v>6</v>
      </c>
      <c r="BD115" s="734">
        <f>'BASE DE DATOS'!BD115</f>
        <v>7</v>
      </c>
      <c r="BE115" s="734">
        <f>'BASE DE DATOS'!BE115</f>
        <v>7.5</v>
      </c>
      <c r="DO115" s="733" t="str">
        <f>'BASE DE DATOS'!BG115</f>
        <v>MZ</v>
      </c>
      <c r="DP115" s="733" t="str">
        <f>'BASE DE DATOS'!BH115</f>
        <v>CRISTO REDENTOR</v>
      </c>
      <c r="DQ115" s="733">
        <f>'BASE DE DATOS'!BI115</f>
        <v>34</v>
      </c>
      <c r="DR115" s="733">
        <f>'BASE DE DATOS'!BJ115</f>
        <v>31</v>
      </c>
      <c r="DS115" s="733">
        <f>'BASE DE DATOS'!BK115</f>
        <v>27</v>
      </c>
      <c r="DT115" s="733">
        <f>'BASE DE DATOS'!BL115</f>
        <v>12</v>
      </c>
      <c r="DU115" s="733">
        <f>'BASE DE DATOS'!BM115</f>
        <v>9</v>
      </c>
      <c r="DV115" s="733">
        <f>'BASE DE DATOS'!BN115</f>
        <v>7</v>
      </c>
      <c r="DW115" s="733">
        <f>'BASE DE DATOS'!BO115</f>
        <v>8</v>
      </c>
      <c r="DX115" s="733">
        <f>'BASE DE DATOS'!BP115</f>
        <v>6</v>
      </c>
      <c r="DY115" s="733">
        <f>'BASE DE DATOS'!BQ115</f>
        <v>11</v>
      </c>
      <c r="DZ115" s="733">
        <f>'BASE DE DATOS'!BR115</f>
        <v>20</v>
      </c>
      <c r="EA115" s="733">
        <f>'BASE DE DATOS'!BS115</f>
        <v>21</v>
      </c>
      <c r="EB115" s="733">
        <f>'BASE DE DATOS'!BT115</f>
        <v>27</v>
      </c>
      <c r="GM115" s="741"/>
      <c r="GN115" s="741"/>
      <c r="GO115" s="741"/>
      <c r="GP115" s="741"/>
      <c r="GQ115" s="741"/>
      <c r="GR115" s="741"/>
      <c r="GS115" s="727"/>
      <c r="GT115" s="727"/>
      <c r="GU115" s="727"/>
      <c r="GV115" s="727"/>
      <c r="GW115" s="727"/>
      <c r="GX115" s="727"/>
      <c r="GY115" s="727"/>
    </row>
    <row r="116" spans="2:207" ht="16">
      <c r="B116" s="734" t="str">
        <f>'BASE DE DATOS'!B116</f>
        <v>MZ</v>
      </c>
      <c r="C116" s="734" t="str">
        <f>'BASE DE DATOS'!C116</f>
        <v>CHACRAS DE CORIA</v>
      </c>
      <c r="D116" s="734">
        <f>'BASE DE DATOS'!D116</f>
        <v>32.979999999999997</v>
      </c>
      <c r="E116" s="734">
        <f>'BASE DE DATOS'!E116</f>
        <v>68.87</v>
      </c>
      <c r="F116" s="734">
        <f>'BASE DE DATOS'!F116</f>
        <v>921</v>
      </c>
      <c r="G116" s="734" t="str">
        <f>'BASE DE DATOS'!G116</f>
        <v>IVA</v>
      </c>
      <c r="H116" s="734">
        <f>'BASE DE DATOS'!H116</f>
        <v>-3.9</v>
      </c>
      <c r="I116" s="734">
        <f>'BASE DE DATOS'!I116</f>
        <v>7</v>
      </c>
      <c r="J116" s="734">
        <f>'BASE DE DATOS'!J116</f>
        <v>21.6</v>
      </c>
      <c r="K116" s="734">
        <f>'BASE DE DATOS'!K116</f>
        <v>31.9</v>
      </c>
      <c r="L116" s="734">
        <f>'BASE DE DATOS'!L116</f>
        <v>55</v>
      </c>
      <c r="M116" s="734">
        <f>'BASE DE DATOS'!M116</f>
        <v>57</v>
      </c>
      <c r="N116" s="734">
        <f>'BASE DE DATOS'!N116</f>
        <v>55</v>
      </c>
      <c r="O116" s="734">
        <f>'BASE DE DATOS'!O116</f>
        <v>4</v>
      </c>
      <c r="P116" s="734">
        <f>'BASE DE DATOS'!P116</f>
        <v>31</v>
      </c>
      <c r="Q116" s="734">
        <f>'BASE DE DATOS'!Q116</f>
        <v>4</v>
      </c>
      <c r="R116" s="734">
        <f>'BASE DE DATOS'!R116</f>
        <v>21</v>
      </c>
      <c r="S116" s="734">
        <f>'BASE DE DATOS'!S116</f>
        <v>0.51</v>
      </c>
      <c r="T116" s="734">
        <f>'BASE DE DATOS'!T116</f>
        <v>29.7</v>
      </c>
      <c r="U116" s="734">
        <f>'BASE DE DATOS'!U116</f>
        <v>8</v>
      </c>
      <c r="V116" s="734">
        <f>'BASE DE DATOS'!V116</f>
        <v>200</v>
      </c>
      <c r="W116" s="734">
        <f>'BASE DE DATOS'!W116</f>
        <v>123</v>
      </c>
      <c r="X116" s="734">
        <f>'BASE DE DATOS'!X116</f>
        <v>4.0000000000000001E-3</v>
      </c>
      <c r="Y116" s="734">
        <f>'BASE DE DATOS'!Y116</f>
        <v>8.9999999999999993E-3</v>
      </c>
      <c r="Z116" s="734">
        <f>'BASE DE DATOS'!Z116</f>
        <v>110</v>
      </c>
      <c r="AA116" s="734">
        <f>'BASE DE DATOS'!AA116</f>
        <v>1.1000000000000001</v>
      </c>
      <c r="AB116" s="734">
        <f>'BASE DE DATOS'!AB116</f>
        <v>35</v>
      </c>
      <c r="AD116" s="734" t="str">
        <f>'BASE DE DATOS'!AD116</f>
        <v>CHACRAS DE CORIA</v>
      </c>
      <c r="AE116" s="734">
        <f>'BASE DE DATOS'!AE116</f>
        <v>22.9</v>
      </c>
      <c r="AF116" s="734">
        <f>'BASE DE DATOS'!AF116</f>
        <v>21.8</v>
      </c>
      <c r="AG116" s="734">
        <f>'BASE DE DATOS'!AG116</f>
        <v>19.2</v>
      </c>
      <c r="AH116" s="734">
        <f>'BASE DE DATOS'!AH116</f>
        <v>14.9</v>
      </c>
      <c r="AI116" s="734">
        <f>'BASE DE DATOS'!AI116</f>
        <v>10.8</v>
      </c>
      <c r="AJ116" s="734">
        <f>'BASE DE DATOS'!AJ116</f>
        <v>7.8</v>
      </c>
      <c r="AK116" s="734">
        <f>'BASE DE DATOS'!AK116</f>
        <v>7.4</v>
      </c>
      <c r="AL116" s="734">
        <f>'BASE DE DATOS'!AL116</f>
        <v>9.3000000000000007</v>
      </c>
      <c r="AM116" s="734">
        <f>'BASE DE DATOS'!AM116</f>
        <v>12.6</v>
      </c>
      <c r="AN116" s="734">
        <f>'BASE DE DATOS'!AN116</f>
        <v>16.100000000000001</v>
      </c>
      <c r="AO116" s="734">
        <f>'BASE DE DATOS'!AO116</f>
        <v>19.600000000000001</v>
      </c>
      <c r="AP116" s="734">
        <f>'BASE DE DATOS'!AP116</f>
        <v>22</v>
      </c>
      <c r="AR116" s="734" t="str">
        <f>'BASE DE DATOS'!AR116</f>
        <v>MZ</v>
      </c>
      <c r="AS116" s="734" t="str">
        <f>'BASE DE DATOS'!AS116</f>
        <v>CHACRAS DE CORIA</v>
      </c>
      <c r="AT116" s="734">
        <f>'BASE DE DATOS'!AT116</f>
        <v>7</v>
      </c>
      <c r="AU116" s="734">
        <f>'BASE DE DATOS'!AU116</f>
        <v>6</v>
      </c>
      <c r="AV116" s="734">
        <f>'BASE DE DATOS'!AV116</f>
        <v>5</v>
      </c>
      <c r="AW116" s="734">
        <f>'BASE DE DATOS'!AW116</f>
        <v>4</v>
      </c>
      <c r="AX116" s="734">
        <f>'BASE DE DATOS'!AX116</f>
        <v>3</v>
      </c>
      <c r="AY116" s="734">
        <f>'BASE DE DATOS'!AY116</f>
        <v>2.5</v>
      </c>
      <c r="AZ116" s="734">
        <f>'BASE DE DATOS'!AZ116</f>
        <v>3</v>
      </c>
      <c r="BA116" s="734">
        <f>'BASE DE DATOS'!BA116</f>
        <v>3.5</v>
      </c>
      <c r="BB116" s="734">
        <f>'BASE DE DATOS'!BB116</f>
        <v>5</v>
      </c>
      <c r="BC116" s="734">
        <f>'BASE DE DATOS'!BC116</f>
        <v>6</v>
      </c>
      <c r="BD116" s="734">
        <f>'BASE DE DATOS'!BD116</f>
        <v>7</v>
      </c>
      <c r="BE116" s="734">
        <f>'BASE DE DATOS'!BE116</f>
        <v>7.5</v>
      </c>
      <c r="DO116" s="733" t="str">
        <f>'BASE DE DATOS'!BG116</f>
        <v>MZ</v>
      </c>
      <c r="DP116" s="733" t="str">
        <f>'BASE DE DATOS'!BH116</f>
        <v>CHACRAS DE CORIA</v>
      </c>
      <c r="DQ116" s="733">
        <f>'BASE DE DATOS'!BI116</f>
        <v>34</v>
      </c>
      <c r="DR116" s="733">
        <f>'BASE DE DATOS'!BJ116</f>
        <v>31</v>
      </c>
      <c r="DS116" s="733">
        <f>'BASE DE DATOS'!BK116</f>
        <v>27</v>
      </c>
      <c r="DT116" s="733">
        <f>'BASE DE DATOS'!BL116</f>
        <v>12</v>
      </c>
      <c r="DU116" s="733">
        <f>'BASE DE DATOS'!BM116</f>
        <v>9</v>
      </c>
      <c r="DV116" s="733">
        <f>'BASE DE DATOS'!BN116</f>
        <v>7</v>
      </c>
      <c r="DW116" s="733">
        <f>'BASE DE DATOS'!BO116</f>
        <v>8</v>
      </c>
      <c r="DX116" s="733">
        <f>'BASE DE DATOS'!BP116</f>
        <v>6</v>
      </c>
      <c r="DY116" s="733">
        <f>'BASE DE DATOS'!BQ116</f>
        <v>11</v>
      </c>
      <c r="DZ116" s="733">
        <f>'BASE DE DATOS'!BR116</f>
        <v>20</v>
      </c>
      <c r="EA116" s="733">
        <f>'BASE DE DATOS'!BS116</f>
        <v>21</v>
      </c>
      <c r="EB116" s="733">
        <f>'BASE DE DATOS'!BT116</f>
        <v>27</v>
      </c>
      <c r="GM116" s="741"/>
      <c r="GN116" s="741"/>
      <c r="GO116" s="741"/>
      <c r="GP116" s="741"/>
      <c r="GQ116" s="741"/>
      <c r="GR116" s="741"/>
      <c r="GS116" s="727"/>
      <c r="GT116" s="727"/>
      <c r="GU116" s="727"/>
      <c r="GV116" s="727"/>
      <c r="GW116" s="727"/>
      <c r="GX116" s="727"/>
      <c r="GY116" s="727"/>
    </row>
    <row r="117" spans="2:207" ht="16">
      <c r="B117" s="734" t="str">
        <f>'BASE DE DATOS'!B117</f>
        <v>MZ</v>
      </c>
      <c r="C117" s="734" t="str">
        <f>'BASE DE DATOS'!C117</f>
        <v>ING DAGOBERT SARDINA</v>
      </c>
      <c r="D117" s="734">
        <f>'BASE DE DATOS'!D117</f>
        <v>33.299999999999997</v>
      </c>
      <c r="E117" s="734">
        <f>'BASE DE DATOS'!E117</f>
        <v>69.2</v>
      </c>
      <c r="F117" s="734">
        <f>'BASE DE DATOS'!F117</f>
        <v>750</v>
      </c>
      <c r="G117" s="734" t="str">
        <f>'BASE DE DATOS'!G117</f>
        <v>IVA</v>
      </c>
      <c r="H117" s="734">
        <f>'BASE DE DATOS'!H117</f>
        <v>-5.0999999999999996</v>
      </c>
      <c r="I117" s="734">
        <f>'BASE DE DATOS'!I117</f>
        <v>6.9</v>
      </c>
      <c r="J117" s="734">
        <f>'BASE DE DATOS'!J117</f>
        <v>23.2</v>
      </c>
      <c r="K117" s="734">
        <f>'BASE DE DATOS'!K117</f>
        <v>34.1</v>
      </c>
      <c r="L117" s="734">
        <f>'BASE DE DATOS'!L117</f>
        <v>52</v>
      </c>
      <c r="M117" s="734">
        <f>'BASE DE DATOS'!M117</f>
        <v>67</v>
      </c>
      <c r="N117" s="734">
        <f>'BASE DE DATOS'!N117</f>
        <v>52</v>
      </c>
      <c r="O117" s="734">
        <f>'BASE DE DATOS'!O117</f>
        <v>3</v>
      </c>
      <c r="P117" s="734">
        <f>'BASE DE DATOS'!P117</f>
        <v>32</v>
      </c>
      <c r="Q117" s="734">
        <f>'BASE DE DATOS'!Q117</f>
        <v>4</v>
      </c>
      <c r="R117" s="734">
        <f>'BASE DE DATOS'!R117</f>
        <v>22.6</v>
      </c>
      <c r="S117" s="734">
        <f>'BASE DE DATOS'!S117</f>
        <v>0.51</v>
      </c>
      <c r="T117" s="734">
        <f>'BASE DE DATOS'!T117</f>
        <v>29.7</v>
      </c>
      <c r="U117" s="734">
        <f>'BASE DE DATOS'!U117</f>
        <v>8</v>
      </c>
      <c r="V117" s="734">
        <f>'BASE DE DATOS'!V117</f>
        <v>200</v>
      </c>
      <c r="W117" s="734">
        <f>'BASE DE DATOS'!W117</f>
        <v>123</v>
      </c>
      <c r="X117" s="734">
        <f>'BASE DE DATOS'!X117</f>
        <v>4.0000000000000001E-3</v>
      </c>
      <c r="Y117" s="734">
        <f>'BASE DE DATOS'!Y117</f>
        <v>8.9999999999999993E-3</v>
      </c>
      <c r="Z117" s="734">
        <f>'BASE DE DATOS'!Z117</f>
        <v>0</v>
      </c>
      <c r="AA117" s="734">
        <f>'BASE DE DATOS'!AA117</f>
        <v>0</v>
      </c>
      <c r="AB117" s="734">
        <f>'BASE DE DATOS'!AB117</f>
        <v>35</v>
      </c>
      <c r="AD117" s="734" t="str">
        <f>'BASE DE DATOS'!AD117</f>
        <v>ING DAGOBERT SARDINA</v>
      </c>
      <c r="AE117" s="734">
        <f>'BASE DE DATOS'!AE117</f>
        <v>23.6</v>
      </c>
      <c r="AF117" s="734">
        <f>'BASE DE DATOS'!AF117</f>
        <v>22.4</v>
      </c>
      <c r="AG117" s="734">
        <f>'BASE DE DATOS'!AG117</f>
        <v>19.899999999999999</v>
      </c>
      <c r="AH117" s="734">
        <f>'BASE DE DATOS'!AH117</f>
        <v>15.4</v>
      </c>
      <c r="AI117" s="734">
        <f>'BASE DE DATOS'!AI117</f>
        <v>11.5</v>
      </c>
      <c r="AJ117" s="734">
        <f>'BASE DE DATOS'!AJ117</f>
        <v>8.1999999999999993</v>
      </c>
      <c r="AK117" s="734">
        <f>'BASE DE DATOS'!AK117</f>
        <v>7.8</v>
      </c>
      <c r="AL117" s="734">
        <f>'BASE DE DATOS'!AL117</f>
        <v>10.1</v>
      </c>
      <c r="AM117" s="734">
        <f>'BASE DE DATOS'!AM117</f>
        <v>13.2</v>
      </c>
      <c r="AN117" s="734">
        <f>'BASE DE DATOS'!AN117</f>
        <v>16.899999999999999</v>
      </c>
      <c r="AO117" s="734">
        <f>'BASE DE DATOS'!AO117</f>
        <v>20.100000000000001</v>
      </c>
      <c r="AP117" s="734">
        <f>'BASE DE DATOS'!AP117</f>
        <v>22.6</v>
      </c>
      <c r="AR117" s="734" t="str">
        <f>'BASE DE DATOS'!AR117</f>
        <v>MZ</v>
      </c>
      <c r="AS117" s="734" t="str">
        <f>'BASE DE DATOS'!AS117</f>
        <v>ING DAGOBERT SARDINA</v>
      </c>
      <c r="AT117" s="734">
        <f>'BASE DE DATOS'!AT117</f>
        <v>0</v>
      </c>
      <c r="AU117" s="734">
        <f>'BASE DE DATOS'!AU117</f>
        <v>0</v>
      </c>
      <c r="AV117" s="734">
        <f>'BASE DE DATOS'!AV117</f>
        <v>0</v>
      </c>
      <c r="AW117" s="734">
        <f>'BASE DE DATOS'!AW117</f>
        <v>0</v>
      </c>
      <c r="AX117" s="734">
        <f>'BASE DE DATOS'!AX117</f>
        <v>0</v>
      </c>
      <c r="AY117" s="734">
        <f>'BASE DE DATOS'!AY117</f>
        <v>0</v>
      </c>
      <c r="AZ117" s="734">
        <f>'BASE DE DATOS'!AZ117</f>
        <v>0</v>
      </c>
      <c r="BA117" s="734">
        <f>'BASE DE DATOS'!BA117</f>
        <v>0</v>
      </c>
      <c r="BB117" s="734">
        <f>'BASE DE DATOS'!BB117</f>
        <v>0</v>
      </c>
      <c r="BC117" s="734">
        <f>'BASE DE DATOS'!BC117</f>
        <v>0</v>
      </c>
      <c r="BD117" s="734">
        <f>'BASE DE DATOS'!BD117</f>
        <v>7</v>
      </c>
      <c r="BE117" s="734">
        <f>'BASE DE DATOS'!BE117</f>
        <v>7.5</v>
      </c>
      <c r="DO117" s="733" t="str">
        <f>'BASE DE DATOS'!BG117</f>
        <v>MZ</v>
      </c>
      <c r="DP117" s="733" t="str">
        <f>'BASE DE DATOS'!BH117</f>
        <v>ING DAGOBERT SARDINA</v>
      </c>
      <c r="DQ117" s="733">
        <f>'BASE DE DATOS'!BI117</f>
        <v>34</v>
      </c>
      <c r="DR117" s="733">
        <f>'BASE DE DATOS'!BJ117</f>
        <v>31</v>
      </c>
      <c r="DS117" s="733">
        <f>'BASE DE DATOS'!BK117</f>
        <v>27</v>
      </c>
      <c r="DT117" s="733">
        <f>'BASE DE DATOS'!BL117</f>
        <v>12</v>
      </c>
      <c r="DU117" s="733">
        <f>'BASE DE DATOS'!BM117</f>
        <v>9</v>
      </c>
      <c r="DV117" s="733">
        <f>'BASE DE DATOS'!BN117</f>
        <v>7</v>
      </c>
      <c r="DW117" s="733">
        <f>'BASE DE DATOS'!BO117</f>
        <v>8</v>
      </c>
      <c r="DX117" s="733">
        <f>'BASE DE DATOS'!BP117</f>
        <v>6</v>
      </c>
      <c r="DY117" s="733">
        <f>'BASE DE DATOS'!BQ117</f>
        <v>11</v>
      </c>
      <c r="DZ117" s="733">
        <f>'BASE DE DATOS'!BR117</f>
        <v>20</v>
      </c>
      <c r="EA117" s="733">
        <f>'BASE DE DATOS'!BS117</f>
        <v>21</v>
      </c>
      <c r="EB117" s="733">
        <f>'BASE DE DATOS'!BT117</f>
        <v>27</v>
      </c>
      <c r="GM117" s="741"/>
      <c r="GN117" s="741"/>
      <c r="GO117" s="741"/>
      <c r="GP117" s="741"/>
      <c r="GQ117" s="741"/>
      <c r="GR117" s="741"/>
      <c r="GS117" s="727"/>
      <c r="GT117" s="727"/>
      <c r="GU117" s="727"/>
      <c r="GV117" s="727"/>
      <c r="GW117" s="727"/>
      <c r="GX117" s="727"/>
      <c r="GY117" s="727"/>
    </row>
    <row r="118" spans="2:207" ht="16">
      <c r="B118" s="734" t="str">
        <f>'BASE DE DATOS'!B118</f>
        <v>MZ</v>
      </c>
      <c r="C118" s="734" t="str">
        <f>'BASE DE DATOS'!C118</f>
        <v>MALARGUE</v>
      </c>
      <c r="D118" s="734">
        <f>'BASE DE DATOS'!D118</f>
        <v>35.5</v>
      </c>
      <c r="E118" s="734">
        <f>'BASE DE DATOS'!E118</f>
        <v>69.58</v>
      </c>
      <c r="F118" s="734">
        <f>'BASE DE DATOS'!F118</f>
        <v>1423</v>
      </c>
      <c r="G118" s="734" t="str">
        <f>'BASE DE DATOS'!G118</f>
        <v>V</v>
      </c>
      <c r="H118" s="734">
        <f>'BASE DE DATOS'!H118</f>
        <v>-9.6</v>
      </c>
      <c r="I118" s="734">
        <f>'BASE DE DATOS'!I118</f>
        <v>4.3</v>
      </c>
      <c r="J118" s="734">
        <f>'BASE DE DATOS'!J118</f>
        <v>18.7</v>
      </c>
      <c r="K118" s="734">
        <f>'BASE DE DATOS'!K118</f>
        <v>30.6</v>
      </c>
      <c r="L118" s="734">
        <f>'BASE DE DATOS'!L118</f>
        <v>49</v>
      </c>
      <c r="M118" s="734">
        <f>'BASE DE DATOS'!M118</f>
        <v>65</v>
      </c>
      <c r="N118" s="734">
        <f>'BASE DE DATOS'!N118</f>
        <v>49</v>
      </c>
      <c r="O118" s="734">
        <f>'BASE DE DATOS'!O118</f>
        <v>20</v>
      </c>
      <c r="P118" s="734">
        <f>'BASE DE DATOS'!P118</f>
        <v>17</v>
      </c>
      <c r="Q118" s="734">
        <f>'BASE DE DATOS'!Q118</f>
        <v>5</v>
      </c>
      <c r="R118" s="734">
        <f>'BASE DE DATOS'!R118</f>
        <v>17.899999999999999</v>
      </c>
      <c r="S118" s="734">
        <f>'BASE DE DATOS'!S118</f>
        <v>0.53</v>
      </c>
      <c r="T118" s="734">
        <f>'BASE DE DATOS'!T118</f>
        <v>29.7</v>
      </c>
      <c r="U118" s="734">
        <f>'BASE DE DATOS'!U118</f>
        <v>8</v>
      </c>
      <c r="V118" s="734">
        <f>'BASE DE DATOS'!V118</f>
        <v>200</v>
      </c>
      <c r="W118" s="734">
        <f>'BASE DE DATOS'!W118</f>
        <v>123</v>
      </c>
      <c r="X118" s="734">
        <f>'BASE DE DATOS'!X118</f>
        <v>4.0000000000000001E-3</v>
      </c>
      <c r="Y118" s="734">
        <f>'BASE DE DATOS'!Y118</f>
        <v>8.9999999999999993E-3</v>
      </c>
      <c r="Z118" s="734">
        <f>'BASE DE DATOS'!Z118</f>
        <v>105</v>
      </c>
      <c r="AA118" s="734">
        <f>'BASE DE DATOS'!AA118</f>
        <v>1.05</v>
      </c>
      <c r="AB118" s="734">
        <f>'BASE DE DATOS'!AB118</f>
        <v>35</v>
      </c>
      <c r="AD118" s="734" t="str">
        <f>'BASE DE DATOS'!AD118</f>
        <v>MALARGUE</v>
      </c>
      <c r="AE118" s="734">
        <f>'BASE DE DATOS'!AE118</f>
        <v>19.100000000000001</v>
      </c>
      <c r="AF118" s="734">
        <f>'BASE DE DATOS'!AF118</f>
        <v>18.3</v>
      </c>
      <c r="AG118" s="734">
        <f>'BASE DE DATOS'!AG118</f>
        <v>15.6</v>
      </c>
      <c r="AH118" s="734">
        <f>'BASE DE DATOS'!AH118</f>
        <v>11.5</v>
      </c>
      <c r="AI118" s="734">
        <f>'BASE DE DATOS'!AI118</f>
        <v>7.8</v>
      </c>
      <c r="AJ118" s="734">
        <f>'BASE DE DATOS'!AJ118</f>
        <v>4.8</v>
      </c>
      <c r="AK118" s="734">
        <f>'BASE DE DATOS'!AK118</f>
        <v>4.0999999999999996</v>
      </c>
      <c r="AL118" s="734">
        <f>'BASE DE DATOS'!AL118</f>
        <v>5.8</v>
      </c>
      <c r="AM118" s="734">
        <f>'BASE DE DATOS'!AM118</f>
        <v>8.1</v>
      </c>
      <c r="AN118" s="734">
        <f>'BASE DE DATOS'!AN118</f>
        <v>11.7</v>
      </c>
      <c r="AO118" s="734">
        <f>'BASE DE DATOS'!AO118</f>
        <v>15</v>
      </c>
      <c r="AP118" s="734">
        <f>'BASE DE DATOS'!AP118</f>
        <v>17.7</v>
      </c>
      <c r="AR118" s="734" t="str">
        <f>'BASE DE DATOS'!AR118</f>
        <v>MZ</v>
      </c>
      <c r="AS118" s="734" t="str">
        <f>'BASE DE DATOS'!AS118</f>
        <v>MALARGUE</v>
      </c>
      <c r="AT118" s="734">
        <f>'BASE DE DATOS'!AT118</f>
        <v>7.5</v>
      </c>
      <c r="AU118" s="734">
        <f>'BASE DE DATOS'!AU118</f>
        <v>6.5</v>
      </c>
      <c r="AV118" s="734">
        <f>'BASE DE DATOS'!AV118</f>
        <v>5</v>
      </c>
      <c r="AW118" s="734">
        <f>'BASE DE DATOS'!AW118</f>
        <v>3.5</v>
      </c>
      <c r="AX118" s="734">
        <f>'BASE DE DATOS'!AX118</f>
        <v>2.5</v>
      </c>
      <c r="AY118" s="734">
        <f>'BASE DE DATOS'!AY118</f>
        <v>2</v>
      </c>
      <c r="AZ118" s="734">
        <f>'BASE DE DATOS'!AZ118</f>
        <v>2.5</v>
      </c>
      <c r="BA118" s="734">
        <f>'BASE DE DATOS'!BA118</f>
        <v>3</v>
      </c>
      <c r="BB118" s="734">
        <f>'BASE DE DATOS'!BB118</f>
        <v>4.5</v>
      </c>
      <c r="BC118" s="734">
        <f>'BASE DE DATOS'!BC118</f>
        <v>6</v>
      </c>
      <c r="BD118" s="734">
        <f>'BASE DE DATOS'!BD118</f>
        <v>7</v>
      </c>
      <c r="BE118" s="734">
        <f>'BASE DE DATOS'!BE118</f>
        <v>7.5</v>
      </c>
      <c r="DO118" s="733" t="str">
        <f>'BASE DE DATOS'!BG118</f>
        <v>MZ</v>
      </c>
      <c r="DP118" s="733" t="str">
        <f>'BASE DE DATOS'!BH118</f>
        <v>MALARGUE</v>
      </c>
      <c r="DQ118" s="733">
        <f>'BASE DE DATOS'!BI118</f>
        <v>34</v>
      </c>
      <c r="DR118" s="733">
        <f>'BASE DE DATOS'!BJ118</f>
        <v>31</v>
      </c>
      <c r="DS118" s="733">
        <f>'BASE DE DATOS'!BK118</f>
        <v>27</v>
      </c>
      <c r="DT118" s="733">
        <f>'BASE DE DATOS'!BL118</f>
        <v>12</v>
      </c>
      <c r="DU118" s="733">
        <f>'BASE DE DATOS'!BM118</f>
        <v>9</v>
      </c>
      <c r="DV118" s="733">
        <f>'BASE DE DATOS'!BN118</f>
        <v>7</v>
      </c>
      <c r="DW118" s="733">
        <f>'BASE DE DATOS'!BO118</f>
        <v>8</v>
      </c>
      <c r="DX118" s="733">
        <f>'BASE DE DATOS'!BP118</f>
        <v>6</v>
      </c>
      <c r="DY118" s="733">
        <f>'BASE DE DATOS'!BQ118</f>
        <v>11</v>
      </c>
      <c r="DZ118" s="733">
        <f>'BASE DE DATOS'!BR118</f>
        <v>20</v>
      </c>
      <c r="EA118" s="733">
        <f>'BASE DE DATOS'!BS118</f>
        <v>21</v>
      </c>
      <c r="EB118" s="733">
        <f>'BASE DE DATOS'!BT118</f>
        <v>27</v>
      </c>
      <c r="GM118" s="741"/>
      <c r="GN118" s="741"/>
      <c r="GO118" s="741"/>
      <c r="GP118" s="741"/>
      <c r="GQ118" s="741"/>
      <c r="GR118" s="741"/>
      <c r="GS118" s="727"/>
      <c r="GT118" s="727"/>
      <c r="GU118" s="727"/>
      <c r="GV118" s="727"/>
      <c r="GW118" s="727"/>
      <c r="GX118" s="727"/>
      <c r="GY118" s="727"/>
    </row>
    <row r="119" spans="2:207" ht="16">
      <c r="B119" s="734" t="str">
        <f>'BASE DE DATOS'!B119</f>
        <v>MZ</v>
      </c>
      <c r="C119" s="734" t="str">
        <f>'BASE DE DATOS'!C119</f>
        <v>MENDOZA AERO</v>
      </c>
      <c r="D119" s="734">
        <f>'BASE DE DATOS'!D119</f>
        <v>32.83</v>
      </c>
      <c r="E119" s="734">
        <f>'BASE DE DATOS'!E119</f>
        <v>68.78</v>
      </c>
      <c r="F119" s="734">
        <f>'BASE DE DATOS'!F119</f>
        <v>704</v>
      </c>
      <c r="G119" s="734" t="str">
        <f>'BASE DE DATOS'!G119</f>
        <v>IVA</v>
      </c>
      <c r="H119" s="734">
        <f>'BASE DE DATOS'!H119</f>
        <v>-3.1</v>
      </c>
      <c r="I119" s="734">
        <f>'BASE DE DATOS'!I119</f>
        <v>8.3000000000000007</v>
      </c>
      <c r="J119" s="734">
        <f>'BASE DE DATOS'!J119</f>
        <v>24.2</v>
      </c>
      <c r="K119" s="734">
        <f>'BASE DE DATOS'!K119</f>
        <v>35.200000000000003</v>
      </c>
      <c r="L119" s="734">
        <f>'BASE DE DATOS'!L119</f>
        <v>50</v>
      </c>
      <c r="M119" s="734">
        <f>'BASE DE DATOS'!M119</f>
        <v>58</v>
      </c>
      <c r="N119" s="734">
        <f>'BASE DE DATOS'!N119</f>
        <v>51</v>
      </c>
      <c r="O119" s="734">
        <f>'BASE DE DATOS'!O119</f>
        <v>4</v>
      </c>
      <c r="P119" s="734">
        <f>'BASE DE DATOS'!P119</f>
        <v>23</v>
      </c>
      <c r="Q119" s="734">
        <f>'BASE DE DATOS'!Q119</f>
        <v>4</v>
      </c>
      <c r="R119" s="734">
        <f>'BASE DE DATOS'!R119</f>
        <v>23.8</v>
      </c>
      <c r="S119" s="734">
        <f>'BASE DE DATOS'!S119</f>
        <v>0.51</v>
      </c>
      <c r="T119" s="734">
        <f>'BASE DE DATOS'!T119</f>
        <v>29.7</v>
      </c>
      <c r="U119" s="734">
        <f>'BASE DE DATOS'!U119</f>
        <v>8</v>
      </c>
      <c r="V119" s="734">
        <f>'BASE DE DATOS'!V119</f>
        <v>200</v>
      </c>
      <c r="W119" s="734">
        <f>'BASE DE DATOS'!W119</f>
        <v>123</v>
      </c>
      <c r="X119" s="734">
        <f>'BASE DE DATOS'!X119</f>
        <v>4.0000000000000001E-3</v>
      </c>
      <c r="Y119" s="734">
        <f>'BASE DE DATOS'!Y119</f>
        <v>8.9999999999999993E-3</v>
      </c>
      <c r="Z119" s="734">
        <f>'BASE DE DATOS'!Z119</f>
        <v>110</v>
      </c>
      <c r="AA119" s="734">
        <f>'BASE DE DATOS'!AA119</f>
        <v>1.1000000000000001</v>
      </c>
      <c r="AB119" s="734">
        <f>'BASE DE DATOS'!AB119</f>
        <v>35</v>
      </c>
      <c r="AD119" s="734" t="str">
        <f>'BASE DE DATOS'!AD119</f>
        <v>MENDOZA AERO</v>
      </c>
      <c r="AE119" s="734">
        <f>'BASE DE DATOS'!AE119</f>
        <v>23.6</v>
      </c>
      <c r="AF119" s="734">
        <f>'BASE DE DATOS'!AF119</f>
        <v>22.7</v>
      </c>
      <c r="AG119" s="734">
        <f>'BASE DE DATOS'!AG119</f>
        <v>19.5</v>
      </c>
      <c r="AH119" s="734">
        <f>'BASE DE DATOS'!AH119</f>
        <v>16.399999999999999</v>
      </c>
      <c r="AI119" s="734">
        <f>'BASE DE DATOS'!AI119</f>
        <v>12.1</v>
      </c>
      <c r="AJ119" s="734">
        <f>'BASE DE DATOS'!AJ119</f>
        <v>8</v>
      </c>
      <c r="AK119" s="734">
        <f>'BASE DE DATOS'!AK119</f>
        <v>7.8</v>
      </c>
      <c r="AL119" s="734">
        <f>'BASE DE DATOS'!AL119</f>
        <v>10.5</v>
      </c>
      <c r="AM119" s="734">
        <f>'BASE DE DATOS'!AM119</f>
        <v>13</v>
      </c>
      <c r="AN119" s="734">
        <f>'BASE DE DATOS'!AN119</f>
        <v>16.8</v>
      </c>
      <c r="AO119" s="734">
        <f>'BASE DE DATOS'!AO119</f>
        <v>20.3</v>
      </c>
      <c r="AP119" s="734">
        <f>'BASE DE DATOS'!AP119</f>
        <v>22.5</v>
      </c>
      <c r="AR119" s="734" t="str">
        <f>'BASE DE DATOS'!AR119</f>
        <v>MZ</v>
      </c>
      <c r="AS119" s="734" t="str">
        <f>'BASE DE DATOS'!AS119</f>
        <v>MENDOZA AERO</v>
      </c>
      <c r="AT119" s="734">
        <f>'BASE DE DATOS'!AT119</f>
        <v>7</v>
      </c>
      <c r="AU119" s="734">
        <f>'BASE DE DATOS'!AU119</f>
        <v>6</v>
      </c>
      <c r="AV119" s="734">
        <f>'BASE DE DATOS'!AV119</f>
        <v>5.5</v>
      </c>
      <c r="AW119" s="734">
        <f>'BASE DE DATOS'!AW119</f>
        <v>4</v>
      </c>
      <c r="AX119" s="734">
        <f>'BASE DE DATOS'!AX119</f>
        <v>3</v>
      </c>
      <c r="AY119" s="734">
        <f>'BASE DE DATOS'!AY119</f>
        <v>2</v>
      </c>
      <c r="AZ119" s="734">
        <f>'BASE DE DATOS'!AZ119</f>
        <v>3</v>
      </c>
      <c r="BA119" s="734">
        <f>'BASE DE DATOS'!BA119</f>
        <v>3.5</v>
      </c>
      <c r="BB119" s="734">
        <f>'BASE DE DATOS'!BB119</f>
        <v>5</v>
      </c>
      <c r="BC119" s="734">
        <f>'BASE DE DATOS'!BC119</f>
        <v>6</v>
      </c>
      <c r="BD119" s="734">
        <f>'BASE DE DATOS'!BD119</f>
        <v>7</v>
      </c>
      <c r="BE119" s="734">
        <f>'BASE DE DATOS'!BE119</f>
        <v>7.5</v>
      </c>
      <c r="DO119" s="733" t="str">
        <f>'BASE DE DATOS'!BG119</f>
        <v>MZ</v>
      </c>
      <c r="DP119" s="733" t="str">
        <f>'BASE DE DATOS'!BH119</f>
        <v>MENDOZA AERO</v>
      </c>
      <c r="DQ119" s="733">
        <f>'BASE DE DATOS'!BI119</f>
        <v>34</v>
      </c>
      <c r="DR119" s="733">
        <f>'BASE DE DATOS'!BJ119</f>
        <v>31</v>
      </c>
      <c r="DS119" s="733">
        <f>'BASE DE DATOS'!BK119</f>
        <v>27</v>
      </c>
      <c r="DT119" s="733">
        <f>'BASE DE DATOS'!BL119</f>
        <v>12</v>
      </c>
      <c r="DU119" s="733">
        <f>'BASE DE DATOS'!BM119</f>
        <v>9</v>
      </c>
      <c r="DV119" s="733">
        <f>'BASE DE DATOS'!BN119</f>
        <v>7</v>
      </c>
      <c r="DW119" s="733">
        <f>'BASE DE DATOS'!BO119</f>
        <v>8</v>
      </c>
      <c r="DX119" s="733">
        <f>'BASE DE DATOS'!BP119</f>
        <v>6</v>
      </c>
      <c r="DY119" s="733">
        <f>'BASE DE DATOS'!BQ119</f>
        <v>11</v>
      </c>
      <c r="DZ119" s="733">
        <f>'BASE DE DATOS'!BR119</f>
        <v>20</v>
      </c>
      <c r="EA119" s="733">
        <f>'BASE DE DATOS'!BS119</f>
        <v>21</v>
      </c>
      <c r="EB119" s="733">
        <f>'BASE DE DATOS'!BT119</f>
        <v>27</v>
      </c>
      <c r="GM119" s="741"/>
      <c r="GN119" s="741"/>
      <c r="GO119" s="741"/>
      <c r="GP119" s="741"/>
      <c r="GQ119" s="741"/>
      <c r="GR119" s="741"/>
      <c r="GS119" s="727"/>
      <c r="GT119" s="727"/>
      <c r="GU119" s="727"/>
      <c r="GV119" s="727"/>
      <c r="GW119" s="727"/>
      <c r="GX119" s="727"/>
      <c r="GY119" s="727"/>
    </row>
    <row r="120" spans="2:207" ht="16">
      <c r="B120" s="734" t="str">
        <f>'BASE DE DATOS'!B120</f>
        <v>MZ</v>
      </c>
      <c r="C120" s="734" t="str">
        <f>'BASE DE DATOS'!C120</f>
        <v>MENDOZA</v>
      </c>
      <c r="D120" s="734">
        <f>'BASE DE DATOS'!D120</f>
        <v>32.880000000000003</v>
      </c>
      <c r="E120" s="734">
        <f>'BASE DE DATOS'!E120</f>
        <v>68.849999999999994</v>
      </c>
      <c r="F120" s="734">
        <f>'BASE DE DATOS'!F120</f>
        <v>828</v>
      </c>
      <c r="G120" s="734" t="str">
        <f>'BASE DE DATOS'!G120</f>
        <v>IVA</v>
      </c>
      <c r="H120" s="734">
        <f>'BASE DE DATOS'!H120</f>
        <v>-1.2</v>
      </c>
      <c r="I120" s="734">
        <f>'BASE DE DATOS'!I120</f>
        <v>8.8000000000000007</v>
      </c>
      <c r="J120" s="734">
        <f>'BASE DE DATOS'!J120</f>
        <v>22.9</v>
      </c>
      <c r="K120" s="734">
        <f>'BASE DE DATOS'!K120</f>
        <v>33</v>
      </c>
      <c r="L120" s="734">
        <f>'BASE DE DATOS'!L120</f>
        <v>54</v>
      </c>
      <c r="M120" s="734">
        <f>'BASE DE DATOS'!M120</f>
        <v>60</v>
      </c>
      <c r="N120" s="734">
        <f>'BASE DE DATOS'!N120</f>
        <v>50</v>
      </c>
      <c r="O120" s="734">
        <f>'BASE DE DATOS'!O120</f>
        <v>2</v>
      </c>
      <c r="P120" s="734">
        <f>'BASE DE DATOS'!P120</f>
        <v>29</v>
      </c>
      <c r="Q120" s="734">
        <f>'BASE DE DATOS'!Q120</f>
        <v>4</v>
      </c>
      <c r="R120" s="734">
        <f>'BASE DE DATOS'!R120</f>
        <v>23.2</v>
      </c>
      <c r="S120" s="734">
        <f>'BASE DE DATOS'!S120</f>
        <v>0.51</v>
      </c>
      <c r="T120" s="734">
        <f>'BASE DE DATOS'!T120</f>
        <v>29.7</v>
      </c>
      <c r="U120" s="734">
        <f>'BASE DE DATOS'!U120</f>
        <v>8</v>
      </c>
      <c r="V120" s="734">
        <f>'BASE DE DATOS'!V120</f>
        <v>200</v>
      </c>
      <c r="W120" s="734">
        <f>'BASE DE DATOS'!W120</f>
        <v>123</v>
      </c>
      <c r="X120" s="734">
        <f>'BASE DE DATOS'!X120</f>
        <v>4.0000000000000001E-3</v>
      </c>
      <c r="Y120" s="734">
        <f>'BASE DE DATOS'!Y120</f>
        <v>8.9999999999999993E-3</v>
      </c>
      <c r="Z120" s="734">
        <f>'BASE DE DATOS'!Z120</f>
        <v>110</v>
      </c>
      <c r="AA120" s="734">
        <f>'BASE DE DATOS'!AA120</f>
        <v>1.1000000000000001</v>
      </c>
      <c r="AB120" s="734">
        <f>'BASE DE DATOS'!AB120</f>
        <v>35</v>
      </c>
      <c r="AD120" s="734" t="str">
        <f>'BASE DE DATOS'!AD120</f>
        <v>MENDOZA</v>
      </c>
      <c r="AE120" s="734">
        <f>'BASE DE DATOS'!AE120</f>
        <v>24</v>
      </c>
      <c r="AF120" s="734">
        <f>'BASE DE DATOS'!AF120</f>
        <v>22.8</v>
      </c>
      <c r="AG120" s="734">
        <f>'BASE DE DATOS'!AG120</f>
        <v>20.2</v>
      </c>
      <c r="AH120" s="734">
        <f>'BASE DE DATOS'!AH120</f>
        <v>15.9</v>
      </c>
      <c r="AI120" s="734">
        <f>'BASE DE DATOS'!AI120</f>
        <v>11.9</v>
      </c>
      <c r="AJ120" s="734">
        <f>'BASE DE DATOS'!AJ120</f>
        <v>8.5</v>
      </c>
      <c r="AK120" s="734">
        <f>'BASE DE DATOS'!AK120</f>
        <v>8.1</v>
      </c>
      <c r="AL120" s="734">
        <f>'BASE DE DATOS'!AL120</f>
        <v>10.4</v>
      </c>
      <c r="AM120" s="734">
        <f>'BASE DE DATOS'!AM120</f>
        <v>13.5</v>
      </c>
      <c r="AN120" s="734">
        <f>'BASE DE DATOS'!AN120</f>
        <v>17.2</v>
      </c>
      <c r="AO120" s="734">
        <f>'BASE DE DATOS'!AO120</f>
        <v>20.7</v>
      </c>
      <c r="AP120" s="734">
        <f>'BASE DE DATOS'!AP120</f>
        <v>23.2</v>
      </c>
      <c r="AR120" s="734" t="str">
        <f>'BASE DE DATOS'!AR120</f>
        <v>MZ</v>
      </c>
      <c r="AS120" s="734" t="str">
        <f>'BASE DE DATOS'!AS120</f>
        <v>MENDOZA</v>
      </c>
      <c r="AT120" s="734">
        <f>'BASE DE DATOS'!AT120</f>
        <v>7</v>
      </c>
      <c r="AU120" s="734">
        <f>'BASE DE DATOS'!AU120</f>
        <v>6</v>
      </c>
      <c r="AV120" s="734">
        <f>'BASE DE DATOS'!AV120</f>
        <v>5.5</v>
      </c>
      <c r="AW120" s="734">
        <f>'BASE DE DATOS'!AW120</f>
        <v>4</v>
      </c>
      <c r="AX120" s="734">
        <f>'BASE DE DATOS'!AX120</f>
        <v>3</v>
      </c>
      <c r="AY120" s="734">
        <f>'BASE DE DATOS'!AY120</f>
        <v>2</v>
      </c>
      <c r="AZ120" s="734">
        <f>'BASE DE DATOS'!AZ120</f>
        <v>3</v>
      </c>
      <c r="BA120" s="734">
        <f>'BASE DE DATOS'!BA120</f>
        <v>3.5</v>
      </c>
      <c r="BB120" s="734">
        <f>'BASE DE DATOS'!BB120</f>
        <v>5</v>
      </c>
      <c r="BC120" s="734">
        <f>'BASE DE DATOS'!BC120</f>
        <v>6</v>
      </c>
      <c r="BD120" s="734">
        <f>'BASE DE DATOS'!BD120</f>
        <v>7</v>
      </c>
      <c r="BE120" s="734">
        <f>'BASE DE DATOS'!BE120</f>
        <v>7.5</v>
      </c>
      <c r="DO120" s="733" t="str">
        <f>'BASE DE DATOS'!BG120</f>
        <v>MZ</v>
      </c>
      <c r="DP120" s="733" t="str">
        <f>'BASE DE DATOS'!BH120</f>
        <v>MENDOZA</v>
      </c>
      <c r="DQ120" s="733">
        <f>'BASE DE DATOS'!BI120</f>
        <v>34</v>
      </c>
      <c r="DR120" s="733">
        <f>'BASE DE DATOS'!BJ120</f>
        <v>31</v>
      </c>
      <c r="DS120" s="733">
        <f>'BASE DE DATOS'!BK120</f>
        <v>27</v>
      </c>
      <c r="DT120" s="733">
        <f>'BASE DE DATOS'!BL120</f>
        <v>12</v>
      </c>
      <c r="DU120" s="733">
        <f>'BASE DE DATOS'!BM120</f>
        <v>9</v>
      </c>
      <c r="DV120" s="733">
        <f>'BASE DE DATOS'!BN120</f>
        <v>7</v>
      </c>
      <c r="DW120" s="733">
        <f>'BASE DE DATOS'!BO120</f>
        <v>8</v>
      </c>
      <c r="DX120" s="733">
        <f>'BASE DE DATOS'!BP120</f>
        <v>6</v>
      </c>
      <c r="DY120" s="733">
        <f>'BASE DE DATOS'!BQ120</f>
        <v>11</v>
      </c>
      <c r="DZ120" s="733">
        <f>'BASE DE DATOS'!BR120</f>
        <v>20</v>
      </c>
      <c r="EA120" s="733">
        <f>'BASE DE DATOS'!BS120</f>
        <v>21</v>
      </c>
      <c r="EB120" s="733">
        <f>'BASE DE DATOS'!BT120</f>
        <v>27</v>
      </c>
      <c r="GM120" s="741"/>
      <c r="GN120" s="741"/>
      <c r="GO120" s="741"/>
      <c r="GP120" s="741"/>
      <c r="GQ120" s="741"/>
      <c r="GR120" s="741"/>
      <c r="GS120" s="727"/>
      <c r="GT120" s="727"/>
      <c r="GU120" s="727"/>
      <c r="GV120" s="727"/>
      <c r="GW120" s="727"/>
      <c r="GX120" s="727"/>
      <c r="GY120" s="727"/>
    </row>
    <row r="121" spans="2:207" ht="16">
      <c r="B121" s="734" t="str">
        <f>'BASE DE DATOS'!B121</f>
        <v>MZ</v>
      </c>
      <c r="C121" s="734" t="str">
        <f>'BASE DE DATOS'!C121</f>
        <v>PUENTE DEL INCA</v>
      </c>
      <c r="D121" s="734">
        <f>'BASE DE DATOS'!D121</f>
        <v>32.82</v>
      </c>
      <c r="E121" s="734">
        <f>'BASE DE DATOS'!E121</f>
        <v>69.900000000000006</v>
      </c>
      <c r="F121" s="734">
        <f>'BASE DE DATOS'!F121</f>
        <v>2720</v>
      </c>
      <c r="G121" s="734" t="str">
        <f>'BASE DE DATOS'!G121</f>
        <v>VI</v>
      </c>
      <c r="H121" s="734">
        <f>'BASE DE DATOS'!H121</f>
        <v>-7.9</v>
      </c>
      <c r="I121" s="734">
        <f>'BASE DE DATOS'!I121</f>
        <v>0.9</v>
      </c>
      <c r="J121" s="734">
        <f>'BASE DE DATOS'!J121</f>
        <v>20.399999999999999</v>
      </c>
      <c r="K121" s="734">
        <f>'BASE DE DATOS'!K121</f>
        <v>31.5</v>
      </c>
      <c r="L121" s="734">
        <f>'BASE DE DATOS'!L121</f>
        <v>36</v>
      </c>
      <c r="M121" s="734">
        <f>'BASE DE DATOS'!M121</f>
        <v>50</v>
      </c>
      <c r="N121" s="734">
        <f>'BASE DE DATOS'!N121</f>
        <v>36</v>
      </c>
      <c r="O121" s="734">
        <f>'BASE DE DATOS'!O121</f>
        <v>57</v>
      </c>
      <c r="P121" s="734">
        <f>'BASE DE DATOS'!P121</f>
        <v>26</v>
      </c>
      <c r="Q121" s="734">
        <f>'BASE DE DATOS'!Q121</f>
        <v>6</v>
      </c>
      <c r="R121" s="734">
        <f>'BASE DE DATOS'!R121</f>
        <v>19.399999999999999</v>
      </c>
      <c r="S121" s="734">
        <f>'BASE DE DATOS'!S121</f>
        <v>0.51</v>
      </c>
      <c r="T121" s="734">
        <f>'BASE DE DATOS'!T121</f>
        <v>29.7</v>
      </c>
      <c r="U121" s="734">
        <f>'BASE DE DATOS'!U121</f>
        <v>8</v>
      </c>
      <c r="V121" s="734">
        <f>'BASE DE DATOS'!V121</f>
        <v>200</v>
      </c>
      <c r="W121" s="734">
        <f>'BASE DE DATOS'!W121</f>
        <v>123</v>
      </c>
      <c r="X121" s="734">
        <f>'BASE DE DATOS'!X121</f>
        <v>4.0000000000000001E-3</v>
      </c>
      <c r="Y121" s="734">
        <f>'BASE DE DATOS'!Y121</f>
        <v>8.9999999999999993E-3</v>
      </c>
      <c r="Z121" s="734">
        <f>'BASE DE DATOS'!Z121</f>
        <v>95</v>
      </c>
      <c r="AA121" s="734">
        <f>'BASE DE DATOS'!AA121</f>
        <v>0.95000000000000007</v>
      </c>
      <c r="AB121" s="734">
        <f>'BASE DE DATOS'!AB121</f>
        <v>35</v>
      </c>
      <c r="AD121" s="734" t="str">
        <f>'BASE DE DATOS'!AD121</f>
        <v>PUENTE DEL INCA</v>
      </c>
      <c r="AE121" s="734">
        <f>'BASE DE DATOS'!AE121</f>
        <v>12.5</v>
      </c>
      <c r="AF121" s="734">
        <f>'BASE DE DATOS'!AF121</f>
        <v>12.6</v>
      </c>
      <c r="AG121" s="734">
        <f>'BASE DE DATOS'!AG121</f>
        <v>10.9</v>
      </c>
      <c r="AH121" s="734">
        <f>'BASE DE DATOS'!AH121</f>
        <v>7.6</v>
      </c>
      <c r="AI121" s="734">
        <f>'BASE DE DATOS'!AI121</f>
        <v>3.2</v>
      </c>
      <c r="AJ121" s="734">
        <f>'BASE DE DATOS'!AJ121</f>
        <v>-0.4</v>
      </c>
      <c r="AK121" s="734">
        <f>'BASE DE DATOS'!AK121</f>
        <v>0.3</v>
      </c>
      <c r="AL121" s="734">
        <f>'BASE DE DATOS'!AL121</f>
        <v>1.8</v>
      </c>
      <c r="AM121" s="734">
        <f>'BASE DE DATOS'!AM121</f>
        <v>3.3</v>
      </c>
      <c r="AN121" s="734">
        <f>'BASE DE DATOS'!AN121</f>
        <v>4.7</v>
      </c>
      <c r="AO121" s="734">
        <f>'BASE DE DATOS'!AO121</f>
        <v>8.9</v>
      </c>
      <c r="AP121" s="734">
        <f>'BASE DE DATOS'!AP121</f>
        <v>11.3</v>
      </c>
      <c r="AR121" s="734" t="str">
        <f>'BASE DE DATOS'!AR121</f>
        <v>MZ</v>
      </c>
      <c r="AS121" s="734" t="str">
        <f>'BASE DE DATOS'!AS121</f>
        <v>PUENTE DEL INCA</v>
      </c>
      <c r="AT121" s="734">
        <f>'BASE DE DATOS'!AT121</f>
        <v>7.5</v>
      </c>
      <c r="AU121" s="734">
        <f>'BASE DE DATOS'!AU121</f>
        <v>6.5</v>
      </c>
      <c r="AV121" s="734">
        <f>'BASE DE DATOS'!AV121</f>
        <v>5.5</v>
      </c>
      <c r="AW121" s="734">
        <f>'BASE DE DATOS'!AW121</f>
        <v>4</v>
      </c>
      <c r="AX121" s="734">
        <f>'BASE DE DATOS'!AX121</f>
        <v>3</v>
      </c>
      <c r="AY121" s="734">
        <f>'BASE DE DATOS'!AY121</f>
        <v>2</v>
      </c>
      <c r="AZ121" s="734">
        <f>'BASE DE DATOS'!AZ121</f>
        <v>2.5</v>
      </c>
      <c r="BA121" s="734">
        <f>'BASE DE DATOS'!BA121</f>
        <v>3.5</v>
      </c>
      <c r="BB121" s="734">
        <f>'BASE DE DATOS'!BB121</f>
        <v>5</v>
      </c>
      <c r="BC121" s="734">
        <f>'BASE DE DATOS'!BC121</f>
        <v>6</v>
      </c>
      <c r="BD121" s="734">
        <f>'BASE DE DATOS'!BD121</f>
        <v>7</v>
      </c>
      <c r="BE121" s="734">
        <f>'BASE DE DATOS'!BE121</f>
        <v>7.5</v>
      </c>
      <c r="DO121" s="733" t="str">
        <f>'BASE DE DATOS'!BG121</f>
        <v>MZ</v>
      </c>
      <c r="DP121" s="733" t="str">
        <f>'BASE DE DATOS'!BH121</f>
        <v>PUENTE DEL INCA</v>
      </c>
      <c r="DQ121" s="733">
        <f>'BASE DE DATOS'!BI121</f>
        <v>34</v>
      </c>
      <c r="DR121" s="733">
        <f>'BASE DE DATOS'!BJ121</f>
        <v>31</v>
      </c>
      <c r="DS121" s="733">
        <f>'BASE DE DATOS'!BK121</f>
        <v>27</v>
      </c>
      <c r="DT121" s="733">
        <f>'BASE DE DATOS'!BL121</f>
        <v>12</v>
      </c>
      <c r="DU121" s="733">
        <f>'BASE DE DATOS'!BM121</f>
        <v>9</v>
      </c>
      <c r="DV121" s="733">
        <f>'BASE DE DATOS'!BN121</f>
        <v>7</v>
      </c>
      <c r="DW121" s="733">
        <f>'BASE DE DATOS'!BO121</f>
        <v>8</v>
      </c>
      <c r="DX121" s="733">
        <f>'BASE DE DATOS'!BP121</f>
        <v>6</v>
      </c>
      <c r="DY121" s="733">
        <f>'BASE DE DATOS'!BQ121</f>
        <v>11</v>
      </c>
      <c r="DZ121" s="733">
        <f>'BASE DE DATOS'!BR121</f>
        <v>20</v>
      </c>
      <c r="EA121" s="733">
        <f>'BASE DE DATOS'!BS121</f>
        <v>21</v>
      </c>
      <c r="EB121" s="733">
        <f>'BASE DE DATOS'!BT121</f>
        <v>27</v>
      </c>
      <c r="GM121" s="741"/>
      <c r="GN121" s="741"/>
      <c r="GO121" s="741"/>
      <c r="GP121" s="741"/>
      <c r="GQ121" s="741"/>
      <c r="GR121" s="741"/>
      <c r="GS121" s="727"/>
      <c r="GT121" s="727"/>
      <c r="GU121" s="727"/>
      <c r="GV121" s="727"/>
      <c r="GW121" s="727"/>
      <c r="GX121" s="727"/>
      <c r="GY121" s="727"/>
    </row>
    <row r="122" spans="2:207" ht="16">
      <c r="B122" s="734" t="str">
        <f>'BASE DE DATOS'!B122</f>
        <v>MZ</v>
      </c>
      <c r="C122" s="734" t="str">
        <f>'BASE DE DATOS'!C122</f>
        <v>SAN CARLOS</v>
      </c>
      <c r="D122" s="734">
        <f>'BASE DE DATOS'!D122</f>
        <v>33.770000000000003</v>
      </c>
      <c r="E122" s="734">
        <f>'BASE DE DATOS'!E122</f>
        <v>69.03</v>
      </c>
      <c r="F122" s="734">
        <f>'BASE DE DATOS'!F122</f>
        <v>940</v>
      </c>
      <c r="G122" s="734" t="str">
        <f>'BASE DE DATOS'!G122</f>
        <v>IVB</v>
      </c>
      <c r="H122" s="734">
        <f>'BASE DE DATOS'!H122</f>
        <v>-6.5</v>
      </c>
      <c r="I122" s="734">
        <f>'BASE DE DATOS'!I122</f>
        <v>5.9</v>
      </c>
      <c r="J122" s="734">
        <f>'BASE DE DATOS'!J122</f>
        <v>20.399999999999999</v>
      </c>
      <c r="K122" s="734">
        <f>'BASE DE DATOS'!K122</f>
        <v>32.799999999999997</v>
      </c>
      <c r="L122" s="734">
        <f>'BASE DE DATOS'!L122</f>
        <v>53</v>
      </c>
      <c r="M122" s="734">
        <f>'BASE DE DATOS'!M122</f>
        <v>67</v>
      </c>
      <c r="N122" s="734">
        <f>'BASE DE DATOS'!N122</f>
        <v>53</v>
      </c>
      <c r="O122" s="734">
        <f>'BASE DE DATOS'!O122</f>
        <v>9</v>
      </c>
      <c r="P122" s="734">
        <f>'BASE DE DATOS'!P122</f>
        <v>31</v>
      </c>
      <c r="Q122" s="734">
        <f>'BASE DE DATOS'!Q122</f>
        <v>4</v>
      </c>
      <c r="R122" s="734">
        <f>'BASE DE DATOS'!R122</f>
        <v>19.600000000000001</v>
      </c>
      <c r="S122" s="734">
        <f>'BASE DE DATOS'!S122</f>
        <v>0.51</v>
      </c>
      <c r="T122" s="734">
        <f>'BASE DE DATOS'!T122</f>
        <v>29.7</v>
      </c>
      <c r="U122" s="734">
        <f>'BASE DE DATOS'!U122</f>
        <v>8</v>
      </c>
      <c r="V122" s="734">
        <f>'BASE DE DATOS'!V122</f>
        <v>200</v>
      </c>
      <c r="W122" s="734">
        <f>'BASE DE DATOS'!W122</f>
        <v>123</v>
      </c>
      <c r="X122" s="734">
        <f>'BASE DE DATOS'!X122</f>
        <v>4.0000000000000001E-3</v>
      </c>
      <c r="Y122" s="734">
        <f>'BASE DE DATOS'!Y122</f>
        <v>8.9999999999999993E-3</v>
      </c>
      <c r="Z122" s="734">
        <f>'BASE DE DATOS'!Z122</f>
        <v>130</v>
      </c>
      <c r="AA122" s="734">
        <f>'BASE DE DATOS'!AA122</f>
        <v>1.3</v>
      </c>
      <c r="AB122" s="734">
        <f>'BASE DE DATOS'!AB122</f>
        <v>35</v>
      </c>
      <c r="AD122" s="734" t="str">
        <f>'BASE DE DATOS'!AD122</f>
        <v>SAN CARLOS</v>
      </c>
      <c r="AE122" s="734">
        <f>'BASE DE DATOS'!AE122</f>
        <v>20.6</v>
      </c>
      <c r="AF122" s="734">
        <f>'BASE DE DATOS'!AF122</f>
        <v>19.7</v>
      </c>
      <c r="AG122" s="734">
        <f>'BASE DE DATOS'!AG122</f>
        <v>17.399999999999999</v>
      </c>
      <c r="AH122" s="734">
        <f>'BASE DE DATOS'!AH122</f>
        <v>12.7</v>
      </c>
      <c r="AI122" s="734">
        <f>'BASE DE DATOS'!AI122</f>
        <v>8.9</v>
      </c>
      <c r="AJ122" s="734">
        <f>'BASE DE DATOS'!AJ122</f>
        <v>5.9</v>
      </c>
      <c r="AK122" s="734">
        <f>'BASE DE DATOS'!AK122</f>
        <v>5.8</v>
      </c>
      <c r="AL122" s="734">
        <f>'BASE DE DATOS'!AL122</f>
        <v>7.4</v>
      </c>
      <c r="AM122" s="734">
        <f>'BASE DE DATOS'!AM122</f>
        <v>10.199999999999999</v>
      </c>
      <c r="AN122" s="734">
        <f>'BASE DE DATOS'!AN122</f>
        <v>13.4</v>
      </c>
      <c r="AO122" s="734">
        <f>'BASE DE DATOS'!AO122</f>
        <v>17.600000000000001</v>
      </c>
      <c r="AP122" s="734">
        <f>'BASE DE DATOS'!AP122</f>
        <v>19.600000000000001</v>
      </c>
      <c r="AR122" s="734" t="str">
        <f>'BASE DE DATOS'!AR122</f>
        <v>MZ</v>
      </c>
      <c r="AS122" s="734" t="str">
        <f>'BASE DE DATOS'!AS122</f>
        <v>SAN CARLOS</v>
      </c>
      <c r="AT122" s="734">
        <f>'BASE DE DATOS'!AT122</f>
        <v>7</v>
      </c>
      <c r="AU122" s="734">
        <f>'BASE DE DATOS'!AU122</f>
        <v>6</v>
      </c>
      <c r="AV122" s="734">
        <f>'BASE DE DATOS'!AV122</f>
        <v>5.5</v>
      </c>
      <c r="AW122" s="734">
        <f>'BASE DE DATOS'!AW122</f>
        <v>4</v>
      </c>
      <c r="AX122" s="734">
        <f>'BASE DE DATOS'!AX122</f>
        <v>3</v>
      </c>
      <c r="AY122" s="734">
        <f>'BASE DE DATOS'!AY122</f>
        <v>2</v>
      </c>
      <c r="AZ122" s="734">
        <f>'BASE DE DATOS'!AZ122</f>
        <v>2.5</v>
      </c>
      <c r="BA122" s="734">
        <f>'BASE DE DATOS'!BA122</f>
        <v>3.5</v>
      </c>
      <c r="BB122" s="734">
        <f>'BASE DE DATOS'!BB122</f>
        <v>4.5</v>
      </c>
      <c r="BC122" s="734">
        <f>'BASE DE DATOS'!BC122</f>
        <v>6</v>
      </c>
      <c r="BD122" s="734">
        <f>'BASE DE DATOS'!BD122</f>
        <v>7</v>
      </c>
      <c r="BE122" s="734">
        <f>'BASE DE DATOS'!BE122</f>
        <v>7.5</v>
      </c>
      <c r="DO122" s="733" t="str">
        <f>'BASE DE DATOS'!BG122</f>
        <v>MZ</v>
      </c>
      <c r="DP122" s="733" t="str">
        <f>'BASE DE DATOS'!BH122</f>
        <v>SAN CARLOS</v>
      </c>
      <c r="DQ122" s="733">
        <f>'BASE DE DATOS'!BI122</f>
        <v>34</v>
      </c>
      <c r="DR122" s="733">
        <f>'BASE DE DATOS'!BJ122</f>
        <v>31</v>
      </c>
      <c r="DS122" s="733">
        <f>'BASE DE DATOS'!BK122</f>
        <v>27</v>
      </c>
      <c r="DT122" s="733">
        <f>'BASE DE DATOS'!BL122</f>
        <v>12</v>
      </c>
      <c r="DU122" s="733">
        <f>'BASE DE DATOS'!BM122</f>
        <v>9</v>
      </c>
      <c r="DV122" s="733">
        <f>'BASE DE DATOS'!BN122</f>
        <v>7</v>
      </c>
      <c r="DW122" s="733">
        <f>'BASE DE DATOS'!BO122</f>
        <v>8</v>
      </c>
      <c r="DX122" s="733">
        <f>'BASE DE DATOS'!BP122</f>
        <v>6</v>
      </c>
      <c r="DY122" s="733">
        <f>'BASE DE DATOS'!BQ122</f>
        <v>11</v>
      </c>
      <c r="DZ122" s="733">
        <f>'BASE DE DATOS'!BR122</f>
        <v>20</v>
      </c>
      <c r="EA122" s="733">
        <f>'BASE DE DATOS'!BS122</f>
        <v>21</v>
      </c>
      <c r="EB122" s="733">
        <f>'BASE DE DATOS'!BT122</f>
        <v>27</v>
      </c>
      <c r="GM122" s="741"/>
      <c r="GN122" s="741"/>
      <c r="GO122" s="741"/>
      <c r="GP122" s="741"/>
      <c r="GQ122" s="741"/>
      <c r="GR122" s="741"/>
      <c r="GS122" s="727"/>
      <c r="GT122" s="727"/>
      <c r="GU122" s="727"/>
      <c r="GV122" s="727"/>
      <c r="GW122" s="727"/>
      <c r="GX122" s="727"/>
      <c r="GY122" s="727"/>
    </row>
    <row r="123" spans="2:207" ht="16">
      <c r="B123" s="734" t="str">
        <f>'BASE DE DATOS'!B123</f>
        <v>MZ</v>
      </c>
      <c r="C123" s="734" t="str">
        <f>'BASE DE DATOS'!C123</f>
        <v>SAN MARTIN</v>
      </c>
      <c r="D123" s="734">
        <f>'BASE DE DATOS'!D123</f>
        <v>33.08</v>
      </c>
      <c r="E123" s="734">
        <f>'BASE DE DATOS'!E123</f>
        <v>68.42</v>
      </c>
      <c r="F123" s="734">
        <f>'BASE DE DATOS'!F123</f>
        <v>653</v>
      </c>
      <c r="G123" s="734" t="str">
        <f>'BASE DE DATOS'!G123</f>
        <v>IIIA</v>
      </c>
      <c r="H123" s="734">
        <f>'BASE DE DATOS'!H123</f>
        <v>-4.0999999999999996</v>
      </c>
      <c r="I123" s="734">
        <f>'BASE DE DATOS'!I123</f>
        <v>7.9</v>
      </c>
      <c r="J123" s="734">
        <f>'BASE DE DATOS'!J123</f>
        <v>23.1</v>
      </c>
      <c r="K123" s="734">
        <f>'BASE DE DATOS'!K123</f>
        <v>35.200000000000003</v>
      </c>
      <c r="L123" s="734">
        <f>'BASE DE DATOS'!L123</f>
        <v>54</v>
      </c>
      <c r="M123" s="734">
        <f>'BASE DE DATOS'!M123</f>
        <v>62</v>
      </c>
      <c r="N123" s="734">
        <f>'BASE DE DATOS'!N123</f>
        <v>54</v>
      </c>
      <c r="O123" s="734">
        <f>'BASE DE DATOS'!O123</f>
        <v>2</v>
      </c>
      <c r="P123" s="734">
        <f>'BASE DE DATOS'!P123</f>
        <v>28</v>
      </c>
      <c r="Q123" s="734">
        <f>'BASE DE DATOS'!Q123</f>
        <v>3</v>
      </c>
      <c r="R123" s="734">
        <f>'BASE DE DATOS'!R123</f>
        <v>23.2</v>
      </c>
      <c r="S123" s="734">
        <f>'BASE DE DATOS'!S123</f>
        <v>0.51</v>
      </c>
      <c r="T123" s="734">
        <f>'BASE DE DATOS'!T123</f>
        <v>29.7</v>
      </c>
      <c r="U123" s="734">
        <f>'BASE DE DATOS'!U123</f>
        <v>8</v>
      </c>
      <c r="V123" s="734">
        <f>'BASE DE DATOS'!V123</f>
        <v>200</v>
      </c>
      <c r="W123" s="734">
        <f>'BASE DE DATOS'!W123</f>
        <v>123</v>
      </c>
      <c r="X123" s="734">
        <f>'BASE DE DATOS'!X123</f>
        <v>4.0000000000000001E-3</v>
      </c>
      <c r="Y123" s="734">
        <f>'BASE DE DATOS'!Y123</f>
        <v>8.9999999999999993E-3</v>
      </c>
      <c r="Z123" s="734">
        <f>'BASE DE DATOS'!Z123</f>
        <v>145</v>
      </c>
      <c r="AA123" s="734">
        <f>'BASE DE DATOS'!AA123</f>
        <v>1.45</v>
      </c>
      <c r="AB123" s="734">
        <f>'BASE DE DATOS'!AB123</f>
        <v>35</v>
      </c>
      <c r="AD123" s="734" t="str">
        <f>'BASE DE DATOS'!AD123</f>
        <v>SAN MARTIN</v>
      </c>
      <c r="AE123" s="734">
        <f>'BASE DE DATOS'!AE123</f>
        <v>15.8</v>
      </c>
      <c r="AF123" s="734">
        <f>'BASE DE DATOS'!AF123</f>
        <v>15.4</v>
      </c>
      <c r="AG123" s="734">
        <f>'BASE DE DATOS'!AG123</f>
        <v>13.2</v>
      </c>
      <c r="AH123" s="734">
        <f>'BASE DE DATOS'!AH123</f>
        <v>9.8000000000000007</v>
      </c>
      <c r="AI123" s="734">
        <f>'BASE DE DATOS'!AI123</f>
        <v>7.1</v>
      </c>
      <c r="AJ123" s="734">
        <f>'BASE DE DATOS'!AJ123</f>
        <v>4.7</v>
      </c>
      <c r="AK123" s="734">
        <f>'BASE DE DATOS'!AK123</f>
        <v>4.3</v>
      </c>
      <c r="AL123" s="734">
        <f>'BASE DE DATOS'!AL123</f>
        <v>4.8</v>
      </c>
      <c r="AM123" s="734">
        <f>'BASE DE DATOS'!AM123</f>
        <v>6.5</v>
      </c>
      <c r="AN123" s="734">
        <f>'BASE DE DATOS'!AN123</f>
        <v>9.5</v>
      </c>
      <c r="AO123" s="734">
        <f>'BASE DE DATOS'!AO123</f>
        <v>12.2</v>
      </c>
      <c r="AP123" s="734">
        <f>'BASE DE DATOS'!AP123</f>
        <v>14.6</v>
      </c>
      <c r="AR123" s="734" t="str">
        <f>'BASE DE DATOS'!AR123</f>
        <v>MZ</v>
      </c>
      <c r="AS123" s="734" t="str">
        <f>'BASE DE DATOS'!AS123</f>
        <v>SAN MARTIN</v>
      </c>
      <c r="AT123" s="734">
        <f>'BASE DE DATOS'!AT123</f>
        <v>7</v>
      </c>
      <c r="AU123" s="734">
        <f>'BASE DE DATOS'!AU123</f>
        <v>6</v>
      </c>
      <c r="AV123" s="734">
        <f>'BASE DE DATOS'!AV123</f>
        <v>5</v>
      </c>
      <c r="AW123" s="734">
        <f>'BASE DE DATOS'!AW123</f>
        <v>4</v>
      </c>
      <c r="AX123" s="734">
        <f>'BASE DE DATOS'!AX123</f>
        <v>3</v>
      </c>
      <c r="AY123" s="734">
        <f>'BASE DE DATOS'!AY123</f>
        <v>2.5</v>
      </c>
      <c r="AZ123" s="734">
        <f>'BASE DE DATOS'!AZ123</f>
        <v>3</v>
      </c>
      <c r="BA123" s="734">
        <f>'BASE DE DATOS'!BA123</f>
        <v>3.5</v>
      </c>
      <c r="BB123" s="734">
        <f>'BASE DE DATOS'!BB123</f>
        <v>4.5</v>
      </c>
      <c r="BC123" s="734">
        <f>'BASE DE DATOS'!BC123</f>
        <v>5.5</v>
      </c>
      <c r="BD123" s="734">
        <f>'BASE DE DATOS'!BD123</f>
        <v>7</v>
      </c>
      <c r="BE123" s="734">
        <f>'BASE DE DATOS'!BE123</f>
        <v>7.5</v>
      </c>
      <c r="DO123" s="733" t="str">
        <f>'BASE DE DATOS'!BG123</f>
        <v>MZ</v>
      </c>
      <c r="DP123" s="733" t="str">
        <f>'BASE DE DATOS'!BH123</f>
        <v>SAN MARTIN</v>
      </c>
      <c r="DQ123" s="733">
        <f>'BASE DE DATOS'!BI123</f>
        <v>34</v>
      </c>
      <c r="DR123" s="733">
        <f>'BASE DE DATOS'!BJ123</f>
        <v>31</v>
      </c>
      <c r="DS123" s="733">
        <f>'BASE DE DATOS'!BK123</f>
        <v>27</v>
      </c>
      <c r="DT123" s="733">
        <f>'BASE DE DATOS'!BL123</f>
        <v>12</v>
      </c>
      <c r="DU123" s="733">
        <f>'BASE DE DATOS'!BM123</f>
        <v>9</v>
      </c>
      <c r="DV123" s="733">
        <f>'BASE DE DATOS'!BN123</f>
        <v>7</v>
      </c>
      <c r="DW123" s="733">
        <f>'BASE DE DATOS'!BO123</f>
        <v>8</v>
      </c>
      <c r="DX123" s="733">
        <f>'BASE DE DATOS'!BP123</f>
        <v>6</v>
      </c>
      <c r="DY123" s="733">
        <f>'BASE DE DATOS'!BQ123</f>
        <v>11</v>
      </c>
      <c r="DZ123" s="733">
        <f>'BASE DE DATOS'!BR123</f>
        <v>20</v>
      </c>
      <c r="EA123" s="733">
        <f>'BASE DE DATOS'!BS123</f>
        <v>21</v>
      </c>
      <c r="EB123" s="733">
        <f>'BASE DE DATOS'!BT123</f>
        <v>27</v>
      </c>
      <c r="GM123" s="741"/>
      <c r="GN123" s="741"/>
      <c r="GO123" s="741"/>
      <c r="GP123" s="741"/>
      <c r="GQ123" s="741"/>
      <c r="GR123" s="741"/>
      <c r="GS123" s="727"/>
      <c r="GT123" s="727"/>
      <c r="GU123" s="727"/>
      <c r="GV123" s="727"/>
      <c r="GW123" s="727"/>
      <c r="GX123" s="727"/>
      <c r="GY123" s="727"/>
    </row>
    <row r="124" spans="2:207" ht="16">
      <c r="B124" s="734" t="str">
        <f>'BASE DE DATOS'!B124</f>
        <v>MZ</v>
      </c>
      <c r="C124" s="734" t="str">
        <f>'BASE DE DATOS'!C124</f>
        <v>SAN RAFAEL</v>
      </c>
      <c r="D124" s="734">
        <f>'BASE DE DATOS'!D124</f>
        <v>34.58</v>
      </c>
      <c r="E124" s="734">
        <f>'BASE DE DATOS'!E124</f>
        <v>68.400000000000006</v>
      </c>
      <c r="F124" s="734">
        <f>'BASE DE DATOS'!F124</f>
        <v>748</v>
      </c>
      <c r="G124" s="734" t="str">
        <f>'BASE DE DATOS'!G124</f>
        <v>IVB</v>
      </c>
      <c r="H124" s="734">
        <f>'BASE DE DATOS'!H124</f>
        <v>-3.2</v>
      </c>
      <c r="I124" s="734">
        <f>'BASE DE DATOS'!I124</f>
        <v>8.1</v>
      </c>
      <c r="J124" s="734">
        <f>'BASE DE DATOS'!J124</f>
        <v>22.5</v>
      </c>
      <c r="K124" s="734">
        <f>'BASE DE DATOS'!K124</f>
        <v>33.700000000000003</v>
      </c>
      <c r="L124" s="734">
        <f>'BASE DE DATOS'!L124</f>
        <v>50</v>
      </c>
      <c r="M124" s="734">
        <f>'BASE DE DATOS'!M124</f>
        <v>61</v>
      </c>
      <c r="N124" s="734">
        <f>'BASE DE DATOS'!N124</f>
        <v>50</v>
      </c>
      <c r="O124" s="734">
        <f>'BASE DE DATOS'!O124</f>
        <v>5</v>
      </c>
      <c r="P124" s="734">
        <f>'BASE DE DATOS'!P124</f>
        <v>39</v>
      </c>
      <c r="Q124" s="734">
        <f>'BASE DE DATOS'!Q124</f>
        <v>4</v>
      </c>
      <c r="R124" s="734">
        <f>'BASE DE DATOS'!R124</f>
        <v>21.5</v>
      </c>
      <c r="S124" s="734">
        <f>'BASE DE DATOS'!S124</f>
        <v>0.53</v>
      </c>
      <c r="T124" s="734">
        <f>'BASE DE DATOS'!T124</f>
        <v>29.7</v>
      </c>
      <c r="U124" s="734">
        <f>'BASE DE DATOS'!U124</f>
        <v>8</v>
      </c>
      <c r="V124" s="734">
        <f>'BASE DE DATOS'!V124</f>
        <v>200</v>
      </c>
      <c r="W124" s="734">
        <f>'BASE DE DATOS'!W124</f>
        <v>123</v>
      </c>
      <c r="X124" s="734">
        <f>'BASE DE DATOS'!X124</f>
        <v>4.0000000000000001E-3</v>
      </c>
      <c r="Y124" s="734">
        <f>'BASE DE DATOS'!Y124</f>
        <v>8.9999999999999993E-3</v>
      </c>
      <c r="Z124" s="734">
        <f>'BASE DE DATOS'!Z124</f>
        <v>130</v>
      </c>
      <c r="AA124" s="734">
        <f>'BASE DE DATOS'!AA124</f>
        <v>1.3</v>
      </c>
      <c r="AB124" s="734">
        <f>'BASE DE DATOS'!AB124</f>
        <v>35</v>
      </c>
      <c r="AD124" s="734" t="str">
        <f>'BASE DE DATOS'!AD124</f>
        <v>SAN RAFAEL</v>
      </c>
      <c r="AE124" s="734">
        <f>'BASE DE DATOS'!AE124</f>
        <v>23</v>
      </c>
      <c r="AF124" s="734">
        <f>'BASE DE DATOS'!AF124</f>
        <v>22.5</v>
      </c>
      <c r="AG124" s="734">
        <f>'BASE DE DATOS'!AG124</f>
        <v>19.3</v>
      </c>
      <c r="AH124" s="734">
        <f>'BASE DE DATOS'!AH124</f>
        <v>13.7</v>
      </c>
      <c r="AI124" s="734">
        <f>'BASE DE DATOS'!AI124</f>
        <v>10.1</v>
      </c>
      <c r="AJ124" s="734">
        <f>'BASE DE DATOS'!AJ124</f>
        <v>7</v>
      </c>
      <c r="AK124" s="734">
        <f>'BASE DE DATOS'!AK124</f>
        <v>7.3</v>
      </c>
      <c r="AL124" s="734">
        <f>'BASE DE DATOS'!AL124</f>
        <v>8.8000000000000007</v>
      </c>
      <c r="AM124" s="734">
        <f>'BASE DE DATOS'!AM124</f>
        <v>11.9</v>
      </c>
      <c r="AN124" s="734">
        <f>'BASE DE DATOS'!AN124</f>
        <v>15.3</v>
      </c>
      <c r="AO124" s="734">
        <f>'BASE DE DATOS'!AO124</f>
        <v>19.399999999999999</v>
      </c>
      <c r="AP124" s="734">
        <f>'BASE DE DATOS'!AP124</f>
        <v>21.6</v>
      </c>
      <c r="AR124" s="734" t="str">
        <f>'BASE DE DATOS'!AR124</f>
        <v>MZ</v>
      </c>
      <c r="AS124" s="734" t="str">
        <f>'BASE DE DATOS'!AS124</f>
        <v>SAN RAFAEL</v>
      </c>
      <c r="AT124" s="734">
        <f>'BASE DE DATOS'!AT124</f>
        <v>7</v>
      </c>
      <c r="AU124" s="734">
        <f>'BASE DE DATOS'!AU124</f>
        <v>6</v>
      </c>
      <c r="AV124" s="734">
        <f>'BASE DE DATOS'!AV124</f>
        <v>5</v>
      </c>
      <c r="AW124" s="734">
        <f>'BASE DE DATOS'!AW124</f>
        <v>3.5</v>
      </c>
      <c r="AX124" s="734">
        <f>'BASE DE DATOS'!AX124</f>
        <v>3</v>
      </c>
      <c r="AY124" s="734">
        <f>'BASE DE DATOS'!AY124</f>
        <v>2</v>
      </c>
      <c r="AZ124" s="734">
        <f>'BASE DE DATOS'!AZ124</f>
        <v>2.5</v>
      </c>
      <c r="BA124" s="734">
        <f>'BASE DE DATOS'!BA124</f>
        <v>3.5</v>
      </c>
      <c r="BB124" s="734">
        <f>'BASE DE DATOS'!BB124</f>
        <v>4.5</v>
      </c>
      <c r="BC124" s="734">
        <f>'BASE DE DATOS'!BC124</f>
        <v>6</v>
      </c>
      <c r="BD124" s="734">
        <f>'BASE DE DATOS'!BD124</f>
        <v>7</v>
      </c>
      <c r="BE124" s="734">
        <f>'BASE DE DATOS'!BE124</f>
        <v>7.5</v>
      </c>
      <c r="DO124" s="733" t="str">
        <f>'BASE DE DATOS'!BG124</f>
        <v>MZ</v>
      </c>
      <c r="DP124" s="733" t="str">
        <f>'BASE DE DATOS'!BH124</f>
        <v>SAN RAFAEL</v>
      </c>
      <c r="DQ124" s="733">
        <f>'BASE DE DATOS'!BI124</f>
        <v>34</v>
      </c>
      <c r="DR124" s="733">
        <f>'BASE DE DATOS'!BJ124</f>
        <v>31</v>
      </c>
      <c r="DS124" s="733">
        <f>'BASE DE DATOS'!BK124</f>
        <v>27</v>
      </c>
      <c r="DT124" s="733">
        <f>'BASE DE DATOS'!BL124</f>
        <v>12</v>
      </c>
      <c r="DU124" s="733">
        <f>'BASE DE DATOS'!BM124</f>
        <v>9</v>
      </c>
      <c r="DV124" s="733">
        <f>'BASE DE DATOS'!BN124</f>
        <v>7</v>
      </c>
      <c r="DW124" s="733">
        <f>'BASE DE DATOS'!BO124</f>
        <v>8</v>
      </c>
      <c r="DX124" s="733">
        <f>'BASE DE DATOS'!BP124</f>
        <v>6</v>
      </c>
      <c r="DY124" s="733">
        <f>'BASE DE DATOS'!BQ124</f>
        <v>11</v>
      </c>
      <c r="DZ124" s="733">
        <f>'BASE DE DATOS'!BR124</f>
        <v>20</v>
      </c>
      <c r="EA124" s="733">
        <f>'BASE DE DATOS'!BS124</f>
        <v>21</v>
      </c>
      <c r="EB124" s="733">
        <f>'BASE DE DATOS'!BT124</f>
        <v>27</v>
      </c>
      <c r="GM124" s="741"/>
      <c r="GN124" s="741"/>
      <c r="GO124" s="741"/>
      <c r="GP124" s="741"/>
      <c r="GQ124" s="741"/>
      <c r="GR124" s="741"/>
      <c r="GS124" s="727"/>
      <c r="GT124" s="727"/>
      <c r="GU124" s="727"/>
      <c r="GV124" s="741"/>
      <c r="GW124" s="741"/>
      <c r="GX124" s="727"/>
      <c r="GY124" s="727"/>
    </row>
    <row r="125" spans="2:207" ht="16">
      <c r="B125" s="734" t="str">
        <f>'BASE DE DATOS'!B125</f>
        <v>MS</v>
      </c>
      <c r="C125" s="734" t="str">
        <f>'BASE DE DATOS'!C125</f>
        <v>CERRO AZUL</v>
      </c>
      <c r="D125" s="734">
        <f>'BASE DE DATOS'!D125</f>
        <v>27.65</v>
      </c>
      <c r="E125" s="734">
        <f>'BASE DE DATOS'!E125</f>
        <v>55.43</v>
      </c>
      <c r="F125" s="734">
        <f>'BASE DE DATOS'!F125</f>
        <v>270</v>
      </c>
      <c r="G125" s="734" t="str">
        <f>'BASE DE DATOS'!G125</f>
        <v>IB</v>
      </c>
      <c r="H125" s="734">
        <f>'BASE DE DATOS'!H125</f>
        <v>3.9</v>
      </c>
      <c r="I125" s="734">
        <f>'BASE DE DATOS'!I125</f>
        <v>16.2</v>
      </c>
      <c r="J125" s="734">
        <f>'BASE DE DATOS'!J125</f>
        <v>24.7</v>
      </c>
      <c r="K125" s="734">
        <f>'BASE DE DATOS'!K125</f>
        <v>34.6</v>
      </c>
      <c r="L125" s="734">
        <f>'BASE DE DATOS'!L125</f>
        <v>72</v>
      </c>
      <c r="M125" s="734">
        <f>'BASE DE DATOS'!M125</f>
        <v>76</v>
      </c>
      <c r="N125" s="734">
        <f>'BASE DE DATOS'!N125</f>
        <v>72</v>
      </c>
      <c r="O125" s="734">
        <f>'BASE DE DATOS'!O125</f>
        <v>120</v>
      </c>
      <c r="P125" s="734">
        <f>'BASE DE DATOS'!P125</f>
        <v>169</v>
      </c>
      <c r="Q125" s="734">
        <f>'BASE DE DATOS'!Q125</f>
        <v>1</v>
      </c>
      <c r="R125" s="734">
        <f>'BASE DE DATOS'!R125</f>
        <v>24.6</v>
      </c>
      <c r="S125" s="734">
        <f>'BASE DE DATOS'!S125</f>
        <v>0.51</v>
      </c>
      <c r="T125" s="734">
        <f>'BASE DE DATOS'!T125</f>
        <v>7.3</v>
      </c>
      <c r="U125" s="734">
        <f>'BASE DE DATOS'!U125</f>
        <v>12.6</v>
      </c>
      <c r="V125" s="734">
        <f>'BASE DE DATOS'!V125</f>
        <v>30</v>
      </c>
      <c r="W125" s="734">
        <f>'BASE DE DATOS'!W125</f>
        <v>95</v>
      </c>
      <c r="X125" s="734">
        <f>'BASE DE DATOS'!X125</f>
        <v>8.9999999999999993E-3</v>
      </c>
      <c r="Y125" s="734">
        <f>'BASE DE DATOS'!Y125</f>
        <v>8.0000000000000002E-3</v>
      </c>
      <c r="Z125" s="734">
        <f>'BASE DE DATOS'!Z125</f>
        <v>130</v>
      </c>
      <c r="AA125" s="734">
        <f>'BASE DE DATOS'!AA125</f>
        <v>1.3</v>
      </c>
      <c r="AB125" s="734">
        <f>'BASE DE DATOS'!AB125</f>
        <v>30</v>
      </c>
      <c r="AD125" s="734" t="str">
        <f>'BASE DE DATOS'!AD125</f>
        <v>CERRO AZUL</v>
      </c>
      <c r="AE125" s="734">
        <f>'BASE DE DATOS'!AE125</f>
        <v>25.3</v>
      </c>
      <c r="AF125" s="734">
        <f>'BASE DE DATOS'!AF125</f>
        <v>24.8</v>
      </c>
      <c r="AG125" s="734">
        <f>'BASE DE DATOS'!AG125</f>
        <v>23.2</v>
      </c>
      <c r="AH125" s="734">
        <f>'BASE DE DATOS'!AH125</f>
        <v>19.3</v>
      </c>
      <c r="AI125" s="734">
        <f>'BASE DE DATOS'!AI125</f>
        <v>16.7</v>
      </c>
      <c r="AJ125" s="734">
        <f>'BASE DE DATOS'!AJ125</f>
        <v>15.2</v>
      </c>
      <c r="AK125" s="734">
        <f>'BASE DE DATOS'!AK125</f>
        <v>15.1</v>
      </c>
      <c r="AL125" s="734">
        <f>'BASE DE DATOS'!AL125</f>
        <v>16.600000000000001</v>
      </c>
      <c r="AM125" s="734">
        <f>'BASE DE DATOS'!AM125</f>
        <v>18.3</v>
      </c>
      <c r="AN125" s="734">
        <f>'BASE DE DATOS'!AN125</f>
        <v>20.6</v>
      </c>
      <c r="AO125" s="734">
        <f>'BASE DE DATOS'!AO125</f>
        <v>22.6</v>
      </c>
      <c r="AP125" s="734">
        <f>'BASE DE DATOS'!AP125</f>
        <v>23.9</v>
      </c>
      <c r="AR125" s="734" t="str">
        <f>'BASE DE DATOS'!AR125</f>
        <v>MS</v>
      </c>
      <c r="AS125" s="734" t="str">
        <f>'BASE DE DATOS'!AS125</f>
        <v>CERRO AZUL</v>
      </c>
      <c r="AT125" s="734">
        <f>'BASE DE DATOS'!AT125</f>
        <v>6</v>
      </c>
      <c r="AU125" s="734">
        <f>'BASE DE DATOS'!AU125</f>
        <v>5.5</v>
      </c>
      <c r="AV125" s="734">
        <f>'BASE DE DATOS'!AV125</f>
        <v>4.5</v>
      </c>
      <c r="AW125" s="734">
        <f>'BASE DE DATOS'!AW125</f>
        <v>3.5</v>
      </c>
      <c r="AX125" s="734">
        <f>'BASE DE DATOS'!AX125</f>
        <v>3</v>
      </c>
      <c r="AY125" s="734">
        <f>'BASE DE DATOS'!AY125</f>
        <v>2.5</v>
      </c>
      <c r="AZ125" s="734">
        <f>'BASE DE DATOS'!AZ125</f>
        <v>2.5</v>
      </c>
      <c r="BA125" s="734">
        <f>'BASE DE DATOS'!BA125</f>
        <v>3</v>
      </c>
      <c r="BB125" s="734">
        <f>'BASE DE DATOS'!BB125</f>
        <v>4.5</v>
      </c>
      <c r="BC125" s="734">
        <f>'BASE DE DATOS'!BC125</f>
        <v>5.5</v>
      </c>
      <c r="BD125" s="734">
        <f>'BASE DE DATOS'!BD125</f>
        <v>6</v>
      </c>
      <c r="BE125" s="734">
        <f>'BASE DE DATOS'!BE125</f>
        <v>6</v>
      </c>
      <c r="DO125" s="733" t="str">
        <f>'BASE DE DATOS'!BG125</f>
        <v>MS</v>
      </c>
      <c r="DP125" s="733" t="str">
        <f>'BASE DE DATOS'!BH125</f>
        <v>CERRO AZUL</v>
      </c>
      <c r="DQ125" s="733">
        <f>'BASE DE DATOS'!BI125</f>
        <v>140</v>
      </c>
      <c r="DR125" s="733">
        <f>'BASE DE DATOS'!BJ125</f>
        <v>160</v>
      </c>
      <c r="DS125" s="733">
        <f>'BASE DE DATOS'!BK125</f>
        <v>132</v>
      </c>
      <c r="DT125" s="733">
        <f>'BASE DE DATOS'!BL125</f>
        <v>157</v>
      </c>
      <c r="DU125" s="733">
        <f>'BASE DE DATOS'!BM125</f>
        <v>142</v>
      </c>
      <c r="DV125" s="733">
        <f>'BASE DE DATOS'!BN125</f>
        <v>130</v>
      </c>
      <c r="DW125" s="733">
        <f>'BASE DE DATOS'!BO125</f>
        <v>99</v>
      </c>
      <c r="DX125" s="733">
        <f>'BASE DE DATOS'!BP125</f>
        <v>96</v>
      </c>
      <c r="DY125" s="733">
        <f>'BASE DE DATOS'!BQ125</f>
        <v>134</v>
      </c>
      <c r="DZ125" s="733">
        <f>'BASE DE DATOS'!BR125</f>
        <v>176</v>
      </c>
      <c r="EA125" s="733">
        <f>'BASE DE DATOS'!BS125</f>
        <v>148</v>
      </c>
      <c r="EB125" s="733">
        <f>'BASE DE DATOS'!BT125</f>
        <v>141</v>
      </c>
      <c r="GM125" s="741"/>
      <c r="GN125" s="741"/>
      <c r="GO125" s="741"/>
      <c r="GP125" s="741"/>
      <c r="GQ125" s="741"/>
      <c r="GR125" s="741"/>
      <c r="GS125" s="727"/>
      <c r="GT125" s="727"/>
      <c r="GU125" s="727"/>
      <c r="GV125" s="727"/>
      <c r="GW125" s="727"/>
      <c r="GX125" s="727"/>
      <c r="GY125" s="727"/>
    </row>
    <row r="126" spans="2:207" ht="16">
      <c r="B126" s="734" t="str">
        <f>'BASE DE DATOS'!B126</f>
        <v>MS</v>
      </c>
      <c r="C126" s="734" t="str">
        <f>'BASE DE DATOS'!C126</f>
        <v>IGUAZÚ</v>
      </c>
      <c r="D126" s="734">
        <f>'BASE DE DATOS'!D126</f>
        <v>25.68</v>
      </c>
      <c r="E126" s="734">
        <f>'BASE DE DATOS'!E126</f>
        <v>54.45</v>
      </c>
      <c r="F126" s="734">
        <f>'BASE DE DATOS'!F126</f>
        <v>180</v>
      </c>
      <c r="G126" s="734" t="str">
        <f>'BASE DE DATOS'!G126</f>
        <v>IB</v>
      </c>
      <c r="H126" s="734">
        <f>'BASE DE DATOS'!H126</f>
        <v>1.9</v>
      </c>
      <c r="I126" s="734">
        <f>'BASE DE DATOS'!I126</f>
        <v>15.4</v>
      </c>
      <c r="J126" s="734">
        <f>'BASE DE DATOS'!J126</f>
        <v>24.7</v>
      </c>
      <c r="K126" s="734">
        <f>'BASE DE DATOS'!K126</f>
        <v>35.799999999999997</v>
      </c>
      <c r="L126" s="734">
        <f>'BASE DE DATOS'!L126</f>
        <v>80</v>
      </c>
      <c r="M126" s="734">
        <f>'BASE DE DATOS'!M126</f>
        <v>85</v>
      </c>
      <c r="N126" s="734">
        <f>'BASE DE DATOS'!N126</f>
        <v>80</v>
      </c>
      <c r="O126" s="734">
        <f>'BASE DE DATOS'!O126</f>
        <v>104</v>
      </c>
      <c r="P126" s="734">
        <f>'BASE DE DATOS'!P126</f>
        <v>152</v>
      </c>
      <c r="Q126" s="734">
        <f>'BASE DE DATOS'!Q126</f>
        <v>1</v>
      </c>
      <c r="R126" s="734">
        <f>'BASE DE DATOS'!R126</f>
        <v>25</v>
      </c>
      <c r="S126" s="734">
        <f>'BASE DE DATOS'!S126</f>
        <v>0.49</v>
      </c>
      <c r="T126" s="734">
        <f>'BASE DE DATOS'!T126</f>
        <v>7.3</v>
      </c>
      <c r="U126" s="734">
        <f>'BASE DE DATOS'!U126</f>
        <v>12.6</v>
      </c>
      <c r="V126" s="734">
        <f>'BASE DE DATOS'!V126</f>
        <v>30</v>
      </c>
      <c r="W126" s="734">
        <f>'BASE DE DATOS'!W126</f>
        <v>95</v>
      </c>
      <c r="X126" s="734">
        <f>'BASE DE DATOS'!X126</f>
        <v>8.9999999999999993E-3</v>
      </c>
      <c r="Y126" s="734">
        <f>'BASE DE DATOS'!Y126</f>
        <v>8.0000000000000002E-3</v>
      </c>
      <c r="Z126" s="734">
        <f>'BASE DE DATOS'!Z126</f>
        <v>130</v>
      </c>
      <c r="AA126" s="734">
        <f>'BASE DE DATOS'!AA126</f>
        <v>1.3</v>
      </c>
      <c r="AB126" s="734">
        <f>'BASE DE DATOS'!AB126</f>
        <v>30</v>
      </c>
      <c r="AD126" s="734" t="str">
        <f>'BASE DE DATOS'!AD126</f>
        <v>IGUAZÚ</v>
      </c>
      <c r="AE126" s="734">
        <f>'BASE DE DATOS'!AE126</f>
        <v>24.9</v>
      </c>
      <c r="AF126" s="734">
        <f>'BASE DE DATOS'!AF126</f>
        <v>25</v>
      </c>
      <c r="AG126" s="734">
        <f>'BASE DE DATOS'!AG126</f>
        <v>23.7</v>
      </c>
      <c r="AH126" s="734">
        <f>'BASE DE DATOS'!AH126</f>
        <v>20.2</v>
      </c>
      <c r="AI126" s="734">
        <f>'BASE DE DATOS'!AI126</f>
        <v>17.100000000000001</v>
      </c>
      <c r="AJ126" s="734">
        <f>'BASE DE DATOS'!AJ126</f>
        <v>15.4</v>
      </c>
      <c r="AK126" s="734">
        <f>'BASE DE DATOS'!AK126</f>
        <v>15.8</v>
      </c>
      <c r="AL126" s="734">
        <f>'BASE DE DATOS'!AL126</f>
        <v>16.399999999999999</v>
      </c>
      <c r="AM126" s="734">
        <f>'BASE DE DATOS'!AM126</f>
        <v>18.5</v>
      </c>
      <c r="AN126" s="734">
        <f>'BASE DE DATOS'!AN126</f>
        <v>20.6</v>
      </c>
      <c r="AO126" s="734">
        <f>'BASE DE DATOS'!AO126</f>
        <v>22.5</v>
      </c>
      <c r="AP126" s="734">
        <f>'BASE DE DATOS'!AP126</f>
        <v>24.1</v>
      </c>
      <c r="AR126" s="734" t="str">
        <f>'BASE DE DATOS'!AR126</f>
        <v>MS</v>
      </c>
      <c r="AS126" s="734" t="str">
        <f>'BASE DE DATOS'!AS126</f>
        <v>IGUAZÚ</v>
      </c>
      <c r="AT126" s="734">
        <f>'BASE DE DATOS'!AT126</f>
        <v>6</v>
      </c>
      <c r="AU126" s="734">
        <f>'BASE DE DATOS'!AU126</f>
        <v>5.5</v>
      </c>
      <c r="AV126" s="734">
        <f>'BASE DE DATOS'!AV126</f>
        <v>4.5</v>
      </c>
      <c r="AW126" s="734">
        <f>'BASE DE DATOS'!AW126</f>
        <v>3.5</v>
      </c>
      <c r="AX126" s="734">
        <f>'BASE DE DATOS'!AX126</f>
        <v>3</v>
      </c>
      <c r="AY126" s="734">
        <f>'BASE DE DATOS'!AY126</f>
        <v>2.5</v>
      </c>
      <c r="AZ126" s="734">
        <f>'BASE DE DATOS'!AZ126</f>
        <v>2.5</v>
      </c>
      <c r="BA126" s="734">
        <f>'BASE DE DATOS'!BA126</f>
        <v>3</v>
      </c>
      <c r="BB126" s="734">
        <f>'BASE DE DATOS'!BB126</f>
        <v>4.5</v>
      </c>
      <c r="BC126" s="734">
        <f>'BASE DE DATOS'!BC126</f>
        <v>5.5</v>
      </c>
      <c r="BD126" s="734">
        <f>'BASE DE DATOS'!BD126</f>
        <v>6</v>
      </c>
      <c r="BE126" s="734">
        <f>'BASE DE DATOS'!BE126</f>
        <v>6</v>
      </c>
      <c r="DO126" s="733" t="str">
        <f>'BASE DE DATOS'!BG126</f>
        <v>MS</v>
      </c>
      <c r="DP126" s="733" t="str">
        <f>'BASE DE DATOS'!BH126</f>
        <v>IGUAZÚ</v>
      </c>
      <c r="DQ126" s="733">
        <f>'BASE DE DATOS'!BI126</f>
        <v>140</v>
      </c>
      <c r="DR126" s="733">
        <f>'BASE DE DATOS'!BJ126</f>
        <v>160</v>
      </c>
      <c r="DS126" s="733">
        <f>'BASE DE DATOS'!BK126</f>
        <v>132</v>
      </c>
      <c r="DT126" s="733">
        <f>'BASE DE DATOS'!BL126</f>
        <v>157</v>
      </c>
      <c r="DU126" s="733">
        <f>'BASE DE DATOS'!BM126</f>
        <v>142</v>
      </c>
      <c r="DV126" s="733">
        <f>'BASE DE DATOS'!BN126</f>
        <v>130</v>
      </c>
      <c r="DW126" s="733">
        <f>'BASE DE DATOS'!BO126</f>
        <v>99</v>
      </c>
      <c r="DX126" s="733">
        <f>'BASE DE DATOS'!BP126</f>
        <v>96</v>
      </c>
      <c r="DY126" s="733">
        <f>'BASE DE DATOS'!BQ126</f>
        <v>134</v>
      </c>
      <c r="DZ126" s="733">
        <f>'BASE DE DATOS'!BR126</f>
        <v>176</v>
      </c>
      <c r="EA126" s="733">
        <f>'BASE DE DATOS'!BS126</f>
        <v>148</v>
      </c>
      <c r="EB126" s="733">
        <f>'BASE DE DATOS'!BT126</f>
        <v>141</v>
      </c>
      <c r="GM126" s="741"/>
      <c r="GN126" s="741"/>
      <c r="GO126" s="741"/>
      <c r="GP126" s="741"/>
      <c r="GQ126" s="741"/>
      <c r="GR126" s="741"/>
      <c r="GS126" s="727"/>
      <c r="GT126" s="727"/>
      <c r="GU126" s="727"/>
      <c r="GV126" s="727"/>
      <c r="GW126" s="727"/>
      <c r="GX126" s="727"/>
      <c r="GY126" s="727"/>
    </row>
    <row r="127" spans="2:207" ht="16">
      <c r="B127" s="734" t="str">
        <f>'BASE DE DATOS'!B127</f>
        <v>MS</v>
      </c>
      <c r="C127" s="734" t="str">
        <f>'BASE DE DATOS'!C127</f>
        <v>LORETO</v>
      </c>
      <c r="D127" s="734">
        <f>'BASE DE DATOS'!D127</f>
        <v>27.35</v>
      </c>
      <c r="E127" s="734">
        <f>'BASE DE DATOS'!E127</f>
        <v>55.5</v>
      </c>
      <c r="F127" s="734">
        <f>'BASE DE DATOS'!F127</f>
        <v>163</v>
      </c>
      <c r="G127" s="734" t="str">
        <f>'BASE DE DATOS'!G127</f>
        <v>IB</v>
      </c>
      <c r="H127" s="734">
        <f>'BASE DE DATOS'!H127</f>
        <v>4.4000000000000004</v>
      </c>
      <c r="I127" s="734">
        <f>'BASE DE DATOS'!I127</f>
        <v>16</v>
      </c>
      <c r="J127" s="734">
        <f>'BASE DE DATOS'!J127</f>
        <v>24.9</v>
      </c>
      <c r="K127" s="734">
        <f>'BASE DE DATOS'!K127</f>
        <v>35.299999999999997</v>
      </c>
      <c r="L127" s="734">
        <f>'BASE DE DATOS'!L127</f>
        <v>80</v>
      </c>
      <c r="M127" s="734">
        <f>'BASE DE DATOS'!M127</f>
        <v>85</v>
      </c>
      <c r="N127" s="734">
        <f>'BASE DE DATOS'!N127</f>
        <v>80</v>
      </c>
      <c r="O127" s="734">
        <f>'BASE DE DATOS'!O127</f>
        <v>138</v>
      </c>
      <c r="P127" s="734">
        <f>'BASE DE DATOS'!P127</f>
        <v>177</v>
      </c>
      <c r="Q127" s="734">
        <f>'BASE DE DATOS'!Q127</f>
        <v>1</v>
      </c>
      <c r="R127" s="734">
        <f>'BASE DE DATOS'!R127</f>
        <v>24.7</v>
      </c>
      <c r="S127" s="734">
        <f>'BASE DE DATOS'!S127</f>
        <v>0.51</v>
      </c>
      <c r="T127" s="734">
        <f>'BASE DE DATOS'!T127</f>
        <v>7.3</v>
      </c>
      <c r="U127" s="734">
        <f>'BASE DE DATOS'!U127</f>
        <v>12.6</v>
      </c>
      <c r="V127" s="734">
        <f>'BASE DE DATOS'!V127</f>
        <v>30</v>
      </c>
      <c r="W127" s="734">
        <f>'BASE DE DATOS'!W127</f>
        <v>95</v>
      </c>
      <c r="X127" s="734">
        <f>'BASE DE DATOS'!X127</f>
        <v>8.9999999999999993E-3</v>
      </c>
      <c r="Y127" s="734">
        <f>'BASE DE DATOS'!Y127</f>
        <v>8.0000000000000002E-3</v>
      </c>
      <c r="Z127" s="734">
        <f>'BASE DE DATOS'!Z127</f>
        <v>130</v>
      </c>
      <c r="AA127" s="734">
        <f>'BASE DE DATOS'!AA127</f>
        <v>1.3</v>
      </c>
      <c r="AB127" s="734">
        <f>'BASE DE DATOS'!AB127</f>
        <v>30</v>
      </c>
      <c r="AD127" s="734" t="str">
        <f>'BASE DE DATOS'!AD127</f>
        <v>LORETO</v>
      </c>
      <c r="AE127" s="734">
        <f>'BASE DE DATOS'!AE127</f>
        <v>27.7</v>
      </c>
      <c r="AF127" s="734">
        <f>'BASE DE DATOS'!AF127</f>
        <v>26.2</v>
      </c>
      <c r="AG127" s="734">
        <f>'BASE DE DATOS'!AG127</f>
        <v>24</v>
      </c>
      <c r="AH127" s="734">
        <f>'BASE DE DATOS'!AH127</f>
        <v>19.8</v>
      </c>
      <c r="AI127" s="734">
        <f>'BASE DE DATOS'!AI127</f>
        <v>16.8</v>
      </c>
      <c r="AJ127" s="734">
        <f>'BASE DE DATOS'!AJ127</f>
        <v>13.6</v>
      </c>
      <c r="AK127" s="734">
        <f>'BASE DE DATOS'!AK127</f>
        <v>13.2</v>
      </c>
      <c r="AL127" s="734">
        <f>'BASE DE DATOS'!AL127</f>
        <v>15.6</v>
      </c>
      <c r="AM127" s="734">
        <f>'BASE DE DATOS'!AM127</f>
        <v>18.7</v>
      </c>
      <c r="AN127" s="734">
        <f>'BASE DE DATOS'!AN127</f>
        <v>21.9</v>
      </c>
      <c r="AO127" s="734">
        <f>'BASE DE DATOS'!AO127</f>
        <v>24.7</v>
      </c>
      <c r="AP127" s="734">
        <f>'BASE DE DATOS'!AP127</f>
        <v>27.1</v>
      </c>
      <c r="AR127" s="734" t="str">
        <f>'BASE DE DATOS'!AR127</f>
        <v>MS</v>
      </c>
      <c r="AS127" s="734" t="str">
        <f>'BASE DE DATOS'!AS127</f>
        <v>LORETO</v>
      </c>
      <c r="AT127" s="734">
        <f>'BASE DE DATOS'!AT127</f>
        <v>6</v>
      </c>
      <c r="AU127" s="734">
        <f>'BASE DE DATOS'!AU127</f>
        <v>5.5</v>
      </c>
      <c r="AV127" s="734">
        <f>'BASE DE DATOS'!AV127</f>
        <v>4.5</v>
      </c>
      <c r="AW127" s="734">
        <f>'BASE DE DATOS'!AW127</f>
        <v>3.5</v>
      </c>
      <c r="AX127" s="734">
        <f>'BASE DE DATOS'!AX127</f>
        <v>3</v>
      </c>
      <c r="AY127" s="734">
        <f>'BASE DE DATOS'!AY127</f>
        <v>2.5</v>
      </c>
      <c r="AZ127" s="734">
        <f>'BASE DE DATOS'!AZ127</f>
        <v>2.5</v>
      </c>
      <c r="BA127" s="734">
        <f>'BASE DE DATOS'!BA127</f>
        <v>3</v>
      </c>
      <c r="BB127" s="734">
        <f>'BASE DE DATOS'!BB127</f>
        <v>4.5</v>
      </c>
      <c r="BC127" s="734">
        <f>'BASE DE DATOS'!BC127</f>
        <v>5.5</v>
      </c>
      <c r="BD127" s="734">
        <f>'BASE DE DATOS'!BD127</f>
        <v>6</v>
      </c>
      <c r="BE127" s="734">
        <f>'BASE DE DATOS'!BE127</f>
        <v>6</v>
      </c>
      <c r="DO127" s="733" t="str">
        <f>'BASE DE DATOS'!BG127</f>
        <v>MS</v>
      </c>
      <c r="DP127" s="733" t="str">
        <f>'BASE DE DATOS'!BH127</f>
        <v>LORETO</v>
      </c>
      <c r="DQ127" s="733">
        <f>'BASE DE DATOS'!BI127</f>
        <v>140</v>
      </c>
      <c r="DR127" s="733">
        <f>'BASE DE DATOS'!BJ127</f>
        <v>160</v>
      </c>
      <c r="DS127" s="733">
        <f>'BASE DE DATOS'!BK127</f>
        <v>132</v>
      </c>
      <c r="DT127" s="733">
        <f>'BASE DE DATOS'!BL127</f>
        <v>157</v>
      </c>
      <c r="DU127" s="733">
        <f>'BASE DE DATOS'!BM127</f>
        <v>142</v>
      </c>
      <c r="DV127" s="733">
        <f>'BASE DE DATOS'!BN127</f>
        <v>130</v>
      </c>
      <c r="DW127" s="733">
        <f>'BASE DE DATOS'!BO127</f>
        <v>99</v>
      </c>
      <c r="DX127" s="733">
        <f>'BASE DE DATOS'!BP127</f>
        <v>96</v>
      </c>
      <c r="DY127" s="733">
        <f>'BASE DE DATOS'!BQ127</f>
        <v>134</v>
      </c>
      <c r="DZ127" s="733">
        <f>'BASE DE DATOS'!BR127</f>
        <v>176</v>
      </c>
      <c r="EA127" s="733">
        <f>'BASE DE DATOS'!BS127</f>
        <v>148</v>
      </c>
      <c r="EB127" s="733">
        <f>'BASE DE DATOS'!BT127</f>
        <v>141</v>
      </c>
      <c r="GM127" s="741"/>
      <c r="GN127" s="741"/>
      <c r="GO127" s="741"/>
      <c r="GP127" s="741"/>
      <c r="GQ127" s="741"/>
      <c r="GR127" s="741"/>
      <c r="GS127" s="727"/>
      <c r="GT127" s="727"/>
      <c r="GU127" s="727"/>
      <c r="GV127" s="727"/>
      <c r="GW127" s="727"/>
      <c r="GX127" s="727"/>
      <c r="GY127" s="727"/>
    </row>
    <row r="128" spans="2:207" ht="16">
      <c r="B128" s="734" t="str">
        <f>'BASE DE DATOS'!B128</f>
        <v>MS</v>
      </c>
      <c r="C128" s="734" t="str">
        <f>'BASE DE DATOS'!C128</f>
        <v>OBERA</v>
      </c>
      <c r="D128" s="734">
        <f>'BASE DE DATOS'!D128</f>
        <v>27.48</v>
      </c>
      <c r="E128" s="734">
        <f>'BASE DE DATOS'!E128</f>
        <v>55.13</v>
      </c>
      <c r="F128" s="734">
        <f>'BASE DE DATOS'!F128</f>
        <v>343</v>
      </c>
      <c r="G128" s="734" t="str">
        <f>'BASE DE DATOS'!G128</f>
        <v>IB</v>
      </c>
      <c r="H128" s="734">
        <f>'BASE DE DATOS'!H128</f>
        <v>5.4</v>
      </c>
      <c r="I128" s="734">
        <f>'BASE DE DATOS'!I128</f>
        <v>16.100000000000001</v>
      </c>
      <c r="J128" s="734">
        <f>'BASE DE DATOS'!J128</f>
        <v>24.8</v>
      </c>
      <c r="K128" s="734">
        <f>'BASE DE DATOS'!K128</f>
        <v>35.299999999999997</v>
      </c>
      <c r="L128" s="734">
        <f>'BASE DE DATOS'!L128</f>
        <v>71</v>
      </c>
      <c r="M128" s="734">
        <f>'BASE DE DATOS'!M128</f>
        <v>73</v>
      </c>
      <c r="N128" s="734">
        <f>'BASE DE DATOS'!N128</f>
        <v>71</v>
      </c>
      <c r="O128" s="734">
        <f>'BASE DE DATOS'!O128</f>
        <v>116</v>
      </c>
      <c r="P128" s="734">
        <f>'BASE DE DATOS'!P128</f>
        <v>164</v>
      </c>
      <c r="Q128" s="734">
        <f>'BASE DE DATOS'!Q128</f>
        <v>1</v>
      </c>
      <c r="R128" s="734">
        <f>'BASE DE DATOS'!R128</f>
        <v>25.2</v>
      </c>
      <c r="S128" s="734">
        <f>'BASE DE DATOS'!S128</f>
        <v>0.51</v>
      </c>
      <c r="T128" s="734">
        <f>'BASE DE DATOS'!T128</f>
        <v>7.3</v>
      </c>
      <c r="U128" s="734">
        <f>'BASE DE DATOS'!U128</f>
        <v>12.6</v>
      </c>
      <c r="V128" s="734">
        <f>'BASE DE DATOS'!V128</f>
        <v>30</v>
      </c>
      <c r="W128" s="734">
        <f>'BASE DE DATOS'!W128</f>
        <v>95</v>
      </c>
      <c r="X128" s="734">
        <f>'BASE DE DATOS'!X128</f>
        <v>8.9999999999999993E-3</v>
      </c>
      <c r="Y128" s="734">
        <f>'BASE DE DATOS'!Y128</f>
        <v>8.0000000000000002E-3</v>
      </c>
      <c r="Z128" s="734">
        <f>'BASE DE DATOS'!Z128</f>
        <v>130</v>
      </c>
      <c r="AA128" s="734">
        <f>'BASE DE DATOS'!AA128</f>
        <v>1.3</v>
      </c>
      <c r="AB128" s="734">
        <f>'BASE DE DATOS'!AB128</f>
        <v>30</v>
      </c>
      <c r="AD128" s="734" t="str">
        <f>'BASE DE DATOS'!AD128</f>
        <v>OBERA</v>
      </c>
      <c r="AE128" s="734">
        <f>'BASE DE DATOS'!AE128</f>
        <v>24.9</v>
      </c>
      <c r="AF128" s="734">
        <f>'BASE DE DATOS'!AF128</f>
        <v>24.2</v>
      </c>
      <c r="AG128" s="734">
        <f>'BASE DE DATOS'!AG128</f>
        <v>22.7</v>
      </c>
      <c r="AH128" s="734">
        <f>'BASE DE DATOS'!AH128</f>
        <v>19.100000000000001</v>
      </c>
      <c r="AI128" s="734">
        <f>'BASE DE DATOS'!AI128</f>
        <v>16.399999999999999</v>
      </c>
      <c r="AJ128" s="734">
        <f>'BASE DE DATOS'!AJ128</f>
        <v>14.9</v>
      </c>
      <c r="AK128" s="734">
        <f>'BASE DE DATOS'!AK128</f>
        <v>15</v>
      </c>
      <c r="AL128" s="734">
        <f>'BASE DE DATOS'!AL128</f>
        <v>16.399999999999999</v>
      </c>
      <c r="AM128" s="734">
        <f>'BASE DE DATOS'!AM128</f>
        <v>18.100000000000001</v>
      </c>
      <c r="AN128" s="734">
        <f>'BASE DE DATOS'!AN128</f>
        <v>20.399999999999999</v>
      </c>
      <c r="AO128" s="734">
        <f>'BASE DE DATOS'!AO128</f>
        <v>22.4</v>
      </c>
      <c r="AP128" s="734">
        <f>'BASE DE DATOS'!AP128</f>
        <v>23.4</v>
      </c>
      <c r="AR128" s="734" t="str">
        <f>'BASE DE DATOS'!AR128</f>
        <v>MS</v>
      </c>
      <c r="AS128" s="734" t="str">
        <f>'BASE DE DATOS'!AS128</f>
        <v>OBERA</v>
      </c>
      <c r="AT128" s="734">
        <f>'BASE DE DATOS'!AT128</f>
        <v>6</v>
      </c>
      <c r="AU128" s="734">
        <f>'BASE DE DATOS'!AU128</f>
        <v>5.5</v>
      </c>
      <c r="AV128" s="734">
        <f>'BASE DE DATOS'!AV128</f>
        <v>4.5</v>
      </c>
      <c r="AW128" s="734">
        <f>'BASE DE DATOS'!AW128</f>
        <v>3.5</v>
      </c>
      <c r="AX128" s="734">
        <f>'BASE DE DATOS'!AX128</f>
        <v>3</v>
      </c>
      <c r="AY128" s="734">
        <f>'BASE DE DATOS'!AY128</f>
        <v>2.5</v>
      </c>
      <c r="AZ128" s="734">
        <f>'BASE DE DATOS'!AZ128</f>
        <v>2.5</v>
      </c>
      <c r="BA128" s="734">
        <f>'BASE DE DATOS'!BA128</f>
        <v>3</v>
      </c>
      <c r="BB128" s="734">
        <f>'BASE DE DATOS'!BB128</f>
        <v>4.5</v>
      </c>
      <c r="BC128" s="734">
        <f>'BASE DE DATOS'!BC128</f>
        <v>5.5</v>
      </c>
      <c r="BD128" s="734">
        <f>'BASE DE DATOS'!BD128</f>
        <v>6</v>
      </c>
      <c r="BE128" s="734">
        <f>'BASE DE DATOS'!BE128</f>
        <v>6</v>
      </c>
      <c r="DO128" s="733" t="str">
        <f>'BASE DE DATOS'!BG128</f>
        <v>MS</v>
      </c>
      <c r="DP128" s="733" t="str">
        <f>'BASE DE DATOS'!BH128</f>
        <v>OBERA</v>
      </c>
      <c r="DQ128" s="733">
        <f>'BASE DE DATOS'!BI128</f>
        <v>140</v>
      </c>
      <c r="DR128" s="733">
        <f>'BASE DE DATOS'!BJ128</f>
        <v>160</v>
      </c>
      <c r="DS128" s="733">
        <f>'BASE DE DATOS'!BK128</f>
        <v>132</v>
      </c>
      <c r="DT128" s="733">
        <f>'BASE DE DATOS'!BL128</f>
        <v>157</v>
      </c>
      <c r="DU128" s="733">
        <f>'BASE DE DATOS'!BM128</f>
        <v>142</v>
      </c>
      <c r="DV128" s="733">
        <f>'BASE DE DATOS'!BN128</f>
        <v>130</v>
      </c>
      <c r="DW128" s="733">
        <f>'BASE DE DATOS'!BO128</f>
        <v>99</v>
      </c>
      <c r="DX128" s="733">
        <f>'BASE DE DATOS'!BP128</f>
        <v>96</v>
      </c>
      <c r="DY128" s="733">
        <f>'BASE DE DATOS'!BQ128</f>
        <v>134</v>
      </c>
      <c r="DZ128" s="733">
        <f>'BASE DE DATOS'!BR128</f>
        <v>176</v>
      </c>
      <c r="EA128" s="733">
        <f>'BASE DE DATOS'!BS128</f>
        <v>148</v>
      </c>
      <c r="EB128" s="733">
        <f>'BASE DE DATOS'!BT128</f>
        <v>141</v>
      </c>
      <c r="GM128" s="741"/>
      <c r="GN128" s="741"/>
      <c r="GO128" s="741"/>
      <c r="GP128" s="741"/>
      <c r="GQ128" s="741"/>
      <c r="GR128" s="741"/>
      <c r="GS128" s="727"/>
      <c r="GT128" s="727"/>
      <c r="GU128" s="727"/>
      <c r="GV128" s="727"/>
      <c r="GW128" s="727"/>
      <c r="GX128" s="727"/>
      <c r="GY128" s="727"/>
    </row>
    <row r="129" spans="2:207" ht="16">
      <c r="B129" s="734" t="str">
        <f>'BASE DE DATOS'!B129</f>
        <v>MS</v>
      </c>
      <c r="C129" s="734" t="str">
        <f>'BASE DE DATOS'!C129</f>
        <v>POSADAS</v>
      </c>
      <c r="D129" s="734">
        <f>'BASE DE DATOS'!D129</f>
        <v>27.37</v>
      </c>
      <c r="E129" s="734">
        <f>'BASE DE DATOS'!E129</f>
        <v>55.97</v>
      </c>
      <c r="F129" s="734">
        <f>'BASE DE DATOS'!F129</f>
        <v>133</v>
      </c>
      <c r="G129" s="734" t="str">
        <f>'BASE DE DATOS'!G129</f>
        <v>IB</v>
      </c>
      <c r="H129" s="734">
        <f>'BASE DE DATOS'!H129</f>
        <v>4.7</v>
      </c>
      <c r="I129" s="734">
        <f>'BASE DE DATOS'!I129</f>
        <v>16.5</v>
      </c>
      <c r="J129" s="734">
        <f>'BASE DE DATOS'!J129</f>
        <v>25.6</v>
      </c>
      <c r="K129" s="734">
        <f>'BASE DE DATOS'!K129</f>
        <v>35.6</v>
      </c>
      <c r="L129" s="734">
        <f>'BASE DE DATOS'!L129</f>
        <v>71</v>
      </c>
      <c r="M129" s="734">
        <f>'BASE DE DATOS'!M129</f>
        <v>77</v>
      </c>
      <c r="N129" s="734">
        <f>'BASE DE DATOS'!N129</f>
        <v>71</v>
      </c>
      <c r="O129" s="734">
        <f>'BASE DE DATOS'!O129</f>
        <v>94</v>
      </c>
      <c r="P129" s="734">
        <f>'BASE DE DATOS'!P129</f>
        <v>157</v>
      </c>
      <c r="Q129" s="734">
        <f>'BASE DE DATOS'!Q129</f>
        <v>1</v>
      </c>
      <c r="R129" s="734">
        <f>'BASE DE DATOS'!R129</f>
        <v>25.6</v>
      </c>
      <c r="S129" s="734">
        <f>'BASE DE DATOS'!S129</f>
        <v>0.51</v>
      </c>
      <c r="T129" s="734">
        <f>'BASE DE DATOS'!T129</f>
        <v>7.3</v>
      </c>
      <c r="U129" s="734">
        <f>'BASE DE DATOS'!U129</f>
        <v>12.6</v>
      </c>
      <c r="V129" s="734">
        <f>'BASE DE DATOS'!V129</f>
        <v>30</v>
      </c>
      <c r="W129" s="734">
        <f>'BASE DE DATOS'!W129</f>
        <v>95</v>
      </c>
      <c r="X129" s="734">
        <f>'BASE DE DATOS'!X129</f>
        <v>8.9999999999999993E-3</v>
      </c>
      <c r="Y129" s="734">
        <f>'BASE DE DATOS'!Y129</f>
        <v>8.0000000000000002E-3</v>
      </c>
      <c r="Z129" s="734">
        <f>'BASE DE DATOS'!Z129</f>
        <v>130</v>
      </c>
      <c r="AA129" s="734">
        <f>'BASE DE DATOS'!AA129</f>
        <v>1.3</v>
      </c>
      <c r="AB129" s="734">
        <f>'BASE DE DATOS'!AB129</f>
        <v>30</v>
      </c>
      <c r="AD129" s="734" t="str">
        <f>'BASE DE DATOS'!AD129</f>
        <v>POSADAS</v>
      </c>
      <c r="AE129" s="734">
        <f>'BASE DE DATOS'!AE129</f>
        <v>26.1</v>
      </c>
      <c r="AF129" s="734">
        <f>'BASE DE DATOS'!AF129</f>
        <v>25.8</v>
      </c>
      <c r="AG129" s="734">
        <f>'BASE DE DATOS'!AG129</f>
        <v>24.3</v>
      </c>
      <c r="AH129" s="734">
        <f>'BASE DE DATOS'!AH129</f>
        <v>20.7</v>
      </c>
      <c r="AI129" s="734">
        <f>'BASE DE DATOS'!AI129</f>
        <v>18.2</v>
      </c>
      <c r="AJ129" s="734">
        <f>'BASE DE DATOS'!AJ129</f>
        <v>16.3</v>
      </c>
      <c r="AK129" s="734">
        <f>'BASE DE DATOS'!AK129</f>
        <v>15.9</v>
      </c>
      <c r="AL129" s="734">
        <f>'BASE DE DATOS'!AL129</f>
        <v>17.2</v>
      </c>
      <c r="AM129" s="734">
        <f>'BASE DE DATOS'!AM129</f>
        <v>18.7</v>
      </c>
      <c r="AN129" s="734">
        <f>'BASE DE DATOS'!AN129</f>
        <v>21.1</v>
      </c>
      <c r="AO129" s="734">
        <f>'BASE DE DATOS'!AO129</f>
        <v>23.3</v>
      </c>
      <c r="AP129" s="734">
        <f>'BASE DE DATOS'!AP129</f>
        <v>25.5</v>
      </c>
      <c r="AR129" s="734" t="str">
        <f>'BASE DE DATOS'!AR129</f>
        <v>MS</v>
      </c>
      <c r="AS129" s="734" t="str">
        <f>'BASE DE DATOS'!AS129</f>
        <v>POSADAS</v>
      </c>
      <c r="AT129" s="734">
        <f>'BASE DE DATOS'!AT129</f>
        <v>6</v>
      </c>
      <c r="AU129" s="734">
        <f>'BASE DE DATOS'!AU129</f>
        <v>5.5</v>
      </c>
      <c r="AV129" s="734">
        <f>'BASE DE DATOS'!AV129</f>
        <v>4.5</v>
      </c>
      <c r="AW129" s="734">
        <f>'BASE DE DATOS'!AW129</f>
        <v>3.5</v>
      </c>
      <c r="AX129" s="734">
        <f>'BASE DE DATOS'!AX129</f>
        <v>3</v>
      </c>
      <c r="AY129" s="734">
        <f>'BASE DE DATOS'!AY129</f>
        <v>2.5</v>
      </c>
      <c r="AZ129" s="734">
        <f>'BASE DE DATOS'!AZ129</f>
        <v>2.5</v>
      </c>
      <c r="BA129" s="734">
        <f>'BASE DE DATOS'!BA129</f>
        <v>3</v>
      </c>
      <c r="BB129" s="734">
        <f>'BASE DE DATOS'!BB129</f>
        <v>4.5</v>
      </c>
      <c r="BC129" s="734">
        <f>'BASE DE DATOS'!BC129</f>
        <v>5.5</v>
      </c>
      <c r="BD129" s="734">
        <f>'BASE DE DATOS'!BD129</f>
        <v>6</v>
      </c>
      <c r="BE129" s="734">
        <f>'BASE DE DATOS'!BE129</f>
        <v>6</v>
      </c>
      <c r="DO129" s="733" t="str">
        <f>'BASE DE DATOS'!BG129</f>
        <v>MS</v>
      </c>
      <c r="DP129" s="733" t="str">
        <f>'BASE DE DATOS'!BH129</f>
        <v>POSADAS</v>
      </c>
      <c r="DQ129" s="733">
        <f>'BASE DE DATOS'!BI129</f>
        <v>140</v>
      </c>
      <c r="DR129" s="733">
        <f>'BASE DE DATOS'!BJ129</f>
        <v>160</v>
      </c>
      <c r="DS129" s="733">
        <f>'BASE DE DATOS'!BK129</f>
        <v>132</v>
      </c>
      <c r="DT129" s="733">
        <f>'BASE DE DATOS'!BL129</f>
        <v>157</v>
      </c>
      <c r="DU129" s="733">
        <f>'BASE DE DATOS'!BM129</f>
        <v>142</v>
      </c>
      <c r="DV129" s="733">
        <f>'BASE DE DATOS'!BN129</f>
        <v>130</v>
      </c>
      <c r="DW129" s="733">
        <f>'BASE DE DATOS'!BO129</f>
        <v>99</v>
      </c>
      <c r="DX129" s="733">
        <f>'BASE DE DATOS'!BP129</f>
        <v>96</v>
      </c>
      <c r="DY129" s="733">
        <f>'BASE DE DATOS'!BQ129</f>
        <v>134</v>
      </c>
      <c r="DZ129" s="733">
        <f>'BASE DE DATOS'!BR129</f>
        <v>176</v>
      </c>
      <c r="EA129" s="733">
        <f>'BASE DE DATOS'!BS129</f>
        <v>148</v>
      </c>
      <c r="EB129" s="733">
        <f>'BASE DE DATOS'!BT129</f>
        <v>141</v>
      </c>
      <c r="GM129" s="741"/>
      <c r="GN129" s="741"/>
      <c r="GO129" s="741"/>
      <c r="GP129" s="741"/>
      <c r="GQ129" s="741"/>
      <c r="GR129" s="741"/>
      <c r="GS129" s="727"/>
      <c r="GT129" s="727"/>
      <c r="GU129" s="727"/>
      <c r="GV129" s="727"/>
      <c r="GW129" s="728"/>
      <c r="GX129" s="728"/>
      <c r="GY129" s="764"/>
    </row>
    <row r="130" spans="2:207" ht="16">
      <c r="B130" s="734" t="str">
        <f>'BASE DE DATOS'!B130</f>
        <v>NQ</v>
      </c>
      <c r="C130" s="734" t="str">
        <f>'BASE DE DATOS'!C130</f>
        <v>CUTRAL CO</v>
      </c>
      <c r="D130" s="734">
        <f>'BASE DE DATOS'!D130</f>
        <v>38.950000000000003</v>
      </c>
      <c r="E130" s="734">
        <f>'BASE DE DATOS'!E130</f>
        <v>69.22</v>
      </c>
      <c r="F130" s="734">
        <f>'BASE DE DATOS'!F130</f>
        <v>612</v>
      </c>
      <c r="G130" s="734" t="str">
        <f>'BASE DE DATOS'!G130</f>
        <v>V</v>
      </c>
      <c r="H130" s="734">
        <f>'BASE DE DATOS'!H130</f>
        <v>-3.7</v>
      </c>
      <c r="I130" s="734">
        <f>'BASE DE DATOS'!I130</f>
        <v>6.4</v>
      </c>
      <c r="J130" s="734">
        <f>'BASE DE DATOS'!J130</f>
        <v>20.5</v>
      </c>
      <c r="K130" s="734">
        <f>'BASE DE DATOS'!K130</f>
        <v>32.5</v>
      </c>
      <c r="L130" s="734">
        <f>'BASE DE DATOS'!L130</f>
        <v>34</v>
      </c>
      <c r="M130" s="734">
        <f>'BASE DE DATOS'!M130</f>
        <v>61</v>
      </c>
      <c r="N130" s="734">
        <f>'BASE DE DATOS'!N130</f>
        <v>34</v>
      </c>
      <c r="O130" s="734">
        <f>'BASE DE DATOS'!O130</f>
        <v>11</v>
      </c>
      <c r="P130" s="734">
        <f>'BASE DE DATOS'!P130</f>
        <v>13</v>
      </c>
      <c r="Q130" s="734">
        <f>'BASE DE DATOS'!Q130</f>
        <v>5</v>
      </c>
      <c r="R130" s="734">
        <f>'BASE DE DATOS'!R130</f>
        <v>20.399999999999999</v>
      </c>
      <c r="S130" s="734">
        <f>'BASE DE DATOS'!S130</f>
        <v>0.55000000000000004</v>
      </c>
      <c r="T130" s="734">
        <f>'BASE DE DATOS'!T130</f>
        <v>86.3</v>
      </c>
      <c r="U130" s="734">
        <f>'BASE DE DATOS'!U130</f>
        <v>0</v>
      </c>
      <c r="V130" s="734">
        <f>'BASE DE DATOS'!V130</f>
        <v>300</v>
      </c>
      <c r="W130" s="734">
        <f>'BASE DE DATOS'!W130</f>
        <v>0</v>
      </c>
      <c r="X130" s="734">
        <f>'BASE DE DATOS'!X130</f>
        <v>2.1000000000000001E-2</v>
      </c>
      <c r="Y130" s="734">
        <f>'BASE DE DATOS'!Y130</f>
        <v>0</v>
      </c>
      <c r="Z130" s="734">
        <f>'BASE DE DATOS'!Z130</f>
        <v>130</v>
      </c>
      <c r="AA130" s="734">
        <f>'BASE DE DATOS'!AA130</f>
        <v>1.3</v>
      </c>
      <c r="AB130" s="734">
        <f>'BASE DE DATOS'!AB130</f>
        <v>40</v>
      </c>
      <c r="AD130" s="734" t="str">
        <f>'BASE DE DATOS'!AD130</f>
        <v>CUTRAL CO</v>
      </c>
      <c r="AE130" s="734">
        <f>'BASE DE DATOS'!AE130</f>
        <v>21</v>
      </c>
      <c r="AF130" s="734">
        <f>'BASE DE DATOS'!AF130</f>
        <v>19.5</v>
      </c>
      <c r="AG130" s="734">
        <f>'BASE DE DATOS'!AG130</f>
        <v>17.5</v>
      </c>
      <c r="AH130" s="734">
        <f>'BASE DE DATOS'!AH130</f>
        <v>11.3</v>
      </c>
      <c r="AI130" s="734">
        <f>'BASE DE DATOS'!AI130</f>
        <v>8</v>
      </c>
      <c r="AJ130" s="734">
        <f>'BASE DE DATOS'!AJ130</f>
        <v>5</v>
      </c>
      <c r="AK130" s="734">
        <f>'BASE DE DATOS'!AK130</f>
        <v>4</v>
      </c>
      <c r="AL130" s="734">
        <f>'BASE DE DATOS'!AL130</f>
        <v>6.8</v>
      </c>
      <c r="AM130" s="734">
        <f>'BASE DE DATOS'!AM130</f>
        <v>10</v>
      </c>
      <c r="AN130" s="734">
        <f>'BASE DE DATOS'!AN130</f>
        <v>13.5</v>
      </c>
      <c r="AO130" s="734">
        <f>'BASE DE DATOS'!AO130</f>
        <v>16.5</v>
      </c>
      <c r="AP130" s="734">
        <f>'BASE DE DATOS'!AP130</f>
        <v>20</v>
      </c>
      <c r="AR130" s="734" t="str">
        <f>'BASE DE DATOS'!AR130</f>
        <v>NQ</v>
      </c>
      <c r="AS130" s="734" t="str">
        <f>'BASE DE DATOS'!AS130</f>
        <v>CUTRAL CO</v>
      </c>
      <c r="AT130" s="734">
        <f>'BASE DE DATOS'!AT130</f>
        <v>7.5</v>
      </c>
      <c r="AU130" s="734">
        <f>'BASE DE DATOS'!AU130</f>
        <v>6.5</v>
      </c>
      <c r="AV130" s="734">
        <f>'BASE DE DATOS'!AV130</f>
        <v>5</v>
      </c>
      <c r="AW130" s="734">
        <f>'BASE DE DATOS'!AW130</f>
        <v>3</v>
      </c>
      <c r="AX130" s="734">
        <f>'BASE DE DATOS'!AX130</f>
        <v>2</v>
      </c>
      <c r="AY130" s="734">
        <f>'BASE DE DATOS'!AY130</f>
        <v>1.5</v>
      </c>
      <c r="AZ130" s="734">
        <f>'BASE DE DATOS'!AZ130</f>
        <v>1.5</v>
      </c>
      <c r="BA130" s="734">
        <f>'BASE DE DATOS'!BA130</f>
        <v>2.5</v>
      </c>
      <c r="BB130" s="734">
        <f>'BASE DE DATOS'!BB130</f>
        <v>4</v>
      </c>
      <c r="BC130" s="734">
        <f>'BASE DE DATOS'!BC130</f>
        <v>5.5</v>
      </c>
      <c r="BD130" s="734">
        <f>'BASE DE DATOS'!BD130</f>
        <v>7</v>
      </c>
      <c r="BE130" s="734">
        <f>'BASE DE DATOS'!BE130</f>
        <v>7.5</v>
      </c>
      <c r="DO130" s="733" t="str">
        <f>'BASE DE DATOS'!BG130</f>
        <v>NQ</v>
      </c>
      <c r="DP130" s="733" t="str">
        <f>'BASE DE DATOS'!BH130</f>
        <v>CUTRAL CO</v>
      </c>
      <c r="DQ130" s="733">
        <f>'BASE DE DATOS'!BI130</f>
        <v>12</v>
      </c>
      <c r="DR130" s="733">
        <f>'BASE DE DATOS'!BJ130</f>
        <v>10</v>
      </c>
      <c r="DS130" s="733">
        <f>'BASE DE DATOS'!BK130</f>
        <v>18</v>
      </c>
      <c r="DT130" s="733">
        <f>'BASE DE DATOS'!BL130</f>
        <v>14</v>
      </c>
      <c r="DU130" s="733">
        <f>'BASE DE DATOS'!BM130</f>
        <v>17</v>
      </c>
      <c r="DV130" s="733">
        <f>'BASE DE DATOS'!BN130</f>
        <v>15</v>
      </c>
      <c r="DW130" s="733">
        <f>'BASE DE DATOS'!BO130</f>
        <v>14</v>
      </c>
      <c r="DX130" s="733">
        <f>'BASE DE DATOS'!BP130</f>
        <v>12</v>
      </c>
      <c r="DY130" s="733">
        <f>'BASE DE DATOS'!BQ130</f>
        <v>14</v>
      </c>
      <c r="DZ130" s="733">
        <f>'BASE DE DATOS'!BR130</f>
        <v>22</v>
      </c>
      <c r="EA130" s="733">
        <f>'BASE DE DATOS'!BS130</f>
        <v>12</v>
      </c>
      <c r="EB130" s="733">
        <f>'BASE DE DATOS'!BT130</f>
        <v>12</v>
      </c>
      <c r="GM130" s="741"/>
      <c r="GN130" s="741"/>
      <c r="GO130" s="741"/>
      <c r="GP130" s="741"/>
      <c r="GQ130" s="741"/>
      <c r="GR130" s="741"/>
      <c r="GS130" s="727"/>
      <c r="GT130" s="727"/>
      <c r="GU130" s="727"/>
      <c r="GV130" s="727"/>
      <c r="GW130" s="728"/>
      <c r="GX130" s="728"/>
      <c r="GY130" s="764"/>
    </row>
    <row r="131" spans="2:207" ht="16">
      <c r="B131" s="734" t="str">
        <f>'BASE DE DATOS'!B131</f>
        <v>NQ</v>
      </c>
      <c r="C131" s="734" t="str">
        <f>'BASE DE DATOS'!C131</f>
        <v>LAS LAJAS</v>
      </c>
      <c r="D131" s="734">
        <f>'BASE DE DATOS'!D131</f>
        <v>38.53</v>
      </c>
      <c r="E131" s="734">
        <f>'BASE DE DATOS'!E131</f>
        <v>70.38</v>
      </c>
      <c r="F131" s="734">
        <f>'BASE DE DATOS'!F131</f>
        <v>713</v>
      </c>
      <c r="G131" s="734" t="str">
        <f>'BASE DE DATOS'!G131</f>
        <v>V</v>
      </c>
      <c r="H131" s="734">
        <f>'BASE DE DATOS'!H131</f>
        <v>-5.7</v>
      </c>
      <c r="I131" s="734">
        <f>'BASE DE DATOS'!I131</f>
        <v>6</v>
      </c>
      <c r="J131" s="734">
        <f>'BASE DE DATOS'!J131</f>
        <v>18.7</v>
      </c>
      <c r="K131" s="734">
        <f>'BASE DE DATOS'!K131</f>
        <v>30.5</v>
      </c>
      <c r="L131" s="734">
        <f>'BASE DE DATOS'!L131</f>
        <v>49</v>
      </c>
      <c r="M131" s="734">
        <f>'BASE DE DATOS'!M131</f>
        <v>69</v>
      </c>
      <c r="N131" s="734">
        <f>'BASE DE DATOS'!N131</f>
        <v>49</v>
      </c>
      <c r="O131" s="734">
        <f>'BASE DE DATOS'!O131</f>
        <v>27</v>
      </c>
      <c r="P131" s="734">
        <f>'BASE DE DATOS'!P131</f>
        <v>11</v>
      </c>
      <c r="Q131" s="734">
        <f>'BASE DE DATOS'!Q131</f>
        <v>5</v>
      </c>
      <c r="R131" s="734">
        <f>'BASE DE DATOS'!R131</f>
        <v>17.8</v>
      </c>
      <c r="S131" s="734">
        <f>'BASE DE DATOS'!S131</f>
        <v>0.55000000000000004</v>
      </c>
      <c r="T131" s="734">
        <f>'BASE DE DATOS'!T131</f>
        <v>86.3</v>
      </c>
      <c r="U131" s="734">
        <f>'BASE DE DATOS'!U131</f>
        <v>0</v>
      </c>
      <c r="V131" s="734">
        <f>'BASE DE DATOS'!V131</f>
        <v>300</v>
      </c>
      <c r="W131" s="734">
        <f>'BASE DE DATOS'!W131</f>
        <v>0</v>
      </c>
      <c r="X131" s="734">
        <f>'BASE DE DATOS'!X131</f>
        <v>2.1000000000000001E-2</v>
      </c>
      <c r="Y131" s="734">
        <f>'BASE DE DATOS'!Y131</f>
        <v>0</v>
      </c>
      <c r="Z131" s="734">
        <f>'BASE DE DATOS'!Z131</f>
        <v>110</v>
      </c>
      <c r="AA131" s="734">
        <f>'BASE DE DATOS'!AA131</f>
        <v>1.1000000000000001</v>
      </c>
      <c r="AB131" s="734">
        <f>'BASE DE DATOS'!AB131</f>
        <v>40</v>
      </c>
      <c r="AD131" s="734" t="str">
        <f>'BASE DE DATOS'!AD131</f>
        <v>LAS LAJAS</v>
      </c>
      <c r="AE131" s="734">
        <f>'BASE DE DATOS'!AE131</f>
        <v>19</v>
      </c>
      <c r="AF131" s="734">
        <f>'BASE DE DATOS'!AF131</f>
        <v>18</v>
      </c>
      <c r="AG131" s="734">
        <f>'BASE DE DATOS'!AG131</f>
        <v>16</v>
      </c>
      <c r="AH131" s="734">
        <f>'BASE DE DATOS'!AH131</f>
        <v>11</v>
      </c>
      <c r="AI131" s="734">
        <f>'BASE DE DATOS'!AI131</f>
        <v>8</v>
      </c>
      <c r="AJ131" s="734">
        <f>'BASE DE DATOS'!AJ131</f>
        <v>6</v>
      </c>
      <c r="AK131" s="734">
        <f>'BASE DE DATOS'!AK131</f>
        <v>4.5</v>
      </c>
      <c r="AL131" s="734">
        <f>'BASE DE DATOS'!AL131</f>
        <v>6.5</v>
      </c>
      <c r="AM131" s="734">
        <f>'BASE DE DATOS'!AM131</f>
        <v>9</v>
      </c>
      <c r="AN131" s="734">
        <f>'BASE DE DATOS'!AN131</f>
        <v>11.5</v>
      </c>
      <c r="AO131" s="734">
        <f>'BASE DE DATOS'!AO131</f>
        <v>14.5</v>
      </c>
      <c r="AP131" s="734">
        <f>'BASE DE DATOS'!AP131</f>
        <v>17.5</v>
      </c>
      <c r="AR131" s="734" t="str">
        <f>'BASE DE DATOS'!AR131</f>
        <v>NQ</v>
      </c>
      <c r="AS131" s="734" t="str">
        <f>'BASE DE DATOS'!AS131</f>
        <v>LAS LAJAS</v>
      </c>
      <c r="AT131" s="734">
        <f>'BASE DE DATOS'!AT131</f>
        <v>7.5</v>
      </c>
      <c r="AU131" s="734">
        <f>'BASE DE DATOS'!AU131</f>
        <v>6.5</v>
      </c>
      <c r="AV131" s="734">
        <f>'BASE DE DATOS'!AV131</f>
        <v>5</v>
      </c>
      <c r="AW131" s="734">
        <f>'BASE DE DATOS'!AW131</f>
        <v>3</v>
      </c>
      <c r="AX131" s="734">
        <f>'BASE DE DATOS'!AX131</f>
        <v>2</v>
      </c>
      <c r="AY131" s="734">
        <f>'BASE DE DATOS'!AY131</f>
        <v>1.5</v>
      </c>
      <c r="AZ131" s="734">
        <f>'BASE DE DATOS'!AZ131</f>
        <v>1.5</v>
      </c>
      <c r="BA131" s="734">
        <f>'BASE DE DATOS'!BA131</f>
        <v>2.5</v>
      </c>
      <c r="BB131" s="734">
        <f>'BASE DE DATOS'!BB131</f>
        <v>4</v>
      </c>
      <c r="BC131" s="734">
        <f>'BASE DE DATOS'!BC131</f>
        <v>5.5</v>
      </c>
      <c r="BD131" s="734">
        <f>'BASE DE DATOS'!BD131</f>
        <v>7</v>
      </c>
      <c r="BE131" s="734">
        <f>'BASE DE DATOS'!BE131</f>
        <v>7.5</v>
      </c>
      <c r="DO131" s="733" t="str">
        <f>'BASE DE DATOS'!BG131</f>
        <v>NQ</v>
      </c>
      <c r="DP131" s="733" t="str">
        <f>'BASE DE DATOS'!BH131</f>
        <v>LAS LAJAS</v>
      </c>
      <c r="DQ131" s="733">
        <f>'BASE DE DATOS'!BI131</f>
        <v>12</v>
      </c>
      <c r="DR131" s="733">
        <f>'BASE DE DATOS'!BJ131</f>
        <v>10</v>
      </c>
      <c r="DS131" s="733">
        <f>'BASE DE DATOS'!BK131</f>
        <v>18</v>
      </c>
      <c r="DT131" s="733">
        <f>'BASE DE DATOS'!BL131</f>
        <v>14</v>
      </c>
      <c r="DU131" s="733">
        <f>'BASE DE DATOS'!BM131</f>
        <v>17</v>
      </c>
      <c r="DV131" s="733">
        <f>'BASE DE DATOS'!BN131</f>
        <v>15</v>
      </c>
      <c r="DW131" s="733">
        <f>'BASE DE DATOS'!BO131</f>
        <v>14</v>
      </c>
      <c r="DX131" s="733">
        <f>'BASE DE DATOS'!BP131</f>
        <v>12</v>
      </c>
      <c r="DY131" s="733">
        <f>'BASE DE DATOS'!BQ131</f>
        <v>14</v>
      </c>
      <c r="DZ131" s="733">
        <f>'BASE DE DATOS'!BR131</f>
        <v>22</v>
      </c>
      <c r="EA131" s="733">
        <f>'BASE DE DATOS'!BS131</f>
        <v>12</v>
      </c>
      <c r="EB131" s="733">
        <f>'BASE DE DATOS'!BT131</f>
        <v>12</v>
      </c>
      <c r="GM131" s="741"/>
      <c r="GN131" s="741"/>
      <c r="GO131" s="741"/>
      <c r="GP131" s="741"/>
      <c r="GQ131" s="741"/>
      <c r="GR131" s="741"/>
      <c r="GS131" s="727"/>
      <c r="GT131" s="727"/>
      <c r="GU131" s="727"/>
      <c r="GV131" s="727"/>
      <c r="GW131" s="728"/>
      <c r="GX131" s="728"/>
      <c r="GY131" s="764"/>
    </row>
    <row r="132" spans="2:207" ht="16">
      <c r="B132" s="734" t="str">
        <f>'BASE DE DATOS'!B132</f>
        <v>NQ</v>
      </c>
      <c r="C132" s="734" t="str">
        <f>'BASE DE DATOS'!C132</f>
        <v>NEUQUÉN</v>
      </c>
      <c r="D132" s="734">
        <f>'BASE DE DATOS'!D132</f>
        <v>38.950000000000003</v>
      </c>
      <c r="E132" s="734">
        <f>'BASE DE DATOS'!E132</f>
        <v>68.13</v>
      </c>
      <c r="F132" s="734">
        <f>'BASE DE DATOS'!F132</f>
        <v>270</v>
      </c>
      <c r="G132" s="734" t="str">
        <f>'BASE DE DATOS'!G132</f>
        <v>IVB</v>
      </c>
      <c r="H132" s="734">
        <f>'BASE DE DATOS'!H132</f>
        <v>-5.8</v>
      </c>
      <c r="I132" s="734">
        <f>'BASE DE DATOS'!I132</f>
        <v>6.4</v>
      </c>
      <c r="J132" s="734">
        <f>'BASE DE DATOS'!J132</f>
        <v>19</v>
      </c>
      <c r="K132" s="734">
        <f>'BASE DE DATOS'!K132</f>
        <v>34</v>
      </c>
      <c r="L132" s="734">
        <f>'BASE DE DATOS'!L132</f>
        <v>38</v>
      </c>
      <c r="M132" s="734">
        <f>'BASE DE DATOS'!M132</f>
        <v>64</v>
      </c>
      <c r="N132" s="734">
        <f>'BASE DE DATOS'!N132</f>
        <v>38</v>
      </c>
      <c r="O132" s="734">
        <f>'BASE DE DATOS'!O132</f>
        <v>8</v>
      </c>
      <c r="P132" s="734">
        <f>'BASE DE DATOS'!P132</f>
        <v>11</v>
      </c>
      <c r="Q132" s="734">
        <f>'BASE DE DATOS'!Q132</f>
        <v>4</v>
      </c>
      <c r="R132" s="734">
        <f>'BASE DE DATOS'!R132</f>
        <v>21.6</v>
      </c>
      <c r="S132" s="734">
        <f>'BASE DE DATOS'!S132</f>
        <v>0.55000000000000004</v>
      </c>
      <c r="T132" s="734">
        <f>'BASE DE DATOS'!T132</f>
        <v>86.3</v>
      </c>
      <c r="U132" s="734">
        <f>'BASE DE DATOS'!U132</f>
        <v>0</v>
      </c>
      <c r="V132" s="734">
        <f>'BASE DE DATOS'!V132</f>
        <v>300</v>
      </c>
      <c r="W132" s="734">
        <f>'BASE DE DATOS'!W132</f>
        <v>0</v>
      </c>
      <c r="X132" s="734">
        <f>'BASE DE DATOS'!X132</f>
        <v>2.1000000000000001E-2</v>
      </c>
      <c r="Y132" s="734">
        <f>'BASE DE DATOS'!Y132</f>
        <v>0</v>
      </c>
      <c r="Z132" s="734">
        <f>'BASE DE DATOS'!Z132</f>
        <v>130</v>
      </c>
      <c r="AA132" s="734">
        <f>'BASE DE DATOS'!AA132</f>
        <v>1.3</v>
      </c>
      <c r="AB132" s="734">
        <f>'BASE DE DATOS'!AB132</f>
        <v>40</v>
      </c>
      <c r="AD132" s="734" t="str">
        <f>'BASE DE DATOS'!AD132</f>
        <v>NEUQUÉN</v>
      </c>
      <c r="AE132" s="734">
        <f>'BASE DE DATOS'!AE132</f>
        <v>22.1</v>
      </c>
      <c r="AF132" s="734">
        <f>'BASE DE DATOS'!AF132</f>
        <v>21.2</v>
      </c>
      <c r="AG132" s="734">
        <f>'BASE DE DATOS'!AG132</f>
        <v>17.8</v>
      </c>
      <c r="AH132" s="734">
        <f>'BASE DE DATOS'!AH132</f>
        <v>13.3</v>
      </c>
      <c r="AI132" s="734">
        <f>'BASE DE DATOS'!AI132</f>
        <v>9.5</v>
      </c>
      <c r="AJ132" s="734">
        <f>'BASE DE DATOS'!AJ132</f>
        <v>6.2</v>
      </c>
      <c r="AK132" s="734">
        <f>'BASE DE DATOS'!AK132</f>
        <v>6.1</v>
      </c>
      <c r="AL132" s="734">
        <f>'BASE DE DATOS'!AL132</f>
        <v>8.1999999999999993</v>
      </c>
      <c r="AM132" s="734">
        <f>'BASE DE DATOS'!AM132</f>
        <v>11</v>
      </c>
      <c r="AN132" s="734">
        <f>'BASE DE DATOS'!AN132</f>
        <v>14.8</v>
      </c>
      <c r="AO132" s="734">
        <f>'BASE DE DATOS'!AO132</f>
        <v>18.7</v>
      </c>
      <c r="AP132" s="734">
        <f>'BASE DE DATOS'!AP132</f>
        <v>21.2</v>
      </c>
      <c r="AR132" s="734" t="str">
        <f>'BASE DE DATOS'!AR132</f>
        <v>NQ</v>
      </c>
      <c r="AS132" s="734" t="str">
        <f>'BASE DE DATOS'!AS132</f>
        <v>NEUQUÉN</v>
      </c>
      <c r="AT132" s="734">
        <f>'BASE DE DATOS'!AT132</f>
        <v>7.5</v>
      </c>
      <c r="AU132" s="734">
        <f>'BASE DE DATOS'!AU132</f>
        <v>6.5</v>
      </c>
      <c r="AV132" s="734">
        <f>'BASE DE DATOS'!AV132</f>
        <v>5</v>
      </c>
      <c r="AW132" s="734">
        <f>'BASE DE DATOS'!AW132</f>
        <v>3</v>
      </c>
      <c r="AX132" s="734">
        <f>'BASE DE DATOS'!AX132</f>
        <v>2</v>
      </c>
      <c r="AY132" s="734">
        <f>'BASE DE DATOS'!AY132</f>
        <v>1.5</v>
      </c>
      <c r="AZ132" s="734">
        <f>'BASE DE DATOS'!AZ132</f>
        <v>1.5</v>
      </c>
      <c r="BA132" s="734">
        <f>'BASE DE DATOS'!BA132</f>
        <v>2.5</v>
      </c>
      <c r="BB132" s="734">
        <f>'BASE DE DATOS'!BB132</f>
        <v>3.5</v>
      </c>
      <c r="BC132" s="734">
        <f>'BASE DE DATOS'!BC132</f>
        <v>5.5</v>
      </c>
      <c r="BD132" s="734">
        <f>'BASE DE DATOS'!BD132</f>
        <v>7</v>
      </c>
      <c r="BE132" s="734">
        <f>'BASE DE DATOS'!BE132</f>
        <v>7.5</v>
      </c>
      <c r="DO132" s="733" t="str">
        <f>'BASE DE DATOS'!BG132</f>
        <v>NQ</v>
      </c>
      <c r="DP132" s="733" t="str">
        <f>'BASE DE DATOS'!BH132</f>
        <v>NEUQUÉN</v>
      </c>
      <c r="DQ132" s="733">
        <f>'BASE DE DATOS'!BI132</f>
        <v>12</v>
      </c>
      <c r="DR132" s="733">
        <f>'BASE DE DATOS'!BJ132</f>
        <v>10</v>
      </c>
      <c r="DS132" s="733">
        <f>'BASE DE DATOS'!BK132</f>
        <v>18</v>
      </c>
      <c r="DT132" s="733">
        <f>'BASE DE DATOS'!BL132</f>
        <v>14</v>
      </c>
      <c r="DU132" s="733">
        <f>'BASE DE DATOS'!BM132</f>
        <v>17</v>
      </c>
      <c r="DV132" s="733">
        <f>'BASE DE DATOS'!BN132</f>
        <v>15</v>
      </c>
      <c r="DW132" s="733">
        <f>'BASE DE DATOS'!BO132</f>
        <v>14</v>
      </c>
      <c r="DX132" s="733">
        <f>'BASE DE DATOS'!BP132</f>
        <v>12</v>
      </c>
      <c r="DY132" s="733">
        <f>'BASE DE DATOS'!BQ132</f>
        <v>14</v>
      </c>
      <c r="DZ132" s="733">
        <f>'BASE DE DATOS'!BR132</f>
        <v>22</v>
      </c>
      <c r="EA132" s="733">
        <f>'BASE DE DATOS'!BS132</f>
        <v>12</v>
      </c>
      <c r="EB132" s="733">
        <f>'BASE DE DATOS'!BT132</f>
        <v>12</v>
      </c>
      <c r="GM132" s="741"/>
      <c r="GN132" s="741"/>
      <c r="GO132" s="741"/>
      <c r="GP132" s="741"/>
      <c r="GQ132" s="741"/>
      <c r="GR132" s="741"/>
      <c r="GS132" s="727"/>
      <c r="GT132" s="727"/>
      <c r="GU132" s="727"/>
      <c r="GV132" s="727"/>
      <c r="GW132" s="727"/>
      <c r="GX132" s="727"/>
      <c r="GY132" s="727"/>
    </row>
    <row r="133" spans="2:207" ht="16">
      <c r="B133" s="734" t="str">
        <f>'BASE DE DATOS'!B133</f>
        <v>RN</v>
      </c>
      <c r="C133" s="734" t="str">
        <f>'BASE DE DATOS'!C133</f>
        <v>ALTO VALLE</v>
      </c>
      <c r="D133" s="734">
        <f>'BASE DE DATOS'!D133</f>
        <v>39.020000000000003</v>
      </c>
      <c r="E133" s="734">
        <f>'BASE DE DATOS'!E133</f>
        <v>67.67</v>
      </c>
      <c r="F133" s="734">
        <f>'BASE DE DATOS'!F133</f>
        <v>242</v>
      </c>
      <c r="G133" s="734" t="str">
        <f>'BASE DE DATOS'!G133</f>
        <v>IVB</v>
      </c>
      <c r="H133" s="734">
        <f>'BASE DE DATOS'!H133</f>
        <v>-6.4</v>
      </c>
      <c r="I133" s="734">
        <f>'BASE DE DATOS'!I133</f>
        <v>6.9</v>
      </c>
      <c r="J133" s="734">
        <f>'BASE DE DATOS'!J133</f>
        <v>21.4</v>
      </c>
      <c r="K133" s="734">
        <f>'BASE DE DATOS'!K133</f>
        <v>33.6</v>
      </c>
      <c r="L133" s="734">
        <f>'BASE DE DATOS'!L133</f>
        <v>48</v>
      </c>
      <c r="M133" s="734">
        <f>'BASE DE DATOS'!M133</f>
        <v>64</v>
      </c>
      <c r="N133" s="734">
        <f>'BASE DE DATOS'!N133</f>
        <v>48</v>
      </c>
      <c r="O133" s="734">
        <f>'BASE DE DATOS'!O133</f>
        <v>10</v>
      </c>
      <c r="P133" s="734">
        <f>'BASE DE DATOS'!P133</f>
        <v>13</v>
      </c>
      <c r="Q133" s="734">
        <f>'BASE DE DATOS'!Q133</f>
        <v>4</v>
      </c>
      <c r="R133" s="734">
        <f>'BASE DE DATOS'!R133</f>
        <v>20.5</v>
      </c>
      <c r="S133" s="734">
        <f>'BASE DE DATOS'!S133</f>
        <v>0.55000000000000004</v>
      </c>
      <c r="T133" s="734">
        <f>'BASE DE DATOS'!T133</f>
        <v>86.3</v>
      </c>
      <c r="U133" s="734">
        <f>'BASE DE DATOS'!U133</f>
        <v>0</v>
      </c>
      <c r="V133" s="734">
        <f>'BASE DE DATOS'!V133</f>
        <v>300</v>
      </c>
      <c r="W133" s="734">
        <f>'BASE DE DATOS'!W133</f>
        <v>0</v>
      </c>
      <c r="X133" s="734">
        <f>'BASE DE DATOS'!X133</f>
        <v>2.1000000000000001E-2</v>
      </c>
      <c r="Y133" s="734">
        <f>'BASE DE DATOS'!Y133</f>
        <v>0</v>
      </c>
      <c r="Z133" s="734">
        <f>'BASE DE DATOS'!Z133</f>
        <v>130</v>
      </c>
      <c r="AA133" s="734">
        <f>'BASE DE DATOS'!AA133</f>
        <v>1.3</v>
      </c>
      <c r="AB133" s="734">
        <f>'BASE DE DATOS'!AB133</f>
        <v>40</v>
      </c>
      <c r="AD133" s="734" t="str">
        <f>'BASE DE DATOS'!AD133</f>
        <v>ALTO VALLE</v>
      </c>
      <c r="AE133" s="734">
        <f>'BASE DE DATOS'!AE133</f>
        <v>21.7</v>
      </c>
      <c r="AF133" s="734">
        <f>'BASE DE DATOS'!AF133</f>
        <v>20.8</v>
      </c>
      <c r="AG133" s="734">
        <f>'BASE DE DATOS'!AG133</f>
        <v>17.8</v>
      </c>
      <c r="AH133" s="734">
        <f>'BASE DE DATOS'!AH133</f>
        <v>12.9</v>
      </c>
      <c r="AI133" s="734">
        <f>'BASE DE DATOS'!AI133</f>
        <v>9.3000000000000007</v>
      </c>
      <c r="AJ133" s="734">
        <f>'BASE DE DATOS'!AJ133</f>
        <v>6</v>
      </c>
      <c r="AK133" s="734">
        <f>'BASE DE DATOS'!AK133</f>
        <v>5.9</v>
      </c>
      <c r="AL133" s="734">
        <f>'BASE DE DATOS'!AL133</f>
        <v>8.1</v>
      </c>
      <c r="AM133" s="734">
        <f>'BASE DE DATOS'!AM133</f>
        <v>10.8</v>
      </c>
      <c r="AN133" s="734">
        <f>'BASE DE DATOS'!AN133</f>
        <v>14.7</v>
      </c>
      <c r="AO133" s="734">
        <f>'BASE DE DATOS'!AO133</f>
        <v>18.600000000000001</v>
      </c>
      <c r="AP133" s="734">
        <f>'BASE DE DATOS'!AP133</f>
        <v>21</v>
      </c>
      <c r="AR133" s="734" t="str">
        <f>'BASE DE DATOS'!AR133</f>
        <v>RN</v>
      </c>
      <c r="AS133" s="734" t="str">
        <f>'BASE DE DATOS'!AS133</f>
        <v>ALTO VALLE</v>
      </c>
      <c r="AT133" s="734">
        <f>'BASE DE DATOS'!AT133</f>
        <v>7.5</v>
      </c>
      <c r="AU133" s="734">
        <f>'BASE DE DATOS'!AU133</f>
        <v>6.5</v>
      </c>
      <c r="AV133" s="734">
        <f>'BASE DE DATOS'!AV133</f>
        <v>5</v>
      </c>
      <c r="AW133" s="734">
        <f>'BASE DE DATOS'!AW133</f>
        <v>3</v>
      </c>
      <c r="AX133" s="734">
        <f>'BASE DE DATOS'!AX133</f>
        <v>2</v>
      </c>
      <c r="AY133" s="734">
        <f>'BASE DE DATOS'!AY133</f>
        <v>1.5</v>
      </c>
      <c r="AZ133" s="734">
        <f>'BASE DE DATOS'!AZ133</f>
        <v>1.5</v>
      </c>
      <c r="BA133" s="734">
        <f>'BASE DE DATOS'!BA133</f>
        <v>2.5</v>
      </c>
      <c r="BB133" s="734">
        <f>'BASE DE DATOS'!BB133</f>
        <v>3.5</v>
      </c>
      <c r="BC133" s="734">
        <f>'BASE DE DATOS'!BC133</f>
        <v>5.5</v>
      </c>
      <c r="BD133" s="734">
        <f>'BASE DE DATOS'!BD133</f>
        <v>6.5</v>
      </c>
      <c r="BE133" s="734">
        <f>'BASE DE DATOS'!BE133</f>
        <v>7.5</v>
      </c>
      <c r="DO133" s="733" t="str">
        <f>'BASE DE DATOS'!BG133</f>
        <v>RN</v>
      </c>
      <c r="DP133" s="733" t="str">
        <f>'BASE DE DATOS'!BH133</f>
        <v>ALTO VALLE</v>
      </c>
      <c r="DQ133" s="733">
        <f>'BASE DE DATOS'!BI133</f>
        <v>18</v>
      </c>
      <c r="DR133" s="733">
        <f>'BASE DE DATOS'!BJ133</f>
        <v>21</v>
      </c>
      <c r="DS133" s="733">
        <f>'BASE DE DATOS'!BK133</f>
        <v>28</v>
      </c>
      <c r="DT133" s="733">
        <f>'BASE DE DATOS'!BL133</f>
        <v>22</v>
      </c>
      <c r="DU133" s="733">
        <f>'BASE DE DATOS'!BM133</f>
        <v>27</v>
      </c>
      <c r="DV133" s="733">
        <f>'BASE DE DATOS'!BN133</f>
        <v>19</v>
      </c>
      <c r="DW133" s="733">
        <f>'BASE DE DATOS'!BO133</f>
        <v>21</v>
      </c>
      <c r="DX133" s="733">
        <f>'BASE DE DATOS'!BP133</f>
        <v>17</v>
      </c>
      <c r="DY133" s="733">
        <f>'BASE DE DATOS'!BQ133</f>
        <v>16</v>
      </c>
      <c r="DZ133" s="733">
        <f>'BASE DE DATOS'!BR133</f>
        <v>23</v>
      </c>
      <c r="EA133" s="733">
        <f>'BASE DE DATOS'!BS133</f>
        <v>18</v>
      </c>
      <c r="EB133" s="733">
        <f>'BASE DE DATOS'!BT133</f>
        <v>20</v>
      </c>
      <c r="GM133" s="741"/>
      <c r="GN133" s="741"/>
      <c r="GO133" s="741"/>
      <c r="GP133" s="741"/>
      <c r="GQ133" s="741"/>
      <c r="GR133" s="741"/>
      <c r="GS133" s="727"/>
      <c r="GT133" s="727"/>
      <c r="GU133" s="727"/>
      <c r="GV133" s="727"/>
      <c r="GW133" s="727"/>
      <c r="GX133" s="727"/>
      <c r="GY133" s="727"/>
    </row>
    <row r="134" spans="2:207" ht="16">
      <c r="B134" s="734" t="str">
        <f>'BASE DE DATOS'!B134</f>
        <v>RN</v>
      </c>
      <c r="C134" s="734" t="str">
        <f>'BASE DE DATOS'!C134</f>
        <v>BARILOCHE</v>
      </c>
      <c r="D134" s="734">
        <f>'BASE DE DATOS'!D134</f>
        <v>41.15</v>
      </c>
      <c r="E134" s="734">
        <f>'BASE DE DATOS'!E134</f>
        <v>71.17</v>
      </c>
      <c r="F134" s="734">
        <f>'BASE DE DATOS'!F134</f>
        <v>836</v>
      </c>
      <c r="G134" s="734" t="str">
        <f>'BASE DE DATOS'!G134</f>
        <v>VI</v>
      </c>
      <c r="H134" s="734">
        <f>'BASE DE DATOS'!H134</f>
        <v>-6.4</v>
      </c>
      <c r="I134" s="734">
        <f>'BASE DE DATOS'!I134</f>
        <v>2.5</v>
      </c>
      <c r="J134" s="734">
        <f>'BASE DE DATOS'!J134</f>
        <v>13.2</v>
      </c>
      <c r="K134" s="734">
        <f>'BASE DE DATOS'!K134</f>
        <v>23.9</v>
      </c>
      <c r="L134" s="734">
        <f>'BASE DE DATOS'!L134</f>
        <v>62</v>
      </c>
      <c r="M134" s="734">
        <f>'BASE DE DATOS'!M134</f>
        <v>84</v>
      </c>
      <c r="N134" s="734">
        <f>'BASE DE DATOS'!N134</f>
        <v>62</v>
      </c>
      <c r="O134" s="734">
        <f>'BASE DE DATOS'!O134</f>
        <v>124</v>
      </c>
      <c r="P134" s="734">
        <f>'BASE DE DATOS'!P134</f>
        <v>30</v>
      </c>
      <c r="Q134" s="734">
        <f>'BASE DE DATOS'!Q134</f>
        <v>6</v>
      </c>
      <c r="R134" s="734">
        <f>'BASE DE DATOS'!R134</f>
        <v>12.5</v>
      </c>
      <c r="S134" s="734">
        <f>'BASE DE DATOS'!S134</f>
        <v>0.53</v>
      </c>
      <c r="T134" s="734">
        <f>'BASE DE DATOS'!T134</f>
        <v>86.3</v>
      </c>
      <c r="U134" s="734">
        <f>'BASE DE DATOS'!U134</f>
        <v>0</v>
      </c>
      <c r="V134" s="734">
        <f>'BASE DE DATOS'!V134</f>
        <v>300</v>
      </c>
      <c r="W134" s="734">
        <f>'BASE DE DATOS'!W134</f>
        <v>0</v>
      </c>
      <c r="X134" s="734">
        <f>'BASE DE DATOS'!X134</f>
        <v>2.1000000000000001E-2</v>
      </c>
      <c r="Y134" s="734">
        <f>'BASE DE DATOS'!Y134</f>
        <v>0</v>
      </c>
      <c r="Z134" s="734">
        <f>'BASE DE DATOS'!Z134</f>
        <v>95</v>
      </c>
      <c r="AA134" s="734">
        <f>'BASE DE DATOS'!AA134</f>
        <v>0.95000000000000007</v>
      </c>
      <c r="AB134" s="734">
        <f>'BASE DE DATOS'!AB134</f>
        <v>40</v>
      </c>
      <c r="AD134" s="734" t="str">
        <f>'BASE DE DATOS'!AD134</f>
        <v>BARILOCHE</v>
      </c>
      <c r="AE134" s="734">
        <f>'BASE DE DATOS'!AE134</f>
        <v>14.3</v>
      </c>
      <c r="AF134" s="734">
        <f>'BASE DE DATOS'!AF134</f>
        <v>14.1</v>
      </c>
      <c r="AG134" s="734">
        <f>'BASE DE DATOS'!AG134</f>
        <v>11.8</v>
      </c>
      <c r="AH134" s="734">
        <f>'BASE DE DATOS'!AH134</f>
        <v>8.3000000000000007</v>
      </c>
      <c r="AI134" s="734">
        <f>'BASE DE DATOS'!AI134</f>
        <v>5.7</v>
      </c>
      <c r="AJ134" s="734">
        <f>'BASE DE DATOS'!AJ134</f>
        <v>3.2</v>
      </c>
      <c r="AK134" s="734">
        <f>'BASE DE DATOS'!AK134</f>
        <v>2.5</v>
      </c>
      <c r="AL134" s="734">
        <f>'BASE DE DATOS'!AL134</f>
        <v>3.1</v>
      </c>
      <c r="AM134" s="734">
        <f>'BASE DE DATOS'!AM134</f>
        <v>4.9000000000000004</v>
      </c>
      <c r="AN134" s="734">
        <f>'BASE DE DATOS'!AN134</f>
        <v>7.7</v>
      </c>
      <c r="AO134" s="734">
        <f>'BASE DE DATOS'!AO134</f>
        <v>10.8</v>
      </c>
      <c r="AP134" s="734">
        <f>'BASE DE DATOS'!AP134</f>
        <v>13.4</v>
      </c>
      <c r="AR134" s="734" t="str">
        <f>'BASE DE DATOS'!AR134</f>
        <v>RN</v>
      </c>
      <c r="AS134" s="734" t="str">
        <f>'BASE DE DATOS'!AS134</f>
        <v>BARILOCHE</v>
      </c>
      <c r="AT134" s="734">
        <f>'BASE DE DATOS'!AT134</f>
        <v>7</v>
      </c>
      <c r="AU134" s="734">
        <f>'BASE DE DATOS'!AU134</f>
        <v>6</v>
      </c>
      <c r="AV134" s="734">
        <f>'BASE DE DATOS'!AV134</f>
        <v>4.5</v>
      </c>
      <c r="AW134" s="734">
        <f>'BASE DE DATOS'!AW134</f>
        <v>3</v>
      </c>
      <c r="AX134" s="734">
        <f>'BASE DE DATOS'!AX134</f>
        <v>2</v>
      </c>
      <c r="AY134" s="734">
        <f>'BASE DE DATOS'!AY134</f>
        <v>1</v>
      </c>
      <c r="AZ134" s="734">
        <f>'BASE DE DATOS'!AZ134</f>
        <v>1.5</v>
      </c>
      <c r="BA134" s="734">
        <f>'BASE DE DATOS'!BA134</f>
        <v>2.5</v>
      </c>
      <c r="BB134" s="734">
        <f>'BASE DE DATOS'!BB134</f>
        <v>4</v>
      </c>
      <c r="BC134" s="734">
        <f>'BASE DE DATOS'!BC134</f>
        <v>5.5</v>
      </c>
      <c r="BD134" s="734">
        <f>'BASE DE DATOS'!BD134</f>
        <v>6.5</v>
      </c>
      <c r="BE134" s="734">
        <f>'BASE DE DATOS'!BE134</f>
        <v>7.5</v>
      </c>
      <c r="DO134" s="733" t="str">
        <f>'BASE DE DATOS'!BG134</f>
        <v>RN</v>
      </c>
      <c r="DP134" s="733" t="str">
        <f>'BASE DE DATOS'!BH134</f>
        <v>BARILOCHE</v>
      </c>
      <c r="DQ134" s="733">
        <f>'BASE DE DATOS'!BI134</f>
        <v>18</v>
      </c>
      <c r="DR134" s="733">
        <f>'BASE DE DATOS'!BJ134</f>
        <v>21</v>
      </c>
      <c r="DS134" s="733">
        <f>'BASE DE DATOS'!BK134</f>
        <v>28</v>
      </c>
      <c r="DT134" s="733">
        <f>'BASE DE DATOS'!BL134</f>
        <v>22</v>
      </c>
      <c r="DU134" s="733">
        <f>'BASE DE DATOS'!BM134</f>
        <v>27</v>
      </c>
      <c r="DV134" s="733">
        <f>'BASE DE DATOS'!BN134</f>
        <v>19</v>
      </c>
      <c r="DW134" s="733">
        <f>'BASE DE DATOS'!BO134</f>
        <v>21</v>
      </c>
      <c r="DX134" s="733">
        <f>'BASE DE DATOS'!BP134</f>
        <v>17</v>
      </c>
      <c r="DY134" s="733">
        <f>'BASE DE DATOS'!BQ134</f>
        <v>16</v>
      </c>
      <c r="DZ134" s="733">
        <f>'BASE DE DATOS'!BR134</f>
        <v>23</v>
      </c>
      <c r="EA134" s="733">
        <f>'BASE DE DATOS'!BS134</f>
        <v>18</v>
      </c>
      <c r="EB134" s="733">
        <f>'BASE DE DATOS'!BT134</f>
        <v>20</v>
      </c>
      <c r="GM134" s="741"/>
      <c r="GN134" s="741"/>
      <c r="GO134" s="741"/>
      <c r="GP134" s="741"/>
      <c r="GQ134" s="741"/>
      <c r="GR134" s="741"/>
      <c r="GS134" s="727"/>
      <c r="GT134" s="727"/>
      <c r="GU134" s="741"/>
      <c r="GV134" s="741"/>
      <c r="GW134" s="741"/>
      <c r="GX134" s="741"/>
      <c r="GY134" s="741"/>
    </row>
    <row r="135" spans="2:207" ht="16">
      <c r="B135" s="734" t="str">
        <f>'BASE DE DATOS'!B135</f>
        <v>RN</v>
      </c>
      <c r="C135" s="734" t="str">
        <f>'BASE DE DATOS'!C135</f>
        <v>CATEDRAL 2000</v>
      </c>
      <c r="D135" s="734">
        <f>'BASE DE DATOS'!D135</f>
        <v>41.25</v>
      </c>
      <c r="E135" s="734">
        <f>'BASE DE DATOS'!E135</f>
        <v>71.62</v>
      </c>
      <c r="F135" s="734">
        <f>'BASE DE DATOS'!F135</f>
        <v>1955</v>
      </c>
      <c r="G135" s="734" t="str">
        <f>'BASE DE DATOS'!G135</f>
        <v>VI</v>
      </c>
      <c r="H135" s="734">
        <f>'BASE DE DATOS'!H135</f>
        <v>-9</v>
      </c>
      <c r="I135" s="734">
        <f>'BASE DE DATOS'!I135</f>
        <v>-2.7</v>
      </c>
      <c r="J135" s="734">
        <f>'BASE DE DATOS'!J135</f>
        <v>6.9</v>
      </c>
      <c r="K135" s="734">
        <f>'BASE DE DATOS'!K135</f>
        <v>15.4</v>
      </c>
      <c r="L135" s="734">
        <f>'BASE DE DATOS'!L135</f>
        <v>70</v>
      </c>
      <c r="M135" s="734">
        <f>'BASE DE DATOS'!M135</f>
        <v>86</v>
      </c>
      <c r="N135" s="734">
        <f>'BASE DE DATOS'!N135</f>
        <v>70</v>
      </c>
      <c r="O135" s="734">
        <f>'BASE DE DATOS'!O135</f>
        <v>231</v>
      </c>
      <c r="P135" s="734">
        <f>'BASE DE DATOS'!P135</f>
        <v>63</v>
      </c>
      <c r="Q135" s="734">
        <f>'BASE DE DATOS'!Q135</f>
        <v>6</v>
      </c>
      <c r="R135" s="734">
        <f>'BASE DE DATOS'!R135</f>
        <v>6.8</v>
      </c>
      <c r="S135" s="734">
        <f>'BASE DE DATOS'!S135</f>
        <v>0.53</v>
      </c>
      <c r="T135" s="734">
        <f>'BASE DE DATOS'!T135</f>
        <v>86.3</v>
      </c>
      <c r="U135" s="734">
        <f>'BASE DE DATOS'!U135</f>
        <v>0</v>
      </c>
      <c r="V135" s="734">
        <f>'BASE DE DATOS'!V135</f>
        <v>300</v>
      </c>
      <c r="W135" s="734">
        <f>'BASE DE DATOS'!W135</f>
        <v>0</v>
      </c>
      <c r="X135" s="734">
        <f>'BASE DE DATOS'!X135</f>
        <v>2.1000000000000001E-2</v>
      </c>
      <c r="Y135" s="734">
        <f>'BASE DE DATOS'!Y135</f>
        <v>0</v>
      </c>
      <c r="Z135" s="734">
        <f>'BASE DE DATOS'!Z135</f>
        <v>95</v>
      </c>
      <c r="AA135" s="734">
        <f>'BASE DE DATOS'!AA135</f>
        <v>0.95000000000000007</v>
      </c>
      <c r="AB135" s="734">
        <f>'BASE DE DATOS'!AB135</f>
        <v>40</v>
      </c>
      <c r="AD135" s="734" t="str">
        <f>'BASE DE DATOS'!AD135</f>
        <v>CATEDRAL 2000</v>
      </c>
      <c r="AE135" s="734">
        <f>'BASE DE DATOS'!AE135</f>
        <v>22.1</v>
      </c>
      <c r="AF135" s="734">
        <f>'BASE DE DATOS'!AF135</f>
        <v>21.2</v>
      </c>
      <c r="AG135" s="734">
        <f>'BASE DE DATOS'!AG135</f>
        <v>17.8</v>
      </c>
      <c r="AH135" s="734">
        <f>'BASE DE DATOS'!AH135</f>
        <v>13.3</v>
      </c>
      <c r="AI135" s="734">
        <f>'BASE DE DATOS'!AI135</f>
        <v>9.5</v>
      </c>
      <c r="AJ135" s="734">
        <f>'BASE DE DATOS'!AJ135</f>
        <v>6.2</v>
      </c>
      <c r="AK135" s="734">
        <f>'BASE DE DATOS'!AK135</f>
        <v>6.1</v>
      </c>
      <c r="AL135" s="734">
        <f>'BASE DE DATOS'!AL135</f>
        <v>8.1999999999999993</v>
      </c>
      <c r="AM135" s="734">
        <f>'BASE DE DATOS'!AM135</f>
        <v>11</v>
      </c>
      <c r="AN135" s="734">
        <f>'BASE DE DATOS'!AN135</f>
        <v>14.8</v>
      </c>
      <c r="AO135" s="734">
        <f>'BASE DE DATOS'!AO135</f>
        <v>18.7</v>
      </c>
      <c r="AP135" s="734">
        <f>'BASE DE DATOS'!AP135</f>
        <v>21.2</v>
      </c>
      <c r="AR135" s="734" t="str">
        <f>'BASE DE DATOS'!AR135</f>
        <v>RN</v>
      </c>
      <c r="AS135" s="734" t="str">
        <f>'BASE DE DATOS'!AS135</f>
        <v>CATEDRAL 2000</v>
      </c>
      <c r="AT135" s="734">
        <f>'BASE DE DATOS'!AT135</f>
        <v>7.5</v>
      </c>
      <c r="AU135" s="734">
        <f>'BASE DE DATOS'!AU135</f>
        <v>6.5</v>
      </c>
      <c r="AV135" s="734">
        <f>'BASE DE DATOS'!AV135</f>
        <v>5</v>
      </c>
      <c r="AW135" s="734">
        <f>'BASE DE DATOS'!AW135</f>
        <v>3</v>
      </c>
      <c r="AX135" s="734">
        <f>'BASE DE DATOS'!AX135</f>
        <v>2</v>
      </c>
      <c r="AY135" s="734">
        <f>'BASE DE DATOS'!AY135</f>
        <v>1.5</v>
      </c>
      <c r="AZ135" s="734">
        <f>'BASE DE DATOS'!AZ135</f>
        <v>1.5</v>
      </c>
      <c r="BA135" s="734">
        <f>'BASE DE DATOS'!BA135</f>
        <v>2.5</v>
      </c>
      <c r="BB135" s="734">
        <f>'BASE DE DATOS'!BB135</f>
        <v>4</v>
      </c>
      <c r="BC135" s="734">
        <f>'BASE DE DATOS'!BC135</f>
        <v>5.5</v>
      </c>
      <c r="BD135" s="734">
        <f>'BASE DE DATOS'!BD135</f>
        <v>6.5</v>
      </c>
      <c r="BE135" s="734">
        <f>'BASE DE DATOS'!BE135</f>
        <v>7.5</v>
      </c>
      <c r="DO135" s="733" t="str">
        <f>'BASE DE DATOS'!BG135</f>
        <v>RN</v>
      </c>
      <c r="DP135" s="733" t="str">
        <f>'BASE DE DATOS'!BH135</f>
        <v>CATEDRAL 2000</v>
      </c>
      <c r="DQ135" s="733">
        <f>'BASE DE DATOS'!BI135</f>
        <v>18</v>
      </c>
      <c r="DR135" s="733">
        <f>'BASE DE DATOS'!BJ135</f>
        <v>21</v>
      </c>
      <c r="DS135" s="733">
        <f>'BASE DE DATOS'!BK135</f>
        <v>28</v>
      </c>
      <c r="DT135" s="733">
        <f>'BASE DE DATOS'!BL135</f>
        <v>22</v>
      </c>
      <c r="DU135" s="733">
        <f>'BASE DE DATOS'!BM135</f>
        <v>27</v>
      </c>
      <c r="DV135" s="733">
        <f>'BASE DE DATOS'!BN135</f>
        <v>19</v>
      </c>
      <c r="DW135" s="733">
        <f>'BASE DE DATOS'!BO135</f>
        <v>21</v>
      </c>
      <c r="DX135" s="733">
        <f>'BASE DE DATOS'!BP135</f>
        <v>17</v>
      </c>
      <c r="DY135" s="733">
        <f>'BASE DE DATOS'!BQ135</f>
        <v>16</v>
      </c>
      <c r="DZ135" s="733">
        <f>'BASE DE DATOS'!BR135</f>
        <v>23</v>
      </c>
      <c r="EA135" s="733">
        <f>'BASE DE DATOS'!BS135</f>
        <v>18</v>
      </c>
      <c r="EB135" s="733">
        <f>'BASE DE DATOS'!BT135</f>
        <v>20</v>
      </c>
      <c r="GM135" s="741"/>
      <c r="GN135" s="741"/>
      <c r="GO135" s="741"/>
      <c r="GP135" s="741"/>
      <c r="GQ135" s="741"/>
      <c r="GR135" s="741"/>
      <c r="GS135" s="727"/>
      <c r="GT135" s="727"/>
      <c r="GU135" s="741"/>
      <c r="GV135" s="741"/>
      <c r="GW135" s="741"/>
      <c r="GX135" s="741"/>
      <c r="GY135" s="741"/>
    </row>
    <row r="136" spans="2:207" ht="16">
      <c r="B136" s="734" t="str">
        <f>'BASE DE DATOS'!B136</f>
        <v>RN</v>
      </c>
      <c r="C136" s="734" t="str">
        <f>'BASE DE DATOS'!C136</f>
        <v>CIPOLLETTI</v>
      </c>
      <c r="D136" s="734">
        <f>'BASE DE DATOS'!D136</f>
        <v>38.950000000000003</v>
      </c>
      <c r="E136" s="734">
        <f>'BASE DE DATOS'!E136</f>
        <v>67.98</v>
      </c>
      <c r="F136" s="734">
        <f>'BASE DE DATOS'!F136</f>
        <v>265</v>
      </c>
      <c r="G136" s="734" t="str">
        <f>'BASE DE DATOS'!G136</f>
        <v>IVB</v>
      </c>
      <c r="H136" s="734">
        <f>'BASE DE DATOS'!H136</f>
        <v>-4.0999999999999996</v>
      </c>
      <c r="I136" s="734">
        <f>'BASE DE DATOS'!I136</f>
        <v>7.1</v>
      </c>
      <c r="J136" s="734">
        <f>'BASE DE DATOS'!J136</f>
        <v>21.4</v>
      </c>
      <c r="K136" s="734">
        <f>'BASE DE DATOS'!K136</f>
        <v>33.4</v>
      </c>
      <c r="L136" s="734">
        <f>'BASE DE DATOS'!L136</f>
        <v>41</v>
      </c>
      <c r="M136" s="734">
        <f>'BASE DE DATOS'!M136</f>
        <v>62</v>
      </c>
      <c r="N136" s="734">
        <f>'BASE DE DATOS'!N136</f>
        <v>40</v>
      </c>
      <c r="O136" s="734">
        <f>'BASE DE DATOS'!O136</f>
        <v>10</v>
      </c>
      <c r="P136" s="734">
        <f>'BASE DE DATOS'!P136</f>
        <v>11</v>
      </c>
      <c r="Q136" s="734">
        <f>'BASE DE DATOS'!Q136</f>
        <v>4</v>
      </c>
      <c r="R136" s="734">
        <f>'BASE DE DATOS'!R136</f>
        <v>21.5</v>
      </c>
      <c r="S136" s="734">
        <f>'BASE DE DATOS'!S136</f>
        <v>0.55000000000000004</v>
      </c>
      <c r="T136" s="734">
        <f>'BASE DE DATOS'!T136</f>
        <v>86.3</v>
      </c>
      <c r="U136" s="734">
        <f>'BASE DE DATOS'!U136</f>
        <v>0</v>
      </c>
      <c r="V136" s="734">
        <f>'BASE DE DATOS'!V136</f>
        <v>300</v>
      </c>
      <c r="W136" s="734">
        <f>'BASE DE DATOS'!W136</f>
        <v>0</v>
      </c>
      <c r="X136" s="734">
        <f>'BASE DE DATOS'!X136</f>
        <v>2.1000000000000001E-2</v>
      </c>
      <c r="Y136" s="734">
        <f>'BASE DE DATOS'!Y136</f>
        <v>0</v>
      </c>
      <c r="Z136" s="734">
        <f>'BASE DE DATOS'!Z136</f>
        <v>130</v>
      </c>
      <c r="AA136" s="734">
        <f>'BASE DE DATOS'!AA136</f>
        <v>1.3</v>
      </c>
      <c r="AB136" s="734">
        <f>'BASE DE DATOS'!AB136</f>
        <v>40</v>
      </c>
      <c r="AD136" s="734" t="str">
        <f>'BASE DE DATOS'!AD136</f>
        <v>CIPOLLETTI</v>
      </c>
      <c r="AE136" s="734">
        <f>'BASE DE DATOS'!AE136</f>
        <v>21.8</v>
      </c>
      <c r="AF136" s="734">
        <f>'BASE DE DATOS'!AF136</f>
        <v>20.8</v>
      </c>
      <c r="AG136" s="734">
        <f>'BASE DE DATOS'!AG136</f>
        <v>17.5</v>
      </c>
      <c r="AH136" s="734">
        <f>'BASE DE DATOS'!AH136</f>
        <v>12.9</v>
      </c>
      <c r="AI136" s="734">
        <f>'BASE DE DATOS'!AI136</f>
        <v>9.1999999999999993</v>
      </c>
      <c r="AJ136" s="734">
        <f>'BASE DE DATOS'!AJ136</f>
        <v>6</v>
      </c>
      <c r="AK136" s="734">
        <f>'BASE DE DATOS'!AK136</f>
        <v>6</v>
      </c>
      <c r="AL136" s="734">
        <f>'BASE DE DATOS'!AL136</f>
        <v>7.9</v>
      </c>
      <c r="AM136" s="734">
        <f>'BASE DE DATOS'!AM136</f>
        <v>10.9</v>
      </c>
      <c r="AN136" s="734">
        <f>'BASE DE DATOS'!AN136</f>
        <v>14.6</v>
      </c>
      <c r="AO136" s="734">
        <f>'BASE DE DATOS'!AO136</f>
        <v>18.7</v>
      </c>
      <c r="AP136" s="734">
        <f>'BASE DE DATOS'!AP136</f>
        <v>21.1</v>
      </c>
      <c r="AR136" s="734" t="str">
        <f>'BASE DE DATOS'!AR136</f>
        <v>RN</v>
      </c>
      <c r="AS136" s="734" t="str">
        <f>'BASE DE DATOS'!AS136</f>
        <v>CIPOLLETTI</v>
      </c>
      <c r="AT136" s="734">
        <f>'BASE DE DATOS'!AT136</f>
        <v>7.5</v>
      </c>
      <c r="AU136" s="734">
        <f>'BASE DE DATOS'!AU136</f>
        <v>6.5</v>
      </c>
      <c r="AV136" s="734">
        <f>'BASE DE DATOS'!AV136</f>
        <v>5</v>
      </c>
      <c r="AW136" s="734">
        <f>'BASE DE DATOS'!AW136</f>
        <v>3</v>
      </c>
      <c r="AX136" s="734">
        <f>'BASE DE DATOS'!AX136</f>
        <v>2</v>
      </c>
      <c r="AY136" s="734">
        <f>'BASE DE DATOS'!AY136</f>
        <v>1.5</v>
      </c>
      <c r="AZ136" s="734">
        <f>'BASE DE DATOS'!AZ136</f>
        <v>1.5</v>
      </c>
      <c r="BA136" s="734">
        <f>'BASE DE DATOS'!BA136</f>
        <v>2.5</v>
      </c>
      <c r="BB136" s="734">
        <f>'BASE DE DATOS'!BB136</f>
        <v>3.5</v>
      </c>
      <c r="BC136" s="734">
        <f>'BASE DE DATOS'!BC136</f>
        <v>5.5</v>
      </c>
      <c r="BD136" s="734">
        <f>'BASE DE DATOS'!BD136</f>
        <v>6.5</v>
      </c>
      <c r="BE136" s="734">
        <f>'BASE DE DATOS'!BE136</f>
        <v>7</v>
      </c>
      <c r="DO136" s="733" t="str">
        <f>'BASE DE DATOS'!BG136</f>
        <v>RN</v>
      </c>
      <c r="DP136" s="733" t="str">
        <f>'BASE DE DATOS'!BH136</f>
        <v>CIPOLLETTI</v>
      </c>
      <c r="DQ136" s="733">
        <f>'BASE DE DATOS'!BI136</f>
        <v>18</v>
      </c>
      <c r="DR136" s="733">
        <f>'BASE DE DATOS'!BJ136</f>
        <v>21</v>
      </c>
      <c r="DS136" s="733">
        <f>'BASE DE DATOS'!BK136</f>
        <v>28</v>
      </c>
      <c r="DT136" s="733">
        <f>'BASE DE DATOS'!BL136</f>
        <v>22</v>
      </c>
      <c r="DU136" s="733">
        <f>'BASE DE DATOS'!BM136</f>
        <v>27</v>
      </c>
      <c r="DV136" s="733">
        <f>'BASE DE DATOS'!BN136</f>
        <v>19</v>
      </c>
      <c r="DW136" s="733">
        <f>'BASE DE DATOS'!BO136</f>
        <v>21</v>
      </c>
      <c r="DX136" s="733">
        <f>'BASE DE DATOS'!BP136</f>
        <v>17</v>
      </c>
      <c r="DY136" s="733">
        <f>'BASE DE DATOS'!BQ136</f>
        <v>16</v>
      </c>
      <c r="DZ136" s="733">
        <f>'BASE DE DATOS'!BR136</f>
        <v>23</v>
      </c>
      <c r="EA136" s="733">
        <f>'BASE DE DATOS'!BS136</f>
        <v>18</v>
      </c>
      <c r="EB136" s="733">
        <f>'BASE DE DATOS'!BT136</f>
        <v>20</v>
      </c>
      <c r="GM136" s="741"/>
      <c r="GN136" s="741"/>
      <c r="GO136" s="741"/>
      <c r="GP136" s="741"/>
      <c r="GQ136" s="741"/>
      <c r="GR136" s="741"/>
      <c r="GS136" s="741"/>
      <c r="GT136" s="741"/>
      <c r="GU136" s="741"/>
      <c r="GV136" s="741"/>
      <c r="GW136" s="741"/>
      <c r="GX136" s="741"/>
      <c r="GY136" s="741"/>
    </row>
    <row r="137" spans="2:207" ht="16">
      <c r="B137" s="734" t="str">
        <f>'BASE DE DATOS'!B137</f>
        <v>RN</v>
      </c>
      <c r="C137" s="734" t="str">
        <f>'BASE DE DATOS'!C137</f>
        <v>CHOELE CHOEL</v>
      </c>
      <c r="D137" s="734">
        <f>'BASE DE DATOS'!D137</f>
        <v>39.28</v>
      </c>
      <c r="E137" s="734">
        <f>'BASE DE DATOS'!E137</f>
        <v>65.650000000000006</v>
      </c>
      <c r="F137" s="734">
        <f>'BASE DE DATOS'!F137</f>
        <v>131</v>
      </c>
      <c r="G137" s="734" t="str">
        <f>'BASE DE DATOS'!G137</f>
        <v>IVC</v>
      </c>
      <c r="H137" s="734">
        <f>'BASE DE DATOS'!H137</f>
        <v>-2.8</v>
      </c>
      <c r="I137" s="734">
        <f>'BASE DE DATOS'!I137</f>
        <v>8.4</v>
      </c>
      <c r="J137" s="734">
        <f>'BASE DE DATOS'!J137</f>
        <v>23</v>
      </c>
      <c r="K137" s="734">
        <f>'BASE DE DATOS'!K137</f>
        <v>34.700000000000003</v>
      </c>
      <c r="L137" s="734">
        <f>'BASE DE DATOS'!L137</f>
        <v>40</v>
      </c>
      <c r="M137" s="734">
        <f>'BASE DE DATOS'!M137</f>
        <v>61</v>
      </c>
      <c r="N137" s="734">
        <f>'BASE DE DATOS'!N137</f>
        <v>41</v>
      </c>
      <c r="O137" s="734">
        <f>'BASE DE DATOS'!O137</f>
        <v>15</v>
      </c>
      <c r="P137" s="734">
        <f>'BASE DE DATOS'!P137</f>
        <v>22</v>
      </c>
      <c r="Q137" s="734">
        <f>'BASE DE DATOS'!Q137</f>
        <v>4</v>
      </c>
      <c r="R137" s="734">
        <f>'BASE DE DATOS'!R137</f>
        <v>22.7</v>
      </c>
      <c r="S137" s="734">
        <f>'BASE DE DATOS'!S137</f>
        <v>0.55000000000000004</v>
      </c>
      <c r="T137" s="734">
        <f>'BASE DE DATOS'!T137</f>
        <v>86.3</v>
      </c>
      <c r="U137" s="734">
        <f>'BASE DE DATOS'!U137</f>
        <v>0</v>
      </c>
      <c r="V137" s="734">
        <f>'BASE DE DATOS'!V137</f>
        <v>300</v>
      </c>
      <c r="W137" s="734">
        <f>'BASE DE DATOS'!W137</f>
        <v>0</v>
      </c>
      <c r="X137" s="734">
        <f>'BASE DE DATOS'!X137</f>
        <v>2.1000000000000001E-2</v>
      </c>
      <c r="Y137" s="734">
        <f>'BASE DE DATOS'!Y137</f>
        <v>0</v>
      </c>
      <c r="Z137" s="734">
        <f>'BASE DE DATOS'!Z137</f>
        <v>130</v>
      </c>
      <c r="AA137" s="734">
        <f>'BASE DE DATOS'!AA137</f>
        <v>1.3</v>
      </c>
      <c r="AB137" s="734">
        <f>'BASE DE DATOS'!AB137</f>
        <v>40</v>
      </c>
      <c r="AD137" s="734" t="str">
        <f>'BASE DE DATOS'!AD137</f>
        <v>CHOELE CHOEL</v>
      </c>
      <c r="AE137" s="734">
        <f>'BASE DE DATOS'!AE137</f>
        <v>23.9</v>
      </c>
      <c r="AF137" s="734">
        <f>'BASE DE DATOS'!AF137</f>
        <v>22.7</v>
      </c>
      <c r="AG137" s="734">
        <f>'BASE DE DATOS'!AG137</f>
        <v>20</v>
      </c>
      <c r="AH137" s="734">
        <f>'BASE DE DATOS'!AH137</f>
        <v>14.5</v>
      </c>
      <c r="AI137" s="734">
        <f>'BASE DE DATOS'!AI137</f>
        <v>11.1</v>
      </c>
      <c r="AJ137" s="734">
        <f>'BASE DE DATOS'!AJ137</f>
        <v>6.9</v>
      </c>
      <c r="AK137" s="734">
        <f>'BASE DE DATOS'!AK137</f>
        <v>7.6</v>
      </c>
      <c r="AL137" s="734">
        <f>'BASE DE DATOS'!AL137</f>
        <v>9.6999999999999993</v>
      </c>
      <c r="AM137" s="734">
        <f>'BASE DE DATOS'!AM137</f>
        <v>11.7</v>
      </c>
      <c r="AN137" s="734">
        <f>'BASE DE DATOS'!AN137</f>
        <v>15.7</v>
      </c>
      <c r="AO137" s="734">
        <f>'BASE DE DATOS'!AO137</f>
        <v>19.7</v>
      </c>
      <c r="AP137" s="734">
        <f>'BASE DE DATOS'!AP137</f>
        <v>21.9</v>
      </c>
      <c r="AR137" s="734" t="str">
        <f>'BASE DE DATOS'!AR137</f>
        <v>RN</v>
      </c>
      <c r="AS137" s="734" t="str">
        <f>'BASE DE DATOS'!AS137</f>
        <v>CHOELE CHOEL</v>
      </c>
      <c r="AT137" s="734">
        <f>'BASE DE DATOS'!AT137</f>
        <v>7</v>
      </c>
      <c r="AU137" s="734">
        <f>'BASE DE DATOS'!AU137</f>
        <v>6</v>
      </c>
      <c r="AV137" s="734">
        <f>'BASE DE DATOS'!AV137</f>
        <v>5</v>
      </c>
      <c r="AW137" s="734">
        <f>'BASE DE DATOS'!AW137</f>
        <v>3</v>
      </c>
      <c r="AX137" s="734">
        <f>'BASE DE DATOS'!AX137</f>
        <v>2</v>
      </c>
      <c r="AY137" s="734">
        <f>'BASE DE DATOS'!AY137</f>
        <v>1.5</v>
      </c>
      <c r="AZ137" s="734">
        <f>'BASE DE DATOS'!AZ137</f>
        <v>1.5</v>
      </c>
      <c r="BA137" s="734">
        <f>'BASE DE DATOS'!BA137</f>
        <v>2.5</v>
      </c>
      <c r="BB137" s="734">
        <f>'BASE DE DATOS'!BB137</f>
        <v>3.5</v>
      </c>
      <c r="BC137" s="734">
        <f>'BASE DE DATOS'!BC137</f>
        <v>5</v>
      </c>
      <c r="BD137" s="734">
        <f>'BASE DE DATOS'!BD137</f>
        <v>6</v>
      </c>
      <c r="BE137" s="734">
        <f>'BASE DE DATOS'!BE137</f>
        <v>7</v>
      </c>
      <c r="DO137" s="733" t="str">
        <f>'BASE DE DATOS'!BG137</f>
        <v>RN</v>
      </c>
      <c r="DP137" s="733" t="str">
        <f>'BASE DE DATOS'!BH137</f>
        <v>CHOELE CHOEL</v>
      </c>
      <c r="DQ137" s="733">
        <f>'BASE DE DATOS'!BI137</f>
        <v>18</v>
      </c>
      <c r="DR137" s="733">
        <f>'BASE DE DATOS'!BJ137</f>
        <v>21</v>
      </c>
      <c r="DS137" s="733">
        <f>'BASE DE DATOS'!BK137</f>
        <v>28</v>
      </c>
      <c r="DT137" s="733">
        <f>'BASE DE DATOS'!BL137</f>
        <v>22</v>
      </c>
      <c r="DU137" s="733">
        <f>'BASE DE DATOS'!BM137</f>
        <v>27</v>
      </c>
      <c r="DV137" s="733">
        <f>'BASE DE DATOS'!BN137</f>
        <v>19</v>
      </c>
      <c r="DW137" s="733">
        <f>'BASE DE DATOS'!BO137</f>
        <v>21</v>
      </c>
      <c r="DX137" s="733">
        <f>'BASE DE DATOS'!BP137</f>
        <v>17</v>
      </c>
      <c r="DY137" s="733">
        <f>'BASE DE DATOS'!BQ137</f>
        <v>16</v>
      </c>
      <c r="DZ137" s="733">
        <f>'BASE DE DATOS'!BR137</f>
        <v>23</v>
      </c>
      <c r="EA137" s="733">
        <f>'BASE DE DATOS'!BS137</f>
        <v>18</v>
      </c>
      <c r="EB137" s="733">
        <f>'BASE DE DATOS'!BT137</f>
        <v>20</v>
      </c>
      <c r="GM137" s="741"/>
      <c r="GN137" s="741"/>
      <c r="GO137" s="741"/>
      <c r="GP137" s="741"/>
      <c r="GQ137" s="741"/>
      <c r="GR137" s="741"/>
      <c r="GS137" s="741"/>
      <c r="GT137" s="741"/>
      <c r="GU137" s="741"/>
      <c r="GV137" s="741"/>
      <c r="GW137" s="741"/>
      <c r="GX137" s="741"/>
      <c r="GY137" s="741"/>
    </row>
    <row r="138" spans="2:207" ht="16">
      <c r="B138" s="734" t="str">
        <f>'BASE DE DATOS'!B138</f>
        <v>RN</v>
      </c>
      <c r="C138" s="734" t="str">
        <f>'BASE DE DATOS'!C138</f>
        <v>EL BOLSÓN</v>
      </c>
      <c r="D138" s="734">
        <f>'BASE DE DATOS'!D138</f>
        <v>41.93</v>
      </c>
      <c r="E138" s="734">
        <f>'BASE DE DATOS'!E138</f>
        <v>71.55</v>
      </c>
      <c r="F138" s="734">
        <f>'BASE DE DATOS'!F138</f>
        <v>310</v>
      </c>
      <c r="G138" s="734" t="str">
        <f>'BASE DE DATOS'!G138</f>
        <v>V</v>
      </c>
      <c r="H138" s="734">
        <f>'BASE DE DATOS'!H138</f>
        <v>-4.3</v>
      </c>
      <c r="I138" s="734">
        <f>'BASE DE DATOS'!I138</f>
        <v>3.9</v>
      </c>
      <c r="J138" s="734">
        <f>'BASE DE DATOS'!J138</f>
        <v>15</v>
      </c>
      <c r="K138" s="734">
        <f>'BASE DE DATOS'!K138</f>
        <v>26.6</v>
      </c>
      <c r="L138" s="734">
        <f>'BASE DE DATOS'!L138</f>
        <v>66</v>
      </c>
      <c r="M138" s="734">
        <f>'BASE DE DATOS'!M138</f>
        <v>84</v>
      </c>
      <c r="N138" s="734">
        <f>'BASE DE DATOS'!N138</f>
        <v>66</v>
      </c>
      <c r="O138" s="734">
        <f>'BASE DE DATOS'!O138</f>
        <v>138</v>
      </c>
      <c r="P138" s="734">
        <f>'BASE DE DATOS'!P138</f>
        <v>37</v>
      </c>
      <c r="Q138" s="734">
        <f>'BASE DE DATOS'!Q138</f>
        <v>5</v>
      </c>
      <c r="R138" s="734">
        <f>'BASE DE DATOS'!R138</f>
        <v>14.3</v>
      </c>
      <c r="S138" s="734">
        <f>'BASE DE DATOS'!S138</f>
        <v>0.53</v>
      </c>
      <c r="T138" s="734">
        <f>'BASE DE DATOS'!T138</f>
        <v>86.3</v>
      </c>
      <c r="U138" s="734">
        <f>'BASE DE DATOS'!U138</f>
        <v>0</v>
      </c>
      <c r="V138" s="734">
        <f>'BASE DE DATOS'!V138</f>
        <v>300</v>
      </c>
      <c r="W138" s="734">
        <f>'BASE DE DATOS'!W138</f>
        <v>0</v>
      </c>
      <c r="X138" s="734">
        <f>'BASE DE DATOS'!X138</f>
        <v>2.1000000000000001E-2</v>
      </c>
      <c r="Y138" s="734">
        <f>'BASE DE DATOS'!Y138</f>
        <v>0</v>
      </c>
      <c r="Z138" s="734">
        <f>'BASE DE DATOS'!Z138</f>
        <v>95</v>
      </c>
      <c r="AA138" s="734">
        <f>'BASE DE DATOS'!AA138</f>
        <v>0.95000000000000007</v>
      </c>
      <c r="AB138" s="734">
        <f>'BASE DE DATOS'!AB138</f>
        <v>40</v>
      </c>
      <c r="AD138" s="734" t="str">
        <f>'BASE DE DATOS'!AD138</f>
        <v>EL BOLSÓN</v>
      </c>
      <c r="AE138" s="734">
        <f>'BASE DE DATOS'!AE138</f>
        <v>16.3</v>
      </c>
      <c r="AF138" s="734">
        <f>'BASE DE DATOS'!AF138</f>
        <v>15.7</v>
      </c>
      <c r="AG138" s="734">
        <f>'BASE DE DATOS'!AG138</f>
        <v>13.3</v>
      </c>
      <c r="AH138" s="734">
        <f>'BASE DE DATOS'!AH138</f>
        <v>9.6999999999999993</v>
      </c>
      <c r="AI138" s="734">
        <f>'BASE DE DATOS'!AI138</f>
        <v>7</v>
      </c>
      <c r="AJ138" s="734">
        <f>'BASE DE DATOS'!AJ138</f>
        <v>4.5</v>
      </c>
      <c r="AK138" s="734">
        <f>'BASE DE DATOS'!AK138</f>
        <v>3.9</v>
      </c>
      <c r="AL138" s="734">
        <f>'BASE DE DATOS'!AL138</f>
        <v>5</v>
      </c>
      <c r="AM138" s="734">
        <f>'BASE DE DATOS'!AM138</f>
        <v>7.4</v>
      </c>
      <c r="AN138" s="734">
        <f>'BASE DE DATOS'!AN138</f>
        <v>10.3</v>
      </c>
      <c r="AO138" s="734">
        <f>'BASE DE DATOS'!AO138</f>
        <v>13.2</v>
      </c>
      <c r="AP138" s="734">
        <f>'BASE DE DATOS'!AP138</f>
        <v>15.2</v>
      </c>
      <c r="AR138" s="734" t="str">
        <f>'BASE DE DATOS'!AR138</f>
        <v>RN</v>
      </c>
      <c r="AS138" s="734" t="str">
        <f>'BASE DE DATOS'!AS138</f>
        <v>EL BOLSÓN</v>
      </c>
      <c r="AT138" s="734">
        <f>'BASE DE DATOS'!AT138</f>
        <v>7</v>
      </c>
      <c r="AU138" s="734">
        <f>'BASE DE DATOS'!AU138</f>
        <v>6</v>
      </c>
      <c r="AV138" s="734">
        <f>'BASE DE DATOS'!AV138</f>
        <v>4.5</v>
      </c>
      <c r="AW138" s="734">
        <f>'BASE DE DATOS'!AW138</f>
        <v>3</v>
      </c>
      <c r="AX138" s="734">
        <f>'BASE DE DATOS'!AX138</f>
        <v>2</v>
      </c>
      <c r="AY138" s="734">
        <f>'BASE DE DATOS'!AY138</f>
        <v>1</v>
      </c>
      <c r="AZ138" s="734">
        <f>'BASE DE DATOS'!AZ138</f>
        <v>1.5</v>
      </c>
      <c r="BA138" s="734">
        <f>'BASE DE DATOS'!BA138</f>
        <v>2.5</v>
      </c>
      <c r="BB138" s="734">
        <f>'BASE DE DATOS'!BB138</f>
        <v>3.5</v>
      </c>
      <c r="BC138" s="734">
        <f>'BASE DE DATOS'!BC138</f>
        <v>5</v>
      </c>
      <c r="BD138" s="734">
        <f>'BASE DE DATOS'!BD138</f>
        <v>6.5</v>
      </c>
      <c r="BE138" s="734">
        <f>'BASE DE DATOS'!BE138</f>
        <v>7</v>
      </c>
      <c r="DO138" s="733" t="str">
        <f>'BASE DE DATOS'!BG138</f>
        <v>RN</v>
      </c>
      <c r="DP138" s="733" t="str">
        <f>'BASE DE DATOS'!BH138</f>
        <v>EL BOLSÓN</v>
      </c>
      <c r="DQ138" s="733">
        <f>'BASE DE DATOS'!BI138</f>
        <v>18</v>
      </c>
      <c r="DR138" s="733">
        <f>'BASE DE DATOS'!BJ138</f>
        <v>21</v>
      </c>
      <c r="DS138" s="733">
        <f>'BASE DE DATOS'!BK138</f>
        <v>28</v>
      </c>
      <c r="DT138" s="733">
        <f>'BASE DE DATOS'!BL138</f>
        <v>22</v>
      </c>
      <c r="DU138" s="733">
        <f>'BASE DE DATOS'!BM138</f>
        <v>27</v>
      </c>
      <c r="DV138" s="733">
        <f>'BASE DE DATOS'!BN138</f>
        <v>19</v>
      </c>
      <c r="DW138" s="733">
        <f>'BASE DE DATOS'!BO138</f>
        <v>21</v>
      </c>
      <c r="DX138" s="733">
        <f>'BASE DE DATOS'!BP138</f>
        <v>17</v>
      </c>
      <c r="DY138" s="733">
        <f>'BASE DE DATOS'!BQ138</f>
        <v>16</v>
      </c>
      <c r="DZ138" s="733">
        <f>'BASE DE DATOS'!BR138</f>
        <v>23</v>
      </c>
      <c r="EA138" s="733">
        <f>'BASE DE DATOS'!BS138</f>
        <v>18</v>
      </c>
      <c r="EB138" s="733">
        <f>'BASE DE DATOS'!BT138</f>
        <v>20</v>
      </c>
      <c r="GM138" s="741"/>
      <c r="GN138" s="741"/>
      <c r="GO138" s="741"/>
      <c r="GP138" s="741"/>
      <c r="GQ138" s="741"/>
      <c r="GR138" s="741"/>
      <c r="GS138" s="741"/>
      <c r="GT138" s="741"/>
      <c r="GU138" s="741"/>
      <c r="GV138" s="741"/>
      <c r="GW138" s="741"/>
      <c r="GX138" s="741"/>
      <c r="GY138" s="741"/>
    </row>
    <row r="139" spans="2:207" ht="16">
      <c r="B139" s="734" t="str">
        <f>'BASE DE DATOS'!B139</f>
        <v>RN</v>
      </c>
      <c r="C139" s="734" t="str">
        <f>'BASE DE DATOS'!C139</f>
        <v>MAQUINCHAO</v>
      </c>
      <c r="D139" s="734">
        <f>'BASE DE DATOS'!D139</f>
        <v>41.25</v>
      </c>
      <c r="E139" s="734">
        <f>'BASE DE DATOS'!E139</f>
        <v>68.73</v>
      </c>
      <c r="F139" s="734">
        <f>'BASE DE DATOS'!F139</f>
        <v>888</v>
      </c>
      <c r="G139" s="734" t="str">
        <f>'BASE DE DATOS'!G139</f>
        <v>V</v>
      </c>
      <c r="H139" s="734">
        <f>'BASE DE DATOS'!H139</f>
        <v>-10.7</v>
      </c>
      <c r="I139" s="734">
        <f>'BASE DE DATOS'!I139</f>
        <v>2.5</v>
      </c>
      <c r="J139" s="734">
        <f>'BASE DE DATOS'!J139</f>
        <v>16.600000000000001</v>
      </c>
      <c r="K139" s="734">
        <f>'BASE DE DATOS'!K139</f>
        <v>29.2</v>
      </c>
      <c r="L139" s="734">
        <f>'BASE DE DATOS'!L139</f>
        <v>42</v>
      </c>
      <c r="M139" s="734">
        <f>'BASE DE DATOS'!M139</f>
        <v>70</v>
      </c>
      <c r="N139" s="734">
        <f>'BASE DE DATOS'!N139</f>
        <v>42</v>
      </c>
      <c r="O139" s="734">
        <f>'BASE DE DATOS'!O139</f>
        <v>14</v>
      </c>
      <c r="P139" s="734">
        <f>'BASE DE DATOS'!P139</f>
        <v>12</v>
      </c>
      <c r="Q139" s="734">
        <f>'BASE DE DATOS'!Q139</f>
        <v>5</v>
      </c>
      <c r="R139" s="734">
        <f>'BASE DE DATOS'!R139</f>
        <v>15.6</v>
      </c>
      <c r="S139" s="734">
        <f>'BASE DE DATOS'!S139</f>
        <v>0.53</v>
      </c>
      <c r="T139" s="734">
        <f>'BASE DE DATOS'!T139</f>
        <v>86.3</v>
      </c>
      <c r="U139" s="734">
        <f>'BASE DE DATOS'!U139</f>
        <v>0</v>
      </c>
      <c r="V139" s="734">
        <f>'BASE DE DATOS'!V139</f>
        <v>300</v>
      </c>
      <c r="W139" s="734">
        <f>'BASE DE DATOS'!W139</f>
        <v>0</v>
      </c>
      <c r="X139" s="734">
        <f>'BASE DE DATOS'!X139</f>
        <v>2.1000000000000001E-2</v>
      </c>
      <c r="Y139" s="734">
        <f>'BASE DE DATOS'!Y139</f>
        <v>0</v>
      </c>
      <c r="Z139" s="734">
        <f>'BASE DE DATOS'!Z139</f>
        <v>105</v>
      </c>
      <c r="AA139" s="734">
        <f>'BASE DE DATOS'!AA139</f>
        <v>1.05</v>
      </c>
      <c r="AB139" s="734">
        <f>'BASE DE DATOS'!AB139</f>
        <v>40</v>
      </c>
      <c r="AD139" s="734" t="str">
        <f>'BASE DE DATOS'!AD139</f>
        <v>MAQUINCHAO</v>
      </c>
      <c r="AE139" s="734">
        <f>'BASE DE DATOS'!AE139</f>
        <v>17.3</v>
      </c>
      <c r="AF139" s="734">
        <f>'BASE DE DATOS'!AF139</f>
        <v>16.899999999999999</v>
      </c>
      <c r="AG139" s="734">
        <f>'BASE DE DATOS'!AG139</f>
        <v>13.9</v>
      </c>
      <c r="AH139" s="734">
        <f>'BASE DE DATOS'!AH139</f>
        <v>9.1999999999999993</v>
      </c>
      <c r="AI139" s="734">
        <f>'BASE DE DATOS'!AI139</f>
        <v>5.8</v>
      </c>
      <c r="AJ139" s="734">
        <f>'BASE DE DATOS'!AJ139</f>
        <v>1.6</v>
      </c>
      <c r="AK139" s="734">
        <f>'BASE DE DATOS'!AK139</f>
        <v>1.7</v>
      </c>
      <c r="AL139" s="734">
        <f>'BASE DE DATOS'!AL139</f>
        <v>3.7</v>
      </c>
      <c r="AM139" s="734">
        <f>'BASE DE DATOS'!AM139</f>
        <v>5.9</v>
      </c>
      <c r="AN139" s="734">
        <f>'BASE DE DATOS'!AN139</f>
        <v>9.6</v>
      </c>
      <c r="AO139" s="734">
        <f>'BASE DE DATOS'!AO139</f>
        <v>13.8</v>
      </c>
      <c r="AP139" s="734">
        <f>'BASE DE DATOS'!AP139</f>
        <v>16.2</v>
      </c>
      <c r="AR139" s="734" t="str">
        <f>'BASE DE DATOS'!AR139</f>
        <v>RN</v>
      </c>
      <c r="AS139" s="734" t="str">
        <f>'BASE DE DATOS'!AS139</f>
        <v>MAQUINCHAO</v>
      </c>
      <c r="AT139" s="734">
        <f>'BASE DE DATOS'!AT139</f>
        <v>7.5</v>
      </c>
      <c r="AU139" s="734">
        <f>'BASE DE DATOS'!AU139</f>
        <v>6.5</v>
      </c>
      <c r="AV139" s="734">
        <f>'BASE DE DATOS'!AV139</f>
        <v>4.5</v>
      </c>
      <c r="AW139" s="734">
        <f>'BASE DE DATOS'!AW139</f>
        <v>3</v>
      </c>
      <c r="AX139" s="734">
        <f>'BASE DE DATOS'!AX139</f>
        <v>2</v>
      </c>
      <c r="AY139" s="734">
        <f>'BASE DE DATOS'!AY139</f>
        <v>1.5</v>
      </c>
      <c r="AZ139" s="734">
        <f>'BASE DE DATOS'!AZ139</f>
        <v>1.5</v>
      </c>
      <c r="BA139" s="734">
        <f>'BASE DE DATOS'!BA139</f>
        <v>2.5</v>
      </c>
      <c r="BB139" s="734">
        <f>'BASE DE DATOS'!BB139</f>
        <v>3.5</v>
      </c>
      <c r="BC139" s="734">
        <f>'BASE DE DATOS'!BC139</f>
        <v>5.5</v>
      </c>
      <c r="BD139" s="734">
        <f>'BASE DE DATOS'!BD139</f>
        <v>7</v>
      </c>
      <c r="BE139" s="734">
        <f>'BASE DE DATOS'!BE139</f>
        <v>7.5</v>
      </c>
      <c r="DO139" s="733" t="str">
        <f>'BASE DE DATOS'!BG139</f>
        <v>RN</v>
      </c>
      <c r="DP139" s="733" t="str">
        <f>'BASE DE DATOS'!BH139</f>
        <v>MAQUINCHAO</v>
      </c>
      <c r="DQ139" s="733">
        <f>'BASE DE DATOS'!BI139</f>
        <v>18</v>
      </c>
      <c r="DR139" s="733">
        <f>'BASE DE DATOS'!BJ139</f>
        <v>21</v>
      </c>
      <c r="DS139" s="733">
        <f>'BASE DE DATOS'!BK139</f>
        <v>28</v>
      </c>
      <c r="DT139" s="733">
        <f>'BASE DE DATOS'!BL139</f>
        <v>22</v>
      </c>
      <c r="DU139" s="733">
        <f>'BASE DE DATOS'!BM139</f>
        <v>27</v>
      </c>
      <c r="DV139" s="733">
        <f>'BASE DE DATOS'!BN139</f>
        <v>19</v>
      </c>
      <c r="DW139" s="733">
        <f>'BASE DE DATOS'!BO139</f>
        <v>21</v>
      </c>
      <c r="DX139" s="733">
        <f>'BASE DE DATOS'!BP139</f>
        <v>17</v>
      </c>
      <c r="DY139" s="733">
        <f>'BASE DE DATOS'!BQ139</f>
        <v>16</v>
      </c>
      <c r="DZ139" s="733">
        <f>'BASE DE DATOS'!BR139</f>
        <v>23</v>
      </c>
      <c r="EA139" s="733">
        <f>'BASE DE DATOS'!BS139</f>
        <v>18</v>
      </c>
      <c r="EB139" s="733">
        <f>'BASE DE DATOS'!BT139</f>
        <v>20</v>
      </c>
      <c r="GM139" s="741"/>
      <c r="GN139" s="741"/>
      <c r="GO139" s="741"/>
      <c r="GP139" s="741"/>
      <c r="GQ139" s="741"/>
      <c r="GR139" s="741"/>
      <c r="GS139" s="741"/>
      <c r="GT139" s="741"/>
      <c r="GU139" s="741"/>
      <c r="GV139" s="741"/>
      <c r="GW139" s="741"/>
      <c r="GX139" s="741"/>
      <c r="GY139" s="741"/>
    </row>
    <row r="140" spans="2:207" ht="16">
      <c r="B140" s="734" t="str">
        <f>'BASE DE DATOS'!B140</f>
        <v>RN</v>
      </c>
      <c r="C140" s="734" t="str">
        <f>'BASE DE DATOS'!C140</f>
        <v>RIO COLORADO</v>
      </c>
      <c r="D140" s="734">
        <f>'BASE DE DATOS'!D140</f>
        <v>39.020000000000003</v>
      </c>
      <c r="E140" s="734">
        <f>'BASE DE DATOS'!E140</f>
        <v>64.08</v>
      </c>
      <c r="F140" s="734">
        <f>'BASE DE DATOS'!F140</f>
        <v>79</v>
      </c>
      <c r="G140" s="734" t="str">
        <f>'BASE DE DATOS'!G140</f>
        <v>IVC</v>
      </c>
      <c r="H140" s="734">
        <f>'BASE DE DATOS'!H140</f>
        <v>-3.7</v>
      </c>
      <c r="I140" s="734">
        <f>'BASE DE DATOS'!I140</f>
        <v>8.3000000000000007</v>
      </c>
      <c r="J140" s="734">
        <f>'BASE DE DATOS'!J140</f>
        <v>22.7</v>
      </c>
      <c r="K140" s="734">
        <f>'BASE DE DATOS'!K140</f>
        <v>34.5</v>
      </c>
      <c r="L140" s="734">
        <f>'BASE DE DATOS'!L140</f>
        <v>47</v>
      </c>
      <c r="M140" s="734">
        <f>'BASE DE DATOS'!M140</f>
        <v>68</v>
      </c>
      <c r="N140" s="734">
        <f>'BASE DE DATOS'!N140</f>
        <v>47</v>
      </c>
      <c r="O140" s="734">
        <f>'BASE DE DATOS'!O140</f>
        <v>20</v>
      </c>
      <c r="P140" s="734">
        <f>'BASE DE DATOS'!P140</f>
        <v>35</v>
      </c>
      <c r="Q140" s="734">
        <f>'BASE DE DATOS'!Q140</f>
        <v>4</v>
      </c>
      <c r="R140" s="734">
        <f>'BASE DE DATOS'!R140</f>
        <v>22.1</v>
      </c>
      <c r="S140" s="734">
        <f>'BASE DE DATOS'!S140</f>
        <v>0.55000000000000004</v>
      </c>
      <c r="T140" s="734">
        <f>'BASE DE DATOS'!T140</f>
        <v>86.3</v>
      </c>
      <c r="U140" s="734">
        <f>'BASE DE DATOS'!U140</f>
        <v>0</v>
      </c>
      <c r="V140" s="734">
        <f>'BASE DE DATOS'!V140</f>
        <v>300</v>
      </c>
      <c r="W140" s="734">
        <f>'BASE DE DATOS'!W140</f>
        <v>0</v>
      </c>
      <c r="X140" s="734">
        <f>'BASE DE DATOS'!X140</f>
        <v>2.1000000000000001E-2</v>
      </c>
      <c r="Y140" s="734">
        <f>'BASE DE DATOS'!Y140</f>
        <v>0</v>
      </c>
      <c r="Z140" s="734">
        <f>'BASE DE DATOS'!Z140</f>
        <v>130</v>
      </c>
      <c r="AA140" s="734">
        <f>'BASE DE DATOS'!AA140</f>
        <v>1.3</v>
      </c>
      <c r="AB140" s="734">
        <f>'BASE DE DATOS'!AB140</f>
        <v>40</v>
      </c>
      <c r="AD140" s="734" t="str">
        <f>'BASE DE DATOS'!AD140</f>
        <v>RIO COLORADO</v>
      </c>
      <c r="AE140" s="734">
        <f>'BASE DE DATOS'!AE140</f>
        <v>23.3</v>
      </c>
      <c r="AF140" s="734">
        <f>'BASE DE DATOS'!AF140</f>
        <v>22.5</v>
      </c>
      <c r="AG140" s="734">
        <f>'BASE DE DATOS'!AG140</f>
        <v>19.8</v>
      </c>
      <c r="AH140" s="734">
        <f>'BASE DE DATOS'!AH140</f>
        <v>14.3</v>
      </c>
      <c r="AI140" s="734">
        <f>'BASE DE DATOS'!AI140</f>
        <v>10.9</v>
      </c>
      <c r="AJ140" s="734">
        <f>'BASE DE DATOS'!AJ140</f>
        <v>7.8</v>
      </c>
      <c r="AK140" s="734">
        <f>'BASE DE DATOS'!AK140</f>
        <v>7.6</v>
      </c>
      <c r="AL140" s="734">
        <f>'BASE DE DATOS'!AL140</f>
        <v>9</v>
      </c>
      <c r="AM140" s="734">
        <f>'BASE DE DATOS'!AM140</f>
        <v>11.3</v>
      </c>
      <c r="AN140" s="734">
        <f>'BASE DE DATOS'!AN140</f>
        <v>15.3</v>
      </c>
      <c r="AO140" s="734">
        <f>'BASE DE DATOS'!AO140</f>
        <v>18.899999999999999</v>
      </c>
      <c r="AP140" s="734">
        <f>'BASE DE DATOS'!AP140</f>
        <v>21.4</v>
      </c>
      <c r="AR140" s="734" t="str">
        <f>'BASE DE DATOS'!AR140</f>
        <v>RN</v>
      </c>
      <c r="AS140" s="734" t="str">
        <f>'BASE DE DATOS'!AS140</f>
        <v>RIO COLORADO</v>
      </c>
      <c r="AT140" s="734">
        <f>'BASE DE DATOS'!AT140</f>
        <v>6.5</v>
      </c>
      <c r="AU140" s="734">
        <f>'BASE DE DATOS'!AU140</f>
        <v>6.5</v>
      </c>
      <c r="AV140" s="734">
        <f>'BASE DE DATOS'!AV140</f>
        <v>4.5</v>
      </c>
      <c r="AW140" s="734">
        <f>'BASE DE DATOS'!AW140</f>
        <v>3</v>
      </c>
      <c r="AX140" s="734">
        <f>'BASE DE DATOS'!AX140</f>
        <v>2</v>
      </c>
      <c r="AY140" s="734">
        <f>'BASE DE DATOS'!AY140</f>
        <v>1.5</v>
      </c>
      <c r="AZ140" s="734">
        <f>'BASE DE DATOS'!AZ140</f>
        <v>1.5</v>
      </c>
      <c r="BA140" s="734">
        <f>'BASE DE DATOS'!BA140</f>
        <v>2.5</v>
      </c>
      <c r="BB140" s="734">
        <f>'BASE DE DATOS'!BB140</f>
        <v>3.5</v>
      </c>
      <c r="BC140" s="734">
        <f>'BASE DE DATOS'!BC140</f>
        <v>5</v>
      </c>
      <c r="BD140" s="734">
        <f>'BASE DE DATOS'!BD140</f>
        <v>7</v>
      </c>
      <c r="BE140" s="734">
        <f>'BASE DE DATOS'!BE140</f>
        <v>7</v>
      </c>
      <c r="DO140" s="733" t="str">
        <f>'BASE DE DATOS'!BG140</f>
        <v>RN</v>
      </c>
      <c r="DP140" s="733" t="str">
        <f>'BASE DE DATOS'!BH140</f>
        <v>RIO COLORADO</v>
      </c>
      <c r="DQ140" s="733">
        <f>'BASE DE DATOS'!BI140</f>
        <v>18</v>
      </c>
      <c r="DR140" s="733">
        <f>'BASE DE DATOS'!BJ140</f>
        <v>21</v>
      </c>
      <c r="DS140" s="733">
        <f>'BASE DE DATOS'!BK140</f>
        <v>28</v>
      </c>
      <c r="DT140" s="733">
        <f>'BASE DE DATOS'!BL140</f>
        <v>22</v>
      </c>
      <c r="DU140" s="733">
        <f>'BASE DE DATOS'!BM140</f>
        <v>27</v>
      </c>
      <c r="DV140" s="733">
        <f>'BASE DE DATOS'!BN140</f>
        <v>19</v>
      </c>
      <c r="DW140" s="733">
        <f>'BASE DE DATOS'!BO140</f>
        <v>21</v>
      </c>
      <c r="DX140" s="733">
        <f>'BASE DE DATOS'!BP140</f>
        <v>17</v>
      </c>
      <c r="DY140" s="733">
        <f>'BASE DE DATOS'!BQ140</f>
        <v>16</v>
      </c>
      <c r="DZ140" s="733">
        <f>'BASE DE DATOS'!BR140</f>
        <v>23</v>
      </c>
      <c r="EA140" s="733">
        <f>'BASE DE DATOS'!BS140</f>
        <v>18</v>
      </c>
      <c r="EB140" s="733">
        <f>'BASE DE DATOS'!BT140</f>
        <v>20</v>
      </c>
      <c r="GM140" s="741"/>
      <c r="GN140" s="741"/>
      <c r="GO140" s="741"/>
      <c r="GP140" s="741"/>
      <c r="GQ140" s="741"/>
      <c r="GR140" s="741"/>
      <c r="GS140" s="741"/>
      <c r="GT140" s="741"/>
      <c r="GU140" s="741"/>
      <c r="GV140" s="741"/>
      <c r="GW140" s="741"/>
      <c r="GX140" s="741"/>
      <c r="GY140" s="741"/>
    </row>
    <row r="141" spans="2:207" ht="16">
      <c r="B141" s="734" t="str">
        <f>'BASE DE DATOS'!B141</f>
        <v>RN</v>
      </c>
      <c r="C141" s="734" t="str">
        <f>'BASE DE DATOS'!C141</f>
        <v>SAN ANTONIO OESTE</v>
      </c>
      <c r="D141" s="734">
        <f>'BASE DE DATOS'!D141</f>
        <v>40.729999999999997</v>
      </c>
      <c r="E141" s="734">
        <f>'BASE DE DATOS'!E141</f>
        <v>64.95</v>
      </c>
      <c r="F141" s="734">
        <f>'BASE DE DATOS'!F141</f>
        <v>7</v>
      </c>
      <c r="G141" s="734" t="str">
        <f>'BASE DE DATOS'!G141</f>
        <v>IVC</v>
      </c>
      <c r="H141" s="734">
        <f>'BASE DE DATOS'!H141</f>
        <v>-1.5</v>
      </c>
      <c r="I141" s="734">
        <f>'BASE DE DATOS'!I141</f>
        <v>8.9</v>
      </c>
      <c r="J141" s="734">
        <f>'BASE DE DATOS'!J141</f>
        <v>21.7</v>
      </c>
      <c r="K141" s="734">
        <f>'BASE DE DATOS'!K141</f>
        <v>32.700000000000003</v>
      </c>
      <c r="L141" s="734">
        <f>'BASE DE DATOS'!L141</f>
        <v>50</v>
      </c>
      <c r="M141" s="734">
        <f>'BASE DE DATOS'!M141</f>
        <v>67</v>
      </c>
      <c r="N141" s="734">
        <f>'BASE DE DATOS'!N141</f>
        <v>50</v>
      </c>
      <c r="O141" s="734">
        <f>'BASE DE DATOS'!O141</f>
        <v>16</v>
      </c>
      <c r="P141" s="734">
        <f>'BASE DE DATOS'!P141</f>
        <v>19</v>
      </c>
      <c r="Q141" s="734">
        <f>'BASE DE DATOS'!Q141</f>
        <v>4</v>
      </c>
      <c r="R141" s="734">
        <f>'BASE DE DATOS'!R141</f>
        <v>21.9</v>
      </c>
      <c r="S141" s="734">
        <f>'BASE DE DATOS'!S141</f>
        <v>0.53</v>
      </c>
      <c r="T141" s="734">
        <f>'BASE DE DATOS'!T141</f>
        <v>86.3</v>
      </c>
      <c r="U141" s="734">
        <f>'BASE DE DATOS'!U141</f>
        <v>0</v>
      </c>
      <c r="V141" s="734">
        <f>'BASE DE DATOS'!V141</f>
        <v>300</v>
      </c>
      <c r="W141" s="734">
        <f>'BASE DE DATOS'!W141</f>
        <v>0</v>
      </c>
      <c r="X141" s="734">
        <f>'BASE DE DATOS'!X141</f>
        <v>2.1000000000000001E-2</v>
      </c>
      <c r="Y141" s="734">
        <f>'BASE DE DATOS'!Y141</f>
        <v>0</v>
      </c>
      <c r="Z141" s="734">
        <f>'BASE DE DATOS'!Z141</f>
        <v>130</v>
      </c>
      <c r="AA141" s="734">
        <f>'BASE DE DATOS'!AA141</f>
        <v>1.3</v>
      </c>
      <c r="AB141" s="734">
        <f>'BASE DE DATOS'!AB141</f>
        <v>40</v>
      </c>
      <c r="AD141" s="734" t="str">
        <f>'BASE DE DATOS'!AD141</f>
        <v>SAN ANTONIO OESTE</v>
      </c>
      <c r="AE141" s="734">
        <f>'BASE DE DATOS'!AE141</f>
        <v>23</v>
      </c>
      <c r="AF141" s="734">
        <f>'BASE DE DATOS'!AF141</f>
        <v>22.3</v>
      </c>
      <c r="AG141" s="734">
        <f>'BASE DE DATOS'!AG141</f>
        <v>19.8</v>
      </c>
      <c r="AH141" s="734">
        <f>'BASE DE DATOS'!AH141</f>
        <v>15.1</v>
      </c>
      <c r="AI141" s="734">
        <f>'BASE DE DATOS'!AI141</f>
        <v>11.6</v>
      </c>
      <c r="AJ141" s="734">
        <f>'BASE DE DATOS'!AJ141</f>
        <v>8.1999999999999993</v>
      </c>
      <c r="AK141" s="734">
        <f>'BASE DE DATOS'!AK141</f>
        <v>8.1999999999999993</v>
      </c>
      <c r="AL141" s="734">
        <f>'BASE DE DATOS'!AL141</f>
        <v>9.9</v>
      </c>
      <c r="AM141" s="734">
        <f>'BASE DE DATOS'!AM141</f>
        <v>11.9</v>
      </c>
      <c r="AN141" s="734">
        <f>'BASE DE DATOS'!AN141</f>
        <v>15.3</v>
      </c>
      <c r="AO141" s="734">
        <f>'BASE DE DATOS'!AO141</f>
        <v>18.899999999999999</v>
      </c>
      <c r="AP141" s="734">
        <f>'BASE DE DATOS'!AP141</f>
        <v>21.4</v>
      </c>
      <c r="AR141" s="734" t="str">
        <f>'BASE DE DATOS'!AR141</f>
        <v>RN</v>
      </c>
      <c r="AS141" s="734" t="str">
        <f>'BASE DE DATOS'!AS141</f>
        <v>SAN ANTONIO OESTE</v>
      </c>
      <c r="AT141" s="734">
        <f>'BASE DE DATOS'!AT141</f>
        <v>7</v>
      </c>
      <c r="AU141" s="734">
        <f>'BASE DE DATOS'!AU141</f>
        <v>6</v>
      </c>
      <c r="AV141" s="734">
        <f>'BASE DE DATOS'!AV141</f>
        <v>4.5</v>
      </c>
      <c r="AW141" s="734">
        <f>'BASE DE DATOS'!AW141</f>
        <v>3</v>
      </c>
      <c r="AX141" s="734">
        <f>'BASE DE DATOS'!AX141</f>
        <v>2</v>
      </c>
      <c r="AY141" s="734">
        <f>'BASE DE DATOS'!AY141</f>
        <v>1.5</v>
      </c>
      <c r="AZ141" s="734">
        <f>'BASE DE DATOS'!AZ141</f>
        <v>1.5</v>
      </c>
      <c r="BA141" s="734">
        <f>'BASE DE DATOS'!BA141</f>
        <v>2.5</v>
      </c>
      <c r="BB141" s="734">
        <f>'BASE DE DATOS'!BB141</f>
        <v>3.5</v>
      </c>
      <c r="BC141" s="734">
        <f>'BASE DE DATOS'!BC141</f>
        <v>5</v>
      </c>
      <c r="BD141" s="734">
        <f>'BASE DE DATOS'!BD141</f>
        <v>6</v>
      </c>
      <c r="BE141" s="734">
        <f>'BASE DE DATOS'!BE141</f>
        <v>7</v>
      </c>
      <c r="DO141" s="733" t="str">
        <f>'BASE DE DATOS'!BG141</f>
        <v>RN</v>
      </c>
      <c r="DP141" s="733" t="str">
        <f>'BASE DE DATOS'!BH141</f>
        <v>SAN ANTONIO OESTE</v>
      </c>
      <c r="DQ141" s="733">
        <f>'BASE DE DATOS'!BI141</f>
        <v>18</v>
      </c>
      <c r="DR141" s="733">
        <f>'BASE DE DATOS'!BJ141</f>
        <v>21</v>
      </c>
      <c r="DS141" s="733">
        <f>'BASE DE DATOS'!BK141</f>
        <v>28</v>
      </c>
      <c r="DT141" s="733">
        <f>'BASE DE DATOS'!BL141</f>
        <v>22</v>
      </c>
      <c r="DU141" s="733">
        <f>'BASE DE DATOS'!BM141</f>
        <v>27</v>
      </c>
      <c r="DV141" s="733">
        <f>'BASE DE DATOS'!BN141</f>
        <v>19</v>
      </c>
      <c r="DW141" s="733">
        <f>'BASE DE DATOS'!BO141</f>
        <v>21</v>
      </c>
      <c r="DX141" s="733">
        <f>'BASE DE DATOS'!BP141</f>
        <v>17</v>
      </c>
      <c r="DY141" s="733">
        <f>'BASE DE DATOS'!BQ141</f>
        <v>16</v>
      </c>
      <c r="DZ141" s="733">
        <f>'BASE DE DATOS'!BR141</f>
        <v>23</v>
      </c>
      <c r="EA141" s="733">
        <f>'BASE DE DATOS'!BS141</f>
        <v>18</v>
      </c>
      <c r="EB141" s="733">
        <f>'BASE DE DATOS'!BT141</f>
        <v>20</v>
      </c>
      <c r="GM141" s="741"/>
      <c r="GN141" s="741"/>
      <c r="GO141" s="741"/>
      <c r="GP141" s="741"/>
      <c r="GQ141" s="741"/>
      <c r="GR141" s="741"/>
      <c r="GS141" s="741"/>
      <c r="GT141" s="741"/>
      <c r="GU141" s="741"/>
      <c r="GV141" s="741"/>
      <c r="GW141" s="741"/>
      <c r="GX141" s="741"/>
      <c r="GY141" s="741"/>
    </row>
    <row r="142" spans="2:207" ht="16">
      <c r="B142" s="734" t="str">
        <f>'BASE DE DATOS'!B142</f>
        <v>RN</v>
      </c>
      <c r="C142" s="734" t="str">
        <f>'BASE DE DATOS'!C142</f>
        <v>SIERRA COLORADA</v>
      </c>
      <c r="D142" s="734">
        <f>'BASE DE DATOS'!D142</f>
        <v>40.58</v>
      </c>
      <c r="E142" s="734">
        <f>'BASE DE DATOS'!E142</f>
        <v>67.77</v>
      </c>
      <c r="F142" s="734">
        <f>'BASE DE DATOS'!F142</f>
        <v>665</v>
      </c>
      <c r="G142" s="734" t="str">
        <f>'BASE DE DATOS'!G142</f>
        <v>IVC</v>
      </c>
      <c r="H142" s="734">
        <f>'BASE DE DATOS'!H142</f>
        <v>-10.4</v>
      </c>
      <c r="I142" s="734">
        <f>'BASE DE DATOS'!I142</f>
        <v>4.5</v>
      </c>
      <c r="J142" s="734">
        <f>'BASE DE DATOS'!J142</f>
        <v>19.399999999999999</v>
      </c>
      <c r="K142" s="734">
        <f>'BASE DE DATOS'!K142</f>
        <v>31.5</v>
      </c>
      <c r="L142" s="734">
        <f>'BASE DE DATOS'!L142</f>
        <v>36</v>
      </c>
      <c r="M142" s="734">
        <f>'BASE DE DATOS'!M142</f>
        <v>65</v>
      </c>
      <c r="N142" s="734">
        <f>'BASE DE DATOS'!N142</f>
        <v>36</v>
      </c>
      <c r="O142" s="734">
        <f>'BASE DE DATOS'!O142</f>
        <v>19</v>
      </c>
      <c r="P142" s="734">
        <f>'BASE DE DATOS'!P142</f>
        <v>18</v>
      </c>
      <c r="Q142" s="734">
        <f>'BASE DE DATOS'!Q142</f>
        <v>4</v>
      </c>
      <c r="R142" s="734">
        <f>'BASE DE DATOS'!R142</f>
        <v>18.8</v>
      </c>
      <c r="S142" s="734">
        <f>'BASE DE DATOS'!S142</f>
        <v>0.53</v>
      </c>
      <c r="T142" s="734">
        <f>'BASE DE DATOS'!T142</f>
        <v>86.3</v>
      </c>
      <c r="U142" s="734">
        <f>'BASE DE DATOS'!U142</f>
        <v>0</v>
      </c>
      <c r="V142" s="734">
        <f>'BASE DE DATOS'!V142</f>
        <v>300</v>
      </c>
      <c r="W142" s="734">
        <f>'BASE DE DATOS'!W142</f>
        <v>0</v>
      </c>
      <c r="X142" s="734">
        <f>'BASE DE DATOS'!X142</f>
        <v>2.1000000000000001E-2</v>
      </c>
      <c r="Y142" s="734">
        <f>'BASE DE DATOS'!Y142</f>
        <v>0</v>
      </c>
      <c r="Z142" s="734">
        <f>'BASE DE DATOS'!Z142</f>
        <v>115</v>
      </c>
      <c r="AA142" s="734">
        <f>'BASE DE DATOS'!AA142</f>
        <v>1.1500000000000001</v>
      </c>
      <c r="AB142" s="734">
        <f>'BASE DE DATOS'!AB142</f>
        <v>40</v>
      </c>
      <c r="AD142" s="734" t="str">
        <f>'BASE DE DATOS'!AD142</f>
        <v>SIERRA COLORADA</v>
      </c>
      <c r="AE142" s="734">
        <f>'BASE DE DATOS'!AE142</f>
        <v>19.5</v>
      </c>
      <c r="AF142" s="734">
        <f>'BASE DE DATOS'!AF142</f>
        <v>18.899999999999999</v>
      </c>
      <c r="AG142" s="734">
        <f>'BASE DE DATOS'!AG142</f>
        <v>16</v>
      </c>
      <c r="AH142" s="734">
        <f>'BASE DE DATOS'!AH142</f>
        <v>11.1</v>
      </c>
      <c r="AI142" s="734">
        <f>'BASE DE DATOS'!AI142</f>
        <v>7.5</v>
      </c>
      <c r="AJ142" s="734">
        <f>'BASE DE DATOS'!AJ142</f>
        <v>3.7</v>
      </c>
      <c r="AK142" s="734">
        <f>'BASE DE DATOS'!AK142</f>
        <v>3.8</v>
      </c>
      <c r="AL142" s="734">
        <f>'BASE DE DATOS'!AL142</f>
        <v>5.9</v>
      </c>
      <c r="AM142" s="734">
        <f>'BASE DE DATOS'!AM142</f>
        <v>8</v>
      </c>
      <c r="AN142" s="734">
        <f>'BASE DE DATOS'!AN142</f>
        <v>11.9</v>
      </c>
      <c r="AO142" s="734">
        <f>'BASE DE DATOS'!AO142</f>
        <v>15.9</v>
      </c>
      <c r="AP142" s="734">
        <f>'BASE DE DATOS'!AP142</f>
        <v>18.399999999999999</v>
      </c>
      <c r="AR142" s="734" t="str">
        <f>'BASE DE DATOS'!AR142</f>
        <v>RN</v>
      </c>
      <c r="AS142" s="734" t="str">
        <f>'BASE DE DATOS'!AS142</f>
        <v>SIERRA COLORADA</v>
      </c>
      <c r="AT142" s="734">
        <f>'BASE DE DATOS'!AT142</f>
        <v>7.5</v>
      </c>
      <c r="AU142" s="734">
        <f>'BASE DE DATOS'!AU142</f>
        <v>6</v>
      </c>
      <c r="AV142" s="734">
        <f>'BASE DE DATOS'!AV142</f>
        <v>4.5</v>
      </c>
      <c r="AW142" s="734">
        <f>'BASE DE DATOS'!AW142</f>
        <v>3</v>
      </c>
      <c r="AX142" s="734">
        <f>'BASE DE DATOS'!AX142</f>
        <v>2</v>
      </c>
      <c r="AY142" s="734">
        <f>'BASE DE DATOS'!AY142</f>
        <v>1.5</v>
      </c>
      <c r="AZ142" s="734">
        <f>'BASE DE DATOS'!AZ142</f>
        <v>1.5</v>
      </c>
      <c r="BA142" s="734">
        <f>'BASE DE DATOS'!BA142</f>
        <v>2.5</v>
      </c>
      <c r="BB142" s="734">
        <f>'BASE DE DATOS'!BB142</f>
        <v>3.5</v>
      </c>
      <c r="BC142" s="734">
        <f>'BASE DE DATOS'!BC142</f>
        <v>5.5</v>
      </c>
      <c r="BD142" s="734">
        <f>'BASE DE DATOS'!BD142</f>
        <v>6.5</v>
      </c>
      <c r="BE142" s="734">
        <f>'BASE DE DATOS'!BE142</f>
        <v>7</v>
      </c>
      <c r="DO142" s="733" t="str">
        <f>'BASE DE DATOS'!BG142</f>
        <v>RN</v>
      </c>
      <c r="DP142" s="733" t="str">
        <f>'BASE DE DATOS'!BH142</f>
        <v>SIERRA COLORADA</v>
      </c>
      <c r="DQ142" s="733">
        <f>'BASE DE DATOS'!BI142</f>
        <v>18</v>
      </c>
      <c r="DR142" s="733">
        <f>'BASE DE DATOS'!BJ142</f>
        <v>21</v>
      </c>
      <c r="DS142" s="733">
        <f>'BASE DE DATOS'!BK142</f>
        <v>28</v>
      </c>
      <c r="DT142" s="733">
        <f>'BASE DE DATOS'!BL142</f>
        <v>22</v>
      </c>
      <c r="DU142" s="733">
        <f>'BASE DE DATOS'!BM142</f>
        <v>27</v>
      </c>
      <c r="DV142" s="733">
        <f>'BASE DE DATOS'!BN142</f>
        <v>19</v>
      </c>
      <c r="DW142" s="733">
        <f>'BASE DE DATOS'!BO142</f>
        <v>21</v>
      </c>
      <c r="DX142" s="733">
        <f>'BASE DE DATOS'!BP142</f>
        <v>17</v>
      </c>
      <c r="DY142" s="733">
        <f>'BASE DE DATOS'!BQ142</f>
        <v>16</v>
      </c>
      <c r="DZ142" s="733">
        <f>'BASE DE DATOS'!BR142</f>
        <v>23</v>
      </c>
      <c r="EA142" s="733">
        <f>'BASE DE DATOS'!BS142</f>
        <v>18</v>
      </c>
      <c r="EB142" s="733">
        <f>'BASE DE DATOS'!BT142</f>
        <v>20</v>
      </c>
      <c r="GM142" s="741"/>
      <c r="GN142" s="741"/>
      <c r="GO142" s="741"/>
      <c r="GP142" s="741"/>
      <c r="GQ142" s="741"/>
      <c r="GR142" s="741"/>
      <c r="GS142" s="727"/>
      <c r="GT142" s="727"/>
      <c r="GU142" s="727"/>
      <c r="GV142" s="741"/>
      <c r="GW142" s="741"/>
      <c r="GX142" s="741"/>
      <c r="GY142" s="741"/>
    </row>
    <row r="143" spans="2:207" ht="16">
      <c r="B143" s="734" t="str">
        <f>'BASE DE DATOS'!B143</f>
        <v>RN</v>
      </c>
      <c r="C143" s="734" t="str">
        <f>'BASE DE DATOS'!C143</f>
        <v>VILLA REGINA</v>
      </c>
      <c r="D143" s="734">
        <f>'BASE DE DATOS'!D143</f>
        <v>39.15</v>
      </c>
      <c r="E143" s="734">
        <f>'BASE DE DATOS'!E143</f>
        <v>67.069999999999993</v>
      </c>
      <c r="F143" s="734">
        <f>'BASE DE DATOS'!F143</f>
        <v>205</v>
      </c>
      <c r="G143" s="734" t="str">
        <f>'BASE DE DATOS'!G143</f>
        <v>IVC</v>
      </c>
      <c r="H143" s="734">
        <f>'BASE DE DATOS'!H143</f>
        <v>-5.9</v>
      </c>
      <c r="I143" s="734">
        <f>'BASE DE DATOS'!I143</f>
        <v>7</v>
      </c>
      <c r="J143" s="734">
        <f>'BASE DE DATOS'!J143</f>
        <v>21</v>
      </c>
      <c r="K143" s="734">
        <f>'BASE DE DATOS'!K143</f>
        <v>33.299999999999997</v>
      </c>
      <c r="L143" s="734">
        <f>'BASE DE DATOS'!L143</f>
        <v>60</v>
      </c>
      <c r="M143" s="734">
        <f>'BASE DE DATOS'!M143</f>
        <v>72</v>
      </c>
      <c r="N143" s="734">
        <f>'BASE DE DATOS'!N143</f>
        <v>60</v>
      </c>
      <c r="O143" s="734">
        <f>'BASE DE DATOS'!O143</f>
        <v>10</v>
      </c>
      <c r="P143" s="734">
        <f>'BASE DE DATOS'!P143</f>
        <v>15</v>
      </c>
      <c r="Q143" s="734">
        <f>'BASE DE DATOS'!Q143</f>
        <v>4</v>
      </c>
      <c r="R143" s="734">
        <f>'BASE DE DATOS'!R143</f>
        <v>20.3</v>
      </c>
      <c r="S143" s="734">
        <f>'BASE DE DATOS'!S143</f>
        <v>0.55000000000000004</v>
      </c>
      <c r="T143" s="734">
        <f>'BASE DE DATOS'!T143</f>
        <v>86.3</v>
      </c>
      <c r="U143" s="734">
        <f>'BASE DE DATOS'!U143</f>
        <v>0</v>
      </c>
      <c r="V143" s="734">
        <f>'BASE DE DATOS'!V143</f>
        <v>300</v>
      </c>
      <c r="W143" s="734">
        <f>'BASE DE DATOS'!W143</f>
        <v>0</v>
      </c>
      <c r="X143" s="734">
        <f>'BASE DE DATOS'!X143</f>
        <v>2.1000000000000001E-2</v>
      </c>
      <c r="Y143" s="734">
        <f>'BASE DE DATOS'!Y143</f>
        <v>0</v>
      </c>
      <c r="Z143" s="734">
        <f>'BASE DE DATOS'!Z143</f>
        <v>130</v>
      </c>
      <c r="AA143" s="734">
        <f>'BASE DE DATOS'!AA143</f>
        <v>1.3</v>
      </c>
      <c r="AB143" s="734">
        <f>'BASE DE DATOS'!AB143</f>
        <v>40</v>
      </c>
      <c r="AD143" s="734" t="str">
        <f>'BASE DE DATOS'!AD143</f>
        <v>VILLA REGINA</v>
      </c>
      <c r="AE143" s="734">
        <f>'BASE DE DATOS'!AE143</f>
        <v>22.7</v>
      </c>
      <c r="AF143" s="734">
        <f>'BASE DE DATOS'!AF143</f>
        <v>21.2</v>
      </c>
      <c r="AG143" s="734">
        <f>'BASE DE DATOS'!AG143</f>
        <v>19</v>
      </c>
      <c r="AH143" s="734">
        <f>'BASE DE DATOS'!AH143</f>
        <v>13.9</v>
      </c>
      <c r="AI143" s="734">
        <f>'BASE DE DATOS'!AI143</f>
        <v>10.3</v>
      </c>
      <c r="AJ143" s="734">
        <f>'BASE DE DATOS'!AJ143</f>
        <v>6.9</v>
      </c>
      <c r="AK143" s="734">
        <f>'BASE DE DATOS'!AK143</f>
        <v>7.1</v>
      </c>
      <c r="AL143" s="734">
        <f>'BASE DE DATOS'!AL143</f>
        <v>9.1999999999999993</v>
      </c>
      <c r="AM143" s="734">
        <f>'BASE DE DATOS'!AM143</f>
        <v>11.4</v>
      </c>
      <c r="AN143" s="734">
        <f>'BASE DE DATOS'!AN143</f>
        <v>15.4</v>
      </c>
      <c r="AO143" s="734">
        <f>'BASE DE DATOS'!AO143</f>
        <v>19.3</v>
      </c>
      <c r="AP143" s="734">
        <f>'BASE DE DATOS'!AP143</f>
        <v>21.8</v>
      </c>
      <c r="AR143" s="734" t="str">
        <f>'BASE DE DATOS'!AR143</f>
        <v>RN</v>
      </c>
      <c r="AS143" s="734" t="str">
        <f>'BASE DE DATOS'!AS143</f>
        <v>VILLA REGINA</v>
      </c>
      <c r="AT143" s="734">
        <f>'BASE DE DATOS'!AT143</f>
        <v>7</v>
      </c>
      <c r="AU143" s="734">
        <f>'BASE DE DATOS'!AU143</f>
        <v>6</v>
      </c>
      <c r="AV143" s="734">
        <f>'BASE DE DATOS'!AV143</f>
        <v>5</v>
      </c>
      <c r="AW143" s="734">
        <f>'BASE DE DATOS'!AW143</f>
        <v>3</v>
      </c>
      <c r="AX143" s="734">
        <f>'BASE DE DATOS'!AX143</f>
        <v>2</v>
      </c>
      <c r="AY143" s="734">
        <f>'BASE DE DATOS'!AY143</f>
        <v>1.5</v>
      </c>
      <c r="AZ143" s="734">
        <f>'BASE DE DATOS'!AZ143</f>
        <v>1.5</v>
      </c>
      <c r="BA143" s="734">
        <f>'BASE DE DATOS'!BA143</f>
        <v>2.5</v>
      </c>
      <c r="BB143" s="734">
        <f>'BASE DE DATOS'!BB143</f>
        <v>3.5</v>
      </c>
      <c r="BC143" s="734">
        <f>'BASE DE DATOS'!BC143</f>
        <v>5.5</v>
      </c>
      <c r="BD143" s="734">
        <f>'BASE DE DATOS'!BD143</f>
        <v>6</v>
      </c>
      <c r="BE143" s="734">
        <f>'BASE DE DATOS'!BE143</f>
        <v>7</v>
      </c>
      <c r="DO143" s="733" t="str">
        <f>'BASE DE DATOS'!BG143</f>
        <v>RN</v>
      </c>
      <c r="DP143" s="733" t="str">
        <f>'BASE DE DATOS'!BH143</f>
        <v>VILLA REGINA</v>
      </c>
      <c r="DQ143" s="733">
        <f>'BASE DE DATOS'!BI143</f>
        <v>18</v>
      </c>
      <c r="DR143" s="733">
        <f>'BASE DE DATOS'!BJ143</f>
        <v>21</v>
      </c>
      <c r="DS143" s="733">
        <f>'BASE DE DATOS'!BK143</f>
        <v>28</v>
      </c>
      <c r="DT143" s="733">
        <f>'BASE DE DATOS'!BL143</f>
        <v>22</v>
      </c>
      <c r="DU143" s="733">
        <f>'BASE DE DATOS'!BM143</f>
        <v>27</v>
      </c>
      <c r="DV143" s="733">
        <f>'BASE DE DATOS'!BN143</f>
        <v>19</v>
      </c>
      <c r="DW143" s="733">
        <f>'BASE DE DATOS'!BO143</f>
        <v>21</v>
      </c>
      <c r="DX143" s="733">
        <f>'BASE DE DATOS'!BP143</f>
        <v>17</v>
      </c>
      <c r="DY143" s="733">
        <f>'BASE DE DATOS'!BQ143</f>
        <v>16</v>
      </c>
      <c r="DZ143" s="733">
        <f>'BASE DE DATOS'!BR143</f>
        <v>23</v>
      </c>
      <c r="EA143" s="733">
        <f>'BASE DE DATOS'!BS143</f>
        <v>18</v>
      </c>
      <c r="EB143" s="733">
        <f>'BASE DE DATOS'!BT143</f>
        <v>20</v>
      </c>
      <c r="GM143" s="741"/>
      <c r="GN143" s="741"/>
      <c r="GO143" s="741"/>
      <c r="GP143" s="741"/>
      <c r="GQ143" s="741"/>
      <c r="GR143" s="741"/>
      <c r="GS143" s="727"/>
      <c r="GT143" s="727"/>
      <c r="GU143" s="741"/>
      <c r="GV143" s="741"/>
      <c r="GW143" s="741"/>
      <c r="GX143" s="727"/>
      <c r="GY143" s="727"/>
    </row>
    <row r="144" spans="2:207" ht="16">
      <c r="B144" s="734" t="str">
        <f>'BASE DE DATOS'!B144</f>
        <v>ST</v>
      </c>
      <c r="C144" s="734" t="str">
        <f>'BASE DE DATOS'!C144</f>
        <v>ORAN</v>
      </c>
      <c r="D144" s="734">
        <f>'BASE DE DATOS'!D144</f>
        <v>23.15</v>
      </c>
      <c r="E144" s="734">
        <f>'BASE DE DATOS'!E144</f>
        <v>64.319999999999993</v>
      </c>
      <c r="F144" s="734">
        <f>'BASE DE DATOS'!F144</f>
        <v>357</v>
      </c>
      <c r="G144" s="734" t="str">
        <f>'BASE DE DATOS'!G144</f>
        <v>IIB</v>
      </c>
      <c r="H144" s="734">
        <f>'BASE DE DATOS'!H144</f>
        <v>3.1</v>
      </c>
      <c r="I144" s="734">
        <f>'BASE DE DATOS'!I144</f>
        <v>15.3</v>
      </c>
      <c r="J144" s="734">
        <f>'BASE DE DATOS'!J144</f>
        <v>25.6</v>
      </c>
      <c r="K144" s="734">
        <f>'BASE DE DATOS'!K144</f>
        <v>36.1</v>
      </c>
      <c r="L144" s="734">
        <f>'BASE DE DATOS'!L144</f>
        <v>77</v>
      </c>
      <c r="M144" s="734">
        <f>'BASE DE DATOS'!M144</f>
        <v>72</v>
      </c>
      <c r="N144" s="734">
        <f>'BASE DE DATOS'!N144</f>
        <v>77</v>
      </c>
      <c r="O144" s="734">
        <f>'BASE DE DATOS'!O144</f>
        <v>4</v>
      </c>
      <c r="P144" s="734">
        <f>'BASE DE DATOS'!P144</f>
        <v>151</v>
      </c>
      <c r="Q144" s="734">
        <f>'BASE DE DATOS'!Q144</f>
        <v>2</v>
      </c>
      <c r="R144" s="734">
        <f>'BASE DE DATOS'!R144</f>
        <v>26.1</v>
      </c>
      <c r="S144" s="734">
        <f>'BASE DE DATOS'!S144</f>
        <v>0.47</v>
      </c>
      <c r="T144" s="734">
        <f>'BASE DE DATOS'!T144</f>
        <v>24.3</v>
      </c>
      <c r="U144" s="734">
        <f>'BASE DE DATOS'!U144</f>
        <v>2.9</v>
      </c>
      <c r="V144" s="734">
        <f>'BASE DE DATOS'!V144</f>
        <v>165</v>
      </c>
      <c r="W144" s="734">
        <f>'BASE DE DATOS'!W144</f>
        <v>50</v>
      </c>
      <c r="X144" s="734">
        <f>'BASE DE DATOS'!X144</f>
        <v>4.0000000000000001E-3</v>
      </c>
      <c r="Y144" s="734">
        <f>'BASE DE DATOS'!Y144</f>
        <v>1.0999999999999999E-2</v>
      </c>
      <c r="Z144" s="734">
        <f>'BASE DE DATOS'!Z144</f>
        <v>165</v>
      </c>
      <c r="AA144" s="734">
        <f>'BASE DE DATOS'!AA144</f>
        <v>1.6500000000000001</v>
      </c>
      <c r="AB144" s="734">
        <f>'BASE DE DATOS'!AB144</f>
        <v>30</v>
      </c>
      <c r="AD144" s="734" t="str">
        <f>'BASE DE DATOS'!AD144</f>
        <v>ORAN</v>
      </c>
      <c r="AE144" s="734">
        <f>'BASE DE DATOS'!AE144</f>
        <v>27</v>
      </c>
      <c r="AF144" s="734">
        <f>'BASE DE DATOS'!AF144</f>
        <v>26.2</v>
      </c>
      <c r="AG144" s="734">
        <f>'BASE DE DATOS'!AG144</f>
        <v>24.7</v>
      </c>
      <c r="AH144" s="734">
        <f>'BASE DE DATOS'!AH144</f>
        <v>22</v>
      </c>
      <c r="AI144" s="734">
        <f>'BASE DE DATOS'!AI144</f>
        <v>19.2</v>
      </c>
      <c r="AJ144" s="734">
        <f>'BASE DE DATOS'!AJ144</f>
        <v>15.8</v>
      </c>
      <c r="AK144" s="734">
        <f>'BASE DE DATOS'!AK144</f>
        <v>15.9</v>
      </c>
      <c r="AL144" s="734">
        <f>'BASE DE DATOS'!AL144</f>
        <v>18.100000000000001</v>
      </c>
      <c r="AM144" s="734">
        <f>'BASE DE DATOS'!AM144</f>
        <v>21.3</v>
      </c>
      <c r="AN144" s="734">
        <f>'BASE DE DATOS'!AN144</f>
        <v>24.5</v>
      </c>
      <c r="AO144" s="734">
        <f>'BASE DE DATOS'!AO144</f>
        <v>25.7</v>
      </c>
      <c r="AP144" s="734">
        <f>'BASE DE DATOS'!AP144</f>
        <v>26.9</v>
      </c>
      <c r="AR144" s="734" t="str">
        <f>'BASE DE DATOS'!AR144</f>
        <v>ST</v>
      </c>
      <c r="AS144" s="734" t="str">
        <f>'BASE DE DATOS'!AS144</f>
        <v>ORAN</v>
      </c>
      <c r="AT144" s="734">
        <f>'BASE DE DATOS'!AT144</f>
        <v>5</v>
      </c>
      <c r="AU144" s="734">
        <f>'BASE DE DATOS'!AU144</f>
        <v>4.5</v>
      </c>
      <c r="AV144" s="734">
        <f>'BASE DE DATOS'!AV144</f>
        <v>4</v>
      </c>
      <c r="AW144" s="734">
        <f>'BASE DE DATOS'!AW144</f>
        <v>3.5</v>
      </c>
      <c r="AX144" s="734">
        <f>'BASE DE DATOS'!AX144</f>
        <v>3</v>
      </c>
      <c r="AY144" s="734">
        <f>'BASE DE DATOS'!AY144</f>
        <v>3</v>
      </c>
      <c r="AZ144" s="734">
        <f>'BASE DE DATOS'!AZ144</f>
        <v>2.5</v>
      </c>
      <c r="BA144" s="734">
        <f>'BASE DE DATOS'!BA144</f>
        <v>2.5</v>
      </c>
      <c r="BB144" s="734">
        <f>'BASE DE DATOS'!BB144</f>
        <v>4.5</v>
      </c>
      <c r="BC144" s="734">
        <f>'BASE DE DATOS'!BC144</f>
        <v>5</v>
      </c>
      <c r="BD144" s="734">
        <f>'BASE DE DATOS'!BD144</f>
        <v>5.5</v>
      </c>
      <c r="BE144" s="734">
        <f>'BASE DE DATOS'!BE144</f>
        <v>6</v>
      </c>
      <c r="DO144" s="733" t="str">
        <f>'BASE DE DATOS'!BG144</f>
        <v>ST</v>
      </c>
      <c r="DP144" s="733" t="str">
        <f>'BASE DE DATOS'!BH144</f>
        <v>ORAN</v>
      </c>
      <c r="DQ144" s="733">
        <f>'BASE DE DATOS'!BI144</f>
        <v>176</v>
      </c>
      <c r="DR144" s="733">
        <f>'BASE DE DATOS'!BJ144</f>
        <v>149</v>
      </c>
      <c r="DS144" s="733">
        <f>'BASE DE DATOS'!BK144</f>
        <v>101</v>
      </c>
      <c r="DT144" s="733">
        <f>'BASE DE DATOS'!BL144</f>
        <v>28</v>
      </c>
      <c r="DU144" s="733">
        <f>'BASE DE DATOS'!BM144</f>
        <v>7</v>
      </c>
      <c r="DV144" s="733">
        <f>'BASE DE DATOS'!BN144</f>
        <v>4</v>
      </c>
      <c r="DW144" s="733">
        <f>'BASE DE DATOS'!BO144</f>
        <v>3</v>
      </c>
      <c r="DX144" s="733">
        <f>'BASE DE DATOS'!BP144</f>
        <v>4</v>
      </c>
      <c r="DY144" s="733">
        <f>'BASE DE DATOS'!BQ144</f>
        <v>6</v>
      </c>
      <c r="DZ144" s="733">
        <f>'BASE DE DATOS'!BR144</f>
        <v>26</v>
      </c>
      <c r="EA144" s="733">
        <f>'BASE DE DATOS'!BS144</f>
        <v>62</v>
      </c>
      <c r="EB144" s="733">
        <f>'BASE DE DATOS'!BT144</f>
        <v>123</v>
      </c>
      <c r="GM144" s="741"/>
      <c r="GN144" s="741"/>
      <c r="GO144" s="741"/>
      <c r="GP144" s="741"/>
      <c r="GQ144" s="741"/>
      <c r="GR144" s="741"/>
      <c r="GS144" s="727"/>
      <c r="GT144" s="727"/>
      <c r="GU144" s="741"/>
      <c r="GV144" s="741"/>
      <c r="GW144" s="741"/>
      <c r="GX144" s="727"/>
      <c r="GY144" s="727"/>
    </row>
    <row r="145" spans="2:207" ht="16">
      <c r="B145" s="734" t="str">
        <f>'BASE DE DATOS'!B145</f>
        <v>ST</v>
      </c>
      <c r="C145" s="734" t="str">
        <f>'BASE DE DATOS'!C145</f>
        <v>SALTA</v>
      </c>
      <c r="D145" s="734">
        <f>'BASE DE DATOS'!D145</f>
        <v>24.85</v>
      </c>
      <c r="E145" s="734">
        <f>'BASE DE DATOS'!E145</f>
        <v>65.48</v>
      </c>
      <c r="F145" s="734">
        <f>'BASE DE DATOS'!F145</f>
        <v>1226</v>
      </c>
      <c r="G145" s="734" t="str">
        <f>'BASE DE DATOS'!G145</f>
        <v>IIIA</v>
      </c>
      <c r="H145" s="734">
        <f>'BASE DE DATOS'!H145</f>
        <v>-3.1</v>
      </c>
      <c r="I145" s="734">
        <f>'BASE DE DATOS'!I145</f>
        <v>10.8</v>
      </c>
      <c r="J145" s="734">
        <f>'BASE DE DATOS'!J145</f>
        <v>20.8</v>
      </c>
      <c r="K145" s="734">
        <f>'BASE DE DATOS'!K145</f>
        <v>30.6</v>
      </c>
      <c r="L145" s="734">
        <f>'BASE DE DATOS'!L145</f>
        <v>77</v>
      </c>
      <c r="M145" s="734">
        <f>'BASE DE DATOS'!M145</f>
        <v>75</v>
      </c>
      <c r="N145" s="734">
        <f>'BASE DE DATOS'!N145</f>
        <v>77</v>
      </c>
      <c r="O145" s="734">
        <f>'BASE DE DATOS'!O145</f>
        <v>3</v>
      </c>
      <c r="P145" s="734">
        <f>'BASE DE DATOS'!P145</f>
        <v>151</v>
      </c>
      <c r="Q145" s="734">
        <f>'BASE DE DATOS'!Q145</f>
        <v>3</v>
      </c>
      <c r="R145" s="734">
        <f>'BASE DE DATOS'!R145</f>
        <v>20.9</v>
      </c>
      <c r="S145" s="734">
        <f>'BASE DE DATOS'!S145</f>
        <v>0.47</v>
      </c>
      <c r="T145" s="734">
        <f>'BASE DE DATOS'!T145</f>
        <v>24.3</v>
      </c>
      <c r="U145" s="734">
        <f>'BASE DE DATOS'!U145</f>
        <v>2.9</v>
      </c>
      <c r="V145" s="734">
        <f>'BASE DE DATOS'!V145</f>
        <v>165</v>
      </c>
      <c r="W145" s="734">
        <f>'BASE DE DATOS'!W145</f>
        <v>50</v>
      </c>
      <c r="X145" s="734">
        <f>'BASE DE DATOS'!X145</f>
        <v>4.0000000000000001E-3</v>
      </c>
      <c r="Y145" s="734">
        <f>'BASE DE DATOS'!Y145</f>
        <v>1.0999999999999999E-2</v>
      </c>
      <c r="Z145" s="734">
        <f>'BASE DE DATOS'!Z145</f>
        <v>105</v>
      </c>
      <c r="AA145" s="734">
        <f>'BASE DE DATOS'!AA145</f>
        <v>1.05</v>
      </c>
      <c r="AB145" s="734">
        <f>'BASE DE DATOS'!AB145</f>
        <v>30</v>
      </c>
      <c r="AD145" s="734" t="str">
        <f>'BASE DE DATOS'!AD145</f>
        <v>SALTA</v>
      </c>
      <c r="AE145" s="734">
        <f>'BASE DE DATOS'!AE145</f>
        <v>21.6</v>
      </c>
      <c r="AF145" s="734">
        <f>'BASE DE DATOS'!AF145</f>
        <v>20.5</v>
      </c>
      <c r="AG145" s="734">
        <f>'BASE DE DATOS'!AG145</f>
        <v>19.399999999999999</v>
      </c>
      <c r="AH145" s="734">
        <f>'BASE DE DATOS'!AH145</f>
        <v>16.5</v>
      </c>
      <c r="AI145" s="734">
        <f>'BASE DE DATOS'!AI145</f>
        <v>13.6</v>
      </c>
      <c r="AJ145" s="734">
        <f>'BASE DE DATOS'!AJ145</f>
        <v>11.1</v>
      </c>
      <c r="AK145" s="734">
        <f>'BASE DE DATOS'!AK145</f>
        <v>10.7</v>
      </c>
      <c r="AL145" s="734">
        <f>'BASE DE DATOS'!AL145</f>
        <v>12.5</v>
      </c>
      <c r="AM145" s="734">
        <f>'BASE DE DATOS'!AM145</f>
        <v>16.100000000000001</v>
      </c>
      <c r="AN145" s="734">
        <f>'BASE DE DATOS'!AN145</f>
        <v>18.600000000000001</v>
      </c>
      <c r="AO145" s="734">
        <f>'BASE DE DATOS'!AO145</f>
        <v>20.7</v>
      </c>
      <c r="AP145" s="734">
        <f>'BASE DE DATOS'!AP145</f>
        <v>21.7</v>
      </c>
      <c r="AR145" s="734" t="str">
        <f>'BASE DE DATOS'!AR145</f>
        <v>ST</v>
      </c>
      <c r="AS145" s="734" t="str">
        <f>'BASE DE DATOS'!AS145</f>
        <v>SALTA</v>
      </c>
      <c r="AT145" s="734">
        <f>'BASE DE DATOS'!AT145</f>
        <v>5.5</v>
      </c>
      <c r="AU145" s="734">
        <f>'BASE DE DATOS'!AU145</f>
        <v>5</v>
      </c>
      <c r="AV145" s="734">
        <f>'BASE DE DATOS'!AV145</f>
        <v>4.5</v>
      </c>
      <c r="AW145" s="734">
        <f>'BASE DE DATOS'!AW145</f>
        <v>4</v>
      </c>
      <c r="AX145" s="734">
        <f>'BASE DE DATOS'!AX145</f>
        <v>3.5</v>
      </c>
      <c r="AY145" s="734">
        <f>'BASE DE DATOS'!AY145</f>
        <v>3.5</v>
      </c>
      <c r="AZ145" s="734">
        <f>'BASE DE DATOS'!AZ145</f>
        <v>3</v>
      </c>
      <c r="BA145" s="734">
        <f>'BASE DE DATOS'!BA145</f>
        <v>4</v>
      </c>
      <c r="BB145" s="734">
        <f>'BASE DE DATOS'!BB145</f>
        <v>4</v>
      </c>
      <c r="BC145" s="734">
        <f>'BASE DE DATOS'!BC145</f>
        <v>5</v>
      </c>
      <c r="BD145" s="734">
        <f>'BASE DE DATOS'!BD145</f>
        <v>5</v>
      </c>
      <c r="BE145" s="734">
        <f>'BASE DE DATOS'!BE145</f>
        <v>5.5</v>
      </c>
      <c r="DO145" s="733" t="str">
        <f>'BASE DE DATOS'!BG145</f>
        <v>ST</v>
      </c>
      <c r="DP145" s="733" t="str">
        <f>'BASE DE DATOS'!BH145</f>
        <v>SALTA</v>
      </c>
      <c r="DQ145" s="733">
        <f>'BASE DE DATOS'!BI145</f>
        <v>176</v>
      </c>
      <c r="DR145" s="733">
        <f>'BASE DE DATOS'!BJ145</f>
        <v>149</v>
      </c>
      <c r="DS145" s="733">
        <f>'BASE DE DATOS'!BK145</f>
        <v>101</v>
      </c>
      <c r="DT145" s="733">
        <f>'BASE DE DATOS'!BL145</f>
        <v>28</v>
      </c>
      <c r="DU145" s="733">
        <f>'BASE DE DATOS'!BM145</f>
        <v>7</v>
      </c>
      <c r="DV145" s="733">
        <f>'BASE DE DATOS'!BN145</f>
        <v>4</v>
      </c>
      <c r="DW145" s="733">
        <f>'BASE DE DATOS'!BO145</f>
        <v>3</v>
      </c>
      <c r="DX145" s="733">
        <f>'BASE DE DATOS'!BP145</f>
        <v>4</v>
      </c>
      <c r="DY145" s="733">
        <f>'BASE DE DATOS'!BQ145</f>
        <v>6</v>
      </c>
      <c r="DZ145" s="733">
        <f>'BASE DE DATOS'!BR145</f>
        <v>26</v>
      </c>
      <c r="EA145" s="733">
        <f>'BASE DE DATOS'!BS145</f>
        <v>62</v>
      </c>
      <c r="EB145" s="733">
        <f>'BASE DE DATOS'!BT145</f>
        <v>123</v>
      </c>
      <c r="GM145" s="741"/>
      <c r="GN145" s="741"/>
      <c r="GO145" s="741"/>
      <c r="GP145" s="741"/>
      <c r="GQ145" s="741"/>
      <c r="GR145" s="741"/>
      <c r="GS145" s="757"/>
      <c r="GT145" s="727"/>
      <c r="GU145" s="741"/>
      <c r="GV145" s="741"/>
      <c r="GW145" s="741"/>
      <c r="GX145" s="741"/>
      <c r="GY145" s="741"/>
    </row>
    <row r="146" spans="2:207" ht="16">
      <c r="B146" s="734" t="str">
        <f>'BASE DE DATOS'!B146</f>
        <v>SJ</v>
      </c>
      <c r="C146" s="734" t="str">
        <f>'BASE DE DATOS'!C146</f>
        <v>EL BALDE</v>
      </c>
      <c r="D146" s="734">
        <f>'BASE DE DATOS'!D146</f>
        <v>30.95</v>
      </c>
      <c r="E146" s="734">
        <f>'BASE DE DATOS'!E146</f>
        <v>68.63</v>
      </c>
      <c r="F146" s="734">
        <f>'BASE DE DATOS'!F146</f>
        <v>928</v>
      </c>
      <c r="G146" s="734" t="str">
        <f>'BASE DE DATOS'!G146</f>
        <v>IVA</v>
      </c>
      <c r="H146" s="734">
        <f>'BASE DE DATOS'!H146</f>
        <v>-6.6</v>
      </c>
      <c r="I146" s="734">
        <f>'BASE DE DATOS'!I146</f>
        <v>8.8000000000000007</v>
      </c>
      <c r="J146" s="734">
        <f>'BASE DE DATOS'!J146</f>
        <v>25.6</v>
      </c>
      <c r="K146" s="734">
        <f>'BASE DE DATOS'!K146</f>
        <v>36.200000000000003</v>
      </c>
      <c r="L146" s="734">
        <f>'BASE DE DATOS'!L146</f>
        <v>40</v>
      </c>
      <c r="M146" s="734">
        <f>'BASE DE DATOS'!M146</f>
        <v>50</v>
      </c>
      <c r="N146" s="734">
        <f>'BASE DE DATOS'!N146</f>
        <v>40</v>
      </c>
      <c r="O146" s="734">
        <f>'BASE DE DATOS'!O146</f>
        <v>2</v>
      </c>
      <c r="P146" s="734">
        <f>'BASE DE DATOS'!P146</f>
        <v>14</v>
      </c>
      <c r="Q146" s="734">
        <f>'BASE DE DATOS'!Q146</f>
        <v>4</v>
      </c>
      <c r="R146" s="734">
        <f>'BASE DE DATOS'!R146</f>
        <v>24.5</v>
      </c>
      <c r="S146" s="734">
        <f>'BASE DE DATOS'!S146</f>
        <v>0.49</v>
      </c>
      <c r="T146" s="734">
        <f>'BASE DE DATOS'!T146</f>
        <v>29.7</v>
      </c>
      <c r="U146" s="734">
        <f>'BASE DE DATOS'!U146</f>
        <v>8</v>
      </c>
      <c r="V146" s="734">
        <f>'BASE DE DATOS'!V146</f>
        <v>200</v>
      </c>
      <c r="W146" s="734">
        <f>'BASE DE DATOS'!W146</f>
        <v>123</v>
      </c>
      <c r="X146" s="734">
        <f>'BASE DE DATOS'!X146</f>
        <v>4.0000000000000001E-3</v>
      </c>
      <c r="Y146" s="734">
        <f>'BASE DE DATOS'!Y146</f>
        <v>8.9999999999999993E-3</v>
      </c>
      <c r="Z146" s="734">
        <f>'BASE DE DATOS'!Z146</f>
        <v>120</v>
      </c>
      <c r="AA146" s="734">
        <f>'BASE DE DATOS'!AA146</f>
        <v>1.2</v>
      </c>
      <c r="AB146" s="734">
        <f>'BASE DE DATOS'!AB146</f>
        <v>30</v>
      </c>
      <c r="AD146" s="734" t="str">
        <f>'BASE DE DATOS'!AD146</f>
        <v>EL BALDE</v>
      </c>
      <c r="AE146" s="734">
        <f>'BASE DE DATOS'!AE146</f>
        <v>24.8</v>
      </c>
      <c r="AF146" s="734">
        <f>'BASE DE DATOS'!AF146</f>
        <v>23.5</v>
      </c>
      <c r="AG146" s="734">
        <f>'BASE DE DATOS'!AG146</f>
        <v>20.5</v>
      </c>
      <c r="AH146" s="734">
        <f>'BASE DE DATOS'!AH146</f>
        <v>15.6</v>
      </c>
      <c r="AI146" s="734">
        <f>'BASE DE DATOS'!AI146</f>
        <v>11.9</v>
      </c>
      <c r="AJ146" s="734">
        <f>'BASE DE DATOS'!AJ146</f>
        <v>8.6999999999999993</v>
      </c>
      <c r="AK146" s="734">
        <f>'BASE DE DATOS'!AK146</f>
        <v>8.3000000000000007</v>
      </c>
      <c r="AL146" s="734">
        <f>'BASE DE DATOS'!AL146</f>
        <v>10.6</v>
      </c>
      <c r="AM146" s="734">
        <f>'BASE DE DATOS'!AM146</f>
        <v>13.8</v>
      </c>
      <c r="AN146" s="734">
        <f>'BASE DE DATOS'!AN146</f>
        <v>17.5</v>
      </c>
      <c r="AO146" s="734">
        <f>'BASE DE DATOS'!AO146</f>
        <v>21.3</v>
      </c>
      <c r="AP146" s="734">
        <f>'BASE DE DATOS'!AP146</f>
        <v>23.8</v>
      </c>
      <c r="AR146" s="734" t="str">
        <f>'BASE DE DATOS'!AR146</f>
        <v>SJ</v>
      </c>
      <c r="AS146" s="734" t="str">
        <f>'BASE DE DATOS'!AS146</f>
        <v>EL BALDE</v>
      </c>
      <c r="AT146" s="734">
        <f>'BASE DE DATOS'!AT146</f>
        <v>6</v>
      </c>
      <c r="AU146" s="734">
        <f>'BASE DE DATOS'!AU146</f>
        <v>6</v>
      </c>
      <c r="AV146" s="734">
        <f>'BASE DE DATOS'!AV146</f>
        <v>5</v>
      </c>
      <c r="AW146" s="734">
        <f>'BASE DE DATOS'!AW146</f>
        <v>4</v>
      </c>
      <c r="AX146" s="734">
        <f>'BASE DE DATOS'!AX146</f>
        <v>3.5</v>
      </c>
      <c r="AY146" s="734">
        <f>'BASE DE DATOS'!AY146</f>
        <v>3</v>
      </c>
      <c r="AZ146" s="734">
        <f>'BASE DE DATOS'!AZ146</f>
        <v>3</v>
      </c>
      <c r="BA146" s="734">
        <f>'BASE DE DATOS'!BA146</f>
        <v>4</v>
      </c>
      <c r="BB146" s="734">
        <f>'BASE DE DATOS'!BB146</f>
        <v>4.5</v>
      </c>
      <c r="BC146" s="734">
        <f>'BASE DE DATOS'!BC146</f>
        <v>6</v>
      </c>
      <c r="BD146" s="734">
        <f>'BASE DE DATOS'!BD146</f>
        <v>6</v>
      </c>
      <c r="BE146" s="734">
        <f>'BASE DE DATOS'!BE146</f>
        <v>6</v>
      </c>
      <c r="DO146" s="733" t="str">
        <f>'BASE DE DATOS'!BG146</f>
        <v>SJ</v>
      </c>
      <c r="DP146" s="733" t="str">
        <f>'BASE DE DATOS'!BH146</f>
        <v>EL BALDE</v>
      </c>
      <c r="DQ146" s="733">
        <f>'BASE DE DATOS'!BI146</f>
        <v>20</v>
      </c>
      <c r="DR146" s="733">
        <f>'BASE DE DATOS'!BJ146</f>
        <v>18</v>
      </c>
      <c r="DS146" s="733">
        <f>'BASE DE DATOS'!BK146</f>
        <v>12</v>
      </c>
      <c r="DT146" s="733">
        <f>'BASE DE DATOS'!BL146</f>
        <v>4</v>
      </c>
      <c r="DU146" s="733">
        <f>'BASE DE DATOS'!BM146</f>
        <v>2</v>
      </c>
      <c r="DV146" s="733">
        <f>'BASE DE DATOS'!BN146</f>
        <v>3</v>
      </c>
      <c r="DW146" s="733">
        <f>'BASE DE DATOS'!BO146</f>
        <v>4</v>
      </c>
      <c r="DX146" s="733">
        <f>'BASE DE DATOS'!BP146</f>
        <v>2</v>
      </c>
      <c r="DY146" s="733">
        <f>'BASE DE DATOS'!BQ146</f>
        <v>4</v>
      </c>
      <c r="DZ146" s="733">
        <f>'BASE DE DATOS'!BR146</f>
        <v>5</v>
      </c>
      <c r="EA146" s="733">
        <f>'BASE DE DATOS'!BS146</f>
        <v>9</v>
      </c>
      <c r="EB146" s="733">
        <f>'BASE DE DATOS'!BT146</f>
        <v>11</v>
      </c>
      <c r="GM146" s="741"/>
      <c r="GN146" s="741"/>
      <c r="GO146" s="741"/>
      <c r="GP146" s="741"/>
      <c r="GQ146" s="741"/>
      <c r="GR146" s="741"/>
      <c r="GS146" s="757"/>
      <c r="GT146" s="727"/>
      <c r="GU146" s="741"/>
      <c r="GV146" s="741"/>
      <c r="GW146" s="741"/>
      <c r="GX146" s="741"/>
      <c r="GY146" s="741"/>
    </row>
    <row r="147" spans="2:207" ht="16">
      <c r="B147" s="734" t="str">
        <f>'BASE DE DATOS'!B147</f>
        <v>SJ</v>
      </c>
      <c r="C147" s="734" t="str">
        <f>'BASE DE DATOS'!C147</f>
        <v>JACHAL</v>
      </c>
      <c r="D147" s="734">
        <f>'BASE DE DATOS'!D147</f>
        <v>30.25</v>
      </c>
      <c r="E147" s="734">
        <f>'BASE DE DATOS'!E147</f>
        <v>68.75</v>
      </c>
      <c r="F147" s="734">
        <f>'BASE DE DATOS'!F147</f>
        <v>1165</v>
      </c>
      <c r="G147" s="734" t="str">
        <f>'BASE DE DATOS'!G147</f>
        <v>V</v>
      </c>
      <c r="H147" s="734">
        <f>'BASE DE DATOS'!H147</f>
        <v>-4.2</v>
      </c>
      <c r="I147" s="734">
        <f>'BASE DE DATOS'!I147</f>
        <v>9.1999999999999993</v>
      </c>
      <c r="J147" s="734">
        <f>'BASE DE DATOS'!J147</f>
        <v>23.6</v>
      </c>
      <c r="K147" s="734">
        <f>'BASE DE DATOS'!K147</f>
        <v>34.700000000000003</v>
      </c>
      <c r="L147" s="734">
        <f>'BASE DE DATOS'!L147</f>
        <v>55</v>
      </c>
      <c r="M147" s="734">
        <f>'BASE DE DATOS'!M147</f>
        <v>60</v>
      </c>
      <c r="N147" s="734">
        <f>'BASE DE DATOS'!N147</f>
        <v>55</v>
      </c>
      <c r="O147" s="734">
        <f>'BASE DE DATOS'!O147</f>
        <v>4</v>
      </c>
      <c r="P147" s="734">
        <f>'BASE DE DATOS'!P147</f>
        <v>21</v>
      </c>
      <c r="Q147" s="734">
        <f>'BASE DE DATOS'!Q147</f>
        <v>5</v>
      </c>
      <c r="R147" s="734">
        <f>'BASE DE DATOS'!R147</f>
        <v>23.1</v>
      </c>
      <c r="S147" s="734">
        <f>'BASE DE DATOS'!S147</f>
        <v>0.49</v>
      </c>
      <c r="T147" s="734">
        <f>'BASE DE DATOS'!T147</f>
        <v>29.7</v>
      </c>
      <c r="U147" s="734">
        <f>'BASE DE DATOS'!U147</f>
        <v>8</v>
      </c>
      <c r="V147" s="734">
        <f>'BASE DE DATOS'!V147</f>
        <v>200</v>
      </c>
      <c r="W147" s="734">
        <f>'BASE DE DATOS'!W147</f>
        <v>123</v>
      </c>
      <c r="X147" s="734">
        <f>'BASE DE DATOS'!X147</f>
        <v>4.0000000000000001E-3</v>
      </c>
      <c r="Y147" s="734">
        <f>'BASE DE DATOS'!Y147</f>
        <v>8.9999999999999993E-3</v>
      </c>
      <c r="Z147" s="734">
        <f>'BASE DE DATOS'!Z147</f>
        <v>110</v>
      </c>
      <c r="AA147" s="734">
        <f>'BASE DE DATOS'!AA147</f>
        <v>1.1000000000000001</v>
      </c>
      <c r="AB147" s="734">
        <f>'BASE DE DATOS'!AB147</f>
        <v>30</v>
      </c>
      <c r="AD147" s="734" t="str">
        <f>'BASE DE DATOS'!AD147</f>
        <v>JACHAL</v>
      </c>
      <c r="AE147" s="734">
        <f>'BASE DE DATOS'!AE147</f>
        <v>24.5</v>
      </c>
      <c r="AF147" s="734">
        <f>'BASE DE DATOS'!AF147</f>
        <v>22.4</v>
      </c>
      <c r="AG147" s="734">
        <f>'BASE DE DATOS'!AG147</f>
        <v>19.8</v>
      </c>
      <c r="AH147" s="734">
        <f>'BASE DE DATOS'!AH147</f>
        <v>15.1</v>
      </c>
      <c r="AI147" s="734">
        <f>'BASE DE DATOS'!AI147</f>
        <v>11.9</v>
      </c>
      <c r="AJ147" s="734">
        <f>'BASE DE DATOS'!AJ147</f>
        <v>8.6999999999999993</v>
      </c>
      <c r="AK147" s="734">
        <f>'BASE DE DATOS'!AK147</f>
        <v>9.3000000000000007</v>
      </c>
      <c r="AL147" s="734">
        <f>'BASE DE DATOS'!AL147</f>
        <v>10.1</v>
      </c>
      <c r="AM147" s="734">
        <f>'BASE DE DATOS'!AM147</f>
        <v>13.2</v>
      </c>
      <c r="AN147" s="734">
        <f>'BASE DE DATOS'!AN147</f>
        <v>17.899999999999999</v>
      </c>
      <c r="AO147" s="734">
        <f>'BASE DE DATOS'!AO147</f>
        <v>21</v>
      </c>
      <c r="AP147" s="734">
        <f>'BASE DE DATOS'!AP147</f>
        <v>23.6</v>
      </c>
      <c r="AR147" s="734" t="str">
        <f>'BASE DE DATOS'!AR147</f>
        <v>SJ</v>
      </c>
      <c r="AS147" s="734" t="str">
        <f>'BASE DE DATOS'!AS147</f>
        <v>JACHAL</v>
      </c>
      <c r="AT147" s="734">
        <f>'BASE DE DATOS'!AT147</f>
        <v>7</v>
      </c>
      <c r="AU147" s="734">
        <f>'BASE DE DATOS'!AU147</f>
        <v>6</v>
      </c>
      <c r="AV147" s="734">
        <f>'BASE DE DATOS'!AV147</f>
        <v>5</v>
      </c>
      <c r="AW147" s="734">
        <f>'BASE DE DATOS'!AW147</f>
        <v>4.5</v>
      </c>
      <c r="AX147" s="734">
        <f>'BASE DE DATOS'!AX147</f>
        <v>3.5</v>
      </c>
      <c r="AY147" s="734">
        <f>'BASE DE DATOS'!AY147</f>
        <v>3</v>
      </c>
      <c r="AZ147" s="734">
        <f>'BASE DE DATOS'!AZ147</f>
        <v>3</v>
      </c>
      <c r="BA147" s="734">
        <f>'BASE DE DATOS'!BA147</f>
        <v>4</v>
      </c>
      <c r="BB147" s="734">
        <f>'BASE DE DATOS'!BB147</f>
        <v>5</v>
      </c>
      <c r="BC147" s="734">
        <f>'BASE DE DATOS'!BC147</f>
        <v>7</v>
      </c>
      <c r="BD147" s="734">
        <f>'BASE DE DATOS'!BD147</f>
        <v>7.5</v>
      </c>
      <c r="BE147" s="734">
        <f>'BASE DE DATOS'!BE147</f>
        <v>7.5</v>
      </c>
      <c r="DO147" s="733" t="str">
        <f>'BASE DE DATOS'!BG147</f>
        <v>SJ</v>
      </c>
      <c r="DP147" s="733" t="str">
        <f>'BASE DE DATOS'!BH147</f>
        <v>JACHAL</v>
      </c>
      <c r="DQ147" s="733">
        <f>'BASE DE DATOS'!BI147</f>
        <v>20</v>
      </c>
      <c r="DR147" s="733">
        <f>'BASE DE DATOS'!BJ147</f>
        <v>18</v>
      </c>
      <c r="DS147" s="733">
        <f>'BASE DE DATOS'!BK147</f>
        <v>12</v>
      </c>
      <c r="DT147" s="733">
        <f>'BASE DE DATOS'!BL147</f>
        <v>4</v>
      </c>
      <c r="DU147" s="733">
        <f>'BASE DE DATOS'!BM147</f>
        <v>2</v>
      </c>
      <c r="DV147" s="733">
        <f>'BASE DE DATOS'!BN147</f>
        <v>3</v>
      </c>
      <c r="DW147" s="733">
        <f>'BASE DE DATOS'!BO147</f>
        <v>4</v>
      </c>
      <c r="DX147" s="733">
        <f>'BASE DE DATOS'!BP147</f>
        <v>2</v>
      </c>
      <c r="DY147" s="733">
        <f>'BASE DE DATOS'!BQ147</f>
        <v>4</v>
      </c>
      <c r="DZ147" s="733">
        <f>'BASE DE DATOS'!BR147</f>
        <v>5</v>
      </c>
      <c r="EA147" s="733">
        <f>'BASE DE DATOS'!BS147</f>
        <v>9</v>
      </c>
      <c r="EB147" s="733">
        <f>'BASE DE DATOS'!BT147</f>
        <v>11</v>
      </c>
      <c r="GM147" s="741"/>
      <c r="GN147" s="741"/>
      <c r="GO147" s="741"/>
      <c r="GP147" s="741"/>
      <c r="GQ147" s="741"/>
      <c r="GR147" s="741"/>
      <c r="GS147" s="727"/>
      <c r="GT147" s="727"/>
      <c r="GU147" s="741"/>
      <c r="GV147" s="741"/>
      <c r="GW147" s="741"/>
      <c r="GX147" s="741"/>
      <c r="GY147" s="741"/>
    </row>
    <row r="148" spans="2:207" ht="16">
      <c r="B148" s="734" t="str">
        <f>'BASE DE DATOS'!B148</f>
        <v>SJ</v>
      </c>
      <c r="C148" s="734" t="str">
        <f>'BASE DE DATOS'!C148</f>
        <v>SAN JUAN AERO</v>
      </c>
      <c r="D148" s="734">
        <f>'BASE DE DATOS'!D148</f>
        <v>31.57</v>
      </c>
      <c r="E148" s="734">
        <f>'BASE DE DATOS'!E148</f>
        <v>68.42</v>
      </c>
      <c r="F148" s="734">
        <f>'BASE DE DATOS'!F148</f>
        <v>598</v>
      </c>
      <c r="G148" s="734" t="str">
        <f>'BASE DE DATOS'!G148</f>
        <v>IIIA</v>
      </c>
      <c r="H148" s="734">
        <f>'BASE DE DATOS'!H148</f>
        <v>-4.8</v>
      </c>
      <c r="I148" s="734">
        <f>'BASE DE DATOS'!I148</f>
        <v>8.3000000000000007</v>
      </c>
      <c r="J148" s="734">
        <f>'BASE DE DATOS'!J148</f>
        <v>26.4</v>
      </c>
      <c r="K148" s="734">
        <f>'BASE DE DATOS'!K148</f>
        <v>38</v>
      </c>
      <c r="L148" s="734">
        <f>'BASE DE DATOS'!L148</f>
        <v>40</v>
      </c>
      <c r="M148" s="734">
        <f>'BASE DE DATOS'!M148</f>
        <v>56</v>
      </c>
      <c r="N148" s="734">
        <f>'BASE DE DATOS'!N148</f>
        <v>40</v>
      </c>
      <c r="O148" s="734">
        <f>'BASE DE DATOS'!O148</f>
        <v>4</v>
      </c>
      <c r="P148" s="734">
        <f>'BASE DE DATOS'!P148</f>
        <v>16</v>
      </c>
      <c r="Q148" s="734">
        <f>'BASE DE DATOS'!Q148</f>
        <v>3</v>
      </c>
      <c r="R148" s="734">
        <f>'BASE DE DATOS'!R148</f>
        <v>25.8</v>
      </c>
      <c r="S148" s="734">
        <f>'BASE DE DATOS'!S148</f>
        <v>0.51</v>
      </c>
      <c r="T148" s="734">
        <f>'BASE DE DATOS'!T148</f>
        <v>29.7</v>
      </c>
      <c r="U148" s="734">
        <f>'BASE DE DATOS'!U148</f>
        <v>8</v>
      </c>
      <c r="V148" s="734">
        <f>'BASE DE DATOS'!V148</f>
        <v>200</v>
      </c>
      <c r="W148" s="734">
        <f>'BASE DE DATOS'!W148</f>
        <v>123</v>
      </c>
      <c r="X148" s="734">
        <f>'BASE DE DATOS'!X148</f>
        <v>4.0000000000000001E-3</v>
      </c>
      <c r="Y148" s="734">
        <f>'BASE DE DATOS'!Y148</f>
        <v>8.9999999999999993E-3</v>
      </c>
      <c r="Z148" s="734">
        <f>'BASE DE DATOS'!Z148</f>
        <v>130</v>
      </c>
      <c r="AA148" s="734">
        <f>'BASE DE DATOS'!AA148</f>
        <v>1.3</v>
      </c>
      <c r="AB148" s="734">
        <f>'BASE DE DATOS'!AB148</f>
        <v>30</v>
      </c>
      <c r="AD148" s="734" t="str">
        <f>'BASE DE DATOS'!AD148</f>
        <v>SAN JUAN AERO</v>
      </c>
      <c r="AE148" s="734">
        <f>'BASE DE DATOS'!AE148</f>
        <v>26</v>
      </c>
      <c r="AF148" s="734">
        <f>'BASE DE DATOS'!AF148</f>
        <v>24.5</v>
      </c>
      <c r="AG148" s="734">
        <f>'BASE DE DATOS'!AG148</f>
        <v>21.4</v>
      </c>
      <c r="AH148" s="734">
        <f>'BASE DE DATOS'!AH148</f>
        <v>16.2</v>
      </c>
      <c r="AI148" s="734">
        <f>'BASE DE DATOS'!AI148</f>
        <v>11.7</v>
      </c>
      <c r="AJ148" s="734">
        <f>'BASE DE DATOS'!AJ148</f>
        <v>8.4</v>
      </c>
      <c r="AK148" s="734">
        <f>'BASE DE DATOS'!AK148</f>
        <v>8</v>
      </c>
      <c r="AL148" s="734">
        <f>'BASE DE DATOS'!AL148</f>
        <v>10.6</v>
      </c>
      <c r="AM148" s="734">
        <f>'BASE DE DATOS'!AM148</f>
        <v>14.3</v>
      </c>
      <c r="AN148" s="734">
        <f>'BASE DE DATOS'!AN148</f>
        <v>18.399999999999999</v>
      </c>
      <c r="AO148" s="734">
        <f>'BASE DE DATOS'!AO148</f>
        <v>22.1</v>
      </c>
      <c r="AP148" s="734">
        <f>'BASE DE DATOS'!AP148</f>
        <v>25.2</v>
      </c>
      <c r="AR148" s="734" t="str">
        <f>'BASE DE DATOS'!AR148</f>
        <v>SJ</v>
      </c>
      <c r="AS148" s="734" t="str">
        <f>'BASE DE DATOS'!AS148</f>
        <v>SAN JUAN AERO</v>
      </c>
      <c r="AT148" s="734">
        <f>'BASE DE DATOS'!AT148</f>
        <v>7</v>
      </c>
      <c r="AU148" s="734">
        <f>'BASE DE DATOS'!AU148</f>
        <v>6.5</v>
      </c>
      <c r="AV148" s="734">
        <f>'BASE DE DATOS'!AV148</f>
        <v>5</v>
      </c>
      <c r="AW148" s="734">
        <f>'BASE DE DATOS'!AW148</f>
        <v>4.5</v>
      </c>
      <c r="AX148" s="734">
        <f>'BASE DE DATOS'!AX148</f>
        <v>3.5</v>
      </c>
      <c r="AY148" s="734">
        <f>'BASE DE DATOS'!AY148</f>
        <v>2.5</v>
      </c>
      <c r="AZ148" s="734">
        <f>'BASE DE DATOS'!AZ148</f>
        <v>3</v>
      </c>
      <c r="BA148" s="734">
        <f>'BASE DE DATOS'!BA148</f>
        <v>4</v>
      </c>
      <c r="BB148" s="734">
        <f>'BASE DE DATOS'!BB148</f>
        <v>5</v>
      </c>
      <c r="BC148" s="734">
        <f>'BASE DE DATOS'!BC148</f>
        <v>7</v>
      </c>
      <c r="BD148" s="734">
        <f>'BASE DE DATOS'!BD148</f>
        <v>7.5</v>
      </c>
      <c r="BE148" s="734">
        <f>'BASE DE DATOS'!BE148</f>
        <v>7.5</v>
      </c>
      <c r="DO148" s="733" t="str">
        <f>'BASE DE DATOS'!BG148</f>
        <v>SJ</v>
      </c>
      <c r="DP148" s="733" t="str">
        <f>'BASE DE DATOS'!BH148</f>
        <v>SAN JUAN AERO</v>
      </c>
      <c r="DQ148" s="733">
        <f>'BASE DE DATOS'!BI148</f>
        <v>20</v>
      </c>
      <c r="DR148" s="733">
        <f>'BASE DE DATOS'!BJ148</f>
        <v>18</v>
      </c>
      <c r="DS148" s="733">
        <f>'BASE DE DATOS'!BK148</f>
        <v>12</v>
      </c>
      <c r="DT148" s="733">
        <f>'BASE DE DATOS'!BL148</f>
        <v>4</v>
      </c>
      <c r="DU148" s="733">
        <f>'BASE DE DATOS'!BM148</f>
        <v>2</v>
      </c>
      <c r="DV148" s="733">
        <f>'BASE DE DATOS'!BN148</f>
        <v>3</v>
      </c>
      <c r="DW148" s="733">
        <f>'BASE DE DATOS'!BO148</f>
        <v>4</v>
      </c>
      <c r="DX148" s="733">
        <f>'BASE DE DATOS'!BP148</f>
        <v>2</v>
      </c>
      <c r="DY148" s="733">
        <f>'BASE DE DATOS'!BQ148</f>
        <v>4</v>
      </c>
      <c r="DZ148" s="733">
        <f>'BASE DE DATOS'!BR148</f>
        <v>5</v>
      </c>
      <c r="EA148" s="733">
        <f>'BASE DE DATOS'!BS148</f>
        <v>9</v>
      </c>
      <c r="EB148" s="733">
        <f>'BASE DE DATOS'!BT148</f>
        <v>11</v>
      </c>
      <c r="GM148" s="741"/>
      <c r="GN148" s="741"/>
      <c r="GO148" s="741"/>
      <c r="GP148" s="741"/>
      <c r="GQ148" s="741"/>
      <c r="GR148" s="741"/>
      <c r="GS148" s="757"/>
      <c r="GT148" s="727"/>
      <c r="GU148" s="741"/>
      <c r="GV148" s="741"/>
      <c r="GW148" s="741"/>
      <c r="GX148" s="741"/>
      <c r="GY148" s="741"/>
    </row>
    <row r="149" spans="2:207" ht="16">
      <c r="B149" s="734" t="str">
        <f>'BASE DE DATOS'!B149</f>
        <v>SJ</v>
      </c>
      <c r="C149" s="734" t="str">
        <f>'BASE DE DATOS'!C149</f>
        <v>SAN JUAN</v>
      </c>
      <c r="D149" s="734">
        <f>'BASE DE DATOS'!D149</f>
        <v>31.62</v>
      </c>
      <c r="E149" s="734">
        <f>'BASE DE DATOS'!E149</f>
        <v>68.53</v>
      </c>
      <c r="F149" s="734">
        <f>'BASE DE DATOS'!F149</f>
        <v>615</v>
      </c>
      <c r="G149" s="734" t="str">
        <f>'BASE DE DATOS'!G149</f>
        <v>IIIA</v>
      </c>
      <c r="H149" s="734">
        <f>'BASE DE DATOS'!H149</f>
        <v>-1.3</v>
      </c>
      <c r="I149" s="734">
        <f>'BASE DE DATOS'!I149</f>
        <v>9.3000000000000007</v>
      </c>
      <c r="J149" s="734">
        <f>'BASE DE DATOS'!J149</f>
        <v>25.5</v>
      </c>
      <c r="K149" s="734">
        <f>'BASE DE DATOS'!K149</f>
        <v>37.1</v>
      </c>
      <c r="L149" s="734">
        <f>'BASE DE DATOS'!L149</f>
        <v>48</v>
      </c>
      <c r="M149" s="734">
        <f>'BASE DE DATOS'!M149</f>
        <v>61</v>
      </c>
      <c r="N149" s="734">
        <f>'BASE DE DATOS'!N149</f>
        <v>48</v>
      </c>
      <c r="O149" s="734">
        <f>'BASE DE DATOS'!O149</f>
        <v>2</v>
      </c>
      <c r="P149" s="734">
        <f>'BASE DE DATOS'!P149</f>
        <v>15</v>
      </c>
      <c r="Q149" s="734">
        <f>'BASE DE DATOS'!Q149</f>
        <v>3</v>
      </c>
      <c r="R149" s="734">
        <f>'BASE DE DATOS'!R149</f>
        <v>25.5</v>
      </c>
      <c r="S149" s="734">
        <f>'BASE DE DATOS'!S149</f>
        <v>0.51</v>
      </c>
      <c r="T149" s="734">
        <f>'BASE DE DATOS'!T149</f>
        <v>29.7</v>
      </c>
      <c r="U149" s="734">
        <f>'BASE DE DATOS'!U149</f>
        <v>8</v>
      </c>
      <c r="V149" s="734">
        <f>'BASE DE DATOS'!V149</f>
        <v>200</v>
      </c>
      <c r="W149" s="734">
        <f>'BASE DE DATOS'!W149</f>
        <v>123</v>
      </c>
      <c r="X149" s="734">
        <f>'BASE DE DATOS'!X149</f>
        <v>4.0000000000000001E-3</v>
      </c>
      <c r="Y149" s="734">
        <f>'BASE DE DATOS'!Y149</f>
        <v>8.9999999999999993E-3</v>
      </c>
      <c r="Z149" s="734">
        <f>'BASE DE DATOS'!Z149</f>
        <v>130</v>
      </c>
      <c r="AA149" s="734">
        <f>'BASE DE DATOS'!AA149</f>
        <v>1.3</v>
      </c>
      <c r="AB149" s="734">
        <f>'BASE DE DATOS'!AB149</f>
        <v>30</v>
      </c>
      <c r="AD149" s="734" t="str">
        <f>'BASE DE DATOS'!AD149</f>
        <v>SAN JUAN</v>
      </c>
      <c r="AE149" s="734">
        <f>'BASE DE DATOS'!AE149</f>
        <v>27</v>
      </c>
      <c r="AF149" s="734">
        <f>'BASE DE DATOS'!AF149</f>
        <v>25.5</v>
      </c>
      <c r="AG149" s="734">
        <f>'BASE DE DATOS'!AG149</f>
        <v>24</v>
      </c>
      <c r="AH149" s="734">
        <f>'BASE DE DATOS'!AH149</f>
        <v>18.600000000000001</v>
      </c>
      <c r="AI149" s="734">
        <f>'BASE DE DATOS'!AI149</f>
        <v>13.5</v>
      </c>
      <c r="AJ149" s="734">
        <f>'BASE DE DATOS'!AJ149</f>
        <v>10</v>
      </c>
      <c r="AK149" s="734">
        <f>'BASE DE DATOS'!AK149</f>
        <v>9</v>
      </c>
      <c r="AL149" s="734">
        <f>'BASE DE DATOS'!AL149</f>
        <v>12.5</v>
      </c>
      <c r="AM149" s="734">
        <f>'BASE DE DATOS'!AM149</f>
        <v>18.3</v>
      </c>
      <c r="AN149" s="734">
        <f>'BASE DE DATOS'!AN149</f>
        <v>20.6</v>
      </c>
      <c r="AO149" s="734">
        <f>'BASE DE DATOS'!AO149</f>
        <v>23</v>
      </c>
      <c r="AP149" s="734">
        <f>'BASE DE DATOS'!AP149</f>
        <v>26.3</v>
      </c>
      <c r="AR149" s="734" t="str">
        <f>'BASE DE DATOS'!AR149</f>
        <v>SJ</v>
      </c>
      <c r="AS149" s="734" t="str">
        <f>'BASE DE DATOS'!AS149</f>
        <v>SAN JUAN</v>
      </c>
      <c r="AT149" s="734">
        <f>'BASE DE DATOS'!AT149</f>
        <v>7</v>
      </c>
      <c r="AU149" s="734">
        <f>'BASE DE DATOS'!AU149</f>
        <v>6.5</v>
      </c>
      <c r="AV149" s="734">
        <f>'BASE DE DATOS'!AV149</f>
        <v>5</v>
      </c>
      <c r="AW149" s="734">
        <f>'BASE DE DATOS'!AW149</f>
        <v>4.5</v>
      </c>
      <c r="AX149" s="734">
        <f>'BASE DE DATOS'!AX149</f>
        <v>3.5</v>
      </c>
      <c r="AY149" s="734">
        <f>'BASE DE DATOS'!AY149</f>
        <v>2.5</v>
      </c>
      <c r="AZ149" s="734">
        <f>'BASE DE DATOS'!AZ149</f>
        <v>3</v>
      </c>
      <c r="BA149" s="734">
        <f>'BASE DE DATOS'!BA149</f>
        <v>4</v>
      </c>
      <c r="BB149" s="734">
        <f>'BASE DE DATOS'!BB149</f>
        <v>5</v>
      </c>
      <c r="BC149" s="734">
        <f>'BASE DE DATOS'!BC149</f>
        <v>7</v>
      </c>
      <c r="BD149" s="734">
        <f>'BASE DE DATOS'!BD149</f>
        <v>7.5</v>
      </c>
      <c r="BE149" s="734">
        <f>'BASE DE DATOS'!BE149</f>
        <v>7.5</v>
      </c>
      <c r="DO149" s="733" t="str">
        <f>'BASE DE DATOS'!BG149</f>
        <v>SJ</v>
      </c>
      <c r="DP149" s="733" t="str">
        <f>'BASE DE DATOS'!BH149</f>
        <v>SAN JUAN</v>
      </c>
      <c r="DQ149" s="733">
        <f>'BASE DE DATOS'!BI149</f>
        <v>20</v>
      </c>
      <c r="DR149" s="733">
        <f>'BASE DE DATOS'!BJ149</f>
        <v>18</v>
      </c>
      <c r="DS149" s="733">
        <f>'BASE DE DATOS'!BK149</f>
        <v>12</v>
      </c>
      <c r="DT149" s="733">
        <f>'BASE DE DATOS'!BL149</f>
        <v>4</v>
      </c>
      <c r="DU149" s="733">
        <f>'BASE DE DATOS'!BM149</f>
        <v>2</v>
      </c>
      <c r="DV149" s="733">
        <f>'BASE DE DATOS'!BN149</f>
        <v>3</v>
      </c>
      <c r="DW149" s="733">
        <f>'BASE DE DATOS'!BO149</f>
        <v>4</v>
      </c>
      <c r="DX149" s="733">
        <f>'BASE DE DATOS'!BP149</f>
        <v>2</v>
      </c>
      <c r="DY149" s="733">
        <f>'BASE DE DATOS'!BQ149</f>
        <v>4</v>
      </c>
      <c r="DZ149" s="733">
        <f>'BASE DE DATOS'!BR149</f>
        <v>5</v>
      </c>
      <c r="EA149" s="733">
        <f>'BASE DE DATOS'!BS149</f>
        <v>9</v>
      </c>
      <c r="EB149" s="733">
        <f>'BASE DE DATOS'!BT149</f>
        <v>11</v>
      </c>
      <c r="GM149" s="741"/>
      <c r="GN149" s="741"/>
      <c r="GO149" s="741"/>
      <c r="GP149" s="741"/>
      <c r="GQ149" s="741"/>
      <c r="GR149" s="741"/>
      <c r="GS149" s="757"/>
      <c r="GT149" s="727"/>
      <c r="GU149" s="727"/>
      <c r="GV149" s="727"/>
      <c r="GW149" s="727"/>
      <c r="GX149" s="727"/>
      <c r="GY149" s="757"/>
    </row>
    <row r="150" spans="2:207" ht="16">
      <c r="B150" s="734" t="str">
        <f>'BASE DE DATOS'!B150</f>
        <v>SJ</v>
      </c>
      <c r="C150" s="734" t="str">
        <f>'BASE DE DATOS'!C150</f>
        <v>VALLE FERTIL</v>
      </c>
      <c r="D150" s="734">
        <f>'BASE DE DATOS'!D150</f>
        <v>30.63</v>
      </c>
      <c r="E150" s="734">
        <f>'BASE DE DATOS'!E150</f>
        <v>67.45</v>
      </c>
      <c r="F150" s="734">
        <f>'BASE DE DATOS'!F150</f>
        <v>857</v>
      </c>
      <c r="G150" s="734" t="str">
        <f>'BASE DE DATOS'!G150</f>
        <v>IIA</v>
      </c>
      <c r="H150" s="734">
        <f>'BASE DE DATOS'!H150</f>
        <v>-1.6</v>
      </c>
      <c r="I150" s="734">
        <f>'BASE DE DATOS'!I150</f>
        <v>103</v>
      </c>
      <c r="J150" s="734">
        <f>'BASE DE DATOS'!J150</f>
        <v>23.6</v>
      </c>
      <c r="K150" s="734">
        <f>'BASE DE DATOS'!K150</f>
        <v>35</v>
      </c>
      <c r="L150" s="734">
        <f>'BASE DE DATOS'!L150</f>
        <v>58</v>
      </c>
      <c r="M150" s="734">
        <f>'BASE DE DATOS'!M150</f>
        <v>59</v>
      </c>
      <c r="N150" s="734">
        <f>'BASE DE DATOS'!N150</f>
        <v>58</v>
      </c>
      <c r="O150" s="734">
        <f>'BASE DE DATOS'!O150</f>
        <v>2</v>
      </c>
      <c r="P150" s="734">
        <f>'BASE DE DATOS'!P150</f>
        <v>62</v>
      </c>
      <c r="Q150" s="734">
        <f>'BASE DE DATOS'!Q150</f>
        <v>2</v>
      </c>
      <c r="R150" s="734">
        <f>'BASE DE DATOS'!R150</f>
        <v>23.8</v>
      </c>
      <c r="S150" s="734">
        <f>'BASE DE DATOS'!S150</f>
        <v>0.49</v>
      </c>
      <c r="T150" s="734">
        <f>'BASE DE DATOS'!T150</f>
        <v>29.7</v>
      </c>
      <c r="U150" s="734">
        <f>'BASE DE DATOS'!U150</f>
        <v>8</v>
      </c>
      <c r="V150" s="734">
        <f>'BASE DE DATOS'!V150</f>
        <v>200</v>
      </c>
      <c r="W150" s="734">
        <f>'BASE DE DATOS'!W150</f>
        <v>123</v>
      </c>
      <c r="X150" s="734">
        <f>'BASE DE DATOS'!X150</f>
        <v>4.0000000000000001E-3</v>
      </c>
      <c r="Y150" s="734">
        <f>'BASE DE DATOS'!Y150</f>
        <v>8.9999999999999993E-3</v>
      </c>
      <c r="Z150" s="734">
        <f>'BASE DE DATOS'!Z150</f>
        <v>120</v>
      </c>
      <c r="AA150" s="734">
        <f>'BASE DE DATOS'!AA150</f>
        <v>1.2</v>
      </c>
      <c r="AB150" s="734">
        <f>'BASE DE DATOS'!AB150</f>
        <v>30</v>
      </c>
      <c r="AD150" s="734" t="str">
        <f>'BASE DE DATOS'!AD150</f>
        <v>VALLE FERTIL</v>
      </c>
      <c r="AE150" s="734">
        <f>'BASE DE DATOS'!AE150</f>
        <v>26.2</v>
      </c>
      <c r="AF150" s="734">
        <f>'BASE DE DATOS'!AF150</f>
        <v>24.8</v>
      </c>
      <c r="AG150" s="734">
        <f>'BASE DE DATOS'!AG150</f>
        <v>21.9</v>
      </c>
      <c r="AH150" s="734">
        <f>'BASE DE DATOS'!AH150</f>
        <v>16.899999999999999</v>
      </c>
      <c r="AI150" s="734">
        <f>'BASE DE DATOS'!AI150</f>
        <v>13</v>
      </c>
      <c r="AJ150" s="734">
        <f>'BASE DE DATOS'!AJ150</f>
        <v>9.6999999999999993</v>
      </c>
      <c r="AK150" s="734">
        <f>'BASE DE DATOS'!AK150</f>
        <v>9.4</v>
      </c>
      <c r="AL150" s="734">
        <f>'BASE DE DATOS'!AL150</f>
        <v>11.7</v>
      </c>
      <c r="AM150" s="734">
        <f>'BASE DE DATOS'!AM150</f>
        <v>15.1</v>
      </c>
      <c r="AN150" s="734">
        <f>'BASE DE DATOS'!AN150</f>
        <v>18.899999999999999</v>
      </c>
      <c r="AO150" s="734">
        <f>'BASE DE DATOS'!AO150</f>
        <v>22.5</v>
      </c>
      <c r="AP150" s="734">
        <f>'BASE DE DATOS'!AP150</f>
        <v>25</v>
      </c>
      <c r="AR150" s="734" t="str">
        <f>'BASE DE DATOS'!AR150</f>
        <v>SJ</v>
      </c>
      <c r="AS150" s="734" t="str">
        <f>'BASE DE DATOS'!AS150</f>
        <v>VALLE FERTIL</v>
      </c>
      <c r="AT150" s="734">
        <f>'BASE DE DATOS'!AT150</f>
        <v>6</v>
      </c>
      <c r="AU150" s="734">
        <f>'BASE DE DATOS'!AU150</f>
        <v>5.5</v>
      </c>
      <c r="AV150" s="734">
        <f>'BASE DE DATOS'!AV150</f>
        <v>5</v>
      </c>
      <c r="AW150" s="734">
        <f>'BASE DE DATOS'!AW150</f>
        <v>4</v>
      </c>
      <c r="AX150" s="734">
        <f>'BASE DE DATOS'!AX150</f>
        <v>3.5</v>
      </c>
      <c r="AY150" s="734">
        <f>'BASE DE DATOS'!AY150</f>
        <v>2.5</v>
      </c>
      <c r="AZ150" s="734">
        <f>'BASE DE DATOS'!AZ150</f>
        <v>3</v>
      </c>
      <c r="BA150" s="734">
        <f>'BASE DE DATOS'!BA150</f>
        <v>3.5</v>
      </c>
      <c r="BB150" s="734">
        <f>'BASE DE DATOS'!BB150</f>
        <v>4.5</v>
      </c>
      <c r="BC150" s="734">
        <f>'BASE DE DATOS'!BC150</f>
        <v>5.5</v>
      </c>
      <c r="BD150" s="734">
        <f>'BASE DE DATOS'!BD150</f>
        <v>6</v>
      </c>
      <c r="BE150" s="734">
        <f>'BASE DE DATOS'!BE150</f>
        <v>6</v>
      </c>
      <c r="DO150" s="733" t="str">
        <f>'BASE DE DATOS'!BG150</f>
        <v>SJ</v>
      </c>
      <c r="DP150" s="733" t="str">
        <f>'BASE DE DATOS'!BH150</f>
        <v>VALLE FERTIL</v>
      </c>
      <c r="DQ150" s="733">
        <f>'BASE DE DATOS'!BI150</f>
        <v>20</v>
      </c>
      <c r="DR150" s="733">
        <f>'BASE DE DATOS'!BJ150</f>
        <v>18</v>
      </c>
      <c r="DS150" s="733">
        <f>'BASE DE DATOS'!BK150</f>
        <v>12</v>
      </c>
      <c r="DT150" s="733">
        <f>'BASE DE DATOS'!BL150</f>
        <v>4</v>
      </c>
      <c r="DU150" s="733">
        <f>'BASE DE DATOS'!BM150</f>
        <v>2</v>
      </c>
      <c r="DV150" s="733">
        <f>'BASE DE DATOS'!BN150</f>
        <v>3</v>
      </c>
      <c r="DW150" s="733">
        <f>'BASE DE DATOS'!BO150</f>
        <v>4</v>
      </c>
      <c r="DX150" s="733">
        <f>'BASE DE DATOS'!BP150</f>
        <v>2</v>
      </c>
      <c r="DY150" s="733">
        <f>'BASE DE DATOS'!BQ150</f>
        <v>4</v>
      </c>
      <c r="DZ150" s="733">
        <f>'BASE DE DATOS'!BR150</f>
        <v>5</v>
      </c>
      <c r="EA150" s="733">
        <f>'BASE DE DATOS'!BS150</f>
        <v>9</v>
      </c>
      <c r="EB150" s="733">
        <f>'BASE DE DATOS'!BT150</f>
        <v>11</v>
      </c>
      <c r="GM150" s="741"/>
      <c r="GN150" s="741"/>
      <c r="GO150" s="741"/>
      <c r="GP150" s="741"/>
      <c r="GQ150" s="741"/>
      <c r="GR150" s="741"/>
      <c r="GS150" s="727"/>
      <c r="GT150" s="727"/>
      <c r="GU150" s="741"/>
      <c r="GV150" s="741"/>
      <c r="GW150" s="741"/>
      <c r="GX150" s="741"/>
      <c r="GY150" s="741"/>
    </row>
    <row r="151" spans="2:207" ht="16">
      <c r="B151" s="734" t="str">
        <f>'BASE DE DATOS'!B151</f>
        <v>SL</v>
      </c>
      <c r="C151" s="734" t="str">
        <f>'BASE DE DATOS'!C151</f>
        <v>SAN LUIS</v>
      </c>
      <c r="D151" s="734">
        <f>'BASE DE DATOS'!D151</f>
        <v>33.270000000000003</v>
      </c>
      <c r="E151" s="734">
        <f>'BASE DE DATOS'!E151</f>
        <v>66.349999999999994</v>
      </c>
      <c r="F151" s="734">
        <f>'BASE DE DATOS'!F151</f>
        <v>713</v>
      </c>
      <c r="G151" s="734" t="str">
        <f>'BASE DE DATOS'!G151</f>
        <v>IIIA</v>
      </c>
      <c r="H151" s="734">
        <f>'BASE DE DATOS'!H151</f>
        <v>-3.7</v>
      </c>
      <c r="I151" s="734">
        <f>'BASE DE DATOS'!I151</f>
        <v>10.199999999999999</v>
      </c>
      <c r="J151" s="734">
        <f>'BASE DE DATOS'!J151</f>
        <v>23.8</v>
      </c>
      <c r="K151" s="734">
        <f>'BASE DE DATOS'!K151</f>
        <v>34.1</v>
      </c>
      <c r="L151" s="734">
        <f>'BASE DE DATOS'!L151</f>
        <v>51</v>
      </c>
      <c r="M151" s="734">
        <f>'BASE DE DATOS'!M151</f>
        <v>57</v>
      </c>
      <c r="N151" s="734">
        <f>'BASE DE DATOS'!N151</f>
        <v>51</v>
      </c>
      <c r="O151" s="734">
        <f>'BASE DE DATOS'!O151</f>
        <v>7</v>
      </c>
      <c r="P151" s="734">
        <f>'BASE DE DATOS'!P151</f>
        <v>86</v>
      </c>
      <c r="Q151" s="734">
        <f>'BASE DE DATOS'!Q151</f>
        <v>3</v>
      </c>
      <c r="R151" s="734">
        <f>'BASE DE DATOS'!R151</f>
        <v>23.2</v>
      </c>
      <c r="S151" s="734">
        <f>'BASE DE DATOS'!S151</f>
        <v>0.53</v>
      </c>
      <c r="T151" s="734">
        <f>'BASE DE DATOS'!T151</f>
        <v>29.7</v>
      </c>
      <c r="U151" s="734">
        <f>'BASE DE DATOS'!U151</f>
        <v>8</v>
      </c>
      <c r="V151" s="734">
        <f>'BASE DE DATOS'!V151</f>
        <v>200</v>
      </c>
      <c r="W151" s="734">
        <f>'BASE DE DATOS'!W151</f>
        <v>123</v>
      </c>
      <c r="X151" s="734">
        <f>'BASE DE DATOS'!X151</f>
        <v>4.0000000000000001E-3</v>
      </c>
      <c r="Y151" s="734">
        <f>'BASE DE DATOS'!Y151</f>
        <v>8.9999999999999993E-3</v>
      </c>
      <c r="Z151" s="734">
        <f>'BASE DE DATOS'!Z151</f>
        <v>130</v>
      </c>
      <c r="AA151" s="734">
        <f>'BASE DE DATOS'!AA151</f>
        <v>1.3</v>
      </c>
      <c r="AB151" s="734">
        <f>'BASE DE DATOS'!AB151</f>
        <v>35</v>
      </c>
      <c r="AD151" s="734" t="str">
        <f>'BASE DE DATOS'!AD151</f>
        <v>SAN LUIS</v>
      </c>
      <c r="AE151" s="734">
        <f>'BASE DE DATOS'!AE151</f>
        <v>23.9</v>
      </c>
      <c r="AF151" s="734">
        <f>'BASE DE DATOS'!AF151</f>
        <v>22.8</v>
      </c>
      <c r="AG151" s="734">
        <f>'BASE DE DATOS'!AG151</f>
        <v>20</v>
      </c>
      <c r="AH151" s="734">
        <f>'BASE DE DATOS'!AH151</f>
        <v>15.6</v>
      </c>
      <c r="AI151" s="734">
        <f>'BASE DE DATOS'!AI151</f>
        <v>12</v>
      </c>
      <c r="AJ151" s="734">
        <f>'BASE DE DATOS'!AJ151</f>
        <v>8.9</v>
      </c>
      <c r="AK151" s="734">
        <f>'BASE DE DATOS'!AK151</f>
        <v>8.6</v>
      </c>
      <c r="AL151" s="734">
        <f>'BASE DE DATOS'!AL151</f>
        <v>10.4</v>
      </c>
      <c r="AM151" s="734">
        <f>'BASE DE DATOS'!AM151</f>
        <v>13.7</v>
      </c>
      <c r="AN151" s="734">
        <f>'BASE DE DATOS'!AN151</f>
        <v>17</v>
      </c>
      <c r="AO151" s="734">
        <f>'BASE DE DATOS'!AO151</f>
        <v>20.399999999999999</v>
      </c>
      <c r="AP151" s="734">
        <f>'BASE DE DATOS'!AP151</f>
        <v>23</v>
      </c>
      <c r="AR151" s="734" t="str">
        <f>'BASE DE DATOS'!AR151</f>
        <v>SL</v>
      </c>
      <c r="AS151" s="734" t="str">
        <f>'BASE DE DATOS'!AS151</f>
        <v>SAN LUIS</v>
      </c>
      <c r="AT151" s="734">
        <f>'BASE DE DATOS'!AT151</f>
        <v>6.5</v>
      </c>
      <c r="AU151" s="734">
        <f>'BASE DE DATOS'!AU151</f>
        <v>5.5</v>
      </c>
      <c r="AV151" s="734">
        <f>'BASE DE DATOS'!AV151</f>
        <v>4</v>
      </c>
      <c r="AW151" s="734">
        <f>'BASE DE DATOS'!AW151</f>
        <v>3.5</v>
      </c>
      <c r="AX151" s="734">
        <f>'BASE DE DATOS'!AX151</f>
        <v>2.5</v>
      </c>
      <c r="AY151" s="734">
        <f>'BASE DE DATOS'!AY151</f>
        <v>2</v>
      </c>
      <c r="AZ151" s="734">
        <f>'BASE DE DATOS'!AZ151</f>
        <v>2.5</v>
      </c>
      <c r="BA151" s="734">
        <f>'BASE DE DATOS'!BA151</f>
        <v>3.5</v>
      </c>
      <c r="BB151" s="734">
        <f>'BASE DE DATOS'!BB151</f>
        <v>4.5</v>
      </c>
      <c r="BC151" s="734">
        <f>'BASE DE DATOS'!BC151</f>
        <v>5</v>
      </c>
      <c r="BD151" s="734">
        <f>'BASE DE DATOS'!BD151</f>
        <v>6</v>
      </c>
      <c r="BE151" s="734">
        <f>'BASE DE DATOS'!BE151</f>
        <v>6.5</v>
      </c>
      <c r="DO151" s="733" t="str">
        <f>'BASE DE DATOS'!BG151</f>
        <v>SL</v>
      </c>
      <c r="DP151" s="733" t="str">
        <f>'BASE DE DATOS'!BH151</f>
        <v>SAN LUIS</v>
      </c>
      <c r="DQ151" s="733">
        <f>'BASE DE DATOS'!BI151</f>
        <v>106</v>
      </c>
      <c r="DR151" s="733">
        <f>'BASE DE DATOS'!BJ151</f>
        <v>82</v>
      </c>
      <c r="DS151" s="733">
        <f>'BASE DE DATOS'!BK151</f>
        <v>76</v>
      </c>
      <c r="DT151" s="733">
        <f>'BASE DE DATOS'!BL151</f>
        <v>39</v>
      </c>
      <c r="DU151" s="733">
        <f>'BASE DE DATOS'!BM151</f>
        <v>14</v>
      </c>
      <c r="DV151" s="733">
        <f>'BASE DE DATOS'!BN151</f>
        <v>10</v>
      </c>
      <c r="DW151" s="733">
        <f>'BASE DE DATOS'!BO151</f>
        <v>9</v>
      </c>
      <c r="DX151" s="733">
        <f>'BASE DE DATOS'!BP151</f>
        <v>8</v>
      </c>
      <c r="DY151" s="733">
        <f>'BASE DE DATOS'!BQ151</f>
        <v>19</v>
      </c>
      <c r="DZ151" s="733">
        <f>'BASE DE DATOS'!BR151</f>
        <v>40</v>
      </c>
      <c r="EA151" s="733">
        <f>'BASE DE DATOS'!BS151</f>
        <v>70</v>
      </c>
      <c r="EB151" s="733">
        <f>'BASE DE DATOS'!BT151</f>
        <v>100</v>
      </c>
      <c r="GM151" s="741"/>
      <c r="GN151" s="741"/>
      <c r="GO151" s="741"/>
      <c r="GP151" s="741"/>
      <c r="GQ151" s="741"/>
      <c r="GR151" s="741"/>
      <c r="GS151" s="741"/>
      <c r="GT151" s="741"/>
      <c r="GU151" s="741"/>
      <c r="GV151" s="741"/>
      <c r="GW151" s="727"/>
      <c r="GX151" s="727"/>
      <c r="GY151" s="757"/>
    </row>
    <row r="152" spans="2:207">
      <c r="B152" s="734" t="str">
        <f>'BASE DE DATOS'!B152</f>
        <v>SL</v>
      </c>
      <c r="C152" s="734" t="str">
        <f>'BASE DE DATOS'!C152</f>
        <v>UNIÓN</v>
      </c>
      <c r="D152" s="734">
        <f>'BASE DE DATOS'!D152</f>
        <v>35.17</v>
      </c>
      <c r="E152" s="734">
        <f>'BASE DE DATOS'!E152</f>
        <v>65.95</v>
      </c>
      <c r="F152" s="734">
        <f>'BASE DE DATOS'!F152</f>
        <v>372</v>
      </c>
      <c r="G152" s="734" t="str">
        <f>'BASE DE DATOS'!G152</f>
        <v>IIIA</v>
      </c>
      <c r="H152" s="734">
        <f>'BASE DE DATOS'!H152</f>
        <v>-4.2</v>
      </c>
      <c r="I152" s="734">
        <f>'BASE DE DATOS'!I152</f>
        <v>8.4</v>
      </c>
      <c r="J152" s="734">
        <f>'BASE DE DATOS'!J152</f>
        <v>23.3</v>
      </c>
      <c r="K152" s="734">
        <f>'BASE DE DATOS'!K152</f>
        <v>34.700000000000003</v>
      </c>
      <c r="L152" s="734">
        <f>'BASE DE DATOS'!L152</f>
        <v>63</v>
      </c>
      <c r="M152" s="734">
        <f>'BASE DE DATOS'!M152</f>
        <v>76</v>
      </c>
      <c r="N152" s="734">
        <f>'BASE DE DATOS'!N152</f>
        <v>63</v>
      </c>
      <c r="O152" s="734">
        <f>'BASE DE DATOS'!O152</f>
        <v>10</v>
      </c>
      <c r="P152" s="734">
        <f>'BASE DE DATOS'!P152</f>
        <v>80</v>
      </c>
      <c r="Q152" s="734">
        <f>'BASE DE DATOS'!Q152</f>
        <v>3</v>
      </c>
      <c r="R152" s="734">
        <f>'BASE DE DATOS'!R152</f>
        <v>22.1</v>
      </c>
      <c r="S152" s="734">
        <f>'BASE DE DATOS'!S152</f>
        <v>0.55000000000000004</v>
      </c>
      <c r="T152" s="734">
        <f>'BASE DE DATOS'!T152</f>
        <v>29.7</v>
      </c>
      <c r="U152" s="734">
        <f>'BASE DE DATOS'!U152</f>
        <v>8</v>
      </c>
      <c r="V152" s="734">
        <f>'BASE DE DATOS'!V152</f>
        <v>200</v>
      </c>
      <c r="W152" s="734">
        <f>'BASE DE DATOS'!W152</f>
        <v>123</v>
      </c>
      <c r="X152" s="734">
        <f>'BASE DE DATOS'!X152</f>
        <v>4.0000000000000001E-3</v>
      </c>
      <c r="Y152" s="734">
        <f>'BASE DE DATOS'!Y152</f>
        <v>8.9999999999999993E-3</v>
      </c>
      <c r="Z152" s="734">
        <f>'BASE DE DATOS'!Z152</f>
        <v>130</v>
      </c>
      <c r="AA152" s="734">
        <f>'BASE DE DATOS'!AA152</f>
        <v>1.3</v>
      </c>
      <c r="AB152" s="734">
        <f>'BASE DE DATOS'!AB152</f>
        <v>35</v>
      </c>
      <c r="AD152" s="734" t="str">
        <f>'BASE DE DATOS'!AD152</f>
        <v>UNIÓN</v>
      </c>
      <c r="AE152" s="734">
        <f>'BASE DE DATOS'!AE152</f>
        <v>24.3</v>
      </c>
      <c r="AF152" s="734">
        <f>'BASE DE DATOS'!AF152</f>
        <v>22.9</v>
      </c>
      <c r="AG152" s="734">
        <f>'BASE DE DATOS'!AG152</f>
        <v>20.100000000000001</v>
      </c>
      <c r="AH152" s="734">
        <f>'BASE DE DATOS'!AH152</f>
        <v>15.8</v>
      </c>
      <c r="AI152" s="734">
        <f>'BASE DE DATOS'!AI152</f>
        <v>11.8</v>
      </c>
      <c r="AJ152" s="734">
        <f>'BASE DE DATOS'!AJ152</f>
        <v>8.1999999999999993</v>
      </c>
      <c r="AK152" s="734">
        <f>'BASE DE DATOS'!AK152</f>
        <v>8.1</v>
      </c>
      <c r="AL152" s="734">
        <f>'BASE DE DATOS'!AL152</f>
        <v>10</v>
      </c>
      <c r="AM152" s="734">
        <f>'BASE DE DATOS'!AM152</f>
        <v>12.7</v>
      </c>
      <c r="AN152" s="734">
        <f>'BASE DE DATOS'!AN152</f>
        <v>16.899999999999999</v>
      </c>
      <c r="AO152" s="734">
        <f>'BASE DE DATOS'!AO152</f>
        <v>20.6</v>
      </c>
      <c r="AP152" s="734">
        <f>'BASE DE DATOS'!AP152</f>
        <v>23.1</v>
      </c>
      <c r="AR152" s="734" t="str">
        <f>'BASE DE DATOS'!AR152</f>
        <v>SL</v>
      </c>
      <c r="AS152" s="734" t="str">
        <f>'BASE DE DATOS'!AS152</f>
        <v>UNIÓN</v>
      </c>
      <c r="AT152" s="734">
        <f>'BASE DE DATOS'!AT152</f>
        <v>6.5</v>
      </c>
      <c r="AU152" s="734">
        <f>'BASE DE DATOS'!AU152</f>
        <v>6</v>
      </c>
      <c r="AV152" s="734">
        <f>'BASE DE DATOS'!AV152</f>
        <v>4.5</v>
      </c>
      <c r="AW152" s="734">
        <f>'BASE DE DATOS'!AW152</f>
        <v>3</v>
      </c>
      <c r="AX152" s="734">
        <f>'BASE DE DATOS'!AX152</f>
        <v>2.5</v>
      </c>
      <c r="AY152" s="734">
        <f>'BASE DE DATOS'!AY152</f>
        <v>2</v>
      </c>
      <c r="AZ152" s="734">
        <f>'BASE DE DATOS'!AZ152</f>
        <v>2</v>
      </c>
      <c r="BA152" s="734">
        <f>'BASE DE DATOS'!BA152</f>
        <v>3</v>
      </c>
      <c r="BB152" s="734">
        <f>'BASE DE DATOS'!BB152</f>
        <v>4</v>
      </c>
      <c r="BC152" s="734">
        <f>'BASE DE DATOS'!BC152</f>
        <v>5</v>
      </c>
      <c r="BD152" s="734">
        <f>'BASE DE DATOS'!BD152</f>
        <v>6</v>
      </c>
      <c r="BE152" s="734">
        <f>'BASE DE DATOS'!BE152</f>
        <v>6.5</v>
      </c>
      <c r="DO152" s="733" t="str">
        <f>'BASE DE DATOS'!BG152</f>
        <v>SL</v>
      </c>
      <c r="DP152" s="733" t="str">
        <f>'BASE DE DATOS'!BH152</f>
        <v>UNIÓN</v>
      </c>
      <c r="DQ152" s="733">
        <f>'BASE DE DATOS'!BI152</f>
        <v>106</v>
      </c>
      <c r="DR152" s="733">
        <f>'BASE DE DATOS'!BJ152</f>
        <v>82</v>
      </c>
      <c r="DS152" s="733">
        <f>'BASE DE DATOS'!BK152</f>
        <v>76</v>
      </c>
      <c r="DT152" s="733">
        <f>'BASE DE DATOS'!BL152</f>
        <v>39</v>
      </c>
      <c r="DU152" s="733">
        <f>'BASE DE DATOS'!BM152</f>
        <v>14</v>
      </c>
      <c r="DV152" s="733">
        <f>'BASE DE DATOS'!BN152</f>
        <v>10</v>
      </c>
      <c r="DW152" s="733">
        <f>'BASE DE DATOS'!BO152</f>
        <v>9</v>
      </c>
      <c r="DX152" s="733">
        <f>'BASE DE DATOS'!BP152</f>
        <v>8</v>
      </c>
      <c r="DY152" s="733">
        <f>'BASE DE DATOS'!BQ152</f>
        <v>19</v>
      </c>
      <c r="DZ152" s="733">
        <f>'BASE DE DATOS'!BR152</f>
        <v>40</v>
      </c>
      <c r="EA152" s="733">
        <f>'BASE DE DATOS'!BS152</f>
        <v>70</v>
      </c>
      <c r="EB152" s="733">
        <f>'BASE DE DATOS'!BT152</f>
        <v>100</v>
      </c>
    </row>
    <row r="153" spans="2:207">
      <c r="B153" s="734" t="str">
        <f>'BASE DE DATOS'!B153</f>
        <v>SL</v>
      </c>
      <c r="C153" s="734" t="str">
        <f>'BASE DE DATOS'!C153</f>
        <v>VILLA REYNOLDS</v>
      </c>
      <c r="D153" s="734">
        <f>'BASE DE DATOS'!D153</f>
        <v>33.729999999999997</v>
      </c>
      <c r="E153" s="734">
        <f>'BASE DE DATOS'!E153</f>
        <v>65.38</v>
      </c>
      <c r="F153" s="734">
        <f>'BASE DE DATOS'!F153</f>
        <v>486</v>
      </c>
      <c r="G153" s="734" t="str">
        <f>'BASE DE DATOS'!G153</f>
        <v>IIIA</v>
      </c>
      <c r="H153" s="734">
        <f>'BASE DE DATOS'!H153</f>
        <v>-5.0999999999999996</v>
      </c>
      <c r="I153" s="734">
        <f>'BASE DE DATOS'!I153</f>
        <v>8.6</v>
      </c>
      <c r="J153" s="734">
        <f>'BASE DE DATOS'!J153</f>
        <v>22.5</v>
      </c>
      <c r="K153" s="734">
        <f>'BASE DE DATOS'!K153</f>
        <v>34.1</v>
      </c>
      <c r="L153" s="734">
        <f>'BASE DE DATOS'!L153</f>
        <v>64</v>
      </c>
      <c r="M153" s="734">
        <f>'BASE DE DATOS'!M153</f>
        <v>69</v>
      </c>
      <c r="N153" s="734">
        <f>'BASE DE DATOS'!N153</f>
        <v>64</v>
      </c>
      <c r="O153" s="734">
        <f>'BASE DE DATOS'!O153</f>
        <v>8</v>
      </c>
      <c r="P153" s="734">
        <f>'BASE DE DATOS'!P153</f>
        <v>92</v>
      </c>
      <c r="Q153" s="734">
        <f>'BASE DE DATOS'!Q153</f>
        <v>3</v>
      </c>
      <c r="R153" s="734">
        <f>'BASE DE DATOS'!R153</f>
        <v>21.9</v>
      </c>
      <c r="S153" s="734">
        <f>'BASE DE DATOS'!S153</f>
        <v>0.53</v>
      </c>
      <c r="T153" s="734">
        <f>'BASE DE DATOS'!T153</f>
        <v>29.7</v>
      </c>
      <c r="U153" s="734">
        <f>'BASE DE DATOS'!U153</f>
        <v>8</v>
      </c>
      <c r="V153" s="734">
        <f>'BASE DE DATOS'!V153</f>
        <v>200</v>
      </c>
      <c r="W153" s="734">
        <f>'BASE DE DATOS'!W153</f>
        <v>123</v>
      </c>
      <c r="X153" s="734">
        <f>'BASE DE DATOS'!X153</f>
        <v>4.0000000000000001E-3</v>
      </c>
      <c r="Y153" s="734">
        <f>'BASE DE DATOS'!Y153</f>
        <v>8.9999999999999993E-3</v>
      </c>
      <c r="Z153" s="734">
        <f>'BASE DE DATOS'!Z153</f>
        <v>130</v>
      </c>
      <c r="AA153" s="734">
        <f>'BASE DE DATOS'!AA153</f>
        <v>1.3</v>
      </c>
      <c r="AB153" s="734">
        <f>'BASE DE DATOS'!AB153</f>
        <v>35</v>
      </c>
      <c r="AD153" s="734" t="str">
        <f>'BASE DE DATOS'!AD153</f>
        <v>VILLA REYNOLDS</v>
      </c>
      <c r="AE153" s="734">
        <f>'BASE DE DATOS'!AE153</f>
        <v>23.3</v>
      </c>
      <c r="AF153" s="734">
        <f>'BASE DE DATOS'!AF153</f>
        <v>22.4</v>
      </c>
      <c r="AG153" s="734">
        <f>'BASE DE DATOS'!AG153</f>
        <v>20.2</v>
      </c>
      <c r="AH153" s="734">
        <f>'BASE DE DATOS'!AH153</f>
        <v>15.4</v>
      </c>
      <c r="AI153" s="734">
        <f>'BASE DE DATOS'!AI153</f>
        <v>12.4</v>
      </c>
      <c r="AJ153" s="734">
        <f>'BASE DE DATOS'!AJ153</f>
        <v>9.1</v>
      </c>
      <c r="AK153" s="734">
        <f>'BASE DE DATOS'!AK153</f>
        <v>8.8000000000000007</v>
      </c>
      <c r="AL153" s="734">
        <f>'BASE DE DATOS'!AL153</f>
        <v>10.1</v>
      </c>
      <c r="AM153" s="734">
        <f>'BASE DE DATOS'!AM153</f>
        <v>13.2</v>
      </c>
      <c r="AN153" s="734">
        <f>'BASE DE DATOS'!AN153</f>
        <v>16.600000000000001</v>
      </c>
      <c r="AO153" s="734">
        <f>'BASE DE DATOS'!AO153</f>
        <v>19.899999999999999</v>
      </c>
      <c r="AP153" s="734">
        <f>'BASE DE DATOS'!AP153</f>
        <v>22.1</v>
      </c>
      <c r="AR153" s="734" t="str">
        <f>'BASE DE DATOS'!AR153</f>
        <v>SL</v>
      </c>
      <c r="AS153" s="734" t="str">
        <f>'BASE DE DATOS'!AS153</f>
        <v>VILLA REYNOLDS</v>
      </c>
      <c r="AT153" s="734">
        <f>'BASE DE DATOS'!AT153</f>
        <v>6</v>
      </c>
      <c r="AU153" s="734">
        <f>'BASE DE DATOS'!AU153</f>
        <v>5.5</v>
      </c>
      <c r="AV153" s="734">
        <f>'BASE DE DATOS'!AV153</f>
        <v>4</v>
      </c>
      <c r="AW153" s="734">
        <f>'BASE DE DATOS'!AW153</f>
        <v>3.5</v>
      </c>
      <c r="AX153" s="734">
        <f>'BASE DE DATOS'!AX153</f>
        <v>2.5</v>
      </c>
      <c r="AY153" s="734">
        <f>'BASE DE DATOS'!AY153</f>
        <v>2</v>
      </c>
      <c r="AZ153" s="734">
        <f>'BASE DE DATOS'!AZ153</f>
        <v>2.5</v>
      </c>
      <c r="BA153" s="734">
        <f>'BASE DE DATOS'!BA153</f>
        <v>3.5</v>
      </c>
      <c r="BB153" s="734">
        <f>'BASE DE DATOS'!BB153</f>
        <v>4</v>
      </c>
      <c r="BC153" s="734">
        <f>'BASE DE DATOS'!BC153</f>
        <v>5</v>
      </c>
      <c r="BD153" s="734">
        <f>'BASE DE DATOS'!BD153</f>
        <v>6</v>
      </c>
      <c r="BE153" s="734">
        <f>'BASE DE DATOS'!BE153</f>
        <v>6.5</v>
      </c>
      <c r="DO153" s="733" t="str">
        <f>'BASE DE DATOS'!BG153</f>
        <v>SL</v>
      </c>
      <c r="DP153" s="733" t="str">
        <f>'BASE DE DATOS'!BH153</f>
        <v>VILLA REYNOLDS</v>
      </c>
      <c r="DQ153" s="733">
        <f>'BASE DE DATOS'!BI153</f>
        <v>106</v>
      </c>
      <c r="DR153" s="733">
        <f>'BASE DE DATOS'!BJ153</f>
        <v>82</v>
      </c>
      <c r="DS153" s="733">
        <f>'BASE DE DATOS'!BK153</f>
        <v>76</v>
      </c>
      <c r="DT153" s="733">
        <f>'BASE DE DATOS'!BL153</f>
        <v>39</v>
      </c>
      <c r="DU153" s="733">
        <f>'BASE DE DATOS'!BM153</f>
        <v>14</v>
      </c>
      <c r="DV153" s="733">
        <f>'BASE DE DATOS'!BN153</f>
        <v>10</v>
      </c>
      <c r="DW153" s="733">
        <f>'BASE DE DATOS'!BO153</f>
        <v>9</v>
      </c>
      <c r="DX153" s="733">
        <f>'BASE DE DATOS'!BP153</f>
        <v>8</v>
      </c>
      <c r="DY153" s="733">
        <f>'BASE DE DATOS'!BQ153</f>
        <v>19</v>
      </c>
      <c r="DZ153" s="733">
        <f>'BASE DE DATOS'!BR153</f>
        <v>40</v>
      </c>
      <c r="EA153" s="733">
        <f>'BASE DE DATOS'!BS153</f>
        <v>70</v>
      </c>
      <c r="EB153" s="733">
        <f>'BASE DE DATOS'!BT153</f>
        <v>100</v>
      </c>
    </row>
    <row r="154" spans="2:207">
      <c r="B154" s="734" t="str">
        <f>'BASE DE DATOS'!B154</f>
        <v>SC</v>
      </c>
      <c r="C154" s="734" t="str">
        <f>'BASE DE DATOS'!C154</f>
        <v>LAGO ARGENTINO</v>
      </c>
      <c r="D154" s="734">
        <f>'BASE DE DATOS'!D154</f>
        <v>50.33</v>
      </c>
      <c r="E154" s="734">
        <f>'BASE DE DATOS'!E154</f>
        <v>72.3</v>
      </c>
      <c r="F154" s="734">
        <f>'BASE DE DATOS'!F154</f>
        <v>220</v>
      </c>
      <c r="G154" s="734" t="str">
        <f>'BASE DE DATOS'!G154</f>
        <v>VI</v>
      </c>
      <c r="H154" s="734">
        <f>'BASE DE DATOS'!H154</f>
        <v>-7.4</v>
      </c>
      <c r="I154" s="734">
        <f>'BASE DE DATOS'!I154</f>
        <v>1.6</v>
      </c>
      <c r="J154" s="734">
        <f>'BASE DE DATOS'!J154</f>
        <v>12.7</v>
      </c>
      <c r="K154" s="734">
        <f>'BASE DE DATOS'!K154</f>
        <v>21.8</v>
      </c>
      <c r="L154" s="734">
        <f>'BASE DE DATOS'!L154</f>
        <v>44</v>
      </c>
      <c r="M154" s="734">
        <f>'BASE DE DATOS'!M154</f>
        <v>72</v>
      </c>
      <c r="N154" s="734">
        <f>'BASE DE DATOS'!N154</f>
        <v>44</v>
      </c>
      <c r="O154" s="734">
        <f>'BASE DE DATOS'!O154</f>
        <v>26</v>
      </c>
      <c r="P154" s="734">
        <f>'BASE DE DATOS'!P154</f>
        <v>15</v>
      </c>
      <c r="Q154" s="734">
        <f>'BASE DE DATOS'!Q154</f>
        <v>6</v>
      </c>
      <c r="R154" s="734">
        <f>'BASE DE DATOS'!R154</f>
        <v>12.3</v>
      </c>
      <c r="S154" s="734">
        <f>'BASE DE DATOS'!S154</f>
        <v>0.51</v>
      </c>
      <c r="T154" s="734">
        <f>'BASE DE DATOS'!T154</f>
        <v>100.2</v>
      </c>
      <c r="U154" s="734">
        <f>'BASE DE DATOS'!U154</f>
        <v>0</v>
      </c>
      <c r="V154" s="734">
        <f>'BASE DE DATOS'!V154</f>
        <v>383</v>
      </c>
      <c r="W154" s="734">
        <f>'BASE DE DATOS'!W154</f>
        <v>0</v>
      </c>
      <c r="X154" s="734">
        <f>'BASE DE DATOS'!X154</f>
        <v>0.03</v>
      </c>
      <c r="Y154" s="734">
        <f>'BASE DE DATOS'!Y154</f>
        <v>0</v>
      </c>
      <c r="Z154" s="734">
        <f>'BASE DE DATOS'!Z154</f>
        <v>95</v>
      </c>
      <c r="AA154" s="734">
        <f>'BASE DE DATOS'!AA154</f>
        <v>0.95000000000000007</v>
      </c>
      <c r="AB154" s="734">
        <f>'BASE DE DATOS'!AB154</f>
        <v>50</v>
      </c>
      <c r="AD154" s="734" t="str">
        <f>'BASE DE DATOS'!AD154</f>
        <v>LAGO ARGENTINO</v>
      </c>
      <c r="AE154" s="734">
        <f>'BASE DE DATOS'!AE154</f>
        <v>13.3</v>
      </c>
      <c r="AF154" s="734">
        <f>'BASE DE DATOS'!AF154</f>
        <v>12.8</v>
      </c>
      <c r="AG154" s="734">
        <f>'BASE DE DATOS'!AG154</f>
        <v>10.9</v>
      </c>
      <c r="AH154" s="734">
        <f>'BASE DE DATOS'!AH154</f>
        <v>7.5</v>
      </c>
      <c r="AI154" s="734">
        <f>'BASE DE DATOS'!AI154</f>
        <v>4.3</v>
      </c>
      <c r="AJ154" s="734">
        <f>'BASE DE DATOS'!AJ154</f>
        <v>1.7</v>
      </c>
      <c r="AK154" s="734">
        <f>'BASE DE DATOS'!AK154</f>
        <v>0.6</v>
      </c>
      <c r="AL154" s="734">
        <f>'BASE DE DATOS'!AL154</f>
        <v>2.6</v>
      </c>
      <c r="AM154" s="734">
        <f>'BASE DE DATOS'!AM154</f>
        <v>5</v>
      </c>
      <c r="AN154" s="734">
        <f>'BASE DE DATOS'!AN154</f>
        <v>8.1999999999999993</v>
      </c>
      <c r="AO154" s="734">
        <f>'BASE DE DATOS'!AO154</f>
        <v>11</v>
      </c>
      <c r="AP154" s="734">
        <f>'BASE DE DATOS'!AP154</f>
        <v>12.1</v>
      </c>
      <c r="AR154" s="734" t="str">
        <f>'BASE DE DATOS'!AR154</f>
        <v>SC</v>
      </c>
      <c r="AS154" s="734" t="str">
        <f>'BASE DE DATOS'!AS154</f>
        <v>LAGO ARGENTINO</v>
      </c>
      <c r="AT154" s="734">
        <f>'BASE DE DATOS'!AT154</f>
        <v>5.5</v>
      </c>
      <c r="AU154" s="734">
        <f>'BASE DE DATOS'!AU154</f>
        <v>4.5</v>
      </c>
      <c r="AV154" s="734">
        <f>'BASE DE DATOS'!AV154</f>
        <v>2.5</v>
      </c>
      <c r="AW154" s="734">
        <f>'BASE DE DATOS'!AW154</f>
        <v>1.5</v>
      </c>
      <c r="AX154" s="734">
        <f>'BASE DE DATOS'!AX154</f>
        <v>1</v>
      </c>
      <c r="AY154" s="734">
        <f>'BASE DE DATOS'!AY154</f>
        <v>0.5</v>
      </c>
      <c r="AZ154" s="734">
        <f>'BASE DE DATOS'!AZ154</f>
        <v>0.5</v>
      </c>
      <c r="BA154" s="734">
        <f>'BASE DE DATOS'!BA154</f>
        <v>1.5</v>
      </c>
      <c r="BB154" s="734">
        <f>'BASE DE DATOS'!BB154</f>
        <v>2.5</v>
      </c>
      <c r="BC154" s="734">
        <f>'BASE DE DATOS'!BC154</f>
        <v>4</v>
      </c>
      <c r="BD154" s="734">
        <f>'BASE DE DATOS'!BD154</f>
        <v>5</v>
      </c>
      <c r="BE154" s="734">
        <f>'BASE DE DATOS'!BE154</f>
        <v>5.5</v>
      </c>
      <c r="DO154" s="733" t="str">
        <f>'BASE DE DATOS'!BG154</f>
        <v>SC</v>
      </c>
      <c r="DP154" s="733" t="str">
        <f>'BASE DE DATOS'!BH154</f>
        <v>LAGO ARGENTINO</v>
      </c>
      <c r="DQ154" s="733">
        <f>'BASE DE DATOS'!BI154</f>
        <v>21</v>
      </c>
      <c r="DR154" s="733">
        <f>'BASE DE DATOS'!BJ154</f>
        <v>12.7</v>
      </c>
      <c r="DS154" s="733">
        <f>'BASE DE DATOS'!BK154</f>
        <v>18.8</v>
      </c>
      <c r="DT154" s="733">
        <f>'BASE DE DATOS'!BL154</f>
        <v>12.5</v>
      </c>
      <c r="DU154" s="733">
        <f>'BASE DE DATOS'!BM154</f>
        <v>21.3</v>
      </c>
      <c r="DV154" s="733">
        <f>'BASE DE DATOS'!BN154</f>
        <v>14.7</v>
      </c>
      <c r="DW154" s="733">
        <f>'BASE DE DATOS'!BO154</f>
        <v>14.2</v>
      </c>
      <c r="DX154" s="733">
        <f>'BASE DE DATOS'!BP154</f>
        <v>14</v>
      </c>
      <c r="DY154" s="733">
        <f>'BASE DE DATOS'!BQ154</f>
        <v>12.7</v>
      </c>
      <c r="DZ154" s="733">
        <f>'BASE DE DATOS'!BR154</f>
        <v>10.199999999999999</v>
      </c>
      <c r="EA154" s="733">
        <f>'BASE DE DATOS'!BS154</f>
        <v>13</v>
      </c>
      <c r="EB154" s="733">
        <f>'BASE DE DATOS'!BT154</f>
        <v>16.600000000000001</v>
      </c>
    </row>
    <row r="155" spans="2:207">
      <c r="B155" s="734" t="str">
        <f>'BASE DE DATOS'!B155</f>
        <v>SC</v>
      </c>
      <c r="C155" s="734" t="str">
        <f>'BASE DE DATOS'!C155</f>
        <v>PUERTO DESEADO</v>
      </c>
      <c r="D155" s="734">
        <f>'BASE DE DATOS'!D155</f>
        <v>47.73</v>
      </c>
      <c r="E155" s="734">
        <f>'BASE DE DATOS'!E155</f>
        <v>65.92</v>
      </c>
      <c r="F155" s="734">
        <f>'BASE DE DATOS'!F155</f>
        <v>79</v>
      </c>
      <c r="G155" s="734" t="str">
        <f>'BASE DE DATOS'!G155</f>
        <v>VI</v>
      </c>
      <c r="H155" s="734">
        <f>'BASE DE DATOS'!H155</f>
        <v>-5</v>
      </c>
      <c r="I155" s="734">
        <f>'BASE DE DATOS'!I155</f>
        <v>4.3</v>
      </c>
      <c r="J155" s="734">
        <f>'BASE DE DATOS'!J155</f>
        <v>13.9</v>
      </c>
      <c r="K155" s="734">
        <f>'BASE DE DATOS'!K155</f>
        <v>23.6</v>
      </c>
      <c r="L155" s="734">
        <f>'BASE DE DATOS'!L155</f>
        <v>36</v>
      </c>
      <c r="M155" s="734">
        <f>'BASE DE DATOS'!M155</f>
        <v>75</v>
      </c>
      <c r="N155" s="734">
        <f>'BASE DE DATOS'!N155</f>
        <v>35</v>
      </c>
      <c r="O155" s="734">
        <f>'BASE DE DATOS'!O155</f>
        <v>20</v>
      </c>
      <c r="P155" s="734">
        <f>'BASE DE DATOS'!P155</f>
        <v>9</v>
      </c>
      <c r="Q155" s="734">
        <f>'BASE DE DATOS'!Q155</f>
        <v>6</v>
      </c>
      <c r="R155" s="734">
        <f>'BASE DE DATOS'!R155</f>
        <v>13</v>
      </c>
      <c r="S155" s="734">
        <f>'BASE DE DATOS'!S155</f>
        <v>0.51</v>
      </c>
      <c r="T155" s="734">
        <f>'BASE DE DATOS'!T155</f>
        <v>100.2</v>
      </c>
      <c r="U155" s="734">
        <f>'BASE DE DATOS'!U155</f>
        <v>0</v>
      </c>
      <c r="V155" s="734">
        <f>'BASE DE DATOS'!V155</f>
        <v>383</v>
      </c>
      <c r="W155" s="734">
        <f>'BASE DE DATOS'!W155</f>
        <v>0</v>
      </c>
      <c r="X155" s="734">
        <f>'BASE DE DATOS'!X155</f>
        <v>0.03</v>
      </c>
      <c r="Y155" s="734">
        <f>'BASE DE DATOS'!Y155</f>
        <v>0</v>
      </c>
      <c r="Z155" s="734">
        <f>'BASE DE DATOS'!Z155</f>
        <v>105</v>
      </c>
      <c r="AA155" s="734">
        <f>'BASE DE DATOS'!AA155</f>
        <v>1.05</v>
      </c>
      <c r="AB155" s="734">
        <f>'BASE DE DATOS'!AB155</f>
        <v>50</v>
      </c>
      <c r="AD155" s="734" t="str">
        <f>'BASE DE DATOS'!AD155</f>
        <v>PUERTO DESEADO</v>
      </c>
      <c r="AE155" s="734">
        <f>'BASE DE DATOS'!AE155</f>
        <v>15.1</v>
      </c>
      <c r="AF155" s="734">
        <f>'BASE DE DATOS'!AF155</f>
        <v>14.8</v>
      </c>
      <c r="AG155" s="734">
        <f>'BASE DE DATOS'!AG155</f>
        <v>13.2</v>
      </c>
      <c r="AH155" s="734">
        <f>'BASE DE DATOS'!AH155</f>
        <v>10.199999999999999</v>
      </c>
      <c r="AI155" s="734">
        <f>'BASE DE DATOS'!AI155</f>
        <v>7</v>
      </c>
      <c r="AJ155" s="734">
        <f>'BASE DE DATOS'!AJ155</f>
        <v>4</v>
      </c>
      <c r="AK155" s="734">
        <f>'BASE DE DATOS'!AK155</f>
        <v>3.9</v>
      </c>
      <c r="AL155" s="734">
        <f>'BASE DE DATOS'!AL155</f>
        <v>5.0999999999999996</v>
      </c>
      <c r="AM155" s="734">
        <f>'BASE DE DATOS'!AM155</f>
        <v>7</v>
      </c>
      <c r="AN155" s="734">
        <f>'BASE DE DATOS'!AN155</f>
        <v>9.6</v>
      </c>
      <c r="AO155" s="734">
        <f>'BASE DE DATOS'!AO155</f>
        <v>12.6</v>
      </c>
      <c r="AP155" s="734">
        <f>'BASE DE DATOS'!AP155</f>
        <v>14</v>
      </c>
      <c r="AR155" s="734" t="str">
        <f>'BASE DE DATOS'!AR155</f>
        <v>SC</v>
      </c>
      <c r="AS155" s="734" t="str">
        <f>'BASE DE DATOS'!AS155</f>
        <v>PUERTO DESEADO</v>
      </c>
      <c r="AT155" s="734">
        <f>'BASE DE DATOS'!AT155</f>
        <v>6</v>
      </c>
      <c r="AU155" s="734">
        <f>'BASE DE DATOS'!AU155</f>
        <v>5</v>
      </c>
      <c r="AV155" s="734">
        <f>'BASE DE DATOS'!AV155</f>
        <v>3.5</v>
      </c>
      <c r="AW155" s="734">
        <f>'BASE DE DATOS'!AW155</f>
        <v>2</v>
      </c>
      <c r="AX155" s="734">
        <f>'BASE DE DATOS'!AX155</f>
        <v>1</v>
      </c>
      <c r="AY155" s="734">
        <f>'BASE DE DATOS'!AY155</f>
        <v>0.5</v>
      </c>
      <c r="AZ155" s="734">
        <f>'BASE DE DATOS'!AZ155</f>
        <v>1</v>
      </c>
      <c r="BA155" s="734">
        <f>'BASE DE DATOS'!BA155</f>
        <v>2</v>
      </c>
      <c r="BB155" s="734">
        <f>'BASE DE DATOS'!BB155</f>
        <v>3</v>
      </c>
      <c r="BC155" s="734">
        <f>'BASE DE DATOS'!BC155</f>
        <v>4.5</v>
      </c>
      <c r="BD155" s="734">
        <f>'BASE DE DATOS'!BD155</f>
        <v>5.5</v>
      </c>
      <c r="BE155" s="734">
        <f>'BASE DE DATOS'!BE155</f>
        <v>6.5</v>
      </c>
      <c r="DO155" s="733" t="str">
        <f>'BASE DE DATOS'!BG155</f>
        <v>SC</v>
      </c>
      <c r="DP155" s="733" t="str">
        <f>'BASE DE DATOS'!BH155</f>
        <v>PUERTO DESEADO</v>
      </c>
      <c r="DQ155" s="733">
        <f>'BASE DE DATOS'!BI155</f>
        <v>21</v>
      </c>
      <c r="DR155" s="733">
        <f>'BASE DE DATOS'!BJ155</f>
        <v>12.7</v>
      </c>
      <c r="DS155" s="733">
        <f>'BASE DE DATOS'!BK155</f>
        <v>18.8</v>
      </c>
      <c r="DT155" s="733">
        <f>'BASE DE DATOS'!BL155</f>
        <v>12.5</v>
      </c>
      <c r="DU155" s="733">
        <f>'BASE DE DATOS'!BM155</f>
        <v>21.3</v>
      </c>
      <c r="DV155" s="733">
        <f>'BASE DE DATOS'!BN155</f>
        <v>14.7</v>
      </c>
      <c r="DW155" s="733">
        <f>'BASE DE DATOS'!BO155</f>
        <v>14.2</v>
      </c>
      <c r="DX155" s="733">
        <f>'BASE DE DATOS'!BP155</f>
        <v>14</v>
      </c>
      <c r="DY155" s="733">
        <f>'BASE DE DATOS'!BQ155</f>
        <v>12.7</v>
      </c>
      <c r="DZ155" s="733">
        <f>'BASE DE DATOS'!BR155</f>
        <v>10.199999999999999</v>
      </c>
      <c r="EA155" s="733">
        <f>'BASE DE DATOS'!BS155</f>
        <v>13</v>
      </c>
      <c r="EB155" s="733">
        <f>'BASE DE DATOS'!BT155</f>
        <v>16.600000000000001</v>
      </c>
    </row>
    <row r="156" spans="2:207">
      <c r="B156" s="734" t="str">
        <f>'BASE DE DATOS'!B156</f>
        <v>SC</v>
      </c>
      <c r="C156" s="734" t="str">
        <f>'BASE DE DATOS'!C156</f>
        <v>RIO GALLEGOS</v>
      </c>
      <c r="D156" s="734">
        <f>'BASE DE DATOS'!D156</f>
        <v>51.62</v>
      </c>
      <c r="E156" s="734">
        <f>'BASE DE DATOS'!E156</f>
        <v>69.28</v>
      </c>
      <c r="F156" s="734">
        <f>'BASE DE DATOS'!F156</f>
        <v>17</v>
      </c>
      <c r="G156" s="734" t="str">
        <f>'BASE DE DATOS'!G156</f>
        <v>VI</v>
      </c>
      <c r="H156" s="734">
        <f>'BASE DE DATOS'!H156</f>
        <v>-10</v>
      </c>
      <c r="I156" s="734">
        <f>'BASE DE DATOS'!I156</f>
        <v>1.7</v>
      </c>
      <c r="J156" s="734">
        <f>'BASE DE DATOS'!J156</f>
        <v>12.6</v>
      </c>
      <c r="K156" s="734">
        <f>'BASE DE DATOS'!K156</f>
        <v>22</v>
      </c>
      <c r="L156" s="734">
        <f>'BASE DE DATOS'!L156</f>
        <v>56</v>
      </c>
      <c r="M156" s="734">
        <f>'BASE DE DATOS'!M156</f>
        <v>81</v>
      </c>
      <c r="N156" s="734">
        <f>'BASE DE DATOS'!N156</f>
        <v>56</v>
      </c>
      <c r="O156" s="734">
        <f>'BASE DE DATOS'!O156</f>
        <v>13</v>
      </c>
      <c r="P156" s="734">
        <f>'BASE DE DATOS'!P156</f>
        <v>22</v>
      </c>
      <c r="Q156" s="734">
        <f>'BASE DE DATOS'!Q156</f>
        <v>6</v>
      </c>
      <c r="R156" s="734">
        <f>'BASE DE DATOS'!R156</f>
        <v>12.2</v>
      </c>
      <c r="S156" s="734">
        <f>'BASE DE DATOS'!S156</f>
        <v>0.51</v>
      </c>
      <c r="T156" s="734">
        <f>'BASE DE DATOS'!T156</f>
        <v>100.2</v>
      </c>
      <c r="U156" s="734">
        <f>'BASE DE DATOS'!U156</f>
        <v>0</v>
      </c>
      <c r="V156" s="734">
        <f>'BASE DE DATOS'!V156</f>
        <v>383</v>
      </c>
      <c r="W156" s="734">
        <f>'BASE DE DATOS'!W156</f>
        <v>0</v>
      </c>
      <c r="X156" s="734">
        <f>'BASE DE DATOS'!X156</f>
        <v>0.03</v>
      </c>
      <c r="Y156" s="734">
        <f>'BASE DE DATOS'!Y156</f>
        <v>0</v>
      </c>
      <c r="Z156" s="734">
        <f>'BASE DE DATOS'!Z156</f>
        <v>105</v>
      </c>
      <c r="AA156" s="734">
        <f>'BASE DE DATOS'!AA156</f>
        <v>1.05</v>
      </c>
      <c r="AB156" s="734">
        <f>'BASE DE DATOS'!AB156</f>
        <v>50</v>
      </c>
      <c r="AD156" s="734" t="str">
        <f>'BASE DE DATOS'!AD156</f>
        <v>RIO GALLEGOS</v>
      </c>
      <c r="AE156" s="734">
        <f>'BASE DE DATOS'!AE156</f>
        <v>12.9</v>
      </c>
      <c r="AF156" s="734">
        <f>'BASE DE DATOS'!AF156</f>
        <v>12.5</v>
      </c>
      <c r="AG156" s="734">
        <f>'BASE DE DATOS'!AG156</f>
        <v>10.6</v>
      </c>
      <c r="AH156" s="734">
        <f>'BASE DE DATOS'!AH156</f>
        <v>7.3</v>
      </c>
      <c r="AI156" s="734">
        <f>'BASE DE DATOS'!AI156</f>
        <v>3.8</v>
      </c>
      <c r="AJ156" s="734">
        <f>'BASE DE DATOS'!AJ156</f>
        <v>1.3</v>
      </c>
      <c r="AK156" s="734">
        <f>'BASE DE DATOS'!AK156</f>
        <v>0.9</v>
      </c>
      <c r="AL156" s="734">
        <f>'BASE DE DATOS'!AL156</f>
        <v>2.9</v>
      </c>
      <c r="AM156" s="734">
        <f>'BASE DE DATOS'!AM156</f>
        <v>5.0999999999999996</v>
      </c>
      <c r="AN156" s="734">
        <f>'BASE DE DATOS'!AN156</f>
        <v>8.3000000000000007</v>
      </c>
      <c r="AO156" s="734">
        <f>'BASE DE DATOS'!AO156</f>
        <v>10.9</v>
      </c>
      <c r="AP156" s="734">
        <f>'BASE DE DATOS'!AP156</f>
        <v>12.4</v>
      </c>
      <c r="AR156" s="734" t="str">
        <f>'BASE DE DATOS'!AR156</f>
        <v>SC</v>
      </c>
      <c r="AS156" s="734" t="str">
        <f>'BASE DE DATOS'!AS156</f>
        <v>RIO GALLEGOS</v>
      </c>
      <c r="AT156" s="734">
        <f>'BASE DE DATOS'!AT156</f>
        <v>6</v>
      </c>
      <c r="AU156" s="734">
        <f>'BASE DE DATOS'!AU156</f>
        <v>5</v>
      </c>
      <c r="AV156" s="734">
        <f>'BASE DE DATOS'!AV156</f>
        <v>3</v>
      </c>
      <c r="AW156" s="734">
        <f>'BASE DE DATOS'!AW156</f>
        <v>1.5</v>
      </c>
      <c r="AX156" s="734">
        <f>'BASE DE DATOS'!AX156</f>
        <v>1</v>
      </c>
      <c r="AY156" s="734">
        <f>'BASE DE DATOS'!AY156</f>
        <v>0.5</v>
      </c>
      <c r="AZ156" s="734">
        <f>'BASE DE DATOS'!AZ156</f>
        <v>0.5</v>
      </c>
      <c r="BA156" s="734">
        <f>'BASE DE DATOS'!BA156</f>
        <v>1.5</v>
      </c>
      <c r="BB156" s="734">
        <f>'BASE DE DATOS'!BB156</f>
        <v>2.5</v>
      </c>
      <c r="BC156" s="734">
        <f>'BASE DE DATOS'!BC156</f>
        <v>4</v>
      </c>
      <c r="BD156" s="734">
        <f>'BASE DE DATOS'!BD156</f>
        <v>5</v>
      </c>
      <c r="BE156" s="734">
        <f>'BASE DE DATOS'!BE156</f>
        <v>5.5</v>
      </c>
      <c r="DO156" s="733" t="str">
        <f>'BASE DE DATOS'!BG156</f>
        <v>SC</v>
      </c>
      <c r="DP156" s="733" t="str">
        <f>'BASE DE DATOS'!BH156</f>
        <v>RIO GALLEGOS</v>
      </c>
      <c r="DQ156" s="733">
        <f>'BASE DE DATOS'!BI156</f>
        <v>21</v>
      </c>
      <c r="DR156" s="733">
        <f>'BASE DE DATOS'!BJ156</f>
        <v>12.7</v>
      </c>
      <c r="DS156" s="733">
        <f>'BASE DE DATOS'!BK156</f>
        <v>18.8</v>
      </c>
      <c r="DT156" s="733">
        <f>'BASE DE DATOS'!BL156</f>
        <v>12.5</v>
      </c>
      <c r="DU156" s="733">
        <f>'BASE DE DATOS'!BM156</f>
        <v>21.3</v>
      </c>
      <c r="DV156" s="733">
        <f>'BASE DE DATOS'!BN156</f>
        <v>14.7</v>
      </c>
      <c r="DW156" s="733">
        <f>'BASE DE DATOS'!BO156</f>
        <v>14.2</v>
      </c>
      <c r="DX156" s="733">
        <f>'BASE DE DATOS'!BP156</f>
        <v>14</v>
      </c>
      <c r="DY156" s="733">
        <f>'BASE DE DATOS'!BQ156</f>
        <v>12.7</v>
      </c>
      <c r="DZ156" s="733">
        <f>'BASE DE DATOS'!BR156</f>
        <v>10.199999999999999</v>
      </c>
      <c r="EA156" s="733">
        <f>'BASE DE DATOS'!BS156</f>
        <v>13</v>
      </c>
      <c r="EB156" s="733">
        <f>'BASE DE DATOS'!BT156</f>
        <v>16.600000000000001</v>
      </c>
    </row>
    <row r="157" spans="2:207">
      <c r="B157" s="734" t="str">
        <f>'BASE DE DATOS'!B157</f>
        <v>SF</v>
      </c>
      <c r="C157" s="734" t="str">
        <f>'BASE DE DATOS'!C157</f>
        <v>ÁNGEL GALLARDO</v>
      </c>
      <c r="D157" s="734">
        <f>'BASE DE DATOS'!D157</f>
        <v>31.62</v>
      </c>
      <c r="E157" s="734">
        <f>'BASE DE DATOS'!E157</f>
        <v>60.68</v>
      </c>
      <c r="F157" s="734">
        <f>'BASE DE DATOS'!F157</f>
        <v>18</v>
      </c>
      <c r="G157" s="734" t="str">
        <f>'BASE DE DATOS'!G157</f>
        <v>IIB</v>
      </c>
      <c r="H157" s="734">
        <f>'BASE DE DATOS'!H157</f>
        <v>1.7</v>
      </c>
      <c r="I157" s="734">
        <f>'BASE DE DATOS'!I157</f>
        <v>12.6</v>
      </c>
      <c r="J157" s="734">
        <f>'BASE DE DATOS'!J157</f>
        <v>24.1</v>
      </c>
      <c r="K157" s="734">
        <f>'BASE DE DATOS'!K157</f>
        <v>34.299999999999997</v>
      </c>
      <c r="L157" s="734">
        <f>'BASE DE DATOS'!L157</f>
        <v>66</v>
      </c>
      <c r="M157" s="734">
        <f>'BASE DE DATOS'!M157</f>
        <v>74</v>
      </c>
      <c r="N157" s="734">
        <f>'BASE DE DATOS'!N157</f>
        <v>66</v>
      </c>
      <c r="O157" s="734">
        <f>'BASE DE DATOS'!O157</f>
        <v>31</v>
      </c>
      <c r="P157" s="734">
        <f>'BASE DE DATOS'!P157</f>
        <v>105</v>
      </c>
      <c r="Q157" s="734">
        <f>'BASE DE DATOS'!Q157</f>
        <v>2</v>
      </c>
      <c r="R157" s="734">
        <f>'BASE DE DATOS'!R157</f>
        <v>23.9</v>
      </c>
      <c r="S157" s="734">
        <f>'BASE DE DATOS'!S157</f>
        <v>0.53</v>
      </c>
      <c r="T157" s="734">
        <f>'BASE DE DATOS'!T157</f>
        <v>20.9</v>
      </c>
      <c r="U157" s="734">
        <f>'BASE DE DATOS'!U157</f>
        <v>10</v>
      </c>
      <c r="V157" s="734">
        <f>'BASE DE DATOS'!V157</f>
        <v>50</v>
      </c>
      <c r="W157" s="734">
        <f>'BASE DE DATOS'!W157</f>
        <v>115</v>
      </c>
      <c r="X157" s="734">
        <f>'BASE DE DATOS'!X157</f>
        <v>1.6E-2</v>
      </c>
      <c r="Y157" s="734">
        <f>'BASE DE DATOS'!Y157</f>
        <v>1.0999999999999999E-2</v>
      </c>
      <c r="Z157" s="734">
        <f>'BASE DE DATOS'!Z157</f>
        <v>155</v>
      </c>
      <c r="AA157" s="734">
        <f>'BASE DE DATOS'!AA157</f>
        <v>1.55</v>
      </c>
      <c r="AB157" s="734">
        <f>'BASE DE DATOS'!AB157</f>
        <v>30</v>
      </c>
      <c r="AD157" s="734" t="str">
        <f>'BASE DE DATOS'!AD157</f>
        <v>ÁNGEL GALLARDO</v>
      </c>
      <c r="AE157" s="734">
        <f>'BASE DE DATOS'!AE157</f>
        <v>25.2</v>
      </c>
      <c r="AF157" s="734">
        <f>'BASE DE DATOS'!AF157</f>
        <v>24.4</v>
      </c>
      <c r="AG157" s="734">
        <f>'BASE DE DATOS'!AG157</f>
        <v>22.6</v>
      </c>
      <c r="AH157" s="734">
        <f>'BASE DE DATOS'!AH157</f>
        <v>17.600000000000001</v>
      </c>
      <c r="AI157" s="734">
        <f>'BASE DE DATOS'!AI157</f>
        <v>15.3</v>
      </c>
      <c r="AJ157" s="734">
        <f>'BASE DE DATOS'!AJ157</f>
        <v>12.4</v>
      </c>
      <c r="AK157" s="734">
        <f>'BASE DE DATOS'!AK157</f>
        <v>12.3</v>
      </c>
      <c r="AL157" s="734">
        <f>'BASE DE DATOS'!AL157</f>
        <v>13.7</v>
      </c>
      <c r="AM157" s="734">
        <f>'BASE DE DATOS'!AM157</f>
        <v>15.4</v>
      </c>
      <c r="AN157" s="734">
        <f>'BASE DE DATOS'!AN157</f>
        <v>18.399999999999999</v>
      </c>
      <c r="AO157" s="734">
        <f>'BASE DE DATOS'!AO157</f>
        <v>21.5</v>
      </c>
      <c r="AP157" s="734">
        <f>'BASE DE DATOS'!AP157</f>
        <v>23.6</v>
      </c>
      <c r="AR157" s="734" t="str">
        <f>'BASE DE DATOS'!AR157</f>
        <v>SF</v>
      </c>
      <c r="AS157" s="734" t="str">
        <f>'BASE DE DATOS'!AS157</f>
        <v>ÁNGEL GALLARDO</v>
      </c>
      <c r="AT157" s="734">
        <f>'BASE DE DATOS'!AT157</f>
        <v>6.5</v>
      </c>
      <c r="AU157" s="734">
        <f>'BASE DE DATOS'!AU157</f>
        <v>5.5</v>
      </c>
      <c r="AV157" s="734">
        <f>'BASE DE DATOS'!AV157</f>
        <v>5</v>
      </c>
      <c r="AW157" s="734">
        <f>'BASE DE DATOS'!AW157</f>
        <v>3.5</v>
      </c>
      <c r="AX157" s="734">
        <f>'BASE DE DATOS'!AX157</f>
        <v>3</v>
      </c>
      <c r="AY157" s="734">
        <f>'BASE DE DATOS'!AY157</f>
        <v>2.5</v>
      </c>
      <c r="AZ157" s="734">
        <f>'BASE DE DATOS'!AZ157</f>
        <v>2.5</v>
      </c>
      <c r="BA157" s="734">
        <f>'BASE DE DATOS'!BA157</f>
        <v>3.5</v>
      </c>
      <c r="BB157" s="734">
        <f>'BASE DE DATOS'!BB157</f>
        <v>4</v>
      </c>
      <c r="BC157" s="734">
        <f>'BASE DE DATOS'!BC157</f>
        <v>5.5</v>
      </c>
      <c r="BD157" s="734">
        <f>'BASE DE DATOS'!BD157</f>
        <v>6</v>
      </c>
      <c r="BE157" s="734">
        <f>'BASE DE DATOS'!BE157</f>
        <v>6.5</v>
      </c>
      <c r="DO157" s="733" t="str">
        <f>'BASE DE DATOS'!BG157</f>
        <v>SF</v>
      </c>
      <c r="DP157" s="733" t="str">
        <f>'BASE DE DATOS'!BH157</f>
        <v>ÁNGEL GALLARDO</v>
      </c>
      <c r="DQ157" s="733">
        <f>'BASE DE DATOS'!BI157</f>
        <v>128</v>
      </c>
      <c r="DR157" s="733">
        <f>'BASE DE DATOS'!BJ157</f>
        <v>100</v>
      </c>
      <c r="DS157" s="733">
        <f>'BASE DE DATOS'!BK157</f>
        <v>141</v>
      </c>
      <c r="DT157" s="733">
        <f>'BASE DE DATOS'!BL157</f>
        <v>94</v>
      </c>
      <c r="DU157" s="733">
        <f>'BASE DE DATOS'!BM157</f>
        <v>48</v>
      </c>
      <c r="DV157" s="733">
        <f>'BASE DE DATOS'!BN157</f>
        <v>34</v>
      </c>
      <c r="DW157" s="733">
        <f>'BASE DE DATOS'!BO157</f>
        <v>32</v>
      </c>
      <c r="DX157" s="733">
        <f>'BASE DE DATOS'!BP157</f>
        <v>35</v>
      </c>
      <c r="DY157" s="733">
        <f>'BASE DE DATOS'!BQ157</f>
        <v>47</v>
      </c>
      <c r="DZ157" s="733">
        <f>'BASE DE DATOS'!BR157</f>
        <v>97</v>
      </c>
      <c r="EA157" s="733">
        <f>'BASE DE DATOS'!BS157</f>
        <v>111</v>
      </c>
      <c r="EB157" s="733">
        <f>'BASE DE DATOS'!BT157</f>
        <v>103</v>
      </c>
    </row>
    <row r="158" spans="2:207">
      <c r="B158" s="734" t="str">
        <f>'BASE DE DATOS'!B158</f>
        <v>SF</v>
      </c>
      <c r="C158" s="734" t="str">
        <f>'BASE DE DATOS'!C158</f>
        <v>CERES</v>
      </c>
      <c r="D158" s="734">
        <f>'BASE DE DATOS'!D158</f>
        <v>29.88</v>
      </c>
      <c r="E158" s="734">
        <f>'BASE DE DATOS'!E158</f>
        <v>61.95</v>
      </c>
      <c r="F158" s="734">
        <f>'BASE DE DATOS'!F158</f>
        <v>88</v>
      </c>
      <c r="G158" s="734" t="str">
        <f>'BASE DE DATOS'!G158</f>
        <v>IIA</v>
      </c>
      <c r="H158" s="734">
        <f>'BASE DE DATOS'!H158</f>
        <v>1.5</v>
      </c>
      <c r="I158" s="734">
        <f>'BASE DE DATOS'!I158</f>
        <v>13.1</v>
      </c>
      <c r="J158" s="734">
        <f>'BASE DE DATOS'!J158</f>
        <v>25.1</v>
      </c>
      <c r="K158" s="734">
        <f>'BASE DE DATOS'!K158</f>
        <v>35.6</v>
      </c>
      <c r="L158" s="734">
        <f>'BASE DE DATOS'!L158</f>
        <v>66</v>
      </c>
      <c r="M158" s="734">
        <f>'BASE DE DATOS'!M158</f>
        <v>74</v>
      </c>
      <c r="N158" s="734">
        <f>'BASE DE DATOS'!N158</f>
        <v>66</v>
      </c>
      <c r="O158" s="734">
        <f>'BASE DE DATOS'!O158</f>
        <v>22</v>
      </c>
      <c r="P158" s="734">
        <f>'BASE DE DATOS'!P158</f>
        <v>112</v>
      </c>
      <c r="Q158" s="734">
        <f>'BASE DE DATOS'!Q158</f>
        <v>2</v>
      </c>
      <c r="R158" s="734">
        <f>'BASE DE DATOS'!R158</f>
        <v>24.7</v>
      </c>
      <c r="S158" s="734">
        <f>'BASE DE DATOS'!S158</f>
        <v>0.51</v>
      </c>
      <c r="T158" s="734">
        <f>'BASE DE DATOS'!T158</f>
        <v>20.9</v>
      </c>
      <c r="U158" s="734">
        <f>'BASE DE DATOS'!U158</f>
        <v>10</v>
      </c>
      <c r="V158" s="734">
        <f>'BASE DE DATOS'!V158</f>
        <v>50</v>
      </c>
      <c r="W158" s="734">
        <f>'BASE DE DATOS'!W158</f>
        <v>115</v>
      </c>
      <c r="X158" s="734">
        <f>'BASE DE DATOS'!X158</f>
        <v>1.6E-2</v>
      </c>
      <c r="Y158" s="734">
        <f>'BASE DE DATOS'!Y158</f>
        <v>1.0999999999999999E-2</v>
      </c>
      <c r="Z158" s="734">
        <f>'BASE DE DATOS'!Z158</f>
        <v>160</v>
      </c>
      <c r="AA158" s="734">
        <f>'BASE DE DATOS'!AA158</f>
        <v>1.6</v>
      </c>
      <c r="AB158" s="734">
        <f>'BASE DE DATOS'!AB158</f>
        <v>30</v>
      </c>
      <c r="AD158" s="734" t="str">
        <f>'BASE DE DATOS'!AD158</f>
        <v>CERES</v>
      </c>
      <c r="AE158" s="734">
        <f>'BASE DE DATOS'!AE158</f>
        <v>26.1</v>
      </c>
      <c r="AF158" s="734">
        <f>'BASE DE DATOS'!AF158</f>
        <v>24.9</v>
      </c>
      <c r="AG158" s="734">
        <f>'BASE DE DATOS'!AG158</f>
        <v>22.6</v>
      </c>
      <c r="AH158" s="734">
        <f>'BASE DE DATOS'!AH158</f>
        <v>18.2</v>
      </c>
      <c r="AI158" s="734">
        <f>'BASE DE DATOS'!AI158</f>
        <v>15.8</v>
      </c>
      <c r="AJ158" s="734">
        <f>'BASE DE DATOS'!AJ158</f>
        <v>13.1</v>
      </c>
      <c r="AK158" s="734">
        <f>'BASE DE DATOS'!AK158</f>
        <v>12.4</v>
      </c>
      <c r="AL158" s="734">
        <f>'BASE DE DATOS'!AL158</f>
        <v>14</v>
      </c>
      <c r="AM158" s="734">
        <f>'BASE DE DATOS'!AM158</f>
        <v>16.5</v>
      </c>
      <c r="AN158" s="734">
        <f>'BASE DE DATOS'!AN158</f>
        <v>19.3</v>
      </c>
      <c r="AO158" s="734">
        <f>'BASE DE DATOS'!AO158</f>
        <v>22.3</v>
      </c>
      <c r="AP158" s="734">
        <f>'BASE DE DATOS'!AP158</f>
        <v>24.9</v>
      </c>
      <c r="AR158" s="734" t="str">
        <f>'BASE DE DATOS'!AR158</f>
        <v>SF</v>
      </c>
      <c r="AS158" s="734" t="str">
        <f>'BASE DE DATOS'!AS158</f>
        <v>CERES</v>
      </c>
      <c r="AT158" s="734">
        <f>'BASE DE DATOS'!AT158</f>
        <v>6</v>
      </c>
      <c r="AU158" s="734">
        <f>'BASE DE DATOS'!AU158</f>
        <v>6</v>
      </c>
      <c r="AV158" s="734">
        <f>'BASE DE DATOS'!AV158</f>
        <v>5</v>
      </c>
      <c r="AW158" s="734">
        <f>'BASE DE DATOS'!AW158</f>
        <v>3.5</v>
      </c>
      <c r="AX158" s="734">
        <f>'BASE DE DATOS'!AX158</f>
        <v>3</v>
      </c>
      <c r="AY158" s="734">
        <f>'BASE DE DATOS'!AY158</f>
        <v>2.5</v>
      </c>
      <c r="AZ158" s="734">
        <f>'BASE DE DATOS'!AZ158</f>
        <v>2.5</v>
      </c>
      <c r="BA158" s="734">
        <f>'BASE DE DATOS'!BA158</f>
        <v>3</v>
      </c>
      <c r="BB158" s="734">
        <f>'BASE DE DATOS'!BB158</f>
        <v>4.5</v>
      </c>
      <c r="BC158" s="734">
        <f>'BASE DE DATOS'!BC158</f>
        <v>5.5</v>
      </c>
      <c r="BD158" s="734">
        <f>'BASE DE DATOS'!BD158</f>
        <v>5.5</v>
      </c>
      <c r="BE158" s="734">
        <f>'BASE DE DATOS'!BE158</f>
        <v>6.5</v>
      </c>
      <c r="DO158" s="733" t="str">
        <f>'BASE DE DATOS'!BG158</f>
        <v>SF</v>
      </c>
      <c r="DP158" s="733" t="str">
        <f>'BASE DE DATOS'!BH158</f>
        <v>CERES</v>
      </c>
      <c r="DQ158" s="733">
        <f>'BASE DE DATOS'!BI158</f>
        <v>128</v>
      </c>
      <c r="DR158" s="733">
        <f>'BASE DE DATOS'!BJ158</f>
        <v>100</v>
      </c>
      <c r="DS158" s="733">
        <f>'BASE DE DATOS'!BK158</f>
        <v>141</v>
      </c>
      <c r="DT158" s="733">
        <f>'BASE DE DATOS'!BL158</f>
        <v>94</v>
      </c>
      <c r="DU158" s="733">
        <f>'BASE DE DATOS'!BM158</f>
        <v>48</v>
      </c>
      <c r="DV158" s="733">
        <f>'BASE DE DATOS'!BN158</f>
        <v>34</v>
      </c>
      <c r="DW158" s="733">
        <f>'BASE DE DATOS'!BO158</f>
        <v>32</v>
      </c>
      <c r="DX158" s="733">
        <f>'BASE DE DATOS'!BP158</f>
        <v>35</v>
      </c>
      <c r="DY158" s="733">
        <f>'BASE DE DATOS'!BQ158</f>
        <v>47</v>
      </c>
      <c r="DZ158" s="733">
        <f>'BASE DE DATOS'!BR158</f>
        <v>97</v>
      </c>
      <c r="EA158" s="733">
        <f>'BASE DE DATOS'!BS158</f>
        <v>111</v>
      </c>
      <c r="EB158" s="733">
        <f>'BASE DE DATOS'!BT158</f>
        <v>103</v>
      </c>
    </row>
    <row r="159" spans="2:207">
      <c r="B159" s="734" t="str">
        <f>'BASE DE DATOS'!B159</f>
        <v>SF</v>
      </c>
      <c r="C159" s="734" t="str">
        <f>'BASE DE DATOS'!C159</f>
        <v>ESPERANZA</v>
      </c>
      <c r="D159" s="734">
        <f>'BASE DE DATOS'!D159</f>
        <v>31.45</v>
      </c>
      <c r="E159" s="734">
        <f>'BASE DE DATOS'!E159</f>
        <v>60.93</v>
      </c>
      <c r="F159" s="734">
        <f>'BASE DE DATOS'!F159</f>
        <v>38</v>
      </c>
      <c r="G159" s="734" t="str">
        <f>'BASE DE DATOS'!G159</f>
        <v>IIA</v>
      </c>
      <c r="H159" s="734">
        <f>'BASE DE DATOS'!H159</f>
        <v>2.1</v>
      </c>
      <c r="I159" s="734">
        <f>'BASE DE DATOS'!I159</f>
        <v>12.5</v>
      </c>
      <c r="J159" s="734">
        <f>'BASE DE DATOS'!J159</f>
        <v>24.6</v>
      </c>
      <c r="K159" s="734">
        <f>'BASE DE DATOS'!K159</f>
        <v>35.4</v>
      </c>
      <c r="L159" s="734">
        <f>'BASE DE DATOS'!L159</f>
        <v>65</v>
      </c>
      <c r="M159" s="734">
        <f>'BASE DE DATOS'!M159</f>
        <v>75</v>
      </c>
      <c r="N159" s="734">
        <f>'BASE DE DATOS'!N159</f>
        <v>65</v>
      </c>
      <c r="O159" s="734">
        <f>'BASE DE DATOS'!O159</f>
        <v>27</v>
      </c>
      <c r="P159" s="734">
        <f>'BASE DE DATOS'!P159</f>
        <v>101</v>
      </c>
      <c r="Q159" s="734">
        <f>'BASE DE DATOS'!Q159</f>
        <v>2</v>
      </c>
      <c r="R159" s="734">
        <f>'BASE DE DATOS'!R159</f>
        <v>24.5</v>
      </c>
      <c r="S159" s="734">
        <f>'BASE DE DATOS'!S159</f>
        <v>0.53</v>
      </c>
      <c r="T159" s="734">
        <f>'BASE DE DATOS'!T159</f>
        <v>20.9</v>
      </c>
      <c r="U159" s="734">
        <f>'BASE DE DATOS'!U159</f>
        <v>10</v>
      </c>
      <c r="V159" s="734">
        <f>'BASE DE DATOS'!V159</f>
        <v>50</v>
      </c>
      <c r="W159" s="734">
        <f>'BASE DE DATOS'!W159</f>
        <v>115</v>
      </c>
      <c r="X159" s="734">
        <f>'BASE DE DATOS'!X159</f>
        <v>1.6E-2</v>
      </c>
      <c r="Y159" s="734">
        <f>'BASE DE DATOS'!Y159</f>
        <v>1.0999999999999999E-2</v>
      </c>
      <c r="Z159" s="734">
        <f>'BASE DE DATOS'!Z159</f>
        <v>155</v>
      </c>
      <c r="AA159" s="734">
        <f>'BASE DE DATOS'!AA159</f>
        <v>1.55</v>
      </c>
      <c r="AB159" s="734">
        <f>'BASE DE DATOS'!AB159</f>
        <v>30</v>
      </c>
      <c r="AD159" s="734" t="str">
        <f>'BASE DE DATOS'!AD159</f>
        <v>ESPERANZA</v>
      </c>
      <c r="AE159" s="734">
        <f>'BASE DE DATOS'!AE159</f>
        <v>25.8</v>
      </c>
      <c r="AF159" s="734">
        <f>'BASE DE DATOS'!AF159</f>
        <v>24.9</v>
      </c>
      <c r="AG159" s="734">
        <f>'BASE DE DATOS'!AG159</f>
        <v>23.1</v>
      </c>
      <c r="AH159" s="734">
        <f>'BASE DE DATOS'!AH159</f>
        <v>18</v>
      </c>
      <c r="AI159" s="734">
        <f>'BASE DE DATOS'!AI159</f>
        <v>15.7</v>
      </c>
      <c r="AJ159" s="734">
        <f>'BASE DE DATOS'!AJ159</f>
        <v>12.7</v>
      </c>
      <c r="AK159" s="734">
        <f>'BASE DE DATOS'!AK159</f>
        <v>12.4</v>
      </c>
      <c r="AL159" s="734">
        <f>'BASE DE DATOS'!AL159</f>
        <v>13.9</v>
      </c>
      <c r="AM159" s="734">
        <f>'BASE DE DATOS'!AM159</f>
        <v>15.7</v>
      </c>
      <c r="AN159" s="734">
        <f>'BASE DE DATOS'!AN159</f>
        <v>18.8</v>
      </c>
      <c r="AO159" s="734">
        <f>'BASE DE DATOS'!AO159</f>
        <v>22.1</v>
      </c>
      <c r="AP159" s="734">
        <f>'BASE DE DATOS'!AP159</f>
        <v>24.1</v>
      </c>
      <c r="AR159" s="734" t="str">
        <f>'BASE DE DATOS'!AR159</f>
        <v>SF</v>
      </c>
      <c r="AS159" s="734" t="str">
        <f>'BASE DE DATOS'!AS159</f>
        <v>ESPERANZA</v>
      </c>
      <c r="AT159" s="734">
        <f>'BASE DE DATOS'!AT159</f>
        <v>6.5</v>
      </c>
      <c r="AU159" s="734">
        <f>'BASE DE DATOS'!AU159</f>
        <v>6</v>
      </c>
      <c r="AV159" s="734">
        <f>'BASE DE DATOS'!AV159</f>
        <v>5</v>
      </c>
      <c r="AW159" s="734">
        <f>'BASE DE DATOS'!AW159</f>
        <v>3.5</v>
      </c>
      <c r="AX159" s="734">
        <f>'BASE DE DATOS'!AX159</f>
        <v>3</v>
      </c>
      <c r="AY159" s="734">
        <f>'BASE DE DATOS'!AY159</f>
        <v>2.5</v>
      </c>
      <c r="AZ159" s="734">
        <f>'BASE DE DATOS'!AZ159</f>
        <v>2.5</v>
      </c>
      <c r="BA159" s="734">
        <f>'BASE DE DATOS'!BA159</f>
        <v>3.5</v>
      </c>
      <c r="BB159" s="734">
        <f>'BASE DE DATOS'!BB159</f>
        <v>4</v>
      </c>
      <c r="BC159" s="734">
        <f>'BASE DE DATOS'!BC159</f>
        <v>5.5</v>
      </c>
      <c r="BD159" s="734">
        <f>'BASE DE DATOS'!BD159</f>
        <v>6</v>
      </c>
      <c r="BE159" s="734">
        <f>'BASE DE DATOS'!BE159</f>
        <v>6.5</v>
      </c>
      <c r="DO159" s="733" t="str">
        <f>'BASE DE DATOS'!BG159</f>
        <v>SF</v>
      </c>
      <c r="DP159" s="733" t="str">
        <f>'BASE DE DATOS'!BH159</f>
        <v>ESPERANZA</v>
      </c>
      <c r="DQ159" s="733">
        <f>'BASE DE DATOS'!BI159</f>
        <v>128</v>
      </c>
      <c r="DR159" s="733">
        <f>'BASE DE DATOS'!BJ159</f>
        <v>100</v>
      </c>
      <c r="DS159" s="733">
        <f>'BASE DE DATOS'!BK159</f>
        <v>141</v>
      </c>
      <c r="DT159" s="733">
        <f>'BASE DE DATOS'!BL159</f>
        <v>94</v>
      </c>
      <c r="DU159" s="733">
        <f>'BASE DE DATOS'!BM159</f>
        <v>48</v>
      </c>
      <c r="DV159" s="733">
        <f>'BASE DE DATOS'!BN159</f>
        <v>34</v>
      </c>
      <c r="DW159" s="733">
        <f>'BASE DE DATOS'!BO159</f>
        <v>32</v>
      </c>
      <c r="DX159" s="733">
        <f>'BASE DE DATOS'!BP159</f>
        <v>35</v>
      </c>
      <c r="DY159" s="733">
        <f>'BASE DE DATOS'!BQ159</f>
        <v>47</v>
      </c>
      <c r="DZ159" s="733">
        <f>'BASE DE DATOS'!BR159</f>
        <v>97</v>
      </c>
      <c r="EA159" s="733">
        <f>'BASE DE DATOS'!BS159</f>
        <v>111</v>
      </c>
      <c r="EB159" s="733">
        <f>'BASE DE DATOS'!BT159</f>
        <v>103</v>
      </c>
    </row>
    <row r="160" spans="2:207">
      <c r="B160" s="734" t="str">
        <f>'BASE DE DATOS'!B160</f>
        <v>SF</v>
      </c>
      <c r="C160" s="734" t="str">
        <f>'BASE DE DATOS'!C160</f>
        <v>OLIVEROS</v>
      </c>
      <c r="D160" s="734">
        <f>'BASE DE DATOS'!D160</f>
        <v>32.549999999999997</v>
      </c>
      <c r="E160" s="734">
        <f>'BASE DE DATOS'!E160</f>
        <v>60.85</v>
      </c>
      <c r="F160" s="734">
        <f>'BASE DE DATOS'!F160</f>
        <v>26</v>
      </c>
      <c r="G160" s="734" t="str">
        <f>'BASE DE DATOS'!G160</f>
        <v>IIIA</v>
      </c>
      <c r="H160" s="734">
        <f>'BASE DE DATOS'!H160</f>
        <v>0.4</v>
      </c>
      <c r="I160" s="734">
        <f>'BASE DE DATOS'!I160</f>
        <v>11.1</v>
      </c>
      <c r="J160" s="734">
        <f>'BASE DE DATOS'!J160</f>
        <v>23.3</v>
      </c>
      <c r="K160" s="734">
        <f>'BASE DE DATOS'!K160</f>
        <v>33.700000000000003</v>
      </c>
      <c r="L160" s="734">
        <f>'BASE DE DATOS'!L160</f>
        <v>69</v>
      </c>
      <c r="M160" s="734">
        <f>'BASE DE DATOS'!M160</f>
        <v>79</v>
      </c>
      <c r="N160" s="734">
        <f>'BASE DE DATOS'!N160</f>
        <v>69</v>
      </c>
      <c r="O160" s="734">
        <f>'BASE DE DATOS'!O160</f>
        <v>35</v>
      </c>
      <c r="P160" s="734">
        <f>'BASE DE DATOS'!P160</f>
        <v>99</v>
      </c>
      <c r="Q160" s="734">
        <f>'BASE DE DATOS'!Q160</f>
        <v>3</v>
      </c>
      <c r="R160" s="734">
        <f>'BASE DE DATOS'!R160</f>
        <v>22.9</v>
      </c>
      <c r="S160" s="734">
        <f>'BASE DE DATOS'!S160</f>
        <v>0.53</v>
      </c>
      <c r="T160" s="734">
        <f>'BASE DE DATOS'!T160</f>
        <v>20.9</v>
      </c>
      <c r="U160" s="734">
        <f>'BASE DE DATOS'!U160</f>
        <v>10</v>
      </c>
      <c r="V160" s="734">
        <f>'BASE DE DATOS'!V160</f>
        <v>50</v>
      </c>
      <c r="W160" s="734">
        <f>'BASE DE DATOS'!W160</f>
        <v>115</v>
      </c>
      <c r="X160" s="734">
        <f>'BASE DE DATOS'!X160</f>
        <v>1.6E-2</v>
      </c>
      <c r="Y160" s="734">
        <f>'BASE DE DATOS'!Y160</f>
        <v>1.0999999999999999E-2</v>
      </c>
      <c r="Z160" s="734">
        <f>'BASE DE DATOS'!Z160</f>
        <v>155</v>
      </c>
      <c r="AA160" s="734">
        <f>'BASE DE DATOS'!AA160</f>
        <v>1.55</v>
      </c>
      <c r="AB160" s="734">
        <f>'BASE DE DATOS'!AB160</f>
        <v>30</v>
      </c>
      <c r="AD160" s="734" t="str">
        <f>'BASE DE DATOS'!AD160</f>
        <v>OLIVEROS</v>
      </c>
      <c r="AE160" s="734">
        <f>'BASE DE DATOS'!AE160</f>
        <v>24.1</v>
      </c>
      <c r="AF160" s="734">
        <f>'BASE DE DATOS'!AF160</f>
        <v>23.2</v>
      </c>
      <c r="AG160" s="734">
        <f>'BASE DE DATOS'!AG160</f>
        <v>21.2</v>
      </c>
      <c r="AH160" s="734">
        <f>'BASE DE DATOS'!AH160</f>
        <v>17.3</v>
      </c>
      <c r="AI160" s="734">
        <f>'BASE DE DATOS'!AI160</f>
        <v>14.7</v>
      </c>
      <c r="AJ160" s="734">
        <f>'BASE DE DATOS'!AJ160</f>
        <v>11.3</v>
      </c>
      <c r="AK160" s="734">
        <f>'BASE DE DATOS'!AK160</f>
        <v>11.5</v>
      </c>
      <c r="AL160" s="734">
        <f>'BASE DE DATOS'!AL160</f>
        <v>12</v>
      </c>
      <c r="AM160" s="734">
        <f>'BASE DE DATOS'!AM160</f>
        <v>14.4</v>
      </c>
      <c r="AN160" s="734">
        <f>'BASE DE DATOS'!AN160</f>
        <v>17.2</v>
      </c>
      <c r="AO160" s="734">
        <f>'BASE DE DATOS'!AO160</f>
        <v>20.2</v>
      </c>
      <c r="AP160" s="734">
        <f>'BASE DE DATOS'!AP160</f>
        <v>22.8</v>
      </c>
      <c r="AR160" s="734" t="str">
        <f>'BASE DE DATOS'!AR160</f>
        <v>SF</v>
      </c>
      <c r="AS160" s="734" t="str">
        <f>'BASE DE DATOS'!AS160</f>
        <v>OLIVEROS</v>
      </c>
      <c r="AT160" s="734">
        <f>'BASE DE DATOS'!AT160</f>
        <v>6.5</v>
      </c>
      <c r="AU160" s="734">
        <f>'BASE DE DATOS'!AU160</f>
        <v>5.5</v>
      </c>
      <c r="AV160" s="734">
        <f>'BASE DE DATOS'!AV160</f>
        <v>5</v>
      </c>
      <c r="AW160" s="734">
        <f>'BASE DE DATOS'!AW160</f>
        <v>3.5</v>
      </c>
      <c r="AX160" s="734">
        <f>'BASE DE DATOS'!AX160</f>
        <v>2.5</v>
      </c>
      <c r="AY160" s="734">
        <f>'BASE DE DATOS'!AY160</f>
        <v>2</v>
      </c>
      <c r="AZ160" s="734">
        <f>'BASE DE DATOS'!AZ160</f>
        <v>2</v>
      </c>
      <c r="BA160" s="734">
        <f>'BASE DE DATOS'!BA160</f>
        <v>3</v>
      </c>
      <c r="BB160" s="734">
        <f>'BASE DE DATOS'!BB160</f>
        <v>4</v>
      </c>
      <c r="BC160" s="734">
        <f>'BASE DE DATOS'!BC160</f>
        <v>5.5</v>
      </c>
      <c r="BD160" s="734">
        <f>'BASE DE DATOS'!BD160</f>
        <v>6</v>
      </c>
      <c r="BE160" s="734">
        <f>'BASE DE DATOS'!BE160</f>
        <v>6.5</v>
      </c>
      <c r="DO160" s="733" t="str">
        <f>'BASE DE DATOS'!BG160</f>
        <v>SF</v>
      </c>
      <c r="DP160" s="733" t="str">
        <f>'BASE DE DATOS'!BH160</f>
        <v>OLIVEROS</v>
      </c>
      <c r="DQ160" s="733">
        <f>'BASE DE DATOS'!BI160</f>
        <v>128</v>
      </c>
      <c r="DR160" s="733">
        <f>'BASE DE DATOS'!BJ160</f>
        <v>100</v>
      </c>
      <c r="DS160" s="733">
        <f>'BASE DE DATOS'!BK160</f>
        <v>141</v>
      </c>
      <c r="DT160" s="733">
        <f>'BASE DE DATOS'!BL160</f>
        <v>94</v>
      </c>
      <c r="DU160" s="733">
        <f>'BASE DE DATOS'!BM160</f>
        <v>48</v>
      </c>
      <c r="DV160" s="733">
        <f>'BASE DE DATOS'!BN160</f>
        <v>34</v>
      </c>
      <c r="DW160" s="733">
        <f>'BASE DE DATOS'!BO160</f>
        <v>32</v>
      </c>
      <c r="DX160" s="733">
        <f>'BASE DE DATOS'!BP160</f>
        <v>35</v>
      </c>
      <c r="DY160" s="733">
        <f>'BASE DE DATOS'!BQ160</f>
        <v>47</v>
      </c>
      <c r="DZ160" s="733">
        <f>'BASE DE DATOS'!BR160</f>
        <v>97</v>
      </c>
      <c r="EA160" s="733">
        <f>'BASE DE DATOS'!BS160</f>
        <v>111</v>
      </c>
      <c r="EB160" s="733">
        <f>'BASE DE DATOS'!BT160</f>
        <v>103</v>
      </c>
    </row>
    <row r="161" spans="2:132">
      <c r="B161" s="734" t="str">
        <f>'BASE DE DATOS'!B161</f>
        <v>SF</v>
      </c>
      <c r="C161" s="734" t="str">
        <f>'BASE DE DATOS'!C161</f>
        <v>RAFAELA</v>
      </c>
      <c r="D161" s="734">
        <f>'BASE DE DATOS'!D161</f>
        <v>31.18</v>
      </c>
      <c r="E161" s="734">
        <f>'BASE DE DATOS'!E161</f>
        <v>61.55</v>
      </c>
      <c r="F161" s="734">
        <f>'BASE DE DATOS'!F161</f>
        <v>100</v>
      </c>
      <c r="G161" s="734" t="str">
        <f>'BASE DE DATOS'!G161</f>
        <v>IIA</v>
      </c>
      <c r="H161" s="734">
        <f>'BASE DE DATOS'!H161</f>
        <v>0.7</v>
      </c>
      <c r="I161" s="734">
        <f>'BASE DE DATOS'!I161</f>
        <v>969</v>
      </c>
      <c r="J161" s="734">
        <f>'BASE DE DATOS'!J161</f>
        <v>24.6</v>
      </c>
      <c r="K161" s="734">
        <f>'BASE DE DATOS'!K161</f>
        <v>35.4</v>
      </c>
      <c r="L161" s="734">
        <f>'BASE DE DATOS'!L161</f>
        <v>65</v>
      </c>
      <c r="M161" s="734">
        <f>'BASE DE DATOS'!M161</f>
        <v>75</v>
      </c>
      <c r="N161" s="734">
        <f>'BASE DE DATOS'!N161</f>
        <v>65</v>
      </c>
      <c r="O161" s="734">
        <f>'BASE DE DATOS'!O161</f>
        <v>27</v>
      </c>
      <c r="P161" s="734">
        <f>'BASE DE DATOS'!P161</f>
        <v>101</v>
      </c>
      <c r="Q161" s="734">
        <f>'BASE DE DATOS'!Q161</f>
        <v>2</v>
      </c>
      <c r="R161" s="734">
        <f>'BASE DE DATOS'!R161</f>
        <v>24.5</v>
      </c>
      <c r="S161" s="734">
        <f>'BASE DE DATOS'!S161</f>
        <v>0.53</v>
      </c>
      <c r="T161" s="734">
        <f>'BASE DE DATOS'!T161</f>
        <v>20.9</v>
      </c>
      <c r="U161" s="734">
        <f>'BASE DE DATOS'!U161</f>
        <v>10</v>
      </c>
      <c r="V161" s="734">
        <f>'BASE DE DATOS'!V161</f>
        <v>50</v>
      </c>
      <c r="W161" s="734">
        <f>'BASE DE DATOS'!W161</f>
        <v>115</v>
      </c>
      <c r="X161" s="734">
        <f>'BASE DE DATOS'!X161</f>
        <v>1.6E-2</v>
      </c>
      <c r="Y161" s="734">
        <f>'BASE DE DATOS'!Y161</f>
        <v>1.0999999999999999E-2</v>
      </c>
      <c r="Z161" s="734">
        <f>'BASE DE DATOS'!Z161</f>
        <v>155</v>
      </c>
      <c r="AA161" s="734">
        <f>'BASE DE DATOS'!AA161</f>
        <v>1.55</v>
      </c>
      <c r="AB161" s="734">
        <f>'BASE DE DATOS'!AB161</f>
        <v>30</v>
      </c>
      <c r="AD161" s="734" t="str">
        <f>'BASE DE DATOS'!AD161</f>
        <v>RAFAELA</v>
      </c>
      <c r="AE161" s="734">
        <f>'BASE DE DATOS'!AE161</f>
        <v>24.9</v>
      </c>
      <c r="AF161" s="734">
        <f>'BASE DE DATOS'!AF161</f>
        <v>24.3</v>
      </c>
      <c r="AG161" s="734">
        <f>'BASE DE DATOS'!AG161</f>
        <v>22.1</v>
      </c>
      <c r="AH161" s="734">
        <f>'BASE DE DATOS'!AH161</f>
        <v>17.5</v>
      </c>
      <c r="AI161" s="734">
        <f>'BASE DE DATOS'!AI161</f>
        <v>15</v>
      </c>
      <c r="AJ161" s="734">
        <f>'BASE DE DATOS'!AJ161</f>
        <v>12.2</v>
      </c>
      <c r="AK161" s="734">
        <f>'BASE DE DATOS'!AK161</f>
        <v>11.8</v>
      </c>
      <c r="AL161" s="734">
        <f>'BASE DE DATOS'!AL161</f>
        <v>13.1</v>
      </c>
      <c r="AM161" s="734">
        <f>'BASE DE DATOS'!AM161</f>
        <v>15.1</v>
      </c>
      <c r="AN161" s="734">
        <f>'BASE DE DATOS'!AN161</f>
        <v>18.2</v>
      </c>
      <c r="AO161" s="734">
        <f>'BASE DE DATOS'!AO161</f>
        <v>21.5</v>
      </c>
      <c r="AP161" s="734">
        <f>'BASE DE DATOS'!AP161</f>
        <v>23.5</v>
      </c>
      <c r="AR161" s="734" t="str">
        <f>'BASE DE DATOS'!AR161</f>
        <v>SF</v>
      </c>
      <c r="AS161" s="734" t="str">
        <f>'BASE DE DATOS'!AS161</f>
        <v>RAFAELA</v>
      </c>
      <c r="AT161" s="734">
        <f>'BASE DE DATOS'!AT161</f>
        <v>6.5</v>
      </c>
      <c r="AU161" s="734">
        <f>'BASE DE DATOS'!AU161</f>
        <v>6</v>
      </c>
      <c r="AV161" s="734">
        <f>'BASE DE DATOS'!AV161</f>
        <v>5</v>
      </c>
      <c r="AW161" s="734">
        <f>'BASE DE DATOS'!AW161</f>
        <v>3.5</v>
      </c>
      <c r="AX161" s="734">
        <f>'BASE DE DATOS'!AX161</f>
        <v>3</v>
      </c>
      <c r="AY161" s="734">
        <f>'BASE DE DATOS'!AY161</f>
        <v>2.5</v>
      </c>
      <c r="AZ161" s="734">
        <f>'BASE DE DATOS'!AZ161</f>
        <v>2.5</v>
      </c>
      <c r="BA161" s="734">
        <f>'BASE DE DATOS'!BA161</f>
        <v>3</v>
      </c>
      <c r="BB161" s="734">
        <f>'BASE DE DATOS'!BB161</f>
        <v>4.5</v>
      </c>
      <c r="BC161" s="734">
        <f>'BASE DE DATOS'!BC161</f>
        <v>5.5</v>
      </c>
      <c r="BD161" s="734">
        <f>'BASE DE DATOS'!BD161</f>
        <v>6</v>
      </c>
      <c r="BE161" s="734">
        <f>'BASE DE DATOS'!BE161</f>
        <v>6.5</v>
      </c>
      <c r="DO161" s="733" t="str">
        <f>'BASE DE DATOS'!BG161</f>
        <v>SF</v>
      </c>
      <c r="DP161" s="733" t="str">
        <f>'BASE DE DATOS'!BH161</f>
        <v>RAFAELA</v>
      </c>
      <c r="DQ161" s="733">
        <f>'BASE DE DATOS'!BI161</f>
        <v>128</v>
      </c>
      <c r="DR161" s="733">
        <f>'BASE DE DATOS'!BJ161</f>
        <v>100</v>
      </c>
      <c r="DS161" s="733">
        <f>'BASE DE DATOS'!BK161</f>
        <v>141</v>
      </c>
      <c r="DT161" s="733">
        <f>'BASE DE DATOS'!BL161</f>
        <v>94</v>
      </c>
      <c r="DU161" s="733">
        <f>'BASE DE DATOS'!BM161</f>
        <v>48</v>
      </c>
      <c r="DV161" s="733">
        <f>'BASE DE DATOS'!BN161</f>
        <v>34</v>
      </c>
      <c r="DW161" s="733">
        <f>'BASE DE DATOS'!BO161</f>
        <v>32</v>
      </c>
      <c r="DX161" s="733">
        <f>'BASE DE DATOS'!BP161</f>
        <v>35</v>
      </c>
      <c r="DY161" s="733">
        <f>'BASE DE DATOS'!BQ161</f>
        <v>47</v>
      </c>
      <c r="DZ161" s="733">
        <f>'BASE DE DATOS'!BR161</f>
        <v>97</v>
      </c>
      <c r="EA161" s="733">
        <f>'BASE DE DATOS'!BS161</f>
        <v>111</v>
      </c>
      <c r="EB161" s="733">
        <f>'BASE DE DATOS'!BT161</f>
        <v>103</v>
      </c>
    </row>
    <row r="162" spans="2:132">
      <c r="B162" s="734" t="str">
        <f>'BASE DE DATOS'!B162</f>
        <v>SF</v>
      </c>
      <c r="C162" s="734" t="str">
        <f>'BASE DE DATOS'!C162</f>
        <v>RECONQUISTA</v>
      </c>
      <c r="D162" s="734">
        <f>'BASE DE DATOS'!D162</f>
        <v>29.18</v>
      </c>
      <c r="E162" s="734">
        <f>'BASE DE DATOS'!E162</f>
        <v>59.67</v>
      </c>
      <c r="F162" s="734">
        <f>'BASE DE DATOS'!F162</f>
        <v>49</v>
      </c>
      <c r="G162" s="734" t="str">
        <f>'BASE DE DATOS'!G162</f>
        <v>IIB</v>
      </c>
      <c r="H162" s="734">
        <f>'BASE DE DATOS'!H162</f>
        <v>3.3</v>
      </c>
      <c r="I162" s="734">
        <f>'BASE DE DATOS'!I162</f>
        <v>584</v>
      </c>
      <c r="J162" s="734">
        <f>'BASE DE DATOS'!J162</f>
        <v>24.6</v>
      </c>
      <c r="K162" s="734">
        <f>'BASE DE DATOS'!K162</f>
        <v>35.4</v>
      </c>
      <c r="L162" s="734">
        <f>'BASE DE DATOS'!L162</f>
        <v>65</v>
      </c>
      <c r="M162" s="734">
        <f>'BASE DE DATOS'!M162</f>
        <v>75</v>
      </c>
      <c r="N162" s="734">
        <f>'BASE DE DATOS'!N162</f>
        <v>65</v>
      </c>
      <c r="O162" s="734">
        <f>'BASE DE DATOS'!O162</f>
        <v>27</v>
      </c>
      <c r="P162" s="734">
        <f>'BASE DE DATOS'!P162</f>
        <v>101</v>
      </c>
      <c r="Q162" s="734">
        <f>'BASE DE DATOS'!Q162</f>
        <v>2</v>
      </c>
      <c r="R162" s="734">
        <f>'BASE DE DATOS'!R162</f>
        <v>24.5</v>
      </c>
      <c r="S162" s="734">
        <f>'BASE DE DATOS'!S162</f>
        <v>0.53</v>
      </c>
      <c r="T162" s="734">
        <f>'BASE DE DATOS'!T162</f>
        <v>20.9</v>
      </c>
      <c r="U162" s="734">
        <f>'BASE DE DATOS'!U162</f>
        <v>10</v>
      </c>
      <c r="V162" s="734">
        <f>'BASE DE DATOS'!V162</f>
        <v>50</v>
      </c>
      <c r="W162" s="734">
        <f>'BASE DE DATOS'!W162</f>
        <v>115</v>
      </c>
      <c r="X162" s="734">
        <f>'BASE DE DATOS'!X162</f>
        <v>1.6E-2</v>
      </c>
      <c r="Y162" s="734">
        <f>'BASE DE DATOS'!Y162</f>
        <v>1.0999999999999999E-2</v>
      </c>
      <c r="Z162" s="734">
        <f>'BASE DE DATOS'!Z162</f>
        <v>155</v>
      </c>
      <c r="AA162" s="734">
        <f>'BASE DE DATOS'!AA162</f>
        <v>1.55</v>
      </c>
      <c r="AB162" s="734">
        <f>'BASE DE DATOS'!AB162</f>
        <v>30</v>
      </c>
      <c r="AD162" s="734" t="str">
        <f>'BASE DE DATOS'!AD162</f>
        <v>RECONQUISTA</v>
      </c>
      <c r="AE162" s="734">
        <f>'BASE DE DATOS'!AE162</f>
        <v>26.2</v>
      </c>
      <c r="AF162" s="734">
        <f>'BASE DE DATOS'!AF162</f>
        <v>25.2</v>
      </c>
      <c r="AG162" s="734">
        <f>'BASE DE DATOS'!AG162</f>
        <v>23.4</v>
      </c>
      <c r="AH162" s="734">
        <f>'BASE DE DATOS'!AH162</f>
        <v>19.8</v>
      </c>
      <c r="AI162" s="734">
        <f>'BASE DE DATOS'!AI162</f>
        <v>17.100000000000001</v>
      </c>
      <c r="AJ162" s="734">
        <f>'BASE DE DATOS'!AJ162</f>
        <v>14.1</v>
      </c>
      <c r="AK162" s="734">
        <f>'BASE DE DATOS'!AK162</f>
        <v>14</v>
      </c>
      <c r="AL162" s="734">
        <f>'BASE DE DATOS'!AL162</f>
        <v>15.1</v>
      </c>
      <c r="AM162" s="734">
        <f>'BASE DE DATOS'!AM162</f>
        <v>17.100000000000001</v>
      </c>
      <c r="AN162" s="734">
        <f>'BASE DE DATOS'!AN162</f>
        <v>20.2</v>
      </c>
      <c r="AO162" s="734">
        <f>'BASE DE DATOS'!AO162</f>
        <v>22.5</v>
      </c>
      <c r="AP162" s="734">
        <f>'BASE DE DATOS'!AP162</f>
        <v>25</v>
      </c>
      <c r="AR162" s="734" t="str">
        <f>'BASE DE DATOS'!AR162</f>
        <v>SF</v>
      </c>
      <c r="AS162" s="734" t="str">
        <f>'BASE DE DATOS'!AS162</f>
        <v>RECONQUISTA</v>
      </c>
      <c r="AT162" s="734">
        <f>'BASE DE DATOS'!AT162</f>
        <v>6.5</v>
      </c>
      <c r="AU162" s="734">
        <f>'BASE DE DATOS'!AU162</f>
        <v>6</v>
      </c>
      <c r="AV162" s="734">
        <f>'BASE DE DATOS'!AV162</f>
        <v>5</v>
      </c>
      <c r="AW162" s="734">
        <f>'BASE DE DATOS'!AW162</f>
        <v>4</v>
      </c>
      <c r="AX162" s="734">
        <f>'BASE DE DATOS'!AX162</f>
        <v>3</v>
      </c>
      <c r="AY162" s="734">
        <f>'BASE DE DATOS'!AY162</f>
        <v>2.5</v>
      </c>
      <c r="AZ162" s="734">
        <f>'BASE DE DATOS'!AZ162</f>
        <v>2.5</v>
      </c>
      <c r="BA162" s="734">
        <f>'BASE DE DATOS'!BA162</f>
        <v>3.5</v>
      </c>
      <c r="BB162" s="734">
        <f>'BASE DE DATOS'!BB162</f>
        <v>4.5</v>
      </c>
      <c r="BC162" s="734">
        <f>'BASE DE DATOS'!BC162</f>
        <v>5.5</v>
      </c>
      <c r="BD162" s="734">
        <f>'BASE DE DATOS'!BD162</f>
        <v>5.5</v>
      </c>
      <c r="BE162" s="734">
        <f>'BASE DE DATOS'!BE162</f>
        <v>6.5</v>
      </c>
      <c r="DO162" s="733" t="str">
        <f>'BASE DE DATOS'!BG162</f>
        <v>SF</v>
      </c>
      <c r="DP162" s="733" t="str">
        <f>'BASE DE DATOS'!BH162</f>
        <v>RECONQUISTA</v>
      </c>
      <c r="DQ162" s="733">
        <f>'BASE DE DATOS'!BI162</f>
        <v>128</v>
      </c>
      <c r="DR162" s="733">
        <f>'BASE DE DATOS'!BJ162</f>
        <v>100</v>
      </c>
      <c r="DS162" s="733">
        <f>'BASE DE DATOS'!BK162</f>
        <v>141</v>
      </c>
      <c r="DT162" s="733">
        <f>'BASE DE DATOS'!BL162</f>
        <v>94</v>
      </c>
      <c r="DU162" s="733">
        <f>'BASE DE DATOS'!BM162</f>
        <v>48</v>
      </c>
      <c r="DV162" s="733">
        <f>'BASE DE DATOS'!BN162</f>
        <v>34</v>
      </c>
      <c r="DW162" s="733">
        <f>'BASE DE DATOS'!BO162</f>
        <v>32</v>
      </c>
      <c r="DX162" s="733">
        <f>'BASE DE DATOS'!BP162</f>
        <v>35</v>
      </c>
      <c r="DY162" s="733">
        <f>'BASE DE DATOS'!BQ162</f>
        <v>47</v>
      </c>
      <c r="DZ162" s="733">
        <f>'BASE DE DATOS'!BR162</f>
        <v>97</v>
      </c>
      <c r="EA162" s="733">
        <f>'BASE DE DATOS'!BS162</f>
        <v>111</v>
      </c>
      <c r="EB162" s="733">
        <f>'BASE DE DATOS'!BT162</f>
        <v>103</v>
      </c>
    </row>
    <row r="163" spans="2:132">
      <c r="B163" s="734" t="str">
        <f>'BASE DE DATOS'!B163</f>
        <v>SF</v>
      </c>
      <c r="C163" s="734" t="str">
        <f>'BASE DE DATOS'!C163</f>
        <v>ROSARIO</v>
      </c>
      <c r="D163" s="734">
        <f>'BASE DE DATOS'!D163</f>
        <v>32.92</v>
      </c>
      <c r="E163" s="734">
        <f>'BASE DE DATOS'!E163</f>
        <v>60.78</v>
      </c>
      <c r="F163" s="734">
        <f>'BASE DE DATOS'!F163</f>
        <v>27</v>
      </c>
      <c r="G163" s="734" t="str">
        <f>'BASE DE DATOS'!G163</f>
        <v>IIIB</v>
      </c>
      <c r="H163" s="734">
        <f>'BASE DE DATOS'!H163</f>
        <v>-0.4</v>
      </c>
      <c r="I163" s="734">
        <f>'BASE DE DATOS'!I163</f>
        <v>1314</v>
      </c>
      <c r="J163" s="734">
        <f>'BASE DE DATOS'!J163</f>
        <v>23.3</v>
      </c>
      <c r="K163" s="734">
        <f>'BASE DE DATOS'!K163</f>
        <v>33.700000000000003</v>
      </c>
      <c r="L163" s="734">
        <f>'BASE DE DATOS'!L163</f>
        <v>69</v>
      </c>
      <c r="M163" s="734">
        <f>'BASE DE DATOS'!M163</f>
        <v>79</v>
      </c>
      <c r="N163" s="734">
        <f>'BASE DE DATOS'!N163</f>
        <v>69</v>
      </c>
      <c r="O163" s="734">
        <f>'BASE DE DATOS'!O163</f>
        <v>35</v>
      </c>
      <c r="P163" s="734">
        <f>'BASE DE DATOS'!P163</f>
        <v>99</v>
      </c>
      <c r="Q163" s="734">
        <f>'BASE DE DATOS'!Q163</f>
        <v>3</v>
      </c>
      <c r="R163" s="734">
        <f>'BASE DE DATOS'!R163</f>
        <v>22.9</v>
      </c>
      <c r="S163" s="734">
        <f>'BASE DE DATOS'!S163</f>
        <v>0.53</v>
      </c>
      <c r="T163" s="734">
        <f>'BASE DE DATOS'!T163</f>
        <v>20.9</v>
      </c>
      <c r="U163" s="734">
        <f>'BASE DE DATOS'!U163</f>
        <v>10</v>
      </c>
      <c r="V163" s="734">
        <f>'BASE DE DATOS'!V163</f>
        <v>50</v>
      </c>
      <c r="W163" s="734">
        <f>'BASE DE DATOS'!W163</f>
        <v>115</v>
      </c>
      <c r="X163" s="734">
        <f>'BASE DE DATOS'!X163</f>
        <v>1.6E-2</v>
      </c>
      <c r="Y163" s="734">
        <f>'BASE DE DATOS'!Y163</f>
        <v>1.0999999999999999E-2</v>
      </c>
      <c r="Z163" s="734">
        <f>'BASE DE DATOS'!Z163</f>
        <v>155</v>
      </c>
      <c r="AA163" s="734">
        <f>'BASE DE DATOS'!AA163</f>
        <v>1.55</v>
      </c>
      <c r="AB163" s="734">
        <f>'BASE DE DATOS'!AB163</f>
        <v>30</v>
      </c>
      <c r="AD163" s="734" t="str">
        <f>'BASE DE DATOS'!AD163</f>
        <v>ROSARIO</v>
      </c>
      <c r="AE163" s="734">
        <f>'BASE DE DATOS'!AE163</f>
        <v>23.714285714285715</v>
      </c>
      <c r="AF163" s="734">
        <f>'BASE DE DATOS'!AF163</f>
        <v>22.857142857142858</v>
      </c>
      <c r="AG163" s="734">
        <f>'BASE DE DATOS'!AG163</f>
        <v>21.166666666666668</v>
      </c>
      <c r="AH163" s="734">
        <f>'BASE DE DATOS'!AH163</f>
        <v>16.666666666666668</v>
      </c>
      <c r="AI163" s="734">
        <f>'BASE DE DATOS'!AI163</f>
        <v>14</v>
      </c>
      <c r="AJ163" s="734">
        <f>'BASE DE DATOS'!AJ163</f>
        <v>11.428571428571429</v>
      </c>
      <c r="AK163" s="734">
        <f>'BASE DE DATOS'!AK163</f>
        <v>10.428571428571429</v>
      </c>
      <c r="AL163" s="734">
        <f>'BASE DE DATOS'!AL163</f>
        <v>11.428571428571429</v>
      </c>
      <c r="AM163" s="734">
        <f>'BASE DE DATOS'!AM163</f>
        <v>14.142857142857142</v>
      </c>
      <c r="AN163" s="734">
        <f>'BASE DE DATOS'!AN163</f>
        <v>18</v>
      </c>
      <c r="AO163" s="734">
        <f>'BASE DE DATOS'!AO163</f>
        <v>20</v>
      </c>
      <c r="AP163" s="734">
        <f>'BASE DE DATOS'!AP163</f>
        <v>21.714285714285715</v>
      </c>
      <c r="AR163" s="734" t="str">
        <f>'BASE DE DATOS'!AR163</f>
        <v>SF</v>
      </c>
      <c r="AS163" s="734" t="str">
        <f>'BASE DE DATOS'!AS163</f>
        <v>ROSARIO</v>
      </c>
      <c r="AT163" s="734">
        <f>'BASE DE DATOS'!AT163</f>
        <v>6.5</v>
      </c>
      <c r="AU163" s="734">
        <f>'BASE DE DATOS'!AU163</f>
        <v>5.5</v>
      </c>
      <c r="AV163" s="734">
        <f>'BASE DE DATOS'!AV163</f>
        <v>5</v>
      </c>
      <c r="AW163" s="734">
        <f>'BASE DE DATOS'!AW163</f>
        <v>3.5</v>
      </c>
      <c r="AX163" s="734">
        <f>'BASE DE DATOS'!AX163</f>
        <v>2.5</v>
      </c>
      <c r="AY163" s="734">
        <f>'BASE DE DATOS'!AY163</f>
        <v>2</v>
      </c>
      <c r="AZ163" s="734">
        <f>'BASE DE DATOS'!AZ163</f>
        <v>2</v>
      </c>
      <c r="BA163" s="734">
        <f>'BASE DE DATOS'!BA163</f>
        <v>3</v>
      </c>
      <c r="BB163" s="734">
        <f>'BASE DE DATOS'!BB163</f>
        <v>4</v>
      </c>
      <c r="BC163" s="734">
        <f>'BASE DE DATOS'!BC163</f>
        <v>5.5</v>
      </c>
      <c r="BD163" s="734">
        <f>'BASE DE DATOS'!BD163</f>
        <v>6</v>
      </c>
      <c r="BE163" s="734">
        <f>'BASE DE DATOS'!BE163</f>
        <v>6.5</v>
      </c>
      <c r="DO163" s="733" t="str">
        <f>'BASE DE DATOS'!BG163</f>
        <v>SF</v>
      </c>
      <c r="DP163" s="733" t="str">
        <f>'BASE DE DATOS'!BH163</f>
        <v>ROSARIO</v>
      </c>
      <c r="DQ163" s="733">
        <f>'BASE DE DATOS'!BI163</f>
        <v>128</v>
      </c>
      <c r="DR163" s="733">
        <f>'BASE DE DATOS'!BJ163</f>
        <v>100</v>
      </c>
      <c r="DS163" s="733">
        <f>'BASE DE DATOS'!BK163</f>
        <v>141</v>
      </c>
      <c r="DT163" s="733">
        <f>'BASE DE DATOS'!BL163</f>
        <v>94</v>
      </c>
      <c r="DU163" s="733">
        <f>'BASE DE DATOS'!BM163</f>
        <v>48</v>
      </c>
      <c r="DV163" s="733">
        <f>'BASE DE DATOS'!BN163</f>
        <v>34</v>
      </c>
      <c r="DW163" s="733">
        <f>'BASE DE DATOS'!BO163</f>
        <v>32</v>
      </c>
      <c r="DX163" s="733">
        <f>'BASE DE DATOS'!BP163</f>
        <v>35</v>
      </c>
      <c r="DY163" s="733">
        <f>'BASE DE DATOS'!BQ163</f>
        <v>47</v>
      </c>
      <c r="DZ163" s="733">
        <f>'BASE DE DATOS'!BR163</f>
        <v>97</v>
      </c>
      <c r="EA163" s="733">
        <f>'BASE DE DATOS'!BS163</f>
        <v>111</v>
      </c>
      <c r="EB163" s="733">
        <f>'BASE DE DATOS'!BT163</f>
        <v>103</v>
      </c>
    </row>
    <row r="164" spans="2:132">
      <c r="B164" s="734" t="str">
        <f>'BASE DE DATOS'!B164</f>
        <v>SF</v>
      </c>
      <c r="C164" s="734" t="str">
        <f>'BASE DE DATOS'!C164</f>
        <v>SAUCE VIEJO</v>
      </c>
      <c r="D164" s="734">
        <f>'BASE DE DATOS'!D164</f>
        <v>31.7</v>
      </c>
      <c r="E164" s="734">
        <f>'BASE DE DATOS'!E164</f>
        <v>60.82</v>
      </c>
      <c r="F164" s="734">
        <f>'BASE DE DATOS'!F164</f>
        <v>18</v>
      </c>
      <c r="G164" s="734" t="str">
        <f>'BASE DE DATOS'!G164</f>
        <v>IIA</v>
      </c>
      <c r="H164" s="734">
        <f>'BASE DE DATOS'!H164</f>
        <v>1.1000000000000001</v>
      </c>
      <c r="I164" s="734">
        <f>'BASE DE DATOS'!I164</f>
        <v>956</v>
      </c>
      <c r="J164" s="734">
        <f>'BASE DE DATOS'!J164</f>
        <v>24.6</v>
      </c>
      <c r="K164" s="734">
        <f>'BASE DE DATOS'!K164</f>
        <v>35.4</v>
      </c>
      <c r="L164" s="734">
        <f>'BASE DE DATOS'!L164</f>
        <v>65</v>
      </c>
      <c r="M164" s="734">
        <f>'BASE DE DATOS'!M164</f>
        <v>75</v>
      </c>
      <c r="N164" s="734">
        <f>'BASE DE DATOS'!N164</f>
        <v>65</v>
      </c>
      <c r="O164" s="734">
        <f>'BASE DE DATOS'!O164</f>
        <v>27</v>
      </c>
      <c r="P164" s="734">
        <f>'BASE DE DATOS'!P164</f>
        <v>101</v>
      </c>
      <c r="Q164" s="734">
        <f>'BASE DE DATOS'!Q164</f>
        <v>2</v>
      </c>
      <c r="R164" s="734">
        <f>'BASE DE DATOS'!R164</f>
        <v>24.5</v>
      </c>
      <c r="S164" s="734">
        <f>'BASE DE DATOS'!S164</f>
        <v>0.53</v>
      </c>
      <c r="T164" s="734">
        <f>'BASE DE DATOS'!T164</f>
        <v>20.9</v>
      </c>
      <c r="U164" s="734">
        <f>'BASE DE DATOS'!U164</f>
        <v>10</v>
      </c>
      <c r="V164" s="734">
        <f>'BASE DE DATOS'!V164</f>
        <v>50</v>
      </c>
      <c r="W164" s="734">
        <f>'BASE DE DATOS'!W164</f>
        <v>115</v>
      </c>
      <c r="X164" s="734">
        <f>'BASE DE DATOS'!X164</f>
        <v>1.6E-2</v>
      </c>
      <c r="Y164" s="734">
        <f>'BASE DE DATOS'!Y164</f>
        <v>1.0999999999999999E-2</v>
      </c>
      <c r="Z164" s="734">
        <f>'BASE DE DATOS'!Z164</f>
        <v>155</v>
      </c>
      <c r="AA164" s="734">
        <f>'BASE DE DATOS'!AA164</f>
        <v>1.55</v>
      </c>
      <c r="AB164" s="734">
        <f>'BASE DE DATOS'!AB164</f>
        <v>30</v>
      </c>
      <c r="AD164" s="734" t="str">
        <f>'BASE DE DATOS'!AD164</f>
        <v>SAUCE VIEJO</v>
      </c>
      <c r="AE164" s="734">
        <f>'BASE DE DATOS'!AE164</f>
        <v>25.2</v>
      </c>
      <c r="AF164" s="734">
        <f>'BASE DE DATOS'!AF164</f>
        <v>24.5</v>
      </c>
      <c r="AG164" s="734">
        <f>'BASE DE DATOS'!AG164</f>
        <v>22.5</v>
      </c>
      <c r="AH164" s="734">
        <f>'BASE DE DATOS'!AH164</f>
        <v>17.5</v>
      </c>
      <c r="AI164" s="734">
        <f>'BASE DE DATOS'!AI164</f>
        <v>15.3</v>
      </c>
      <c r="AJ164" s="734">
        <f>'BASE DE DATOS'!AJ164</f>
        <v>12.3</v>
      </c>
      <c r="AK164" s="734">
        <f>'BASE DE DATOS'!AK164</f>
        <v>12.1</v>
      </c>
      <c r="AL164" s="734">
        <f>'BASE DE DATOS'!AL164</f>
        <v>13.3</v>
      </c>
      <c r="AM164" s="734">
        <f>'BASE DE DATOS'!AM164</f>
        <v>15.3</v>
      </c>
      <c r="AN164" s="734">
        <f>'BASE DE DATOS'!AN164</f>
        <v>18.3</v>
      </c>
      <c r="AO164" s="734">
        <f>'BASE DE DATOS'!AO164</f>
        <v>21.5</v>
      </c>
      <c r="AP164" s="734">
        <f>'BASE DE DATOS'!AP164</f>
        <v>23.6</v>
      </c>
      <c r="AR164" s="734" t="str">
        <f>'BASE DE DATOS'!AR164</f>
        <v>SF</v>
      </c>
      <c r="AS164" s="734" t="str">
        <f>'BASE DE DATOS'!AS164</f>
        <v>SAUCE VIEJO</v>
      </c>
      <c r="AT164" s="734">
        <f>'BASE DE DATOS'!AT164</f>
        <v>6.5</v>
      </c>
      <c r="AU164" s="734">
        <f>'BASE DE DATOS'!AU164</f>
        <v>5.5</v>
      </c>
      <c r="AV164" s="734">
        <f>'BASE DE DATOS'!AV164</f>
        <v>5</v>
      </c>
      <c r="AW164" s="734">
        <f>'BASE DE DATOS'!AW164</f>
        <v>3.5</v>
      </c>
      <c r="AX164" s="734">
        <f>'BASE DE DATOS'!AX164</f>
        <v>3</v>
      </c>
      <c r="AY164" s="734">
        <f>'BASE DE DATOS'!AY164</f>
        <v>2.5</v>
      </c>
      <c r="AZ164" s="734">
        <f>'BASE DE DATOS'!AZ164</f>
        <v>2.5</v>
      </c>
      <c r="BA164" s="734">
        <f>'BASE DE DATOS'!BA164</f>
        <v>3.5</v>
      </c>
      <c r="BB164" s="734">
        <f>'BASE DE DATOS'!BB164</f>
        <v>4</v>
      </c>
      <c r="BC164" s="734">
        <f>'BASE DE DATOS'!BC164</f>
        <v>5.5</v>
      </c>
      <c r="BD164" s="734">
        <f>'BASE DE DATOS'!BD164</f>
        <v>6</v>
      </c>
      <c r="BE164" s="734">
        <f>'BASE DE DATOS'!BE164</f>
        <v>6.5</v>
      </c>
      <c r="DO164" s="733" t="str">
        <f>'BASE DE DATOS'!BG164</f>
        <v>SF</v>
      </c>
      <c r="DP164" s="733" t="str">
        <f>'BASE DE DATOS'!BH164</f>
        <v>SAUCE VIEJO</v>
      </c>
      <c r="DQ164" s="733">
        <f>'BASE DE DATOS'!BI164</f>
        <v>128</v>
      </c>
      <c r="DR164" s="733">
        <f>'BASE DE DATOS'!BJ164</f>
        <v>100</v>
      </c>
      <c r="DS164" s="733">
        <f>'BASE DE DATOS'!BK164</f>
        <v>141</v>
      </c>
      <c r="DT164" s="733">
        <f>'BASE DE DATOS'!BL164</f>
        <v>94</v>
      </c>
      <c r="DU164" s="733">
        <f>'BASE DE DATOS'!BM164</f>
        <v>48</v>
      </c>
      <c r="DV164" s="733">
        <f>'BASE DE DATOS'!BN164</f>
        <v>34</v>
      </c>
      <c r="DW164" s="733">
        <f>'BASE DE DATOS'!BO164</f>
        <v>32</v>
      </c>
      <c r="DX164" s="733">
        <f>'BASE DE DATOS'!BP164</f>
        <v>35</v>
      </c>
      <c r="DY164" s="733">
        <f>'BASE DE DATOS'!BQ164</f>
        <v>47</v>
      </c>
      <c r="DZ164" s="733">
        <f>'BASE DE DATOS'!BR164</f>
        <v>97</v>
      </c>
      <c r="EA164" s="733">
        <f>'BASE DE DATOS'!BS164</f>
        <v>111</v>
      </c>
      <c r="EB164" s="733">
        <f>'BASE DE DATOS'!BT164</f>
        <v>103</v>
      </c>
    </row>
    <row r="165" spans="2:132">
      <c r="B165" s="734" t="str">
        <f>'BASE DE DATOS'!B165</f>
        <v>SE</v>
      </c>
      <c r="C165" s="734" t="str">
        <f>'BASE DE DATOS'!C165</f>
        <v>LA BANDA</v>
      </c>
      <c r="D165" s="734">
        <f>'BASE DE DATOS'!D165</f>
        <v>27.75</v>
      </c>
      <c r="E165" s="734">
        <f>'BASE DE DATOS'!E165</f>
        <v>64.25</v>
      </c>
      <c r="F165" s="734">
        <f>'BASE DE DATOS'!F165</f>
        <v>187</v>
      </c>
      <c r="G165" s="734" t="str">
        <f>'BASE DE DATOS'!G165</f>
        <v>IA</v>
      </c>
      <c r="H165" s="734">
        <f>'BASE DE DATOS'!H165</f>
        <v>0.4</v>
      </c>
      <c r="I165" s="734">
        <f>'BASE DE DATOS'!I165</f>
        <v>14</v>
      </c>
      <c r="J165" s="734">
        <f>'BASE DE DATOS'!J165</f>
        <v>25.9</v>
      </c>
      <c r="K165" s="734">
        <f>'BASE DE DATOS'!K165</f>
        <v>37.1</v>
      </c>
      <c r="L165" s="734">
        <f>'BASE DE DATOS'!L165</f>
        <v>68</v>
      </c>
      <c r="M165" s="734">
        <f>'BASE DE DATOS'!M165</f>
        <v>69</v>
      </c>
      <c r="N165" s="734">
        <f>'BASE DE DATOS'!N165</f>
        <v>68</v>
      </c>
      <c r="O165" s="734">
        <f>'BASE DE DATOS'!O165</f>
        <v>6</v>
      </c>
      <c r="P165" s="734">
        <f>'BASE DE DATOS'!P165</f>
        <v>92</v>
      </c>
      <c r="Q165" s="734">
        <f>'BASE DE DATOS'!Q165</f>
        <v>1</v>
      </c>
      <c r="R165" s="734">
        <f>'BASE DE DATOS'!R165</f>
        <v>26.1</v>
      </c>
      <c r="S165" s="734">
        <f>'BASE DE DATOS'!S165</f>
        <v>0.49</v>
      </c>
      <c r="T165" s="734">
        <f>'BASE DE DATOS'!T165</f>
        <v>10.3</v>
      </c>
      <c r="U165" s="734">
        <f>'BASE DE DATOS'!U165</f>
        <v>13.7</v>
      </c>
      <c r="V165" s="734">
        <f>'BASE DE DATOS'!V165</f>
        <v>49</v>
      </c>
      <c r="W165" s="734">
        <f>'BASE DE DATOS'!W165</f>
        <v>97</v>
      </c>
      <c r="X165" s="734">
        <f>'BASE DE DATOS'!X165</f>
        <v>8.0000000000000002E-3</v>
      </c>
      <c r="Y165" s="734">
        <f>'BASE DE DATOS'!Y165</f>
        <v>1.2E-2</v>
      </c>
      <c r="Z165" s="734">
        <f>'BASE DE DATOS'!Z165</f>
        <v>165</v>
      </c>
      <c r="AA165" s="734">
        <f>'BASE DE DATOS'!AA165</f>
        <v>1.6500000000000001</v>
      </c>
      <c r="AB165" s="734">
        <f>'BASE DE DATOS'!AB165</f>
        <v>30</v>
      </c>
      <c r="AD165" s="734" t="str">
        <f>'BASE DE DATOS'!AD165</f>
        <v>LA BANDA</v>
      </c>
      <c r="AE165" s="734">
        <f>'BASE DE DATOS'!AE165</f>
        <v>27.3</v>
      </c>
      <c r="AF165" s="734">
        <f>'BASE DE DATOS'!AF165</f>
        <v>25.8</v>
      </c>
      <c r="AG165" s="734">
        <f>'BASE DE DATOS'!AG165</f>
        <v>23.6</v>
      </c>
      <c r="AH165" s="734">
        <f>'BASE DE DATOS'!AH165</f>
        <v>19.8</v>
      </c>
      <c r="AI165" s="734">
        <f>'BASE DE DATOS'!AI165</f>
        <v>16.5</v>
      </c>
      <c r="AJ165" s="734">
        <f>'BASE DE DATOS'!AJ165</f>
        <v>13.6</v>
      </c>
      <c r="AK165" s="734">
        <f>'BASE DE DATOS'!AK165</f>
        <v>13.1</v>
      </c>
      <c r="AL165" s="734">
        <f>'BASE DE DATOS'!AL165</f>
        <v>15.4</v>
      </c>
      <c r="AM165" s="734">
        <f>'BASE DE DATOS'!AM165</f>
        <v>18.600000000000001</v>
      </c>
      <c r="AN165" s="734">
        <f>'BASE DE DATOS'!AN165</f>
        <v>21.9</v>
      </c>
      <c r="AO165" s="734">
        <f>'BASE DE DATOS'!AO165</f>
        <v>24.5</v>
      </c>
      <c r="AP165" s="734">
        <f>'BASE DE DATOS'!AP165</f>
        <v>26.9</v>
      </c>
      <c r="AR165" s="734" t="str">
        <f>'BASE DE DATOS'!AR165</f>
        <v>SE</v>
      </c>
      <c r="AS165" s="734" t="str">
        <f>'BASE DE DATOS'!AS165</f>
        <v>LA BANDA</v>
      </c>
      <c r="AT165" s="734">
        <f>'BASE DE DATOS'!AT165</f>
        <v>5.5</v>
      </c>
      <c r="AU165" s="734">
        <f>'BASE DE DATOS'!AU165</f>
        <v>5.5</v>
      </c>
      <c r="AV165" s="734">
        <f>'BASE DE DATOS'!AV165</f>
        <v>4</v>
      </c>
      <c r="AW165" s="734">
        <f>'BASE DE DATOS'!AW165</f>
        <v>3</v>
      </c>
      <c r="AX165" s="734">
        <f>'BASE DE DATOS'!AX165</f>
        <v>3</v>
      </c>
      <c r="AY165" s="734">
        <f>'BASE DE DATOS'!AY165</f>
        <v>2.5</v>
      </c>
      <c r="AZ165" s="734">
        <f>'BASE DE DATOS'!AZ165</f>
        <v>2.5</v>
      </c>
      <c r="BA165" s="734">
        <f>'BASE DE DATOS'!BA165</f>
        <v>3</v>
      </c>
      <c r="BB165" s="734">
        <f>'BASE DE DATOS'!BB165</f>
        <v>4</v>
      </c>
      <c r="BC165" s="734">
        <f>'BASE DE DATOS'!BC165</f>
        <v>5</v>
      </c>
      <c r="BD165" s="734">
        <f>'BASE DE DATOS'!BD165</f>
        <v>5</v>
      </c>
      <c r="BE165" s="734">
        <f>'BASE DE DATOS'!BE165</f>
        <v>5.5</v>
      </c>
      <c r="DO165" s="733" t="str">
        <f>'BASE DE DATOS'!BG165</f>
        <v>SE</v>
      </c>
      <c r="DP165" s="733" t="str">
        <f>'BASE DE DATOS'!BH165</f>
        <v>LA BANDA</v>
      </c>
      <c r="DQ165" s="733">
        <f>'BASE DE DATOS'!BI165</f>
        <v>122</v>
      </c>
      <c r="DR165" s="733">
        <f>'BASE DE DATOS'!BJ165</f>
        <v>103</v>
      </c>
      <c r="DS165" s="733">
        <f>'BASE DE DATOS'!BK165</f>
        <v>86</v>
      </c>
      <c r="DT165" s="733">
        <f>'BASE DE DATOS'!BL165</f>
        <v>36</v>
      </c>
      <c r="DU165" s="733">
        <f>'BASE DE DATOS'!BM165</f>
        <v>16</v>
      </c>
      <c r="DV165" s="733">
        <f>'BASE DE DATOS'!BN165</f>
        <v>8</v>
      </c>
      <c r="DW165" s="733">
        <f>'BASE DE DATOS'!BO165</f>
        <v>5</v>
      </c>
      <c r="DX165" s="733">
        <f>'BASE DE DATOS'!BP165</f>
        <v>3</v>
      </c>
      <c r="DY165" s="733">
        <f>'BASE DE DATOS'!BQ165</f>
        <v>11</v>
      </c>
      <c r="DZ165" s="733">
        <f>'BASE DE DATOS'!BR165</f>
        <v>35</v>
      </c>
      <c r="EA165" s="733">
        <f>'BASE DE DATOS'!BS165</f>
        <v>66</v>
      </c>
      <c r="EB165" s="733">
        <f>'BASE DE DATOS'!BT165</f>
        <v>93</v>
      </c>
    </row>
    <row r="166" spans="2:132">
      <c r="B166" s="734" t="str">
        <f>'BASE DE DATOS'!B166</f>
        <v>SE</v>
      </c>
      <c r="C166" s="734" t="str">
        <f>'BASE DE DATOS'!C166</f>
        <v>MONTE QUEMADO</v>
      </c>
      <c r="D166" s="734">
        <f>'BASE DE DATOS'!D166</f>
        <v>25.8</v>
      </c>
      <c r="E166" s="734">
        <f>'BASE DE DATOS'!E166</f>
        <v>62.85</v>
      </c>
      <c r="F166" s="734">
        <f>'BASE DE DATOS'!F166</f>
        <v>221</v>
      </c>
      <c r="G166" s="734" t="str">
        <f>'BASE DE DATOS'!G166</f>
        <v>IA</v>
      </c>
      <c r="H166" s="734">
        <f>'BASE DE DATOS'!H166</f>
        <v>2.1</v>
      </c>
      <c r="I166" s="734">
        <f>'BASE DE DATOS'!I166</f>
        <v>16.2</v>
      </c>
      <c r="J166" s="734">
        <f>'BASE DE DATOS'!J166</f>
        <v>27.2</v>
      </c>
      <c r="K166" s="734">
        <f>'BASE DE DATOS'!K166</f>
        <v>38.299999999999997</v>
      </c>
      <c r="L166" s="734">
        <f>'BASE DE DATOS'!L166</f>
        <v>64</v>
      </c>
      <c r="M166" s="734">
        <f>'BASE DE DATOS'!M166</f>
        <v>61</v>
      </c>
      <c r="N166" s="734">
        <f>'BASE DE DATOS'!N166</f>
        <v>64</v>
      </c>
      <c r="O166" s="734">
        <f>'BASE DE DATOS'!O166</f>
        <v>7</v>
      </c>
      <c r="P166" s="734">
        <f>'BASE DE DATOS'!P166</f>
        <v>104</v>
      </c>
      <c r="Q166" s="734">
        <f>'BASE DE DATOS'!Q166</f>
        <v>1</v>
      </c>
      <c r="R166" s="734">
        <f>'BASE DE DATOS'!R166</f>
        <v>27.3</v>
      </c>
      <c r="S166" s="734">
        <f>'BASE DE DATOS'!S166</f>
        <v>0.47</v>
      </c>
      <c r="T166" s="734">
        <f>'BASE DE DATOS'!T166</f>
        <v>10.3</v>
      </c>
      <c r="U166" s="734">
        <f>'BASE DE DATOS'!U166</f>
        <v>13.7</v>
      </c>
      <c r="V166" s="734">
        <f>'BASE DE DATOS'!V166</f>
        <v>49</v>
      </c>
      <c r="W166" s="734">
        <f>'BASE DE DATOS'!W166</f>
        <v>97</v>
      </c>
      <c r="X166" s="734">
        <f>'BASE DE DATOS'!X166</f>
        <v>8.0000000000000002E-3</v>
      </c>
      <c r="Y166" s="734">
        <f>'BASE DE DATOS'!Y166</f>
        <v>1.2E-2</v>
      </c>
      <c r="Z166" s="734">
        <f>'BASE DE DATOS'!Z166</f>
        <v>165</v>
      </c>
      <c r="AA166" s="734">
        <f>'BASE DE DATOS'!AA166</f>
        <v>1.6500000000000001</v>
      </c>
      <c r="AB166" s="734">
        <f>'BASE DE DATOS'!AB166</f>
        <v>30</v>
      </c>
      <c r="AD166" s="734" t="str">
        <f>'BASE DE DATOS'!AD166</f>
        <v>MONTE QUEMADO</v>
      </c>
      <c r="AE166" s="734">
        <f>'BASE DE DATOS'!AE166</f>
        <v>27.8</v>
      </c>
      <c r="AF166" s="734">
        <f>'BASE DE DATOS'!AF166</f>
        <v>26.6</v>
      </c>
      <c r="AG166" s="734">
        <f>'BASE DE DATOS'!AG166</f>
        <v>24.6</v>
      </c>
      <c r="AH166" s="734">
        <f>'BASE DE DATOS'!AH166</f>
        <v>21</v>
      </c>
      <c r="AI166" s="734">
        <f>'BASE DE DATOS'!AI166</f>
        <v>18.100000000000001</v>
      </c>
      <c r="AJ166" s="734">
        <f>'BASE DE DATOS'!AJ166</f>
        <v>15.4</v>
      </c>
      <c r="AK166" s="734">
        <f>'BASE DE DATOS'!AK166</f>
        <v>15.4</v>
      </c>
      <c r="AL166" s="734">
        <f>'BASE DE DATOS'!AL166</f>
        <v>18.2</v>
      </c>
      <c r="AM166" s="734">
        <f>'BASE DE DATOS'!AM166</f>
        <v>20.8</v>
      </c>
      <c r="AN166" s="734">
        <f>'BASE DE DATOS'!AN166</f>
        <v>24</v>
      </c>
      <c r="AO166" s="734">
        <f>'BASE DE DATOS'!AO166</f>
        <v>25.6</v>
      </c>
      <c r="AP166" s="734">
        <f>'BASE DE DATOS'!AP166</f>
        <v>27.2</v>
      </c>
      <c r="AR166" s="734" t="str">
        <f>'BASE DE DATOS'!AR166</f>
        <v>SE</v>
      </c>
      <c r="AS166" s="734" t="str">
        <f>'BASE DE DATOS'!AS166</f>
        <v>MONTE QUEMADO</v>
      </c>
      <c r="AT166" s="734">
        <f>'BASE DE DATOS'!AT166</f>
        <v>6</v>
      </c>
      <c r="AU166" s="734">
        <f>'BASE DE DATOS'!AU166</f>
        <v>5.5</v>
      </c>
      <c r="AV166" s="734">
        <f>'BASE DE DATOS'!AV166</f>
        <v>4</v>
      </c>
      <c r="AW166" s="734">
        <f>'BASE DE DATOS'!AW166</f>
        <v>3.5</v>
      </c>
      <c r="AX166" s="734">
        <f>'BASE DE DATOS'!AX166</f>
        <v>3</v>
      </c>
      <c r="AY166" s="734">
        <f>'BASE DE DATOS'!AY166</f>
        <v>2.5</v>
      </c>
      <c r="AZ166" s="734">
        <f>'BASE DE DATOS'!AZ166</f>
        <v>2.5</v>
      </c>
      <c r="BA166" s="734">
        <f>'BASE DE DATOS'!BA166</f>
        <v>3</v>
      </c>
      <c r="BB166" s="734">
        <f>'BASE DE DATOS'!BB166</f>
        <v>4</v>
      </c>
      <c r="BC166" s="734">
        <f>'BASE DE DATOS'!BC166</f>
        <v>5</v>
      </c>
      <c r="BD166" s="734">
        <f>'BASE DE DATOS'!BD166</f>
        <v>5.5</v>
      </c>
      <c r="BE166" s="734">
        <f>'BASE DE DATOS'!BE166</f>
        <v>5.5</v>
      </c>
      <c r="DO166" s="733" t="str">
        <f>'BASE DE DATOS'!BG166</f>
        <v>SE</v>
      </c>
      <c r="DP166" s="733" t="str">
        <f>'BASE DE DATOS'!BH166</f>
        <v>MONTE QUEMADO</v>
      </c>
      <c r="DQ166" s="733">
        <f>'BASE DE DATOS'!BI166</f>
        <v>122</v>
      </c>
      <c r="DR166" s="733">
        <f>'BASE DE DATOS'!BJ166</f>
        <v>103</v>
      </c>
      <c r="DS166" s="733">
        <f>'BASE DE DATOS'!BK166</f>
        <v>86</v>
      </c>
      <c r="DT166" s="733">
        <f>'BASE DE DATOS'!BL166</f>
        <v>36</v>
      </c>
      <c r="DU166" s="733">
        <f>'BASE DE DATOS'!BM166</f>
        <v>16</v>
      </c>
      <c r="DV166" s="733">
        <f>'BASE DE DATOS'!BN166</f>
        <v>8</v>
      </c>
      <c r="DW166" s="733">
        <f>'BASE DE DATOS'!BO166</f>
        <v>5</v>
      </c>
      <c r="DX166" s="733">
        <f>'BASE DE DATOS'!BP166</f>
        <v>3</v>
      </c>
      <c r="DY166" s="733">
        <f>'BASE DE DATOS'!BQ166</f>
        <v>11</v>
      </c>
      <c r="DZ166" s="733">
        <f>'BASE DE DATOS'!BR166</f>
        <v>35</v>
      </c>
      <c r="EA166" s="733">
        <f>'BASE DE DATOS'!BS166</f>
        <v>66</v>
      </c>
      <c r="EB166" s="733">
        <f>'BASE DE DATOS'!BT166</f>
        <v>93</v>
      </c>
    </row>
    <row r="167" spans="2:132">
      <c r="B167" s="734" t="str">
        <f>'BASE DE DATOS'!B167</f>
        <v>SE</v>
      </c>
      <c r="C167" s="734" t="str">
        <f>'BASE DE DATOS'!C167</f>
        <v>SANTIAGO DEL ESTERO</v>
      </c>
      <c r="D167" s="734">
        <f>'BASE DE DATOS'!D167</f>
        <v>27.77</v>
      </c>
      <c r="E167" s="734">
        <f>'BASE DE DATOS'!E167</f>
        <v>64.3</v>
      </c>
      <c r="F167" s="734">
        <f>'BASE DE DATOS'!F167</f>
        <v>199</v>
      </c>
      <c r="G167" s="734" t="str">
        <f>'BASE DE DATOS'!G167</f>
        <v>IA</v>
      </c>
      <c r="H167" s="734">
        <f>'BASE DE DATOS'!H167</f>
        <v>-0.6</v>
      </c>
      <c r="I167" s="734">
        <f>'BASE DE DATOS'!I167</f>
        <v>13.8</v>
      </c>
      <c r="J167" s="734">
        <f>'BASE DE DATOS'!J167</f>
        <v>26.6</v>
      </c>
      <c r="K167" s="734">
        <f>'BASE DE DATOS'!K167</f>
        <v>37.4</v>
      </c>
      <c r="L167" s="734">
        <f>'BASE DE DATOS'!L167</f>
        <v>63</v>
      </c>
      <c r="M167" s="734">
        <f>'BASE DE DATOS'!M167</f>
        <v>65</v>
      </c>
      <c r="N167" s="734">
        <f>'BASE DE DATOS'!N167</f>
        <v>63</v>
      </c>
      <c r="O167" s="734">
        <f>'BASE DE DATOS'!O167</f>
        <v>5</v>
      </c>
      <c r="P167" s="734">
        <f>'BASE DE DATOS'!P167</f>
        <v>95</v>
      </c>
      <c r="Q167" s="734">
        <f>'BASE DE DATOS'!Q167</f>
        <v>1</v>
      </c>
      <c r="R167" s="734">
        <f>'BASE DE DATOS'!R167</f>
        <v>26.4</v>
      </c>
      <c r="S167" s="734">
        <f>'BASE DE DATOS'!S167</f>
        <v>0.49</v>
      </c>
      <c r="T167" s="734">
        <f>'BASE DE DATOS'!T167</f>
        <v>10.3</v>
      </c>
      <c r="U167" s="734">
        <f>'BASE DE DATOS'!U167</f>
        <v>13.7</v>
      </c>
      <c r="V167" s="734">
        <f>'BASE DE DATOS'!V167</f>
        <v>49</v>
      </c>
      <c r="W167" s="734">
        <f>'BASE DE DATOS'!W167</f>
        <v>97</v>
      </c>
      <c r="X167" s="734">
        <f>'BASE DE DATOS'!X167</f>
        <v>8.0000000000000002E-3</v>
      </c>
      <c r="Y167" s="734">
        <f>'BASE DE DATOS'!Y167</f>
        <v>1.2E-2</v>
      </c>
      <c r="Z167" s="734">
        <f>'BASE DE DATOS'!Z167</f>
        <v>165</v>
      </c>
      <c r="AA167" s="734">
        <f>'BASE DE DATOS'!AA167</f>
        <v>1.6500000000000001</v>
      </c>
      <c r="AB167" s="734">
        <f>'BASE DE DATOS'!AB167</f>
        <v>30</v>
      </c>
      <c r="AD167" s="734" t="str">
        <f>'BASE DE DATOS'!AD167</f>
        <v>SANTIAGO DEL ESTERO</v>
      </c>
      <c r="AE167" s="734">
        <f>'BASE DE DATOS'!AE167</f>
        <v>27.4</v>
      </c>
      <c r="AF167" s="734">
        <f>'BASE DE DATOS'!AF167</f>
        <v>25.6</v>
      </c>
      <c r="AG167" s="734">
        <f>'BASE DE DATOS'!AG167</f>
        <v>23.5</v>
      </c>
      <c r="AH167" s="734">
        <f>'BASE DE DATOS'!AH167</f>
        <v>19.7</v>
      </c>
      <c r="AI167" s="734">
        <f>'BASE DE DATOS'!AI167</f>
        <v>16.5</v>
      </c>
      <c r="AJ167" s="734">
        <f>'BASE DE DATOS'!AJ167</f>
        <v>13.5</v>
      </c>
      <c r="AK167" s="734">
        <f>'BASE DE DATOS'!AK167</f>
        <v>13</v>
      </c>
      <c r="AL167" s="734">
        <f>'BASE DE DATOS'!AL167</f>
        <v>15.4</v>
      </c>
      <c r="AM167" s="734">
        <f>'BASE DE DATOS'!AM167</f>
        <v>18.600000000000001</v>
      </c>
      <c r="AN167" s="734">
        <f>'BASE DE DATOS'!AN167</f>
        <v>21.8</v>
      </c>
      <c r="AO167" s="734">
        <f>'BASE DE DATOS'!AO167</f>
        <v>24.5</v>
      </c>
      <c r="AP167" s="734">
        <f>'BASE DE DATOS'!AP167</f>
        <v>26.9</v>
      </c>
      <c r="AR167" s="734" t="str">
        <f>'BASE DE DATOS'!AR167</f>
        <v>SE</v>
      </c>
      <c r="AS167" s="734" t="str">
        <f>'BASE DE DATOS'!AS167</f>
        <v>SANTIAGO DEL ESTERO</v>
      </c>
      <c r="AT167" s="734">
        <f>'BASE DE DATOS'!AT167</f>
        <v>5.5</v>
      </c>
      <c r="AU167" s="734">
        <f>'BASE DE DATOS'!AU167</f>
        <v>5.5</v>
      </c>
      <c r="AV167" s="734">
        <f>'BASE DE DATOS'!AV167</f>
        <v>4</v>
      </c>
      <c r="AW167" s="734">
        <f>'BASE DE DATOS'!AW167</f>
        <v>3</v>
      </c>
      <c r="AX167" s="734">
        <f>'BASE DE DATOS'!AX167</f>
        <v>3</v>
      </c>
      <c r="AY167" s="734">
        <f>'BASE DE DATOS'!AY167</f>
        <v>2.5</v>
      </c>
      <c r="AZ167" s="734">
        <f>'BASE DE DATOS'!AZ167</f>
        <v>2.5</v>
      </c>
      <c r="BA167" s="734">
        <f>'BASE DE DATOS'!BA167</f>
        <v>3</v>
      </c>
      <c r="BB167" s="734">
        <f>'BASE DE DATOS'!BB167</f>
        <v>4</v>
      </c>
      <c r="BC167" s="734">
        <f>'BASE DE DATOS'!BC167</f>
        <v>5</v>
      </c>
      <c r="BD167" s="734">
        <f>'BASE DE DATOS'!BD167</f>
        <v>5</v>
      </c>
      <c r="BE167" s="734">
        <f>'BASE DE DATOS'!BE167</f>
        <v>5.5</v>
      </c>
      <c r="DO167" s="733" t="str">
        <f>'BASE DE DATOS'!BG167</f>
        <v>SE</v>
      </c>
      <c r="DP167" s="733" t="str">
        <f>'BASE DE DATOS'!BH167</f>
        <v>SANTIAGO DEL ESTERO</v>
      </c>
      <c r="DQ167" s="733">
        <f>'BASE DE DATOS'!BI167</f>
        <v>122</v>
      </c>
      <c r="DR167" s="733">
        <f>'BASE DE DATOS'!BJ167</f>
        <v>103</v>
      </c>
      <c r="DS167" s="733">
        <f>'BASE DE DATOS'!BK167</f>
        <v>86</v>
      </c>
      <c r="DT167" s="733">
        <f>'BASE DE DATOS'!BL167</f>
        <v>36</v>
      </c>
      <c r="DU167" s="733">
        <f>'BASE DE DATOS'!BM167</f>
        <v>16</v>
      </c>
      <c r="DV167" s="733">
        <f>'BASE DE DATOS'!BN167</f>
        <v>8</v>
      </c>
      <c r="DW167" s="733">
        <f>'BASE DE DATOS'!BO167</f>
        <v>5</v>
      </c>
      <c r="DX167" s="733">
        <f>'BASE DE DATOS'!BP167</f>
        <v>3</v>
      </c>
      <c r="DY167" s="733">
        <f>'BASE DE DATOS'!BQ167</f>
        <v>11</v>
      </c>
      <c r="DZ167" s="733">
        <f>'BASE DE DATOS'!BR167</f>
        <v>35</v>
      </c>
      <c r="EA167" s="733">
        <f>'BASE DE DATOS'!BS167</f>
        <v>66</v>
      </c>
      <c r="EB167" s="733">
        <f>'BASE DE DATOS'!BT167</f>
        <v>93</v>
      </c>
    </row>
    <row r="168" spans="2:132">
      <c r="B168" s="734" t="str">
        <f>'BASE DE DATOS'!B168</f>
        <v>TC</v>
      </c>
      <c r="C168" s="734" t="str">
        <f>'BASE DE DATOS'!C168</f>
        <v>TUCUMÁN AERO</v>
      </c>
      <c r="D168" s="734">
        <f>'BASE DE DATOS'!D168</f>
        <v>26.83</v>
      </c>
      <c r="E168" s="734">
        <f>'BASE DE DATOS'!E168</f>
        <v>65.2</v>
      </c>
      <c r="F168" s="734">
        <f>'BASE DE DATOS'!F168</f>
        <v>420</v>
      </c>
      <c r="G168" s="734" t="str">
        <f>'BASE DE DATOS'!G168</f>
        <v>IIB</v>
      </c>
      <c r="H168" s="734">
        <f>'BASE DE DATOS'!H168</f>
        <v>1.8</v>
      </c>
      <c r="I168" s="734">
        <f>'BASE DE DATOS'!I168</f>
        <v>13.1</v>
      </c>
      <c r="J168" s="734">
        <f>'BASE DE DATOS'!J168</f>
        <v>24.9</v>
      </c>
      <c r="K168" s="734">
        <f>'BASE DE DATOS'!K168</f>
        <v>34.4</v>
      </c>
      <c r="L168" s="734">
        <f>'BASE DE DATOS'!L168</f>
        <v>71</v>
      </c>
      <c r="M168" s="734">
        <f>'BASE DE DATOS'!M168</f>
        <v>69</v>
      </c>
      <c r="N168" s="734">
        <f>'BASE DE DATOS'!N168</f>
        <v>71</v>
      </c>
      <c r="O168" s="734">
        <f>'BASE DE DATOS'!O168</f>
        <v>11</v>
      </c>
      <c r="P168" s="734">
        <f>'BASE DE DATOS'!P168</f>
        <v>160</v>
      </c>
      <c r="Q168" s="734">
        <f>'BASE DE DATOS'!Q168</f>
        <v>2</v>
      </c>
      <c r="R168" s="734">
        <f>'BASE DE DATOS'!R168</f>
        <v>24.7</v>
      </c>
      <c r="S168" s="734">
        <f>'BASE DE DATOS'!S168</f>
        <v>0.47</v>
      </c>
      <c r="T168" s="734">
        <f>'BASE DE DATOS'!T168</f>
        <v>14.6</v>
      </c>
      <c r="U168" s="734">
        <f>'BASE DE DATOS'!U168</f>
        <v>11.5</v>
      </c>
      <c r="V168" s="734">
        <f>'BASE DE DATOS'!V168</f>
        <v>94</v>
      </c>
      <c r="W168" s="734">
        <f>'BASE DE DATOS'!W168</f>
        <v>85</v>
      </c>
      <c r="X168" s="734">
        <f>'BASE DE DATOS'!X168</f>
        <v>8.0000000000000002E-3</v>
      </c>
      <c r="Y168" s="734">
        <f>'BASE DE DATOS'!Y168</f>
        <v>1.2E-2</v>
      </c>
      <c r="Z168" s="734">
        <f>'BASE DE DATOS'!Z168</f>
        <v>145</v>
      </c>
      <c r="AA168" s="734">
        <f>'BASE DE DATOS'!AA168</f>
        <v>1.45</v>
      </c>
      <c r="AB168" s="734">
        <f>'BASE DE DATOS'!AB168</f>
        <v>30</v>
      </c>
      <c r="AD168" s="734" t="str">
        <f>'BASE DE DATOS'!AD168</f>
        <v>TUCUMÁN AERO</v>
      </c>
      <c r="AE168" s="734">
        <f>'BASE DE DATOS'!AE168</f>
        <v>25.3</v>
      </c>
      <c r="AF168" s="734">
        <f>'BASE DE DATOS'!AF168</f>
        <v>24.1</v>
      </c>
      <c r="AG168" s="734">
        <f>'BASE DE DATOS'!AG168</f>
        <v>22.6</v>
      </c>
      <c r="AH168" s="734">
        <f>'BASE DE DATOS'!AH168</f>
        <v>18.899999999999999</v>
      </c>
      <c r="AI168" s="734">
        <f>'BASE DE DATOS'!AI168</f>
        <v>15.8</v>
      </c>
      <c r="AJ168" s="734">
        <f>'BASE DE DATOS'!AJ168</f>
        <v>12.7</v>
      </c>
      <c r="AK168" s="734">
        <f>'BASE DE DATOS'!AK168</f>
        <v>12.7</v>
      </c>
      <c r="AL168" s="734">
        <f>'BASE DE DATOS'!AL168</f>
        <v>14.7</v>
      </c>
      <c r="AM168" s="734">
        <f>'BASE DE DATOS'!AM168</f>
        <v>17.7</v>
      </c>
      <c r="AN168" s="734">
        <f>'BASE DE DATOS'!AN168</f>
        <v>20.7</v>
      </c>
      <c r="AO168" s="734">
        <f>'BASE DE DATOS'!AO168</f>
        <v>23.1</v>
      </c>
      <c r="AP168" s="734">
        <f>'BASE DE DATOS'!AP168</f>
        <v>25</v>
      </c>
      <c r="AR168" s="734" t="str">
        <f>'BASE DE DATOS'!AR168</f>
        <v>TC</v>
      </c>
      <c r="AS168" s="734" t="str">
        <f>'BASE DE DATOS'!AS168</f>
        <v>TUCUMÁN AERO</v>
      </c>
      <c r="AT168" s="734">
        <f>'BASE DE DATOS'!AT168</f>
        <v>5</v>
      </c>
      <c r="AU168" s="734">
        <f>'BASE DE DATOS'!AU168</f>
        <v>5.5</v>
      </c>
      <c r="AV168" s="734">
        <f>'BASE DE DATOS'!AV168</f>
        <v>3.5</v>
      </c>
      <c r="AW168" s="734">
        <f>'BASE DE DATOS'!AW168</f>
        <v>4</v>
      </c>
      <c r="AX168" s="734">
        <f>'BASE DE DATOS'!AX168</f>
        <v>3</v>
      </c>
      <c r="AY168" s="734">
        <f>'BASE DE DATOS'!AY168</f>
        <v>2.5</v>
      </c>
      <c r="AZ168" s="734">
        <f>'BASE DE DATOS'!AZ168</f>
        <v>2.5</v>
      </c>
      <c r="BA168" s="734">
        <f>'BASE DE DATOS'!BA168</f>
        <v>3</v>
      </c>
      <c r="BB168" s="734">
        <f>'BASE DE DATOS'!BB168</f>
        <v>4</v>
      </c>
      <c r="BC168" s="734">
        <f>'BASE DE DATOS'!BC168</f>
        <v>5</v>
      </c>
      <c r="BD168" s="734">
        <f>'BASE DE DATOS'!BD168</f>
        <v>5</v>
      </c>
      <c r="BE168" s="734">
        <f>'BASE DE DATOS'!BE168</f>
        <v>6</v>
      </c>
      <c r="DO168" s="733" t="str">
        <f>'BASE DE DATOS'!BG168</f>
        <v>TC</v>
      </c>
      <c r="DP168" s="733" t="str">
        <f>'BASE DE DATOS'!BH168</f>
        <v>TUCUMÁN AERO</v>
      </c>
      <c r="DQ168" s="733">
        <f>'BASE DE DATOS'!BI168</f>
        <v>205</v>
      </c>
      <c r="DR168" s="733">
        <f>'BASE DE DATOS'!BJ168</f>
        <v>172</v>
      </c>
      <c r="DS168" s="733">
        <f>'BASE DE DATOS'!BK168</f>
        <v>160</v>
      </c>
      <c r="DT168" s="733">
        <f>'BASE DE DATOS'!BL168</f>
        <v>62</v>
      </c>
      <c r="DU168" s="733">
        <f>'BASE DE DATOS'!BM168</f>
        <v>27</v>
      </c>
      <c r="DV168" s="733">
        <f>'BASE DE DATOS'!BN168</f>
        <v>16</v>
      </c>
      <c r="DW168" s="733">
        <f>'BASE DE DATOS'!BO168</f>
        <v>12</v>
      </c>
      <c r="DX168" s="733">
        <f>'BASE DE DATOS'!BP168</f>
        <v>10</v>
      </c>
      <c r="DY168" s="733">
        <f>'BASE DE DATOS'!BQ168</f>
        <v>17</v>
      </c>
      <c r="DZ168" s="733">
        <f>'BASE DE DATOS'!BR168</f>
        <v>68</v>
      </c>
      <c r="EA168" s="733">
        <f>'BASE DE DATOS'!BS168</f>
        <v>103</v>
      </c>
      <c r="EB168" s="733">
        <f>'BASE DE DATOS'!BT168</f>
        <v>145</v>
      </c>
    </row>
    <row r="169" spans="2:132">
      <c r="B169" s="734" t="str">
        <f>'BASE DE DATOS'!B169</f>
        <v>TC</v>
      </c>
      <c r="C169" s="734" t="str">
        <f>'BASE DE DATOS'!C169</f>
        <v>TUCUMÁN</v>
      </c>
      <c r="D169" s="734">
        <f>'BASE DE DATOS'!D169</f>
        <v>26.8</v>
      </c>
      <c r="E169" s="734">
        <f>'BASE DE DATOS'!E169</f>
        <v>65.2</v>
      </c>
      <c r="F169" s="734">
        <f>'BASE DE DATOS'!F169</f>
        <v>481</v>
      </c>
      <c r="G169" s="734" t="str">
        <f>'BASE DE DATOS'!G169</f>
        <v>IIB</v>
      </c>
      <c r="H169" s="734">
        <f>'BASE DE DATOS'!H169</f>
        <v>1.6</v>
      </c>
      <c r="I169" s="734">
        <f>'BASE DE DATOS'!I169</f>
        <v>12.9</v>
      </c>
      <c r="J169" s="734">
        <f>'BASE DE DATOS'!J169</f>
        <v>23.9</v>
      </c>
      <c r="K169" s="734">
        <f>'BASE DE DATOS'!K169</f>
        <v>33.6</v>
      </c>
      <c r="L169" s="734">
        <f>'BASE DE DATOS'!L169</f>
        <v>76</v>
      </c>
      <c r="M169" s="734">
        <f>'BASE DE DATOS'!M169</f>
        <v>73</v>
      </c>
      <c r="N169" s="734">
        <f>'BASE DE DATOS'!N169</f>
        <v>76</v>
      </c>
      <c r="O169" s="734">
        <f>'BASE DE DATOS'!O169</f>
        <v>12</v>
      </c>
      <c r="P169" s="734">
        <f>'BASE DE DATOS'!P169</f>
        <v>172</v>
      </c>
      <c r="Q169" s="734">
        <f>'BASE DE DATOS'!Q169</f>
        <v>2</v>
      </c>
      <c r="R169" s="734">
        <f>'BASE DE DATOS'!R169</f>
        <v>24</v>
      </c>
      <c r="S169" s="734">
        <f>'BASE DE DATOS'!S169</f>
        <v>0.47</v>
      </c>
      <c r="T169" s="734">
        <f>'BASE DE DATOS'!T169</f>
        <v>14.6</v>
      </c>
      <c r="U169" s="734">
        <f>'BASE DE DATOS'!U169</f>
        <v>11.5</v>
      </c>
      <c r="V169" s="734">
        <f>'BASE DE DATOS'!V169</f>
        <v>94</v>
      </c>
      <c r="W169" s="734">
        <f>'BASE DE DATOS'!W169</f>
        <v>85</v>
      </c>
      <c r="X169" s="734">
        <f>'BASE DE DATOS'!X169</f>
        <v>8.0000000000000002E-3</v>
      </c>
      <c r="Y169" s="734">
        <f>'BASE DE DATOS'!Y169</f>
        <v>1.2E-2</v>
      </c>
      <c r="Z169" s="734">
        <f>'BASE DE DATOS'!Z169</f>
        <v>145</v>
      </c>
      <c r="AA169" s="734">
        <f>'BASE DE DATOS'!AA169</f>
        <v>1.45</v>
      </c>
      <c r="AB169" s="734">
        <f>'BASE DE DATOS'!AB169</f>
        <v>30</v>
      </c>
      <c r="AD169" s="734" t="str">
        <f>'BASE DE DATOS'!AD169</f>
        <v>TUCUMÁN</v>
      </c>
      <c r="AE169" s="734">
        <f>'BASE DE DATOS'!AE169</f>
        <v>26</v>
      </c>
      <c r="AF169" s="734">
        <f>'BASE DE DATOS'!AF169</f>
        <v>25.3</v>
      </c>
      <c r="AG169" s="734">
        <f>'BASE DE DATOS'!AG169</f>
        <v>24</v>
      </c>
      <c r="AH169" s="734">
        <f>'BASE DE DATOS'!AH169</f>
        <v>20.5</v>
      </c>
      <c r="AI169" s="734">
        <f>'BASE DE DATOS'!AI169</f>
        <v>17.5</v>
      </c>
      <c r="AJ169" s="734">
        <f>'BASE DE DATOS'!AJ169</f>
        <v>14.5</v>
      </c>
      <c r="AK169" s="734">
        <f>'BASE DE DATOS'!AK169</f>
        <v>14</v>
      </c>
      <c r="AL169" s="734">
        <f>'BASE DE DATOS'!AL169</f>
        <v>16.8</v>
      </c>
      <c r="AM169" s="734">
        <f>'BASE DE DATOS'!AM169</f>
        <v>18.7</v>
      </c>
      <c r="AN169" s="734">
        <f>'BASE DE DATOS'!AN169</f>
        <v>23</v>
      </c>
      <c r="AO169" s="734">
        <f>'BASE DE DATOS'!AO169</f>
        <v>24.3</v>
      </c>
      <c r="AP169" s="734">
        <f>'BASE DE DATOS'!AP169</f>
        <v>26</v>
      </c>
      <c r="AR169" s="734" t="str">
        <f>'BASE DE DATOS'!AR169</f>
        <v>TC</v>
      </c>
      <c r="AS169" s="734" t="str">
        <f>'BASE DE DATOS'!AS169</f>
        <v>TUCUMÁN</v>
      </c>
      <c r="AT169" s="734">
        <f>'BASE DE DATOS'!AT169</f>
        <v>5</v>
      </c>
      <c r="AU169" s="734">
        <f>'BASE DE DATOS'!AU169</f>
        <v>5.5</v>
      </c>
      <c r="AV169" s="734">
        <f>'BASE DE DATOS'!AV169</f>
        <v>3.5</v>
      </c>
      <c r="AW169" s="734">
        <f>'BASE DE DATOS'!AW169</f>
        <v>4</v>
      </c>
      <c r="AX169" s="734">
        <f>'BASE DE DATOS'!AX169</f>
        <v>3</v>
      </c>
      <c r="AY169" s="734">
        <f>'BASE DE DATOS'!AY169</f>
        <v>2.5</v>
      </c>
      <c r="AZ169" s="734">
        <f>'BASE DE DATOS'!AZ169</f>
        <v>2.5</v>
      </c>
      <c r="BA169" s="734">
        <f>'BASE DE DATOS'!BA169</f>
        <v>3</v>
      </c>
      <c r="BB169" s="734">
        <f>'BASE DE DATOS'!BB169</f>
        <v>4</v>
      </c>
      <c r="BC169" s="734">
        <f>'BASE DE DATOS'!BC169</f>
        <v>5</v>
      </c>
      <c r="BD169" s="734">
        <f>'BASE DE DATOS'!BD169</f>
        <v>5</v>
      </c>
      <c r="BE169" s="734">
        <f>'BASE DE DATOS'!BE169</f>
        <v>6</v>
      </c>
      <c r="DO169" s="733" t="str">
        <f>'BASE DE DATOS'!BG169</f>
        <v>TC</v>
      </c>
      <c r="DP169" s="733" t="str">
        <f>'BASE DE DATOS'!BH169</f>
        <v>TUCUMÁN</v>
      </c>
      <c r="DQ169" s="733">
        <f>'BASE DE DATOS'!BI169</f>
        <v>205</v>
      </c>
      <c r="DR169" s="733">
        <f>'BASE DE DATOS'!BJ169</f>
        <v>172</v>
      </c>
      <c r="DS169" s="733">
        <f>'BASE DE DATOS'!BK169</f>
        <v>160</v>
      </c>
      <c r="DT169" s="733">
        <f>'BASE DE DATOS'!BL169</f>
        <v>62</v>
      </c>
      <c r="DU169" s="733">
        <f>'BASE DE DATOS'!BM169</f>
        <v>27</v>
      </c>
      <c r="DV169" s="733">
        <f>'BASE DE DATOS'!BN169</f>
        <v>16</v>
      </c>
      <c r="DW169" s="733">
        <f>'BASE DE DATOS'!BO169</f>
        <v>12</v>
      </c>
      <c r="DX169" s="733">
        <f>'BASE DE DATOS'!BP169</f>
        <v>10</v>
      </c>
      <c r="DY169" s="733">
        <f>'BASE DE DATOS'!BQ169</f>
        <v>17</v>
      </c>
      <c r="DZ169" s="733">
        <f>'BASE DE DATOS'!BR169</f>
        <v>68</v>
      </c>
      <c r="EA169" s="733">
        <f>'BASE DE DATOS'!BS169</f>
        <v>103</v>
      </c>
      <c r="EB169" s="733">
        <f>'BASE DE DATOS'!BT169</f>
        <v>145</v>
      </c>
    </row>
    <row r="170" spans="2:132">
      <c r="B170" s="734" t="str">
        <f>'BASE DE DATOS'!B170</f>
        <v>TC</v>
      </c>
      <c r="C170" s="734" t="str">
        <f>'BASE DE DATOS'!C170</f>
        <v>VILLA NOGUES</v>
      </c>
      <c r="D170" s="734">
        <f>'BASE DE DATOS'!D170</f>
        <v>26.88</v>
      </c>
      <c r="E170" s="734">
        <f>'BASE DE DATOS'!E170</f>
        <v>65.38</v>
      </c>
      <c r="F170" s="734">
        <f>'BASE DE DATOS'!F170</f>
        <v>1388</v>
      </c>
      <c r="G170" s="734" t="str">
        <f>'BASE DE DATOS'!G170</f>
        <v>IIB</v>
      </c>
      <c r="H170" s="734">
        <f>'BASE DE DATOS'!H170</f>
        <v>1</v>
      </c>
      <c r="I170" s="734">
        <f>'BASE DE DATOS'!I170</f>
        <v>10.3</v>
      </c>
      <c r="J170" s="734">
        <f>'BASE DE DATOS'!J170</f>
        <v>18.600000000000001</v>
      </c>
      <c r="K170" s="734">
        <f>'BASE DE DATOS'!K170</f>
        <v>26.9</v>
      </c>
      <c r="L170" s="734">
        <f>'BASE DE DATOS'!L170</f>
        <v>79</v>
      </c>
      <c r="M170" s="734">
        <f>'BASE DE DATOS'!M170</f>
        <v>67</v>
      </c>
      <c r="N170" s="734">
        <f>'BASE DE DATOS'!N170</f>
        <v>79</v>
      </c>
      <c r="O170" s="734">
        <f>'BASE DE DATOS'!O170</f>
        <v>30</v>
      </c>
      <c r="P170" s="734">
        <f>'BASE DE DATOS'!P170</f>
        <v>237</v>
      </c>
      <c r="Q170" s="734">
        <f>'BASE DE DATOS'!Q170</f>
        <v>2</v>
      </c>
      <c r="R170" s="734">
        <f>'BASE DE DATOS'!R170</f>
        <v>19</v>
      </c>
      <c r="S170" s="734">
        <f>'BASE DE DATOS'!S170</f>
        <v>0.47</v>
      </c>
      <c r="T170" s="734">
        <f>'BASE DE DATOS'!T170</f>
        <v>14.6</v>
      </c>
      <c r="U170" s="734">
        <f>'BASE DE DATOS'!U170</f>
        <v>11.5</v>
      </c>
      <c r="V170" s="734">
        <f>'BASE DE DATOS'!V170</f>
        <v>94</v>
      </c>
      <c r="W170" s="734">
        <f>'BASE DE DATOS'!W170</f>
        <v>85</v>
      </c>
      <c r="X170" s="734">
        <f>'BASE DE DATOS'!X170</f>
        <v>8.0000000000000002E-3</v>
      </c>
      <c r="Y170" s="734">
        <f>'BASE DE DATOS'!Y170</f>
        <v>1.2E-2</v>
      </c>
      <c r="Z170" s="734">
        <f>'BASE DE DATOS'!Z170</f>
        <v>145</v>
      </c>
      <c r="AA170" s="734">
        <f>'BASE DE DATOS'!AA170</f>
        <v>1.45</v>
      </c>
      <c r="AB170" s="734">
        <f>'BASE DE DATOS'!AB170</f>
        <v>30</v>
      </c>
      <c r="AD170" s="734" t="str">
        <f>'BASE DE DATOS'!AD170</f>
        <v>VILLA NOGUES</v>
      </c>
      <c r="AE170" s="734">
        <f>'BASE DE DATOS'!AE170</f>
        <v>21.9</v>
      </c>
      <c r="AF170" s="734">
        <f>'BASE DE DATOS'!AF170</f>
        <v>20.9</v>
      </c>
      <c r="AG170" s="734">
        <f>'BASE DE DATOS'!AG170</f>
        <v>19.5</v>
      </c>
      <c r="AH170" s="734">
        <f>'BASE DE DATOS'!AH170</f>
        <v>16</v>
      </c>
      <c r="AI170" s="734">
        <f>'BASE DE DATOS'!AI170</f>
        <v>13.5</v>
      </c>
      <c r="AJ170" s="734">
        <f>'BASE DE DATOS'!AJ170</f>
        <v>10.7</v>
      </c>
      <c r="AK170" s="734">
        <f>'BASE DE DATOS'!AK170</f>
        <v>11.5</v>
      </c>
      <c r="AL170" s="734">
        <f>'BASE DE DATOS'!AL170</f>
        <v>13.4</v>
      </c>
      <c r="AM170" s="734">
        <f>'BASE DE DATOS'!AM170</f>
        <v>15.6</v>
      </c>
      <c r="AN170" s="734">
        <f>'BASE DE DATOS'!AN170</f>
        <v>17.600000000000001</v>
      </c>
      <c r="AO170" s="734">
        <f>'BASE DE DATOS'!AO170</f>
        <v>20</v>
      </c>
      <c r="AP170" s="734">
        <f>'BASE DE DATOS'!AP170</f>
        <v>22.2</v>
      </c>
      <c r="AR170" s="734" t="str">
        <f>'BASE DE DATOS'!AR170</f>
        <v>TC</v>
      </c>
      <c r="AS170" s="734" t="str">
        <f>'BASE DE DATOS'!AS170</f>
        <v>VILLA NOGUES</v>
      </c>
      <c r="AT170" s="734">
        <f>'BASE DE DATOS'!AT170</f>
        <v>5</v>
      </c>
      <c r="AU170" s="734">
        <f>'BASE DE DATOS'!AU170</f>
        <v>5.5</v>
      </c>
      <c r="AV170" s="734">
        <f>'BASE DE DATOS'!AV170</f>
        <v>4</v>
      </c>
      <c r="AW170" s="734">
        <f>'BASE DE DATOS'!AW170</f>
        <v>4</v>
      </c>
      <c r="AX170" s="734">
        <f>'BASE DE DATOS'!AX170</f>
        <v>3</v>
      </c>
      <c r="AY170" s="734">
        <f>'BASE DE DATOS'!AY170</f>
        <v>2.5</v>
      </c>
      <c r="AZ170" s="734">
        <f>'BASE DE DATOS'!AZ170</f>
        <v>3</v>
      </c>
      <c r="BA170" s="734">
        <f>'BASE DE DATOS'!BA170</f>
        <v>3</v>
      </c>
      <c r="BB170" s="734">
        <f>'BASE DE DATOS'!BB170</f>
        <v>4</v>
      </c>
      <c r="BC170" s="734">
        <f>'BASE DE DATOS'!BC170</f>
        <v>5</v>
      </c>
      <c r="BD170" s="734">
        <f>'BASE DE DATOS'!BD170</f>
        <v>5</v>
      </c>
      <c r="BE170" s="734">
        <f>'BASE DE DATOS'!BE170</f>
        <v>6</v>
      </c>
      <c r="DO170" s="733" t="str">
        <f>'BASE DE DATOS'!BG170</f>
        <v>TC</v>
      </c>
      <c r="DP170" s="733" t="str">
        <f>'BASE DE DATOS'!BH170</f>
        <v>VILLA NOGUES</v>
      </c>
      <c r="DQ170" s="733">
        <f>'BASE DE DATOS'!BI170</f>
        <v>205</v>
      </c>
      <c r="DR170" s="733">
        <f>'BASE DE DATOS'!BJ170</f>
        <v>172</v>
      </c>
      <c r="DS170" s="733">
        <f>'BASE DE DATOS'!BK170</f>
        <v>160</v>
      </c>
      <c r="DT170" s="733">
        <f>'BASE DE DATOS'!BL170</f>
        <v>62</v>
      </c>
      <c r="DU170" s="733">
        <f>'BASE DE DATOS'!BM170</f>
        <v>27</v>
      </c>
      <c r="DV170" s="733">
        <f>'BASE DE DATOS'!BN170</f>
        <v>16</v>
      </c>
      <c r="DW170" s="733">
        <f>'BASE DE DATOS'!BO170</f>
        <v>12</v>
      </c>
      <c r="DX170" s="733">
        <f>'BASE DE DATOS'!BP170</f>
        <v>10</v>
      </c>
      <c r="DY170" s="733">
        <f>'BASE DE DATOS'!BQ170</f>
        <v>17</v>
      </c>
      <c r="DZ170" s="733">
        <f>'BASE DE DATOS'!BR170</f>
        <v>68</v>
      </c>
      <c r="EA170" s="733">
        <f>'BASE DE DATOS'!BS170</f>
        <v>103</v>
      </c>
      <c r="EB170" s="733">
        <f>'BASE DE DATOS'!BT170</f>
        <v>145</v>
      </c>
    </row>
    <row r="171" spans="2:132">
      <c r="B171" s="734" t="str">
        <f>'BASE DE DATOS'!B171</f>
        <v>TF</v>
      </c>
      <c r="C171" s="734" t="str">
        <f>'BASE DE DATOS'!C171</f>
        <v>BASE ESPERANZA</v>
      </c>
      <c r="D171" s="734">
        <f>'BASE DE DATOS'!D171</f>
        <v>63.4</v>
      </c>
      <c r="E171" s="734">
        <f>'BASE DE DATOS'!E171</f>
        <v>56.98</v>
      </c>
      <c r="F171" s="734">
        <f>'BASE DE DATOS'!F171</f>
        <v>8</v>
      </c>
      <c r="G171" s="734" t="str">
        <f>'BASE DE DATOS'!G171</f>
        <v>VI</v>
      </c>
      <c r="H171" s="734">
        <f>'BASE DE DATOS'!H171</f>
        <v>-23.9</v>
      </c>
      <c r="I171" s="734">
        <f>'BASE DE DATOS'!I171</f>
        <v>-11.4</v>
      </c>
      <c r="J171" s="734">
        <f>'BASE DE DATOS'!J171</f>
        <v>-0.1</v>
      </c>
      <c r="K171" s="734">
        <f>'BASE DE DATOS'!K171</f>
        <v>6.4</v>
      </c>
      <c r="L171" s="734">
        <f>'BASE DE DATOS'!L171</f>
        <v>83</v>
      </c>
      <c r="M171" s="734">
        <f>'BASE DE DATOS'!M171</f>
        <v>80</v>
      </c>
      <c r="N171" s="734">
        <f>'BASE DE DATOS'!N171</f>
        <v>83</v>
      </c>
      <c r="O171" s="734">
        <f>'BASE DE DATOS'!O171</f>
        <v>61</v>
      </c>
      <c r="P171" s="734">
        <f>'BASE DE DATOS'!P171</f>
        <v>58</v>
      </c>
      <c r="Q171" s="734">
        <f>'BASE DE DATOS'!Q171</f>
        <v>6</v>
      </c>
      <c r="R171" s="734">
        <f>'BASE DE DATOS'!R171</f>
        <v>-0.4</v>
      </c>
      <c r="S171" s="734">
        <f>'BASE DE DATOS'!S171</f>
        <v>0.47</v>
      </c>
      <c r="T171" s="734">
        <f>'BASE DE DATOS'!T171</f>
        <v>115.7</v>
      </c>
      <c r="U171" s="734">
        <f>'BASE DE DATOS'!U171</f>
        <v>0</v>
      </c>
      <c r="V171" s="734">
        <f>'BASE DE DATOS'!V171</f>
        <v>253</v>
      </c>
      <c r="W171" s="734">
        <f>'BASE DE DATOS'!W171</f>
        <v>0</v>
      </c>
      <c r="X171" s="734">
        <f>'BASE DE DATOS'!X171</f>
        <v>2.8000000000000001E-2</v>
      </c>
      <c r="Y171" s="734">
        <f>'BASE DE DATOS'!Y171</f>
        <v>0</v>
      </c>
      <c r="Z171" s="734">
        <f>'BASE DE DATOS'!Z171</f>
        <v>95</v>
      </c>
      <c r="AA171" s="734">
        <f>'BASE DE DATOS'!AA171</f>
        <v>0.95000000000000007</v>
      </c>
      <c r="AB171" s="734">
        <f>'BASE DE DATOS'!AB171</f>
        <v>55</v>
      </c>
      <c r="AD171" s="734" t="str">
        <f>'BASE DE DATOS'!AD171</f>
        <v>BASE ESPERANZA</v>
      </c>
      <c r="AE171" s="734">
        <f>'BASE DE DATOS'!AE171</f>
        <v>1.55</v>
      </c>
      <c r="AF171" s="734">
        <f>'BASE DE DATOS'!AF171</f>
        <v>-0.15</v>
      </c>
      <c r="AG171" s="734">
        <f>'BASE DE DATOS'!AG171</f>
        <v>-3</v>
      </c>
      <c r="AH171" s="734">
        <f>'BASE DE DATOS'!AH171</f>
        <v>-7.25</v>
      </c>
      <c r="AI171" s="734">
        <f>'BASE DE DATOS'!AI171</f>
        <v>-9.5</v>
      </c>
      <c r="AJ171" s="734">
        <f>'BASE DE DATOS'!AJ171</f>
        <v>-10.85</v>
      </c>
      <c r="AK171" s="734">
        <f>'BASE DE DATOS'!AK171</f>
        <v>-10.7</v>
      </c>
      <c r="AL171" s="734">
        <f>'BASE DE DATOS'!AL171</f>
        <v>-10.35</v>
      </c>
      <c r="AM171" s="734">
        <f>'BASE DE DATOS'!AM171</f>
        <v>-6.9</v>
      </c>
      <c r="AN171" s="734">
        <f>'BASE DE DATOS'!AN171</f>
        <v>-3.5</v>
      </c>
      <c r="AO171" s="734">
        <f>'BASE DE DATOS'!AO171</f>
        <v>-2.95</v>
      </c>
      <c r="AP171" s="734">
        <f>'BASE DE DATOS'!AP171</f>
        <v>0.55000000000000004</v>
      </c>
      <c r="AR171" s="734" t="str">
        <f>'BASE DE DATOS'!AR171</f>
        <v>TF</v>
      </c>
      <c r="AS171" s="734" t="str">
        <f>'BASE DE DATOS'!AS171</f>
        <v>BASE ESPERANZA</v>
      </c>
      <c r="AT171" s="734">
        <f>'BASE DE DATOS'!AT171</f>
        <v>5.5</v>
      </c>
      <c r="AU171" s="734">
        <f>'BASE DE DATOS'!AU171</f>
        <v>4.5</v>
      </c>
      <c r="AV171" s="734">
        <f>'BASE DE DATOS'!AV171</f>
        <v>2.5</v>
      </c>
      <c r="AW171" s="734">
        <f>'BASE DE DATOS'!AW171</f>
        <v>1.5</v>
      </c>
      <c r="AX171" s="734">
        <f>'BASE DE DATOS'!AX171</f>
        <v>0.5</v>
      </c>
      <c r="AY171" s="734">
        <f>'BASE DE DATOS'!AY171</f>
        <v>0.15</v>
      </c>
      <c r="AZ171" s="734">
        <f>'BASE DE DATOS'!AZ171</f>
        <v>0.5</v>
      </c>
      <c r="BA171" s="734">
        <f>'BASE DE DATOS'!BA171</f>
        <v>1</v>
      </c>
      <c r="BB171" s="734">
        <f>'BASE DE DATOS'!BB171</f>
        <v>2.5</v>
      </c>
      <c r="BC171" s="734">
        <f>'BASE DE DATOS'!BC171</f>
        <v>4</v>
      </c>
      <c r="BD171" s="734">
        <f>'BASE DE DATOS'!BD171</f>
        <v>5</v>
      </c>
      <c r="BE171" s="734">
        <f>'BASE DE DATOS'!BE171</f>
        <v>5.5</v>
      </c>
      <c r="DO171" s="733" t="str">
        <f>'BASE DE DATOS'!BG171</f>
        <v>TF</v>
      </c>
      <c r="DP171" s="733" t="str">
        <f>'BASE DE DATOS'!BH171</f>
        <v>BASE ESPERANZA</v>
      </c>
      <c r="DQ171" s="733">
        <f>'BASE DE DATOS'!BI171</f>
        <v>55</v>
      </c>
      <c r="DR171" s="733">
        <f>'BASE DE DATOS'!BJ171</f>
        <v>50</v>
      </c>
      <c r="DS171" s="733">
        <f>'BASE DE DATOS'!BK171</f>
        <v>54</v>
      </c>
      <c r="DT171" s="733">
        <f>'BASE DE DATOS'!BL171</f>
        <v>54</v>
      </c>
      <c r="DU171" s="733">
        <f>'BASE DE DATOS'!BM171</f>
        <v>53</v>
      </c>
      <c r="DV171" s="733">
        <f>'BASE DE DATOS'!BN171</f>
        <v>51</v>
      </c>
      <c r="DW171" s="733">
        <f>'BASE DE DATOS'!BO171</f>
        <v>45</v>
      </c>
      <c r="DX171" s="733">
        <f>'BASE DE DATOS'!BP171</f>
        <v>47</v>
      </c>
      <c r="DY171" s="733">
        <f>'BASE DE DATOS'!BQ171</f>
        <v>37</v>
      </c>
      <c r="DZ171" s="733">
        <f>'BASE DE DATOS'!BR171</f>
        <v>37</v>
      </c>
      <c r="EA171" s="733">
        <f>'BASE DE DATOS'!BS171</f>
        <v>48</v>
      </c>
      <c r="EB171" s="733">
        <f>'BASE DE DATOS'!BT171</f>
        <v>47</v>
      </c>
    </row>
    <row r="172" spans="2:132">
      <c r="B172" s="734" t="str">
        <f>'BASE DE DATOS'!B172</f>
        <v>TF</v>
      </c>
      <c r="C172" s="734" t="str">
        <f>'BASE DE DATOS'!C172</f>
        <v>ISLAS ORCADAS</v>
      </c>
      <c r="D172" s="734">
        <f>'BASE DE DATOS'!D172</f>
        <v>60.73</v>
      </c>
      <c r="E172" s="734">
        <f>'BASE DE DATOS'!E172</f>
        <v>44.73</v>
      </c>
      <c r="F172" s="734">
        <f>'BASE DE DATOS'!F172</f>
        <v>4</v>
      </c>
      <c r="G172" s="734" t="str">
        <f>'BASE DE DATOS'!G172</f>
        <v>VI</v>
      </c>
      <c r="H172" s="734">
        <f>'BASE DE DATOS'!H172</f>
        <v>-23.4</v>
      </c>
      <c r="I172" s="734">
        <f>'BASE DE DATOS'!I172</f>
        <v>-8.8000000000000007</v>
      </c>
      <c r="J172" s="734">
        <f>'BASE DE DATOS'!J172</f>
        <v>0.4</v>
      </c>
      <c r="K172" s="734">
        <f>'BASE DE DATOS'!K172</f>
        <v>6</v>
      </c>
      <c r="L172" s="734">
        <f>'BASE DE DATOS'!L172</f>
        <v>87</v>
      </c>
      <c r="M172" s="734">
        <f>'BASE DE DATOS'!M172</f>
        <v>86</v>
      </c>
      <c r="N172" s="734">
        <f>'BASE DE DATOS'!N172</f>
        <v>87</v>
      </c>
      <c r="O172" s="734">
        <f>'BASE DE DATOS'!O172</f>
        <v>57</v>
      </c>
      <c r="P172" s="734">
        <f>'BASE DE DATOS'!P172</f>
        <v>69</v>
      </c>
      <c r="Q172" s="734">
        <f>'BASE DE DATOS'!Q172</f>
        <v>6</v>
      </c>
      <c r="R172" s="734">
        <f>'BASE DE DATOS'!R172</f>
        <v>0.1</v>
      </c>
      <c r="S172" s="734">
        <f>'BASE DE DATOS'!S172</f>
        <v>0.47</v>
      </c>
      <c r="T172" s="734">
        <f>'BASE DE DATOS'!T172</f>
        <v>115.7</v>
      </c>
      <c r="U172" s="734">
        <f>'BASE DE DATOS'!U172</f>
        <v>0</v>
      </c>
      <c r="V172" s="734">
        <f>'BASE DE DATOS'!V172</f>
        <v>253</v>
      </c>
      <c r="W172" s="734">
        <f>'BASE DE DATOS'!W172</f>
        <v>0</v>
      </c>
      <c r="X172" s="734">
        <f>'BASE DE DATOS'!X172</f>
        <v>2.8000000000000001E-2</v>
      </c>
      <c r="Y172" s="734">
        <f>'BASE DE DATOS'!Y172</f>
        <v>0</v>
      </c>
      <c r="Z172" s="734">
        <f>'BASE DE DATOS'!Z172</f>
        <v>95</v>
      </c>
      <c r="AA172" s="734">
        <f>'BASE DE DATOS'!AA172</f>
        <v>0.95000000000000007</v>
      </c>
      <c r="AB172" s="734">
        <f>'BASE DE DATOS'!AB172</f>
        <v>55</v>
      </c>
      <c r="AD172" s="734" t="str">
        <f>'BASE DE DATOS'!AD172</f>
        <v>ISLAS ORCADAS</v>
      </c>
      <c r="AE172" s="734">
        <f>'BASE DE DATOS'!AE172</f>
        <v>10.199999999999999</v>
      </c>
      <c r="AF172" s="734">
        <f>'BASE DE DATOS'!AF172</f>
        <v>9.8000000000000007</v>
      </c>
      <c r="AG172" s="734">
        <f>'BASE DE DATOS'!AG172</f>
        <v>8.1</v>
      </c>
      <c r="AH172" s="734">
        <f>'BASE DE DATOS'!AH172</f>
        <v>5.4</v>
      </c>
      <c r="AI172" s="734">
        <f>'BASE DE DATOS'!AI172</f>
        <v>2</v>
      </c>
      <c r="AJ172" s="734">
        <f>'BASE DE DATOS'!AJ172</f>
        <v>0.8</v>
      </c>
      <c r="AK172" s="734">
        <f>'BASE DE DATOS'!AK172</f>
        <v>0.8</v>
      </c>
      <c r="AL172" s="734">
        <f>'BASE DE DATOS'!AL172</f>
        <v>1.7</v>
      </c>
      <c r="AM172" s="734">
        <f>'BASE DE DATOS'!AM172</f>
        <v>3.7</v>
      </c>
      <c r="AN172" s="734">
        <f>'BASE DE DATOS'!AN172</f>
        <v>6.3</v>
      </c>
      <c r="AO172" s="734">
        <f>'BASE DE DATOS'!AO172</f>
        <v>7.2</v>
      </c>
      <c r="AP172" s="734">
        <f>'BASE DE DATOS'!AP172</f>
        <v>9.9</v>
      </c>
      <c r="AR172" s="734" t="str">
        <f>'BASE DE DATOS'!AR172</f>
        <v>TF</v>
      </c>
      <c r="AS172" s="734" t="str">
        <f>'BASE DE DATOS'!AS172</f>
        <v>ISLAS ORCADAS</v>
      </c>
      <c r="AT172" s="734">
        <f>'BASE DE DATOS'!AT172</f>
        <v>5.5</v>
      </c>
      <c r="AU172" s="734">
        <f>'BASE DE DATOS'!AU172</f>
        <v>4.5</v>
      </c>
      <c r="AV172" s="734">
        <f>'BASE DE DATOS'!AV172</f>
        <v>2.5</v>
      </c>
      <c r="AW172" s="734">
        <f>'BASE DE DATOS'!AW172</f>
        <v>1.5</v>
      </c>
      <c r="AX172" s="734">
        <f>'BASE DE DATOS'!AX172</f>
        <v>0.5</v>
      </c>
      <c r="AY172" s="734">
        <f>'BASE DE DATOS'!AY172</f>
        <v>0.15</v>
      </c>
      <c r="AZ172" s="734">
        <f>'BASE DE DATOS'!AZ172</f>
        <v>0.5</v>
      </c>
      <c r="BA172" s="734">
        <f>'BASE DE DATOS'!BA172</f>
        <v>1</v>
      </c>
      <c r="BB172" s="734">
        <f>'BASE DE DATOS'!BB172</f>
        <v>2.5</v>
      </c>
      <c r="BC172" s="734">
        <f>'BASE DE DATOS'!BC172</f>
        <v>4</v>
      </c>
      <c r="BD172" s="734">
        <f>'BASE DE DATOS'!BD172</f>
        <v>5</v>
      </c>
      <c r="BE172" s="734">
        <f>'BASE DE DATOS'!BE172</f>
        <v>5.5</v>
      </c>
      <c r="DO172" s="733" t="str">
        <f>'BASE DE DATOS'!BG172</f>
        <v>TF</v>
      </c>
      <c r="DP172" s="733" t="str">
        <f>'BASE DE DATOS'!BH172</f>
        <v>ISLAS ORCADAS</v>
      </c>
      <c r="DQ172" s="733">
        <f>'BASE DE DATOS'!BI172</f>
        <v>55</v>
      </c>
      <c r="DR172" s="733">
        <f>'BASE DE DATOS'!BJ172</f>
        <v>50</v>
      </c>
      <c r="DS172" s="733">
        <f>'BASE DE DATOS'!BK172</f>
        <v>54</v>
      </c>
      <c r="DT172" s="733">
        <f>'BASE DE DATOS'!BL172</f>
        <v>54</v>
      </c>
      <c r="DU172" s="733">
        <f>'BASE DE DATOS'!BM172</f>
        <v>53</v>
      </c>
      <c r="DV172" s="733">
        <f>'BASE DE DATOS'!BN172</f>
        <v>51</v>
      </c>
      <c r="DW172" s="733">
        <f>'BASE DE DATOS'!BO172</f>
        <v>45</v>
      </c>
      <c r="DX172" s="733">
        <f>'BASE DE DATOS'!BP172</f>
        <v>47</v>
      </c>
      <c r="DY172" s="733">
        <f>'BASE DE DATOS'!BQ172</f>
        <v>37</v>
      </c>
      <c r="DZ172" s="733">
        <f>'BASE DE DATOS'!BR172</f>
        <v>37</v>
      </c>
      <c r="EA172" s="733">
        <f>'BASE DE DATOS'!BS172</f>
        <v>48</v>
      </c>
      <c r="EB172" s="733">
        <f>'BASE DE DATOS'!BT172</f>
        <v>47</v>
      </c>
    </row>
    <row r="173" spans="2:132">
      <c r="B173" s="734" t="str">
        <f>'BASE DE DATOS'!B173</f>
        <v>TF</v>
      </c>
      <c r="C173" s="734" t="str">
        <f>'BASE DE DATOS'!C173</f>
        <v>USHUAIA</v>
      </c>
      <c r="D173" s="734">
        <f>'BASE DE DATOS'!D173</f>
        <v>54.8</v>
      </c>
      <c r="E173" s="734">
        <f>'BASE DE DATOS'!E173</f>
        <v>68.319999999999993</v>
      </c>
      <c r="F173" s="734">
        <f>'BASE DE DATOS'!F173</f>
        <v>14</v>
      </c>
      <c r="G173" s="734" t="str">
        <f>'BASE DE DATOS'!G173</f>
        <v>VI</v>
      </c>
      <c r="H173" s="734">
        <f>'BASE DE DATOS'!H173</f>
        <v>-6.7</v>
      </c>
      <c r="I173" s="734">
        <f>'BASE DE DATOS'!I173</f>
        <v>1.9</v>
      </c>
      <c r="J173" s="734">
        <f>'BASE DE DATOS'!J173</f>
        <v>9.1</v>
      </c>
      <c r="K173" s="734">
        <f>'BASE DE DATOS'!K173</f>
        <v>16.899999999999999</v>
      </c>
      <c r="L173" s="734">
        <f>'BASE DE DATOS'!L173</f>
        <v>72</v>
      </c>
      <c r="M173" s="734">
        <f>'BASE DE DATOS'!M173</f>
        <v>78</v>
      </c>
      <c r="N173" s="734">
        <f>'BASE DE DATOS'!N173</f>
        <v>72</v>
      </c>
      <c r="O173" s="734">
        <f>'BASE DE DATOS'!O173</f>
        <v>39</v>
      </c>
      <c r="P173" s="734">
        <f>'BASE DE DATOS'!P173</f>
        <v>52</v>
      </c>
      <c r="Q173" s="734">
        <f>'BASE DE DATOS'!Q173</f>
        <v>6</v>
      </c>
      <c r="R173" s="734">
        <f>'BASE DE DATOS'!R173</f>
        <v>8.8000000000000007</v>
      </c>
      <c r="S173" s="734">
        <f>'BASE DE DATOS'!S173</f>
        <v>0.47</v>
      </c>
      <c r="T173" s="734">
        <f>'BASE DE DATOS'!T173</f>
        <v>115.7</v>
      </c>
      <c r="U173" s="734">
        <f>'BASE DE DATOS'!U173</f>
        <v>0</v>
      </c>
      <c r="V173" s="734">
        <f>'BASE DE DATOS'!V173</f>
        <v>253</v>
      </c>
      <c r="W173" s="734">
        <f>'BASE DE DATOS'!W173</f>
        <v>0</v>
      </c>
      <c r="X173" s="734">
        <f>'BASE DE DATOS'!X173</f>
        <v>2.8000000000000001E-2</v>
      </c>
      <c r="Y173" s="734">
        <f>'BASE DE DATOS'!Y173</f>
        <v>0</v>
      </c>
      <c r="Z173" s="734">
        <f>'BASE DE DATOS'!Z173</f>
        <v>95</v>
      </c>
      <c r="AA173" s="734">
        <f>'BASE DE DATOS'!AA173</f>
        <v>0.95000000000000007</v>
      </c>
      <c r="AB173" s="734">
        <f>'BASE DE DATOS'!AB173</f>
        <v>55</v>
      </c>
      <c r="AD173" s="734" t="str">
        <f>'BASE DE DATOS'!AD173</f>
        <v>USHUAIA</v>
      </c>
      <c r="AE173" s="734">
        <f>'BASE DE DATOS'!AE173</f>
        <v>9.3000000000000007</v>
      </c>
      <c r="AF173" s="734">
        <f>'BASE DE DATOS'!AF173</f>
        <v>9.1999999999999993</v>
      </c>
      <c r="AG173" s="734">
        <f>'BASE DE DATOS'!AG173</f>
        <v>7.6</v>
      </c>
      <c r="AH173" s="734">
        <f>'BASE DE DATOS'!AH173</f>
        <v>5.5</v>
      </c>
      <c r="AI173" s="734">
        <f>'BASE DE DATOS'!AI173</f>
        <v>3.2</v>
      </c>
      <c r="AJ173" s="734">
        <f>'BASE DE DATOS'!AJ173</f>
        <v>1.9</v>
      </c>
      <c r="AK173" s="734">
        <f>'BASE DE DATOS'!AK173</f>
        <v>1.7</v>
      </c>
      <c r="AL173" s="734">
        <f>'BASE DE DATOS'!AL173</f>
        <v>2.2000000000000002</v>
      </c>
      <c r="AM173" s="734">
        <f>'BASE DE DATOS'!AM173</f>
        <v>4</v>
      </c>
      <c r="AN173" s="734">
        <f>'BASE DE DATOS'!AN173</f>
        <v>6</v>
      </c>
      <c r="AO173" s="734">
        <f>'BASE DE DATOS'!AO173</f>
        <v>7.6</v>
      </c>
      <c r="AP173" s="734">
        <f>'BASE DE DATOS'!AP173</f>
        <v>8</v>
      </c>
      <c r="AR173" s="734" t="str">
        <f>'BASE DE DATOS'!AR173</f>
        <v>TF</v>
      </c>
      <c r="AS173" s="734" t="str">
        <f>'BASE DE DATOS'!AS173</f>
        <v>USHUAIA</v>
      </c>
      <c r="AT173" s="734">
        <f>'BASE DE DATOS'!AT173</f>
        <v>5.5</v>
      </c>
      <c r="AU173" s="734">
        <f>'BASE DE DATOS'!AU173</f>
        <v>4.5</v>
      </c>
      <c r="AV173" s="734">
        <f>'BASE DE DATOS'!AV173</f>
        <v>2.5</v>
      </c>
      <c r="AW173" s="734">
        <f>'BASE DE DATOS'!AW173</f>
        <v>1.5</v>
      </c>
      <c r="AX173" s="734">
        <f>'BASE DE DATOS'!AX173</f>
        <v>0.5</v>
      </c>
      <c r="AY173" s="734">
        <f>'BASE DE DATOS'!AY173</f>
        <v>0.15</v>
      </c>
      <c r="AZ173" s="734">
        <f>'BASE DE DATOS'!AZ173</f>
        <v>0.5</v>
      </c>
      <c r="BA173" s="734">
        <f>'BASE DE DATOS'!BA173</f>
        <v>1</v>
      </c>
      <c r="BB173" s="734">
        <f>'BASE DE DATOS'!BB173</f>
        <v>2.5</v>
      </c>
      <c r="BC173" s="734">
        <f>'BASE DE DATOS'!BC173</f>
        <v>4</v>
      </c>
      <c r="BD173" s="734">
        <f>'BASE DE DATOS'!BD173</f>
        <v>5</v>
      </c>
      <c r="BE173" s="734">
        <f>'BASE DE DATOS'!BE173</f>
        <v>5.5</v>
      </c>
      <c r="DO173" s="733" t="str">
        <f>'BASE DE DATOS'!BG173</f>
        <v>TF</v>
      </c>
      <c r="DP173" s="733" t="str">
        <f>'BASE DE DATOS'!BH173</f>
        <v>USHUAIA</v>
      </c>
      <c r="DQ173" s="733">
        <f>'BASE DE DATOS'!BI173</f>
        <v>55</v>
      </c>
      <c r="DR173" s="733">
        <f>'BASE DE DATOS'!BJ173</f>
        <v>50</v>
      </c>
      <c r="DS173" s="733">
        <f>'BASE DE DATOS'!BK173</f>
        <v>54</v>
      </c>
      <c r="DT173" s="733">
        <f>'BASE DE DATOS'!BL173</f>
        <v>54</v>
      </c>
      <c r="DU173" s="733">
        <f>'BASE DE DATOS'!BM173</f>
        <v>53</v>
      </c>
      <c r="DV173" s="733">
        <f>'BASE DE DATOS'!BN173</f>
        <v>51</v>
      </c>
      <c r="DW173" s="733">
        <f>'BASE DE DATOS'!BO173</f>
        <v>45</v>
      </c>
      <c r="DX173" s="733">
        <f>'BASE DE DATOS'!BP173</f>
        <v>47</v>
      </c>
      <c r="DY173" s="733">
        <f>'BASE DE DATOS'!BQ173</f>
        <v>37</v>
      </c>
      <c r="DZ173" s="733">
        <f>'BASE DE DATOS'!BR173</f>
        <v>37</v>
      </c>
      <c r="EA173" s="733">
        <f>'BASE DE DATOS'!BS173</f>
        <v>48</v>
      </c>
      <c r="EB173" s="733">
        <f>'BASE DE DATOS'!BT173</f>
        <v>47</v>
      </c>
    </row>
    <row r="174" spans="2:132">
      <c r="B174" s="734" t="str">
        <f>'BASE DE DATOS'!B174</f>
        <v>TF</v>
      </c>
      <c r="C174" s="734" t="str">
        <f>'BASE DE DATOS'!C174</f>
        <v>RIO GRANDE</v>
      </c>
      <c r="D174" s="734">
        <f>'BASE DE DATOS'!D174</f>
        <v>53</v>
      </c>
      <c r="E174" s="734">
        <f>'BASE DE DATOS'!E174</f>
        <v>65.38</v>
      </c>
      <c r="F174" s="734">
        <f>'BASE DE DATOS'!F174</f>
        <v>20</v>
      </c>
      <c r="G174" s="734" t="str">
        <f>'BASE DE DATOS'!G174</f>
        <v>VI</v>
      </c>
      <c r="H174" s="734">
        <f>'BASE DE DATOS'!H174</f>
        <v>1</v>
      </c>
      <c r="I174" s="734">
        <f>'BASE DE DATOS'!I174</f>
        <v>1.9</v>
      </c>
      <c r="J174" s="734">
        <f>'BASE DE DATOS'!J174</f>
        <v>9.1</v>
      </c>
      <c r="K174" s="734">
        <f>'BASE DE DATOS'!K174</f>
        <v>16.899999999999999</v>
      </c>
      <c r="L174" s="734">
        <f>'BASE DE DATOS'!L174</f>
        <v>72</v>
      </c>
      <c r="M174" s="734">
        <f>'BASE DE DATOS'!M174</f>
        <v>78</v>
      </c>
      <c r="N174" s="734">
        <f>'BASE DE DATOS'!N174</f>
        <v>72</v>
      </c>
      <c r="O174" s="734">
        <f>'BASE DE DATOS'!O174</f>
        <v>39</v>
      </c>
      <c r="P174" s="734">
        <f>'BASE DE DATOS'!P174</f>
        <v>52</v>
      </c>
      <c r="Q174" s="734">
        <f>'BASE DE DATOS'!Q174</f>
        <v>6</v>
      </c>
      <c r="R174" s="734">
        <f>'BASE DE DATOS'!R174</f>
        <v>8.8000000000000007</v>
      </c>
      <c r="S174" s="734">
        <f>'BASE DE DATOS'!S174</f>
        <v>0.47</v>
      </c>
      <c r="T174" s="734">
        <f>'BASE DE DATOS'!T174</f>
        <v>115.7</v>
      </c>
      <c r="U174" s="734">
        <f>'BASE DE DATOS'!U174</f>
        <v>0</v>
      </c>
      <c r="V174" s="734">
        <f>'BASE DE DATOS'!V174</f>
        <v>253</v>
      </c>
      <c r="W174" s="734">
        <f>'BASE DE DATOS'!W174</f>
        <v>0</v>
      </c>
      <c r="X174" s="734">
        <f>'BASE DE DATOS'!X174</f>
        <v>2.8000000000000001E-2</v>
      </c>
      <c r="Y174" s="734">
        <f>'BASE DE DATOS'!Y174</f>
        <v>0</v>
      </c>
      <c r="Z174" s="734">
        <f>'BASE DE DATOS'!Z174</f>
        <v>95</v>
      </c>
      <c r="AA174" s="734">
        <f>'BASE DE DATOS'!AA174</f>
        <v>0.95000000000000007</v>
      </c>
      <c r="AB174" s="734">
        <f>'BASE DE DATOS'!AB174</f>
        <v>55</v>
      </c>
      <c r="AD174" s="734" t="str">
        <f>'BASE DE DATOS'!AD174</f>
        <v>RIO GRANDE</v>
      </c>
      <c r="AE174" s="734">
        <f>'BASE DE DATOS'!AE174</f>
        <v>11</v>
      </c>
      <c r="AF174" s="734">
        <f>'BASE DE DATOS'!AF174</f>
        <v>10.1</v>
      </c>
      <c r="AG174" s="734">
        <f>'BASE DE DATOS'!AG174</f>
        <v>8</v>
      </c>
      <c r="AH174" s="734">
        <f>'BASE DE DATOS'!AH174</f>
        <v>5.2</v>
      </c>
      <c r="AI174" s="734">
        <f>'BASE DE DATOS'!AI174</f>
        <v>2.5</v>
      </c>
      <c r="AJ174" s="734">
        <f>'BASE DE DATOS'!AJ174</f>
        <v>0</v>
      </c>
      <c r="AK174" s="734">
        <f>'BASE DE DATOS'!AK174</f>
        <v>-0.2</v>
      </c>
      <c r="AL174" s="734">
        <f>'BASE DE DATOS'!AL174</f>
        <v>1.2</v>
      </c>
      <c r="AM174" s="734">
        <f>'BASE DE DATOS'!AM174</f>
        <v>3.4</v>
      </c>
      <c r="AN174" s="734">
        <f>'BASE DE DATOS'!AN174</f>
        <v>6.3</v>
      </c>
      <c r="AO174" s="734">
        <f>'BASE DE DATOS'!AO174</f>
        <v>8.6</v>
      </c>
      <c r="AP174" s="734">
        <f>'BASE DE DATOS'!AP174</f>
        <v>10.1</v>
      </c>
      <c r="AR174" s="734" t="str">
        <f>'BASE DE DATOS'!AR174</f>
        <v>TF</v>
      </c>
      <c r="AS174" s="734" t="str">
        <f>'BASE DE DATOS'!AS174</f>
        <v>RIO GRANDE</v>
      </c>
      <c r="AT174" s="734">
        <f>'BASE DE DATOS'!AT174</f>
        <v>5.5</v>
      </c>
      <c r="AU174" s="734">
        <f>'BASE DE DATOS'!AU174</f>
        <v>4.5</v>
      </c>
      <c r="AV174" s="734">
        <f>'BASE DE DATOS'!AV174</f>
        <v>2.5</v>
      </c>
      <c r="AW174" s="734">
        <f>'BASE DE DATOS'!AW174</f>
        <v>1.5</v>
      </c>
      <c r="AX174" s="734">
        <f>'BASE DE DATOS'!AX174</f>
        <v>0.5</v>
      </c>
      <c r="AY174" s="734">
        <f>'BASE DE DATOS'!AY174</f>
        <v>0.15</v>
      </c>
      <c r="AZ174" s="734">
        <f>'BASE DE DATOS'!AZ174</f>
        <v>0.5</v>
      </c>
      <c r="BA174" s="734">
        <f>'BASE DE DATOS'!BA174</f>
        <v>1</v>
      </c>
      <c r="BB174" s="734">
        <f>'BASE DE DATOS'!BB174</f>
        <v>2.5</v>
      </c>
      <c r="BC174" s="734">
        <f>'BASE DE DATOS'!BC174</f>
        <v>4</v>
      </c>
      <c r="BD174" s="734">
        <f>'BASE DE DATOS'!BD174</f>
        <v>5</v>
      </c>
      <c r="BE174" s="734">
        <f>'BASE DE DATOS'!BE174</f>
        <v>5.5</v>
      </c>
      <c r="DO174" s="733" t="str">
        <f>'BASE DE DATOS'!BG174</f>
        <v>TF</v>
      </c>
      <c r="DP174" s="733" t="str">
        <f>'BASE DE DATOS'!BH174</f>
        <v>RIO GRANDE</v>
      </c>
      <c r="DQ174" s="733">
        <f>'BASE DE DATOS'!BI174</f>
        <v>55</v>
      </c>
      <c r="DR174" s="733">
        <f>'BASE DE DATOS'!BJ174</f>
        <v>50</v>
      </c>
      <c r="DS174" s="733">
        <f>'BASE DE DATOS'!BK174</f>
        <v>54</v>
      </c>
      <c r="DT174" s="733">
        <f>'BASE DE DATOS'!BL174</f>
        <v>54</v>
      </c>
      <c r="DU174" s="733">
        <f>'BASE DE DATOS'!BM174</f>
        <v>53</v>
      </c>
      <c r="DV174" s="733">
        <f>'BASE DE DATOS'!BN174</f>
        <v>51</v>
      </c>
      <c r="DW174" s="733">
        <f>'BASE DE DATOS'!BO174</f>
        <v>45</v>
      </c>
      <c r="DX174" s="733">
        <f>'BASE DE DATOS'!BP174</f>
        <v>47</v>
      </c>
      <c r="DY174" s="733">
        <f>'BASE DE DATOS'!BQ174</f>
        <v>37</v>
      </c>
      <c r="DZ174" s="733">
        <f>'BASE DE DATOS'!BR174</f>
        <v>37</v>
      </c>
      <c r="EA174" s="733">
        <f>'BASE DE DATOS'!BS174</f>
        <v>48</v>
      </c>
      <c r="EB174" s="733">
        <f>'BASE DE DATOS'!BT174</f>
        <v>47</v>
      </c>
    </row>
    <row r="175" spans="2:132">
      <c r="B175" s="734" t="str">
        <f>'BASE DE DATOS'!B175</f>
        <v>BAP</v>
      </c>
      <c r="C175" s="734" t="str">
        <f>'BASE DE DATOS'!C175</f>
        <v>LOS HORNOS</v>
      </c>
      <c r="D175" s="734">
        <f>'BASE DE DATOS'!D175</f>
        <v>37.53</v>
      </c>
      <c r="E175" s="734">
        <f>'BASE DE DATOS'!E175</f>
        <v>59.57</v>
      </c>
      <c r="F175" s="734">
        <f>'BASE DE DATOS'!F175</f>
        <v>233</v>
      </c>
      <c r="G175" s="734" t="str">
        <f>'BASE DE DATOS'!G175</f>
        <v>IVC</v>
      </c>
      <c r="H175" s="734">
        <f>'BASE DE DATOS'!H175</f>
        <v>-3.2</v>
      </c>
      <c r="I175" s="734">
        <f>'BASE DE DATOS'!I175</f>
        <v>10.199999999999999</v>
      </c>
      <c r="J175" s="734">
        <f>'BASE DE DATOS'!J175</f>
        <v>22.3</v>
      </c>
      <c r="K175" s="734">
        <f>'BASE DE DATOS'!K175</f>
        <v>30.8</v>
      </c>
      <c r="L175" s="734">
        <f>'BASE DE DATOS'!L175</f>
        <v>65</v>
      </c>
      <c r="M175" s="734">
        <f>'BASE DE DATOS'!M175</f>
        <v>83</v>
      </c>
      <c r="N175" s="734">
        <f>'BASE DE DATOS'!N175</f>
        <v>65</v>
      </c>
      <c r="O175" s="734">
        <f>'BASE DE DATOS'!O175</f>
        <v>67</v>
      </c>
      <c r="P175" s="734">
        <f>'BASE DE DATOS'!P175</f>
        <v>89</v>
      </c>
      <c r="Q175" s="734">
        <f>'BASE DE DATOS'!Q175</f>
        <v>4</v>
      </c>
      <c r="R175" s="734">
        <f>'BASE DE DATOS'!R175</f>
        <v>19.100000000000001</v>
      </c>
      <c r="S175" s="734">
        <f>'BASE DE DATOS'!S175</f>
        <v>0.53</v>
      </c>
      <c r="T175" s="734">
        <f>'BASE DE DATOS'!T175</f>
        <v>35.799999999999997</v>
      </c>
      <c r="U175" s="734">
        <f>'BASE DE DATOS'!U175</f>
        <v>6</v>
      </c>
      <c r="V175" s="734">
        <f>'BASE DE DATOS'!V175</f>
        <v>185</v>
      </c>
      <c r="W175" s="734">
        <f>'BASE DE DATOS'!W175</f>
        <v>41</v>
      </c>
      <c r="X175" s="734">
        <f>'BASE DE DATOS'!X175</f>
        <v>1.4E-2</v>
      </c>
      <c r="Y175" s="734">
        <f>'BASE DE DATOS'!Y175</f>
        <v>1.9E-2</v>
      </c>
      <c r="Z175" s="734">
        <f>'BASE DE DATOS'!Z175</f>
        <v>130</v>
      </c>
      <c r="AA175" s="734">
        <f>'BASE DE DATOS'!AA175</f>
        <v>1.3</v>
      </c>
      <c r="AB175" s="734">
        <f>'BASE DE DATOS'!AB175</f>
        <v>35</v>
      </c>
      <c r="AD175" s="734" t="str">
        <f>'BASE DE DATOS'!AD175</f>
        <v>LOS HORNOS</v>
      </c>
      <c r="AE175" s="734">
        <f>'BASE DE DATOS'!AE175</f>
        <v>21.2</v>
      </c>
      <c r="AF175" s="734">
        <f>'BASE DE DATOS'!AF175</f>
        <v>21</v>
      </c>
      <c r="AG175" s="734">
        <f>'BASE DE DATOS'!AG175</f>
        <v>19.3</v>
      </c>
      <c r="AH175" s="734">
        <f>'BASE DE DATOS'!AH175</f>
        <v>16.8</v>
      </c>
      <c r="AI175" s="734">
        <f>'BASE DE DATOS'!AI175</f>
        <v>14.5</v>
      </c>
      <c r="AJ175" s="734">
        <f>'BASE DE DATOS'!AJ175</f>
        <v>12.6</v>
      </c>
      <c r="AK175" s="734">
        <f>'BASE DE DATOS'!AK175</f>
        <v>12.6</v>
      </c>
      <c r="AL175" s="734">
        <f>'BASE DE DATOS'!AL175</f>
        <v>13</v>
      </c>
      <c r="AM175" s="734">
        <f>'BASE DE DATOS'!AM175</f>
        <v>14.4</v>
      </c>
      <c r="AN175" s="734">
        <f>'BASE DE DATOS'!AN175</f>
        <v>16.3</v>
      </c>
      <c r="AO175" s="734">
        <f>'BASE DE DATOS'!AO175</f>
        <v>18.600000000000001</v>
      </c>
      <c r="AP175" s="734">
        <f>'BASE DE DATOS'!AP175</f>
        <v>20.3</v>
      </c>
      <c r="AR175" s="734" t="str">
        <f>'BASE DE DATOS'!AR175</f>
        <v>BAP</v>
      </c>
      <c r="AS175" s="734" t="str">
        <f>'BASE DE DATOS'!AS175</f>
        <v>LOS HORNOS</v>
      </c>
      <c r="AT175" s="734">
        <f>'BASE DE DATOS'!AT175</f>
        <v>6.5</v>
      </c>
      <c r="AU175" s="734">
        <f>'BASE DE DATOS'!AU175</f>
        <v>6</v>
      </c>
      <c r="AV175" s="734">
        <f>'BASE DE DATOS'!AV175</f>
        <v>4.5</v>
      </c>
      <c r="AW175" s="734">
        <f>'BASE DE DATOS'!AW175</f>
        <v>3</v>
      </c>
      <c r="AX175" s="734">
        <f>'BASE DE DATOS'!AX175</f>
        <v>2.5</v>
      </c>
      <c r="AY175" s="734">
        <f>'BASE DE DATOS'!AY175</f>
        <v>1.5</v>
      </c>
      <c r="AZ175" s="734">
        <f>'BASE DE DATOS'!AZ175</f>
        <v>2</v>
      </c>
      <c r="BA175" s="734">
        <f>'BASE DE DATOS'!BA175</f>
        <v>3</v>
      </c>
      <c r="BB175" s="734">
        <f>'BASE DE DATOS'!BB175</f>
        <v>3.5</v>
      </c>
      <c r="BC175" s="734">
        <f>'BASE DE DATOS'!BC175</f>
        <v>5</v>
      </c>
      <c r="BD175" s="734">
        <f>'BASE DE DATOS'!BD175</f>
        <v>6</v>
      </c>
      <c r="BE175" s="734">
        <f>'BASE DE DATOS'!BE175</f>
        <v>6.5</v>
      </c>
      <c r="DO175" s="733" t="str">
        <f>'BASE DE DATOS'!BG175</f>
        <v>BAP</v>
      </c>
      <c r="DP175" s="733" t="str">
        <f>'BASE DE DATOS'!BH175</f>
        <v>LOS HORNOS</v>
      </c>
      <c r="DQ175" s="733">
        <f>'BASE DE DATOS'!BI175</f>
        <v>104</v>
      </c>
      <c r="DR175" s="733">
        <f>'BASE DE DATOS'!BJ175</f>
        <v>98</v>
      </c>
      <c r="DS175" s="733">
        <f>'BASE DE DATOS'!BK175</f>
        <v>115</v>
      </c>
      <c r="DT175" s="733">
        <f>'BASE DE DATOS'!BL175</f>
        <v>97</v>
      </c>
      <c r="DU175" s="733">
        <f>'BASE DE DATOS'!BM175</f>
        <v>80</v>
      </c>
      <c r="DV175" s="733">
        <f>'BASE DE DATOS'!BN175</f>
        <v>61</v>
      </c>
      <c r="DW175" s="733">
        <f>'BASE DE DATOS'!BO175</f>
        <v>59</v>
      </c>
      <c r="DX175" s="733">
        <f>'BASE DE DATOS'!BP175</f>
        <v>63</v>
      </c>
      <c r="DY175" s="733">
        <f>'BASE DE DATOS'!BQ175</f>
        <v>68</v>
      </c>
      <c r="DZ175" s="733">
        <f>'BASE DE DATOS'!BR175</f>
        <v>104</v>
      </c>
      <c r="EA175" s="733">
        <f>'BASE DE DATOS'!BS175</f>
        <v>98</v>
      </c>
      <c r="EB175" s="733">
        <f>'BASE DE DATOS'!BT175</f>
        <v>93</v>
      </c>
    </row>
    <row r="176" spans="2:132">
      <c r="B176" s="734" t="str">
        <f>'BASE DE DATOS'!B176</f>
        <v>BAP</v>
      </c>
      <c r="C176" s="734" t="str">
        <f>'BASE DE DATOS'!C176</f>
        <v>PARQUE PEREYRA</v>
      </c>
      <c r="D176" s="734">
        <f>'BASE DE DATOS'!D176</f>
        <v>37.53</v>
      </c>
      <c r="E176" s="734">
        <f>'BASE DE DATOS'!E176</f>
        <v>59.57</v>
      </c>
      <c r="F176" s="734">
        <f>'BASE DE DATOS'!F176</f>
        <v>233</v>
      </c>
      <c r="G176" s="734" t="str">
        <f>'BASE DE DATOS'!G176</f>
        <v>IVC</v>
      </c>
      <c r="H176" s="734">
        <f>'BASE DE DATOS'!H176</f>
        <v>-3.2</v>
      </c>
      <c r="I176" s="734">
        <f>'BASE DE DATOS'!I176</f>
        <v>10.199999999999999</v>
      </c>
      <c r="J176" s="734">
        <f>'BASE DE DATOS'!J176</f>
        <v>22</v>
      </c>
      <c r="K176" s="734">
        <f>'BASE DE DATOS'!K176</f>
        <v>30.8</v>
      </c>
      <c r="L176" s="734">
        <f>'BASE DE DATOS'!L176</f>
        <v>65</v>
      </c>
      <c r="M176" s="734">
        <f>'BASE DE DATOS'!M176</f>
        <v>83</v>
      </c>
      <c r="N176" s="734">
        <f>'BASE DE DATOS'!N176</f>
        <v>65</v>
      </c>
      <c r="O176" s="734">
        <f>'BASE DE DATOS'!O176</f>
        <v>63</v>
      </c>
      <c r="P176" s="734">
        <f>'BASE DE DATOS'!P176</f>
        <v>86</v>
      </c>
      <c r="Q176" s="734">
        <f>'BASE DE DATOS'!Q176</f>
        <v>4</v>
      </c>
      <c r="R176" s="734">
        <f>'BASE DE DATOS'!R176</f>
        <v>19.100000000000001</v>
      </c>
      <c r="S176" s="734">
        <f>'BASE DE DATOS'!S176</f>
        <v>0.53</v>
      </c>
      <c r="T176" s="734">
        <f>'BASE DE DATOS'!T176</f>
        <v>35.799999999999997</v>
      </c>
      <c r="U176" s="734">
        <f>'BASE DE DATOS'!U176</f>
        <v>6</v>
      </c>
      <c r="V176" s="734">
        <f>'BASE DE DATOS'!V176</f>
        <v>185</v>
      </c>
      <c r="W176" s="734">
        <f>'BASE DE DATOS'!W176</f>
        <v>41</v>
      </c>
      <c r="X176" s="734">
        <f>'BASE DE DATOS'!X176</f>
        <v>1.4E-2</v>
      </c>
      <c r="Y176" s="734">
        <f>'BASE DE DATOS'!Y176</f>
        <v>1.9E-2</v>
      </c>
      <c r="Z176" s="734">
        <f>'BASE DE DATOS'!Z176</f>
        <v>130</v>
      </c>
      <c r="AA176" s="734">
        <f>'BASE DE DATOS'!AA176</f>
        <v>1.3</v>
      </c>
      <c r="AB176" s="734">
        <f>'BASE DE DATOS'!AB176</f>
        <v>35</v>
      </c>
      <c r="AD176" s="734" t="str">
        <f>'BASE DE DATOS'!AD176</f>
        <v>PARQUE PEREYRA</v>
      </c>
      <c r="AE176" s="734">
        <f>'BASE DE DATOS'!AE176</f>
        <v>23.4</v>
      </c>
      <c r="AF176" s="734">
        <f>'BASE DE DATOS'!AF176</f>
        <v>22.4</v>
      </c>
      <c r="AG176" s="734">
        <f>'BASE DE DATOS'!AG176</f>
        <v>20.5</v>
      </c>
      <c r="AH176" s="734">
        <f>'BASE DE DATOS'!AH176</f>
        <v>16.399999999999999</v>
      </c>
      <c r="AI176" s="734">
        <f>'BASE DE DATOS'!AI176</f>
        <v>13.3</v>
      </c>
      <c r="AJ176" s="734">
        <f>'BASE DE DATOS'!AJ176</f>
        <v>10.8</v>
      </c>
      <c r="AK176" s="734">
        <f>'BASE DE DATOS'!AK176</f>
        <v>10.3</v>
      </c>
      <c r="AL176" s="734">
        <f>'BASE DE DATOS'!AL176</f>
        <v>11.4</v>
      </c>
      <c r="AM176" s="734">
        <f>'BASE DE DATOS'!AM176</f>
        <v>13.2</v>
      </c>
      <c r="AN176" s="734">
        <f>'BASE DE DATOS'!AN176</f>
        <v>16.100000000000001</v>
      </c>
      <c r="AO176" s="734">
        <f>'BASE DE DATOS'!AO176</f>
        <v>19</v>
      </c>
      <c r="AP176" s="734">
        <f>'BASE DE DATOS'!AP176</f>
        <v>21.5</v>
      </c>
      <c r="AR176" s="734" t="str">
        <f>'BASE DE DATOS'!AR176</f>
        <v>BAP</v>
      </c>
      <c r="AS176" s="734" t="str">
        <f>'BASE DE DATOS'!AS176</f>
        <v>PARQUE PEREYRA</v>
      </c>
      <c r="AT176" s="734">
        <f>'BASE DE DATOS'!AT176</f>
        <v>6.5</v>
      </c>
      <c r="AU176" s="734">
        <f>'BASE DE DATOS'!AU176</f>
        <v>6</v>
      </c>
      <c r="AV176" s="734">
        <f>'BASE DE DATOS'!AV176</f>
        <v>4.5</v>
      </c>
      <c r="AW176" s="734">
        <f>'BASE DE DATOS'!AW176</f>
        <v>3</v>
      </c>
      <c r="AX176" s="734">
        <f>'BASE DE DATOS'!AX176</f>
        <v>2.5</v>
      </c>
      <c r="AY176" s="734">
        <f>'BASE DE DATOS'!AY176</f>
        <v>1.5</v>
      </c>
      <c r="AZ176" s="734">
        <f>'BASE DE DATOS'!AZ176</f>
        <v>2</v>
      </c>
      <c r="BA176" s="734">
        <f>'BASE DE DATOS'!BA176</f>
        <v>3</v>
      </c>
      <c r="BB176" s="734">
        <f>'BASE DE DATOS'!BB176</f>
        <v>4</v>
      </c>
      <c r="BC176" s="734">
        <f>'BASE DE DATOS'!BC176</f>
        <v>5</v>
      </c>
      <c r="BD176" s="734">
        <f>'BASE DE DATOS'!BD176</f>
        <v>6</v>
      </c>
      <c r="BE176" s="734">
        <f>'BASE DE DATOS'!BE176</f>
        <v>6.5</v>
      </c>
      <c r="DO176" s="733" t="str">
        <f>'BASE DE DATOS'!BG176</f>
        <v>BAP</v>
      </c>
      <c r="DP176" s="733" t="str">
        <f>'BASE DE DATOS'!BH176</f>
        <v>PARQUE PEREYRA</v>
      </c>
      <c r="DQ176" s="733">
        <f>'BASE DE DATOS'!BI176</f>
        <v>104</v>
      </c>
      <c r="DR176" s="733">
        <f>'BASE DE DATOS'!BJ176</f>
        <v>98</v>
      </c>
      <c r="DS176" s="733">
        <f>'BASE DE DATOS'!BK176</f>
        <v>115</v>
      </c>
      <c r="DT176" s="733">
        <f>'BASE DE DATOS'!BL176</f>
        <v>97</v>
      </c>
      <c r="DU176" s="733">
        <f>'BASE DE DATOS'!BM176</f>
        <v>80</v>
      </c>
      <c r="DV176" s="733">
        <f>'BASE DE DATOS'!BN176</f>
        <v>61</v>
      </c>
      <c r="DW176" s="733">
        <f>'BASE DE DATOS'!BO176</f>
        <v>59</v>
      </c>
      <c r="DX176" s="733">
        <f>'BASE DE DATOS'!BP176</f>
        <v>63</v>
      </c>
      <c r="DY176" s="733">
        <f>'BASE DE DATOS'!BQ176</f>
        <v>68</v>
      </c>
      <c r="DZ176" s="733">
        <f>'BASE DE DATOS'!BR176</f>
        <v>104</v>
      </c>
      <c r="EA176" s="733">
        <f>'BASE DE DATOS'!BS176</f>
        <v>98</v>
      </c>
      <c r="EB176" s="733">
        <f>'BASE DE DATOS'!BT176</f>
        <v>93</v>
      </c>
    </row>
    <row r="177" spans="2:132">
      <c r="B177" s="734" t="str">
        <f>'BASE DE DATOS'!B177</f>
        <v>CHB</v>
      </c>
      <c r="C177" s="734" t="str">
        <f>'BASE DE DATOS'!C177</f>
        <v>CABO RASO</v>
      </c>
      <c r="D177" s="734">
        <f>'BASE DE DATOS'!D177</f>
        <v>42.9</v>
      </c>
      <c r="E177" s="734">
        <f>'BASE DE DATOS'!E177</f>
        <v>71.37</v>
      </c>
      <c r="F177" s="734">
        <f>'BASE DE DATOS'!F177</f>
        <v>785</v>
      </c>
      <c r="G177" s="734" t="str">
        <f>'BASE DE DATOS'!G177</f>
        <v>VI</v>
      </c>
      <c r="H177" s="734">
        <f>'BASE DE DATOS'!H177</f>
        <v>-12.4</v>
      </c>
      <c r="I177" s="734">
        <f>'BASE DE DATOS'!I177</f>
        <v>7.2</v>
      </c>
      <c r="J177" s="734">
        <f>'BASE DE DATOS'!J177</f>
        <v>16.2</v>
      </c>
      <c r="K177" s="734">
        <f>'BASE DE DATOS'!K177</f>
        <v>23.5</v>
      </c>
      <c r="L177" s="734">
        <f>'BASE DE DATOS'!L177</f>
        <v>51</v>
      </c>
      <c r="M177" s="734">
        <f>'BASE DE DATOS'!M177</f>
        <v>76</v>
      </c>
      <c r="N177" s="734">
        <f>'BASE DE DATOS'!N177</f>
        <v>51</v>
      </c>
      <c r="O177" s="734">
        <f>'BASE DE DATOS'!O177</f>
        <v>19</v>
      </c>
      <c r="P177" s="734">
        <f>'BASE DE DATOS'!P177</f>
        <v>11</v>
      </c>
      <c r="Q177" s="734">
        <f>'BASE DE DATOS'!Q177</f>
        <v>6</v>
      </c>
      <c r="R177" s="734">
        <f>'BASE DE DATOS'!R177</f>
        <v>12.8</v>
      </c>
      <c r="S177" s="734">
        <f>'BASE DE DATOS'!S177</f>
        <v>0.51</v>
      </c>
      <c r="T177" s="734">
        <f>'BASE DE DATOS'!T177</f>
        <v>48.8</v>
      </c>
      <c r="U177" s="734">
        <f>'BASE DE DATOS'!U177</f>
        <v>1.2</v>
      </c>
      <c r="V177" s="734">
        <f>'BASE DE DATOS'!V177</f>
        <v>276</v>
      </c>
      <c r="W177" s="734">
        <f>'BASE DE DATOS'!W177</f>
        <v>35</v>
      </c>
      <c r="X177" s="734">
        <f>'BASE DE DATOS'!X177</f>
        <v>2.1000000000000001E-2</v>
      </c>
      <c r="Y177" s="734">
        <f>'BASE DE DATOS'!Y177</f>
        <v>0</v>
      </c>
      <c r="Z177" s="734">
        <f>'BASE DE DATOS'!Z177</f>
        <v>115</v>
      </c>
      <c r="AA177" s="734">
        <f>'BASE DE DATOS'!AA177</f>
        <v>1.1500000000000001</v>
      </c>
      <c r="AB177" s="734">
        <f>'BASE DE DATOS'!AB177</f>
        <v>40</v>
      </c>
      <c r="AD177" s="734" t="str">
        <f>'BASE DE DATOS'!AD177</f>
        <v>CABO RASO</v>
      </c>
      <c r="AE177" s="734">
        <f>'BASE DE DATOS'!AE177</f>
        <v>18.8</v>
      </c>
      <c r="AF177" s="734">
        <f>'BASE DE DATOS'!AF177</f>
        <v>19.100000000000001</v>
      </c>
      <c r="AG177" s="734">
        <f>'BASE DE DATOS'!AG177</f>
        <v>16.899999999999999</v>
      </c>
      <c r="AH177" s="734">
        <f>'BASE DE DATOS'!AH177</f>
        <v>12.7</v>
      </c>
      <c r="AI177" s="734">
        <f>'BASE DE DATOS'!AI177</f>
        <v>10</v>
      </c>
      <c r="AJ177" s="734">
        <f>'BASE DE DATOS'!AJ177</f>
        <v>7.1</v>
      </c>
      <c r="AK177" s="734">
        <f>'BASE DE DATOS'!AK177</f>
        <v>6.6</v>
      </c>
      <c r="AL177" s="734">
        <f>'BASE DE DATOS'!AL177</f>
        <v>8.4</v>
      </c>
      <c r="AM177" s="734">
        <f>'BASE DE DATOS'!AM177</f>
        <v>9.6999999999999993</v>
      </c>
      <c r="AN177" s="734">
        <f>'BASE DE DATOS'!AN177</f>
        <v>12.8</v>
      </c>
      <c r="AO177" s="734">
        <f>'BASE DE DATOS'!AO177</f>
        <v>16.2</v>
      </c>
      <c r="AP177" s="734">
        <f>'BASE DE DATOS'!AP177</f>
        <v>17.600000000000001</v>
      </c>
      <c r="AR177" s="734" t="str">
        <f>'BASE DE DATOS'!AR177</f>
        <v>CHB</v>
      </c>
      <c r="AS177" s="734" t="str">
        <f>'BASE DE DATOS'!AS177</f>
        <v>CABO RASO</v>
      </c>
      <c r="AT177" s="734">
        <f>'BASE DE DATOS'!AT177</f>
        <v>7</v>
      </c>
      <c r="AU177" s="734">
        <f>'BASE DE DATOS'!AU177</f>
        <v>5.5</v>
      </c>
      <c r="AV177" s="734">
        <f>'BASE DE DATOS'!AV177</f>
        <v>4</v>
      </c>
      <c r="AW177" s="734">
        <f>'BASE DE DATOS'!AW177</f>
        <v>2.5</v>
      </c>
      <c r="AX177" s="734">
        <f>'BASE DE DATOS'!AX177</f>
        <v>1.5</v>
      </c>
      <c r="AY177" s="734">
        <f>'BASE DE DATOS'!AY177</f>
        <v>1</v>
      </c>
      <c r="AZ177" s="734">
        <f>'BASE DE DATOS'!AZ177</f>
        <v>1</v>
      </c>
      <c r="BA177" s="734">
        <f>'BASE DE DATOS'!BA177</f>
        <v>2</v>
      </c>
      <c r="BB177" s="734">
        <f>'BASE DE DATOS'!BB177</f>
        <v>3.5</v>
      </c>
      <c r="BC177" s="734">
        <f>'BASE DE DATOS'!BC177</f>
        <v>5</v>
      </c>
      <c r="BD177" s="734">
        <f>'BASE DE DATOS'!BD177</f>
        <v>6</v>
      </c>
      <c r="BE177" s="734">
        <f>'BASE DE DATOS'!BE177</f>
        <v>7</v>
      </c>
      <c r="DO177" s="733" t="str">
        <f>'BASE DE DATOS'!BG177</f>
        <v>CHB</v>
      </c>
      <c r="DP177" s="733" t="str">
        <f>'BASE DE DATOS'!BH177</f>
        <v>CABO RASO</v>
      </c>
      <c r="DQ177" s="733">
        <f>'BASE DE DATOS'!BI177</f>
        <v>9</v>
      </c>
      <c r="DR177" s="733">
        <f>'BASE DE DATOS'!BJ177</f>
        <v>13</v>
      </c>
      <c r="DS177" s="733">
        <f>'BASE DE DATOS'!BK177</f>
        <v>17</v>
      </c>
      <c r="DT177" s="733">
        <f>'BASE DE DATOS'!BL177</f>
        <v>27</v>
      </c>
      <c r="DU177" s="733">
        <f>'BASE DE DATOS'!BM177</f>
        <v>56</v>
      </c>
      <c r="DV177" s="733">
        <f>'BASE DE DATOS'!BN177</f>
        <v>54</v>
      </c>
      <c r="DW177" s="733">
        <f>'BASE DE DATOS'!BO177</f>
        <v>35</v>
      </c>
      <c r="DX177" s="733">
        <f>'BASE DE DATOS'!BP177</f>
        <v>33</v>
      </c>
      <c r="DY177" s="733">
        <f>'BASE DE DATOS'!BQ177</f>
        <v>18</v>
      </c>
      <c r="DZ177" s="733">
        <f>'BASE DE DATOS'!BR177</f>
        <v>12</v>
      </c>
      <c r="EA177" s="733">
        <f>'BASE DE DATOS'!BS177</f>
        <v>18</v>
      </c>
      <c r="EB177" s="733">
        <f>'BASE DE DATOS'!BT177</f>
        <v>9</v>
      </c>
    </row>
    <row r="178" spans="2:132">
      <c r="B178" s="734" t="str">
        <f>'BASE DE DATOS'!B178</f>
        <v>CHC</v>
      </c>
      <c r="C178" s="734" t="str">
        <f>'BASE DE DATOS'!C178</f>
        <v>ROQUE SÁENZ PENA</v>
      </c>
      <c r="D178" s="734">
        <f>'BASE DE DATOS'!D178</f>
        <v>27.57</v>
      </c>
      <c r="E178" s="734">
        <f>'BASE DE DATOS'!E178</f>
        <v>60.73</v>
      </c>
      <c r="F178" s="734">
        <f>'BASE DE DATOS'!F178</f>
        <v>74</v>
      </c>
      <c r="G178" s="734" t="str">
        <f>'BASE DE DATOS'!G178</f>
        <v>IA</v>
      </c>
      <c r="H178" s="734">
        <f>'BASE DE DATOS'!H178</f>
        <v>2.4</v>
      </c>
      <c r="I178" s="734">
        <f>'BASE DE DATOS'!I178</f>
        <v>15.7</v>
      </c>
      <c r="J178" s="734">
        <f>'BASE DE DATOS'!J178</f>
        <v>26.2</v>
      </c>
      <c r="K178" s="734">
        <f>'BASE DE DATOS'!K178</f>
        <v>37.299999999999997</v>
      </c>
      <c r="L178" s="734">
        <f>'BASE DE DATOS'!L178</f>
        <v>68</v>
      </c>
      <c r="M178" s="734">
        <f>'BASE DE DATOS'!M178</f>
        <v>72</v>
      </c>
      <c r="N178" s="734">
        <f>'BASE DE DATOS'!N178</f>
        <v>67</v>
      </c>
      <c r="O178" s="734">
        <f>'BASE DE DATOS'!O178</f>
        <v>20</v>
      </c>
      <c r="P178" s="734">
        <f>'BASE DE DATOS'!P178</f>
        <v>118</v>
      </c>
      <c r="Q178" s="734">
        <f>'BASE DE DATOS'!Q178</f>
        <v>1</v>
      </c>
      <c r="R178" s="734">
        <f>'BASE DE DATOS'!R178</f>
        <v>26.3</v>
      </c>
      <c r="S178" s="734">
        <f>'BASE DE DATOS'!S178</f>
        <v>0.51</v>
      </c>
      <c r="T178" s="734">
        <f>'BASE DE DATOS'!T178</f>
        <v>10.3</v>
      </c>
      <c r="U178" s="734">
        <f>'BASE DE DATOS'!U178</f>
        <v>13.7</v>
      </c>
      <c r="V178" s="734">
        <f>'BASE DE DATOS'!V178</f>
        <v>49</v>
      </c>
      <c r="W178" s="734">
        <f>'BASE DE DATOS'!W178</f>
        <v>97</v>
      </c>
      <c r="X178" s="734">
        <f>'BASE DE DATOS'!X178</f>
        <v>0.01</v>
      </c>
      <c r="Y178" s="734">
        <f>'BASE DE DATOS'!Y178</f>
        <v>0.01</v>
      </c>
      <c r="Z178" s="734">
        <f>'BASE DE DATOS'!Z178</f>
        <v>165</v>
      </c>
      <c r="AA178" s="734">
        <f>'BASE DE DATOS'!AA178</f>
        <v>1.6500000000000001</v>
      </c>
      <c r="AB178" s="734">
        <f>'BASE DE DATOS'!AB178</f>
        <v>30</v>
      </c>
      <c r="AD178" s="734" t="str">
        <f>'BASE DE DATOS'!AD178</f>
        <v>ROQUE SÁENZ PENA</v>
      </c>
      <c r="AE178" s="734">
        <f>'BASE DE DATOS'!AE178</f>
        <v>27.2</v>
      </c>
      <c r="AF178" s="734">
        <f>'BASE DE DATOS'!AF178</f>
        <v>26.2</v>
      </c>
      <c r="AG178" s="734">
        <f>'BASE DE DATOS'!AG178</f>
        <v>24.4</v>
      </c>
      <c r="AH178" s="734">
        <f>'BASE DE DATOS'!AH178</f>
        <v>20.3</v>
      </c>
      <c r="AI178" s="734">
        <f>'BASE DE DATOS'!AI178</f>
        <v>17.899999999999999</v>
      </c>
      <c r="AJ178" s="734">
        <f>'BASE DE DATOS'!AJ178</f>
        <v>15.6</v>
      </c>
      <c r="AK178" s="734">
        <f>'BASE DE DATOS'!AK178</f>
        <v>15.1</v>
      </c>
      <c r="AL178" s="734">
        <f>'BASE DE DATOS'!AL178</f>
        <v>17.399999999999999</v>
      </c>
      <c r="AM178" s="734">
        <f>'BASE DE DATOS'!AM178</f>
        <v>19.5</v>
      </c>
      <c r="AN178" s="734">
        <f>'BASE DE DATOS'!AN178</f>
        <v>22.1</v>
      </c>
      <c r="AO178" s="734">
        <f>'BASE DE DATOS'!AO178</f>
        <v>24.1</v>
      </c>
      <c r="AP178" s="734">
        <f>'BASE DE DATOS'!AP178</f>
        <v>26.6</v>
      </c>
      <c r="AR178" s="734" t="str">
        <f>'BASE DE DATOS'!AR178</f>
        <v>CHC</v>
      </c>
      <c r="AS178" s="734" t="str">
        <f>'BASE DE DATOS'!AS178</f>
        <v>ROQUE SÁENZ PENA</v>
      </c>
      <c r="AT178" s="734">
        <f>'BASE DE DATOS'!AT178</f>
        <v>6</v>
      </c>
      <c r="AU178" s="734">
        <f>'BASE DE DATOS'!AU178</f>
        <v>6</v>
      </c>
      <c r="AV178" s="734">
        <f>'BASE DE DATOS'!AV178</f>
        <v>4.5</v>
      </c>
      <c r="AW178" s="734">
        <f>'BASE DE DATOS'!AW178</f>
        <v>3.5</v>
      </c>
      <c r="AX178" s="734">
        <f>'BASE DE DATOS'!AX178</f>
        <v>3</v>
      </c>
      <c r="AY178" s="734">
        <f>'BASE DE DATOS'!AY178</f>
        <v>2.5</v>
      </c>
      <c r="AZ178" s="734">
        <f>'BASE DE DATOS'!AZ178</f>
        <v>2.5</v>
      </c>
      <c r="BA178" s="734">
        <f>'BASE DE DATOS'!BA178</f>
        <v>3</v>
      </c>
      <c r="BB178" s="734">
        <f>'BASE DE DATOS'!BB178</f>
        <v>4.5</v>
      </c>
      <c r="BC178" s="734">
        <f>'BASE DE DATOS'!BC178</f>
        <v>5</v>
      </c>
      <c r="BD178" s="734">
        <f>'BASE DE DATOS'!BD178</f>
        <v>5.5</v>
      </c>
      <c r="BE178" s="734">
        <f>'BASE DE DATOS'!BE178</f>
        <v>6</v>
      </c>
      <c r="DO178" s="733" t="str">
        <f>'BASE DE DATOS'!BG178</f>
        <v>CHC</v>
      </c>
      <c r="DP178" s="733" t="str">
        <f>'BASE DE DATOS'!BH178</f>
        <v>ROQUE SÁENZ PENA</v>
      </c>
      <c r="DQ178" s="733">
        <f>'BASE DE DATOS'!BI178</f>
        <v>172</v>
      </c>
      <c r="DR178" s="733">
        <f>'BASE DE DATOS'!BJ178</f>
        <v>214</v>
      </c>
      <c r="DS178" s="733">
        <f>'BASE DE DATOS'!BK178</f>
        <v>237</v>
      </c>
      <c r="DT178" s="733">
        <f>'BASE DE DATOS'!BL178</f>
        <v>292</v>
      </c>
      <c r="DU178" s="733">
        <f>'BASE DE DATOS'!BM178</f>
        <v>280</v>
      </c>
      <c r="DV178" s="733">
        <f>'BASE DE DATOS'!BN178</f>
        <v>302</v>
      </c>
      <c r="DW178" s="733">
        <f>'BASE DE DATOS'!BO178</f>
        <v>288</v>
      </c>
      <c r="DX178" s="733">
        <f>'BASE DE DATOS'!BP178</f>
        <v>209</v>
      </c>
      <c r="DY178" s="733">
        <f>'BASE DE DATOS'!BQ178</f>
        <v>231</v>
      </c>
      <c r="DZ178" s="733">
        <f>'BASE DE DATOS'!BR178</f>
        <v>192</v>
      </c>
      <c r="EA178" s="733">
        <f>'BASE DE DATOS'!BS178</f>
        <v>178</v>
      </c>
      <c r="EB178" s="733">
        <f>'BASE DE DATOS'!BT178</f>
        <v>149</v>
      </c>
    </row>
    <row r="179" spans="2:132">
      <c r="B179" s="734" t="str">
        <f>'BASE DE DATOS'!B179</f>
        <v>CHC</v>
      </c>
      <c r="C179" s="734" t="str">
        <f>'BASE DE DATOS'!C179</f>
        <v>COLONIA BENÍTEZ</v>
      </c>
      <c r="D179" s="734">
        <f>'BASE DE DATOS'!D179</f>
        <v>27.57</v>
      </c>
      <c r="E179" s="734">
        <f>'BASE DE DATOS'!E179</f>
        <v>60.73</v>
      </c>
      <c r="F179" s="734">
        <f>'BASE DE DATOS'!F179</f>
        <v>74</v>
      </c>
      <c r="G179" s="734" t="str">
        <f>'BASE DE DATOS'!G179</f>
        <v>IA</v>
      </c>
      <c r="H179" s="734">
        <f>'BASE DE DATOS'!H179</f>
        <v>2.4</v>
      </c>
      <c r="I179" s="734">
        <f>'BASE DE DATOS'!I179</f>
        <v>15.7</v>
      </c>
      <c r="J179" s="734">
        <f>'BASE DE DATOS'!J179</f>
        <v>25.5</v>
      </c>
      <c r="K179" s="734">
        <f>'BASE DE DATOS'!K179</f>
        <v>37.299999999999997</v>
      </c>
      <c r="L179" s="734">
        <f>'BASE DE DATOS'!L179</f>
        <v>68</v>
      </c>
      <c r="M179" s="734">
        <f>'BASE DE DATOS'!M179</f>
        <v>72</v>
      </c>
      <c r="N179" s="734">
        <f>'BASE DE DATOS'!N179</f>
        <v>67</v>
      </c>
      <c r="O179" s="734">
        <f>'BASE DE DATOS'!O179</f>
        <v>45</v>
      </c>
      <c r="P179" s="734">
        <f>'BASE DE DATOS'!P179</f>
        <v>136</v>
      </c>
      <c r="Q179" s="734">
        <f>'BASE DE DATOS'!Q179</f>
        <v>1</v>
      </c>
      <c r="R179" s="734">
        <f>'BASE DE DATOS'!R179</f>
        <v>26.3</v>
      </c>
      <c r="S179" s="734">
        <f>'BASE DE DATOS'!S179</f>
        <v>0.51</v>
      </c>
      <c r="T179" s="734">
        <f>'BASE DE DATOS'!T179</f>
        <v>10.3</v>
      </c>
      <c r="U179" s="734">
        <f>'BASE DE DATOS'!U179</f>
        <v>13.7</v>
      </c>
      <c r="V179" s="734">
        <f>'BASE DE DATOS'!V179</f>
        <v>49</v>
      </c>
      <c r="W179" s="734">
        <f>'BASE DE DATOS'!W179</f>
        <v>97</v>
      </c>
      <c r="X179" s="734">
        <f>'BASE DE DATOS'!X179</f>
        <v>0.01</v>
      </c>
      <c r="Y179" s="734">
        <f>'BASE DE DATOS'!Y179</f>
        <v>0.01</v>
      </c>
      <c r="Z179" s="734">
        <f>'BASE DE DATOS'!Z179</f>
        <v>155</v>
      </c>
      <c r="AA179" s="734">
        <f>'BASE DE DATOS'!AA179</f>
        <v>1.55</v>
      </c>
      <c r="AB179" s="734">
        <f>'BASE DE DATOS'!AB179</f>
        <v>30</v>
      </c>
      <c r="AD179" s="734" t="str">
        <f>'BASE DE DATOS'!AD179</f>
        <v>COLONIA BENÍTEZ</v>
      </c>
      <c r="AE179" s="734">
        <f>'BASE DE DATOS'!AE179</f>
        <v>27.2</v>
      </c>
      <c r="AF179" s="734">
        <f>'BASE DE DATOS'!AF179</f>
        <v>26.7</v>
      </c>
      <c r="AG179" s="734">
        <f>'BASE DE DATOS'!AG179</f>
        <v>25.2</v>
      </c>
      <c r="AH179" s="734">
        <f>'BASE DE DATOS'!AH179</f>
        <v>21.2</v>
      </c>
      <c r="AI179" s="734">
        <f>'BASE DE DATOS'!AI179</f>
        <v>18.399999999999999</v>
      </c>
      <c r="AJ179" s="734">
        <f>'BASE DE DATOS'!AJ179</f>
        <v>16.2</v>
      </c>
      <c r="AK179" s="734">
        <f>'BASE DE DATOS'!AK179</f>
        <v>15.9</v>
      </c>
      <c r="AL179" s="734">
        <f>'BASE DE DATOS'!AL179</f>
        <v>17.100000000000001</v>
      </c>
      <c r="AM179" s="734">
        <f>'BASE DE DATOS'!AM179</f>
        <v>19.100000000000001</v>
      </c>
      <c r="AN179" s="734">
        <f>'BASE DE DATOS'!AN179</f>
        <v>21.5</v>
      </c>
      <c r="AO179" s="734">
        <f>'BASE DE DATOS'!AO179</f>
        <v>23.9</v>
      </c>
      <c r="AP179" s="734">
        <f>'BASE DE DATOS'!AP179</f>
        <v>26.1</v>
      </c>
      <c r="AR179" s="734" t="str">
        <f>'BASE DE DATOS'!AR179</f>
        <v>CHC</v>
      </c>
      <c r="AS179" s="734" t="str">
        <f>'BASE DE DATOS'!AS179</f>
        <v>COLONIA BENÍTEZ</v>
      </c>
      <c r="AT179" s="734">
        <f>'BASE DE DATOS'!AT179</f>
        <v>6</v>
      </c>
      <c r="AU179" s="734">
        <f>'BASE DE DATOS'!AU179</f>
        <v>6</v>
      </c>
      <c r="AV179" s="734">
        <f>'BASE DE DATOS'!AV179</f>
        <v>5</v>
      </c>
      <c r="AW179" s="734">
        <f>'BASE DE DATOS'!AW179</f>
        <v>4</v>
      </c>
      <c r="AX179" s="734">
        <f>'BASE DE DATOS'!AX179</f>
        <v>3</v>
      </c>
      <c r="AY179" s="734">
        <f>'BASE DE DATOS'!AY179</f>
        <v>2.5</v>
      </c>
      <c r="AZ179" s="734">
        <f>'BASE DE DATOS'!AZ179</f>
        <v>2.5</v>
      </c>
      <c r="BA179" s="734">
        <f>'BASE DE DATOS'!BA179</f>
        <v>3</v>
      </c>
      <c r="BB179" s="734">
        <f>'BASE DE DATOS'!BB179</f>
        <v>4</v>
      </c>
      <c r="BC179" s="734">
        <f>'BASE DE DATOS'!BC179</f>
        <v>5.5</v>
      </c>
      <c r="BD179" s="734">
        <f>'BASE DE DATOS'!BD179</f>
        <v>5.5</v>
      </c>
      <c r="BE179" s="734">
        <f>'BASE DE DATOS'!BE179</f>
        <v>6.5</v>
      </c>
      <c r="DO179" s="733" t="str">
        <f>'BASE DE DATOS'!BG179</f>
        <v>CHC</v>
      </c>
      <c r="DP179" s="733" t="str">
        <f>'BASE DE DATOS'!BH179</f>
        <v>COLONIA BENÍTEZ</v>
      </c>
      <c r="DQ179" s="733">
        <f>'BASE DE DATOS'!BI179</f>
        <v>172</v>
      </c>
      <c r="DR179" s="733">
        <f>'BASE DE DATOS'!BJ179</f>
        <v>214</v>
      </c>
      <c r="DS179" s="733">
        <f>'BASE DE DATOS'!BK179</f>
        <v>237</v>
      </c>
      <c r="DT179" s="733">
        <f>'BASE DE DATOS'!BL179</f>
        <v>292</v>
      </c>
      <c r="DU179" s="733">
        <f>'BASE DE DATOS'!BM179</f>
        <v>280</v>
      </c>
      <c r="DV179" s="733">
        <f>'BASE DE DATOS'!BN179</f>
        <v>302</v>
      </c>
      <c r="DW179" s="733">
        <f>'BASE DE DATOS'!BO179</f>
        <v>288</v>
      </c>
      <c r="DX179" s="733">
        <f>'BASE DE DATOS'!BP179</f>
        <v>209</v>
      </c>
      <c r="DY179" s="733">
        <f>'BASE DE DATOS'!BQ179</f>
        <v>231</v>
      </c>
      <c r="DZ179" s="733">
        <f>'BASE DE DATOS'!BR179</f>
        <v>192</v>
      </c>
      <c r="EA179" s="733">
        <f>'BASE DE DATOS'!BS179</f>
        <v>178</v>
      </c>
      <c r="EB179" s="733">
        <f>'BASE DE DATOS'!BT179</f>
        <v>149</v>
      </c>
    </row>
    <row r="180" spans="2:132">
      <c r="B180" s="734">
        <f>'BASE DE DATOS'!B180</f>
        <v>0</v>
      </c>
      <c r="C180" s="734">
        <f>'BASE DE DATOS'!C180</f>
        <v>0</v>
      </c>
      <c r="D180" s="734">
        <f>'BASE DE DATOS'!D180</f>
        <v>0</v>
      </c>
      <c r="E180" s="734">
        <f>'BASE DE DATOS'!E180</f>
        <v>0</v>
      </c>
      <c r="F180" s="734">
        <f>'BASE DE DATOS'!F180</f>
        <v>0</v>
      </c>
      <c r="G180" s="734">
        <f>'BASE DE DATOS'!G180</f>
        <v>0</v>
      </c>
      <c r="H180" s="734">
        <f>'BASE DE DATOS'!H180</f>
        <v>0</v>
      </c>
      <c r="I180" s="734">
        <f>'BASE DE DATOS'!I180</f>
        <v>0</v>
      </c>
      <c r="J180" s="734">
        <f>'BASE DE DATOS'!J180</f>
        <v>0</v>
      </c>
      <c r="K180" s="734">
        <f>'BASE DE DATOS'!K180</f>
        <v>0</v>
      </c>
      <c r="L180" s="734">
        <f>'BASE DE DATOS'!L180</f>
        <v>0</v>
      </c>
      <c r="M180" s="734">
        <f>'BASE DE DATOS'!M180</f>
        <v>0</v>
      </c>
      <c r="N180" s="734">
        <f>'BASE DE DATOS'!N180</f>
        <v>0</v>
      </c>
      <c r="O180" s="734">
        <f>'BASE DE DATOS'!O180</f>
        <v>0</v>
      </c>
      <c r="P180" s="734">
        <f>'BASE DE DATOS'!P180</f>
        <v>0</v>
      </c>
      <c r="Q180" s="734">
        <f>'BASE DE DATOS'!Q180</f>
        <v>0</v>
      </c>
      <c r="R180" s="734">
        <f>'BASE DE DATOS'!R180</f>
        <v>0</v>
      </c>
      <c r="S180" s="734">
        <f>'BASE DE DATOS'!S180</f>
        <v>0</v>
      </c>
      <c r="T180" s="734">
        <f>'BASE DE DATOS'!T180</f>
        <v>0</v>
      </c>
      <c r="U180" s="734">
        <f>'BASE DE DATOS'!U180</f>
        <v>0</v>
      </c>
      <c r="V180" s="734">
        <f>'BASE DE DATOS'!V180</f>
        <v>0</v>
      </c>
      <c r="W180" s="734">
        <f>'BASE DE DATOS'!W180</f>
        <v>0</v>
      </c>
      <c r="X180" s="734">
        <f>'BASE DE DATOS'!X180</f>
        <v>0</v>
      </c>
      <c r="Y180" s="734">
        <f>'BASE DE DATOS'!Y180</f>
        <v>0</v>
      </c>
      <c r="Z180" s="734">
        <f>'BASE DE DATOS'!Z180</f>
        <v>0</v>
      </c>
      <c r="AA180" s="734">
        <f>'BASE DE DATOS'!AA180</f>
        <v>0</v>
      </c>
      <c r="AB180" s="734">
        <f>'BASE DE DATOS'!AB180</f>
        <v>0</v>
      </c>
      <c r="AD180" s="734">
        <f>'BASE DE DATOS'!AD180</f>
        <v>0</v>
      </c>
      <c r="AE180" s="734">
        <f>'BASE DE DATOS'!AE180</f>
        <v>0</v>
      </c>
      <c r="AF180" s="734">
        <f>'BASE DE DATOS'!AF180</f>
        <v>0</v>
      </c>
      <c r="AG180" s="734">
        <f>'BASE DE DATOS'!AG180</f>
        <v>0</v>
      </c>
      <c r="AH180" s="734">
        <f>'BASE DE DATOS'!AH180</f>
        <v>0</v>
      </c>
      <c r="AI180" s="734">
        <f>'BASE DE DATOS'!AI180</f>
        <v>0</v>
      </c>
      <c r="AJ180" s="734">
        <f>'BASE DE DATOS'!AJ180</f>
        <v>0</v>
      </c>
      <c r="AK180" s="734">
        <f>'BASE DE DATOS'!AK180</f>
        <v>0</v>
      </c>
      <c r="AL180" s="734">
        <f>'BASE DE DATOS'!AL180</f>
        <v>0</v>
      </c>
      <c r="AM180" s="734">
        <f>'BASE DE DATOS'!AM180</f>
        <v>0</v>
      </c>
      <c r="AN180" s="734">
        <f>'BASE DE DATOS'!AN180</f>
        <v>0</v>
      </c>
      <c r="AO180" s="734">
        <f>'BASE DE DATOS'!AO180</f>
        <v>0</v>
      </c>
      <c r="AP180" s="734">
        <f>'BASE DE DATOS'!AP180</f>
        <v>0</v>
      </c>
      <c r="AR180" s="734">
        <f>'BASE DE DATOS'!AR180</f>
        <v>0</v>
      </c>
      <c r="AS180" s="734">
        <f>'BASE DE DATOS'!AS180</f>
        <v>0</v>
      </c>
      <c r="AT180" s="734">
        <f>'BASE DE DATOS'!AT180</f>
        <v>0</v>
      </c>
      <c r="AU180" s="734">
        <f>'BASE DE DATOS'!AU180</f>
        <v>0</v>
      </c>
      <c r="AV180" s="734">
        <f>'BASE DE DATOS'!AV180</f>
        <v>0</v>
      </c>
      <c r="AW180" s="734">
        <f>'BASE DE DATOS'!AW180</f>
        <v>0</v>
      </c>
      <c r="AX180" s="734">
        <f>'BASE DE DATOS'!AX180</f>
        <v>0</v>
      </c>
      <c r="AY180" s="734">
        <f>'BASE DE DATOS'!AY180</f>
        <v>0</v>
      </c>
      <c r="AZ180" s="734">
        <f>'BASE DE DATOS'!AZ180</f>
        <v>0</v>
      </c>
      <c r="BA180" s="734">
        <f>'BASE DE DATOS'!BA180</f>
        <v>0</v>
      </c>
      <c r="BB180" s="734">
        <f>'BASE DE DATOS'!BB180</f>
        <v>0</v>
      </c>
      <c r="BC180" s="734">
        <f>'BASE DE DATOS'!BC180</f>
        <v>0</v>
      </c>
      <c r="BD180" s="734">
        <f>'BASE DE DATOS'!BD180</f>
        <v>0</v>
      </c>
      <c r="BE180" s="734">
        <f>'BASE DE DATOS'!BE180</f>
        <v>0</v>
      </c>
      <c r="DO180" s="733">
        <f>'BASE DE DATOS'!BG180</f>
        <v>0</v>
      </c>
      <c r="DP180" s="733">
        <f>'BASE DE DATOS'!BH180</f>
        <v>0</v>
      </c>
      <c r="DQ180" s="733">
        <f>'BASE DE DATOS'!BI180</f>
        <v>0</v>
      </c>
      <c r="DR180" s="733">
        <f>'BASE DE DATOS'!BJ180</f>
        <v>0</v>
      </c>
      <c r="DS180" s="733">
        <f>'BASE DE DATOS'!BK180</f>
        <v>0</v>
      </c>
      <c r="DT180" s="733">
        <f>'BASE DE DATOS'!BL180</f>
        <v>0</v>
      </c>
      <c r="DU180" s="733">
        <f>'BASE DE DATOS'!BM180</f>
        <v>0</v>
      </c>
      <c r="DV180" s="733">
        <f>'BASE DE DATOS'!BN180</f>
        <v>0</v>
      </c>
      <c r="DW180" s="733">
        <f>'BASE DE DATOS'!BO180</f>
        <v>0</v>
      </c>
      <c r="DX180" s="733">
        <f>'BASE DE DATOS'!BP180</f>
        <v>0</v>
      </c>
      <c r="DY180" s="733">
        <f>'BASE DE DATOS'!BQ180</f>
        <v>0</v>
      </c>
      <c r="DZ180" s="733">
        <f>'BASE DE DATOS'!BR180</f>
        <v>0</v>
      </c>
      <c r="EA180" s="733">
        <f>'BASE DE DATOS'!BS180</f>
        <v>0</v>
      </c>
      <c r="EB180" s="733">
        <f>'BASE DE DATOS'!BT180</f>
        <v>0</v>
      </c>
    </row>
    <row r="181" spans="2:132">
      <c r="B181" s="734">
        <f>'BASE DE DATOS'!B181</f>
        <v>0</v>
      </c>
      <c r="C181" s="734">
        <f>'BASE DE DATOS'!C181</f>
        <v>0</v>
      </c>
      <c r="D181" s="734">
        <f>'BASE DE DATOS'!D181</f>
        <v>0</v>
      </c>
      <c r="E181" s="734">
        <f>'BASE DE DATOS'!E181</f>
        <v>0</v>
      </c>
      <c r="F181" s="734">
        <f>'BASE DE DATOS'!F181</f>
        <v>0</v>
      </c>
      <c r="G181" s="734">
        <f>'BASE DE DATOS'!G181</f>
        <v>0</v>
      </c>
      <c r="H181" s="734">
        <f>'BASE DE DATOS'!H181</f>
        <v>0</v>
      </c>
      <c r="I181" s="734">
        <f>'BASE DE DATOS'!I181</f>
        <v>0</v>
      </c>
      <c r="J181" s="734">
        <f>'BASE DE DATOS'!J181</f>
        <v>0</v>
      </c>
      <c r="K181" s="734">
        <f>'BASE DE DATOS'!K181</f>
        <v>0</v>
      </c>
      <c r="L181" s="734">
        <f>'BASE DE DATOS'!L181</f>
        <v>0</v>
      </c>
      <c r="M181" s="734">
        <f>'BASE DE DATOS'!M181</f>
        <v>0</v>
      </c>
      <c r="N181" s="734">
        <f>'BASE DE DATOS'!N181</f>
        <v>0</v>
      </c>
      <c r="O181" s="734">
        <f>'BASE DE DATOS'!O181</f>
        <v>0</v>
      </c>
      <c r="P181" s="734">
        <f>'BASE DE DATOS'!P181</f>
        <v>0</v>
      </c>
      <c r="Q181" s="734">
        <f>'BASE DE DATOS'!Q181</f>
        <v>0</v>
      </c>
      <c r="R181" s="734">
        <f>'BASE DE DATOS'!R181</f>
        <v>0</v>
      </c>
      <c r="S181" s="734">
        <f>'BASE DE DATOS'!S181</f>
        <v>0</v>
      </c>
      <c r="T181" s="734">
        <f>'BASE DE DATOS'!T181</f>
        <v>0</v>
      </c>
      <c r="U181" s="734">
        <f>'BASE DE DATOS'!U181</f>
        <v>0</v>
      </c>
      <c r="V181" s="734">
        <f>'BASE DE DATOS'!V181</f>
        <v>0</v>
      </c>
      <c r="W181" s="734">
        <f>'BASE DE DATOS'!W181</f>
        <v>0</v>
      </c>
      <c r="X181" s="734">
        <f>'BASE DE DATOS'!X181</f>
        <v>0</v>
      </c>
      <c r="Y181" s="734">
        <f>'BASE DE DATOS'!Y181</f>
        <v>0</v>
      </c>
      <c r="Z181" s="734">
        <f>'BASE DE DATOS'!Z181</f>
        <v>0</v>
      </c>
      <c r="AA181" s="734">
        <f>'BASE DE DATOS'!AA181</f>
        <v>0</v>
      </c>
      <c r="AB181" s="734">
        <f>'BASE DE DATOS'!AB181</f>
        <v>0</v>
      </c>
      <c r="AD181" s="734">
        <f>'BASE DE DATOS'!AD181</f>
        <v>0</v>
      </c>
      <c r="AE181" s="734">
        <f>'BASE DE DATOS'!AE181</f>
        <v>0</v>
      </c>
      <c r="AF181" s="734">
        <f>'BASE DE DATOS'!AF181</f>
        <v>0</v>
      </c>
      <c r="AG181" s="734">
        <f>'BASE DE DATOS'!AG181</f>
        <v>0</v>
      </c>
      <c r="AH181" s="734">
        <f>'BASE DE DATOS'!AH181</f>
        <v>0</v>
      </c>
      <c r="AI181" s="734">
        <f>'BASE DE DATOS'!AI181</f>
        <v>0</v>
      </c>
      <c r="AJ181" s="734">
        <f>'BASE DE DATOS'!AJ181</f>
        <v>0</v>
      </c>
      <c r="AK181" s="734">
        <f>'BASE DE DATOS'!AK181</f>
        <v>0</v>
      </c>
      <c r="AL181" s="734">
        <f>'BASE DE DATOS'!AL181</f>
        <v>0</v>
      </c>
      <c r="AM181" s="734">
        <f>'BASE DE DATOS'!AM181</f>
        <v>0</v>
      </c>
      <c r="AN181" s="734">
        <f>'BASE DE DATOS'!AN181</f>
        <v>0</v>
      </c>
      <c r="AO181" s="734">
        <f>'BASE DE DATOS'!AO181</f>
        <v>0</v>
      </c>
      <c r="AP181" s="734">
        <f>'BASE DE DATOS'!AP181</f>
        <v>0</v>
      </c>
      <c r="AR181" s="734">
        <f>'BASE DE DATOS'!AR181</f>
        <v>0</v>
      </c>
      <c r="AS181" s="734">
        <f>'BASE DE DATOS'!AS181</f>
        <v>0</v>
      </c>
      <c r="AT181" s="734">
        <f>'BASE DE DATOS'!AT181</f>
        <v>0</v>
      </c>
      <c r="AU181" s="734">
        <f>'BASE DE DATOS'!AU181</f>
        <v>0</v>
      </c>
      <c r="AV181" s="734">
        <f>'BASE DE DATOS'!AV181</f>
        <v>0</v>
      </c>
      <c r="AW181" s="734">
        <f>'BASE DE DATOS'!AW181</f>
        <v>0</v>
      </c>
      <c r="AX181" s="734">
        <f>'BASE DE DATOS'!AX181</f>
        <v>0</v>
      </c>
      <c r="AY181" s="734">
        <f>'BASE DE DATOS'!AY181</f>
        <v>0</v>
      </c>
      <c r="AZ181" s="734">
        <f>'BASE DE DATOS'!AZ181</f>
        <v>0</v>
      </c>
      <c r="BA181" s="734">
        <f>'BASE DE DATOS'!BA181</f>
        <v>0</v>
      </c>
      <c r="BB181" s="734">
        <f>'BASE DE DATOS'!BB181</f>
        <v>0</v>
      </c>
      <c r="BC181" s="734">
        <f>'BASE DE DATOS'!BC181</f>
        <v>0</v>
      </c>
      <c r="BD181" s="734">
        <f>'BASE DE DATOS'!BD181</f>
        <v>0</v>
      </c>
      <c r="BE181" s="734">
        <f>'BASE DE DATOS'!BE181</f>
        <v>0</v>
      </c>
      <c r="DO181" s="733">
        <f>'BASE DE DATOS'!BG181</f>
        <v>0</v>
      </c>
      <c r="DP181" s="733">
        <f>'BASE DE DATOS'!BH181</f>
        <v>0</v>
      </c>
      <c r="DQ181" s="733">
        <f>'BASE DE DATOS'!BI181</f>
        <v>0</v>
      </c>
      <c r="DR181" s="733">
        <f>'BASE DE DATOS'!BJ181</f>
        <v>0</v>
      </c>
      <c r="DS181" s="733">
        <f>'BASE DE DATOS'!BK181</f>
        <v>0</v>
      </c>
      <c r="DT181" s="733">
        <f>'BASE DE DATOS'!BL181</f>
        <v>0</v>
      </c>
      <c r="DU181" s="733">
        <f>'BASE DE DATOS'!BM181</f>
        <v>0</v>
      </c>
      <c r="DV181" s="733">
        <f>'BASE DE DATOS'!BN181</f>
        <v>0</v>
      </c>
      <c r="DW181" s="733">
        <f>'BASE DE DATOS'!BO181</f>
        <v>0</v>
      </c>
      <c r="DX181" s="733">
        <f>'BASE DE DATOS'!BP181</f>
        <v>0</v>
      </c>
      <c r="DY181" s="733">
        <f>'BASE DE DATOS'!BQ181</f>
        <v>0</v>
      </c>
      <c r="DZ181" s="733">
        <f>'BASE DE DATOS'!BR181</f>
        <v>0</v>
      </c>
      <c r="EA181" s="733">
        <f>'BASE DE DATOS'!BS181</f>
        <v>0</v>
      </c>
      <c r="EB181" s="733">
        <f>'BASE DE DATOS'!BT181</f>
        <v>0</v>
      </c>
    </row>
    <row r="182" spans="2:132">
      <c r="B182" s="734">
        <f>'BASE DE DATOS'!B182</f>
        <v>0</v>
      </c>
      <c r="C182" s="734">
        <f>'BASE DE DATOS'!C182</f>
        <v>0</v>
      </c>
      <c r="D182" s="734">
        <f>'BASE DE DATOS'!D182</f>
        <v>0</v>
      </c>
      <c r="E182" s="734">
        <f>'BASE DE DATOS'!E182</f>
        <v>0</v>
      </c>
      <c r="F182" s="734">
        <f>'BASE DE DATOS'!F182</f>
        <v>0</v>
      </c>
      <c r="G182" s="734">
        <f>'BASE DE DATOS'!G182</f>
        <v>0</v>
      </c>
      <c r="H182" s="734">
        <f>'BASE DE DATOS'!H182</f>
        <v>0</v>
      </c>
      <c r="I182" s="734">
        <f>'BASE DE DATOS'!I182</f>
        <v>0</v>
      </c>
      <c r="J182" s="734">
        <f>'BASE DE DATOS'!J182</f>
        <v>0</v>
      </c>
      <c r="K182" s="734">
        <f>'BASE DE DATOS'!K182</f>
        <v>0</v>
      </c>
      <c r="L182" s="734">
        <f>'BASE DE DATOS'!L182</f>
        <v>0</v>
      </c>
      <c r="M182" s="734">
        <f>'BASE DE DATOS'!M182</f>
        <v>0</v>
      </c>
      <c r="N182" s="734">
        <f>'BASE DE DATOS'!N182</f>
        <v>0</v>
      </c>
      <c r="O182" s="734">
        <f>'BASE DE DATOS'!O182</f>
        <v>0</v>
      </c>
      <c r="P182" s="734">
        <f>'BASE DE DATOS'!P182</f>
        <v>0</v>
      </c>
      <c r="Q182" s="734">
        <f>'BASE DE DATOS'!Q182</f>
        <v>0</v>
      </c>
      <c r="R182" s="734">
        <f>'BASE DE DATOS'!R182</f>
        <v>0</v>
      </c>
      <c r="S182" s="734">
        <f>'BASE DE DATOS'!S182</f>
        <v>0</v>
      </c>
      <c r="T182" s="734">
        <f>'BASE DE DATOS'!T182</f>
        <v>0</v>
      </c>
      <c r="U182" s="734">
        <f>'BASE DE DATOS'!U182</f>
        <v>0</v>
      </c>
      <c r="V182" s="734">
        <f>'BASE DE DATOS'!V182</f>
        <v>0</v>
      </c>
      <c r="W182" s="734">
        <f>'BASE DE DATOS'!W182</f>
        <v>0</v>
      </c>
      <c r="X182" s="734">
        <f>'BASE DE DATOS'!X182</f>
        <v>0</v>
      </c>
      <c r="Y182" s="734">
        <f>'BASE DE DATOS'!Y182</f>
        <v>0</v>
      </c>
      <c r="Z182" s="734">
        <f>'BASE DE DATOS'!Z182</f>
        <v>0</v>
      </c>
      <c r="AA182" s="734">
        <f>'BASE DE DATOS'!AA182</f>
        <v>0</v>
      </c>
      <c r="AB182" s="734">
        <f>'BASE DE DATOS'!AB182</f>
        <v>0</v>
      </c>
      <c r="AD182" s="734">
        <f>'BASE DE DATOS'!AD182</f>
        <v>0</v>
      </c>
      <c r="AE182" s="734">
        <f>'BASE DE DATOS'!AE182</f>
        <v>0</v>
      </c>
      <c r="AF182" s="734">
        <f>'BASE DE DATOS'!AF182</f>
        <v>0</v>
      </c>
      <c r="AG182" s="734">
        <f>'BASE DE DATOS'!AG182</f>
        <v>0</v>
      </c>
      <c r="AH182" s="734">
        <f>'BASE DE DATOS'!AH182</f>
        <v>0</v>
      </c>
      <c r="AI182" s="734">
        <f>'BASE DE DATOS'!AI182</f>
        <v>0</v>
      </c>
      <c r="AJ182" s="734">
        <f>'BASE DE DATOS'!AJ182</f>
        <v>0</v>
      </c>
      <c r="AK182" s="734">
        <f>'BASE DE DATOS'!AK182</f>
        <v>0</v>
      </c>
      <c r="AL182" s="734">
        <f>'BASE DE DATOS'!AL182</f>
        <v>0</v>
      </c>
      <c r="AM182" s="734">
        <f>'BASE DE DATOS'!AM182</f>
        <v>0</v>
      </c>
      <c r="AN182" s="734">
        <f>'BASE DE DATOS'!AN182</f>
        <v>0</v>
      </c>
      <c r="AO182" s="734">
        <f>'BASE DE DATOS'!AO182</f>
        <v>0</v>
      </c>
      <c r="AP182" s="734">
        <f>'BASE DE DATOS'!AP182</f>
        <v>0</v>
      </c>
      <c r="AR182" s="734">
        <f>'BASE DE DATOS'!AR182</f>
        <v>0</v>
      </c>
      <c r="AS182" s="734">
        <f>'BASE DE DATOS'!AS182</f>
        <v>0</v>
      </c>
      <c r="AT182" s="734">
        <f>'BASE DE DATOS'!AT182</f>
        <v>0</v>
      </c>
      <c r="AU182" s="734">
        <f>'BASE DE DATOS'!AU182</f>
        <v>0</v>
      </c>
      <c r="AV182" s="734">
        <f>'BASE DE DATOS'!AV182</f>
        <v>0</v>
      </c>
      <c r="AW182" s="734">
        <f>'BASE DE DATOS'!AW182</f>
        <v>0</v>
      </c>
      <c r="AX182" s="734">
        <f>'BASE DE DATOS'!AX182</f>
        <v>0</v>
      </c>
      <c r="AY182" s="734">
        <f>'BASE DE DATOS'!AY182</f>
        <v>0</v>
      </c>
      <c r="AZ182" s="734">
        <f>'BASE DE DATOS'!AZ182</f>
        <v>0</v>
      </c>
      <c r="BA182" s="734">
        <f>'BASE DE DATOS'!BA182</f>
        <v>0</v>
      </c>
      <c r="BB182" s="734">
        <f>'BASE DE DATOS'!BB182</f>
        <v>0</v>
      </c>
      <c r="BC182" s="734">
        <f>'BASE DE DATOS'!BC182</f>
        <v>0</v>
      </c>
      <c r="BD182" s="734">
        <f>'BASE DE DATOS'!BD182</f>
        <v>0</v>
      </c>
      <c r="BE182" s="734">
        <f>'BASE DE DATOS'!BE182</f>
        <v>0</v>
      </c>
      <c r="DO182" s="733">
        <f>'BASE DE DATOS'!BG182</f>
        <v>0</v>
      </c>
      <c r="DP182" s="733">
        <f>'BASE DE DATOS'!BH182</f>
        <v>0</v>
      </c>
      <c r="DQ182" s="733">
        <f>'BASE DE DATOS'!BI182</f>
        <v>0</v>
      </c>
      <c r="DR182" s="733">
        <f>'BASE DE DATOS'!BJ182</f>
        <v>0</v>
      </c>
      <c r="DS182" s="733">
        <f>'BASE DE DATOS'!BK182</f>
        <v>0</v>
      </c>
      <c r="DT182" s="733">
        <f>'BASE DE DATOS'!BL182</f>
        <v>0</v>
      </c>
      <c r="DU182" s="733">
        <f>'BASE DE DATOS'!BM182</f>
        <v>0</v>
      </c>
      <c r="DV182" s="733">
        <f>'BASE DE DATOS'!BN182</f>
        <v>0</v>
      </c>
      <c r="DW182" s="733">
        <f>'BASE DE DATOS'!BO182</f>
        <v>0</v>
      </c>
      <c r="DX182" s="733">
        <f>'BASE DE DATOS'!BP182</f>
        <v>0</v>
      </c>
      <c r="DY182" s="733">
        <f>'BASE DE DATOS'!BQ182</f>
        <v>0</v>
      </c>
      <c r="DZ182" s="733">
        <f>'BASE DE DATOS'!BR182</f>
        <v>0</v>
      </c>
      <c r="EA182" s="733">
        <f>'BASE DE DATOS'!BS182</f>
        <v>0</v>
      </c>
      <c r="EB182" s="733">
        <f>'BASE DE DATOS'!BT182</f>
        <v>0</v>
      </c>
    </row>
    <row r="183" spans="2:132">
      <c r="B183" s="734">
        <f>'BASE DE DATOS'!B183</f>
        <v>0</v>
      </c>
      <c r="C183" s="734">
        <f>'BASE DE DATOS'!C183</f>
        <v>0</v>
      </c>
      <c r="D183" s="734">
        <f>'BASE DE DATOS'!D183</f>
        <v>0</v>
      </c>
      <c r="E183" s="734">
        <f>'BASE DE DATOS'!E183</f>
        <v>0</v>
      </c>
      <c r="F183" s="734">
        <f>'BASE DE DATOS'!F183</f>
        <v>0</v>
      </c>
      <c r="G183" s="734">
        <f>'BASE DE DATOS'!G183</f>
        <v>0</v>
      </c>
      <c r="H183" s="734">
        <f>'BASE DE DATOS'!H183</f>
        <v>0</v>
      </c>
      <c r="I183" s="734">
        <f>'BASE DE DATOS'!I183</f>
        <v>0</v>
      </c>
      <c r="J183" s="734">
        <f>'BASE DE DATOS'!J183</f>
        <v>0</v>
      </c>
      <c r="K183" s="734">
        <f>'BASE DE DATOS'!K183</f>
        <v>0</v>
      </c>
      <c r="L183" s="734">
        <f>'BASE DE DATOS'!L183</f>
        <v>0</v>
      </c>
      <c r="M183" s="734">
        <f>'BASE DE DATOS'!M183</f>
        <v>0</v>
      </c>
      <c r="N183" s="734">
        <f>'BASE DE DATOS'!N183</f>
        <v>0</v>
      </c>
      <c r="O183" s="734">
        <f>'BASE DE DATOS'!O183</f>
        <v>0</v>
      </c>
      <c r="P183" s="734">
        <f>'BASE DE DATOS'!P183</f>
        <v>0</v>
      </c>
      <c r="Q183" s="734">
        <f>'BASE DE DATOS'!Q183</f>
        <v>0</v>
      </c>
      <c r="R183" s="734">
        <f>'BASE DE DATOS'!R183</f>
        <v>0</v>
      </c>
      <c r="S183" s="734">
        <f>'BASE DE DATOS'!S183</f>
        <v>0</v>
      </c>
      <c r="T183" s="734">
        <f>'BASE DE DATOS'!T183</f>
        <v>0</v>
      </c>
      <c r="U183" s="734">
        <f>'BASE DE DATOS'!U183</f>
        <v>0</v>
      </c>
      <c r="V183" s="734">
        <f>'BASE DE DATOS'!V183</f>
        <v>0</v>
      </c>
      <c r="W183" s="734">
        <f>'BASE DE DATOS'!W183</f>
        <v>0</v>
      </c>
      <c r="X183" s="734">
        <f>'BASE DE DATOS'!X183</f>
        <v>0</v>
      </c>
      <c r="Y183" s="734">
        <f>'BASE DE DATOS'!Y183</f>
        <v>0</v>
      </c>
      <c r="Z183" s="734">
        <f>'BASE DE DATOS'!Z183</f>
        <v>0</v>
      </c>
      <c r="AA183" s="734">
        <f>'BASE DE DATOS'!AA183</f>
        <v>0</v>
      </c>
      <c r="AB183" s="734">
        <f>'BASE DE DATOS'!AB183</f>
        <v>0</v>
      </c>
      <c r="AD183" s="734">
        <f>'BASE DE DATOS'!AD183</f>
        <v>0</v>
      </c>
      <c r="AE183" s="734">
        <f>'BASE DE DATOS'!AE183</f>
        <v>0</v>
      </c>
      <c r="AF183" s="734">
        <f>'BASE DE DATOS'!AF183</f>
        <v>0</v>
      </c>
      <c r="AG183" s="734">
        <f>'BASE DE DATOS'!AG183</f>
        <v>0</v>
      </c>
      <c r="AH183" s="734">
        <f>'BASE DE DATOS'!AH183</f>
        <v>0</v>
      </c>
      <c r="AI183" s="734">
        <f>'BASE DE DATOS'!AI183</f>
        <v>0</v>
      </c>
      <c r="AJ183" s="734">
        <f>'BASE DE DATOS'!AJ183</f>
        <v>0</v>
      </c>
      <c r="AK183" s="734">
        <f>'BASE DE DATOS'!AK183</f>
        <v>0</v>
      </c>
      <c r="AL183" s="734">
        <f>'BASE DE DATOS'!AL183</f>
        <v>0</v>
      </c>
      <c r="AM183" s="734">
        <f>'BASE DE DATOS'!AM183</f>
        <v>0</v>
      </c>
      <c r="AN183" s="734">
        <f>'BASE DE DATOS'!AN183</f>
        <v>0</v>
      </c>
      <c r="AO183" s="734">
        <f>'BASE DE DATOS'!AO183</f>
        <v>0</v>
      </c>
      <c r="AP183" s="734">
        <f>'BASE DE DATOS'!AP183</f>
        <v>0</v>
      </c>
      <c r="AR183" s="734">
        <f>'BASE DE DATOS'!AR183</f>
        <v>0</v>
      </c>
      <c r="AS183" s="734">
        <f>'BASE DE DATOS'!AS183</f>
        <v>0</v>
      </c>
      <c r="AT183" s="734">
        <f>'BASE DE DATOS'!AT183</f>
        <v>0</v>
      </c>
      <c r="AU183" s="734">
        <f>'BASE DE DATOS'!AU183</f>
        <v>0</v>
      </c>
      <c r="AV183" s="734">
        <f>'BASE DE DATOS'!AV183</f>
        <v>0</v>
      </c>
      <c r="AW183" s="734">
        <f>'BASE DE DATOS'!AW183</f>
        <v>0</v>
      </c>
      <c r="AX183" s="734">
        <f>'BASE DE DATOS'!AX183</f>
        <v>0</v>
      </c>
      <c r="AY183" s="734">
        <f>'BASE DE DATOS'!AY183</f>
        <v>0</v>
      </c>
      <c r="AZ183" s="734">
        <f>'BASE DE DATOS'!AZ183</f>
        <v>0</v>
      </c>
      <c r="BA183" s="734">
        <f>'BASE DE DATOS'!BA183</f>
        <v>0</v>
      </c>
      <c r="BB183" s="734">
        <f>'BASE DE DATOS'!BB183</f>
        <v>0</v>
      </c>
      <c r="BC183" s="734">
        <f>'BASE DE DATOS'!BC183</f>
        <v>0</v>
      </c>
      <c r="BD183" s="734">
        <f>'BASE DE DATOS'!BD183</f>
        <v>0</v>
      </c>
      <c r="BE183" s="734">
        <f>'BASE DE DATOS'!BE183</f>
        <v>0</v>
      </c>
      <c r="DO183" s="733">
        <f>'BASE DE DATOS'!BG183</f>
        <v>0</v>
      </c>
      <c r="DP183" s="733">
        <f>'BASE DE DATOS'!BH183</f>
        <v>0</v>
      </c>
      <c r="DQ183" s="733">
        <f>'BASE DE DATOS'!BI183</f>
        <v>0</v>
      </c>
      <c r="DR183" s="733">
        <f>'BASE DE DATOS'!BJ183</f>
        <v>0</v>
      </c>
      <c r="DS183" s="733">
        <f>'BASE DE DATOS'!BK183</f>
        <v>0</v>
      </c>
      <c r="DT183" s="733">
        <f>'BASE DE DATOS'!BL183</f>
        <v>0</v>
      </c>
      <c r="DU183" s="733">
        <f>'BASE DE DATOS'!BM183</f>
        <v>0</v>
      </c>
      <c r="DV183" s="733">
        <f>'BASE DE DATOS'!BN183</f>
        <v>0</v>
      </c>
      <c r="DW183" s="733">
        <f>'BASE DE DATOS'!BO183</f>
        <v>0</v>
      </c>
      <c r="DX183" s="733">
        <f>'BASE DE DATOS'!BP183</f>
        <v>0</v>
      </c>
      <c r="DY183" s="733">
        <f>'BASE DE DATOS'!BQ183</f>
        <v>0</v>
      </c>
      <c r="DZ183" s="733">
        <f>'BASE DE DATOS'!BR183</f>
        <v>0</v>
      </c>
      <c r="EA183" s="733">
        <f>'BASE DE DATOS'!BS183</f>
        <v>0</v>
      </c>
      <c r="EB183" s="733">
        <f>'BASE DE DATOS'!BT183</f>
        <v>0</v>
      </c>
    </row>
    <row r="184" spans="2:132">
      <c r="B184" s="734">
        <f>'BASE DE DATOS'!B184</f>
        <v>0</v>
      </c>
      <c r="C184" s="734">
        <f>'BASE DE DATOS'!C184</f>
        <v>0</v>
      </c>
      <c r="D184" s="734">
        <f>'BASE DE DATOS'!D184</f>
        <v>0</v>
      </c>
      <c r="E184" s="734">
        <f>'BASE DE DATOS'!E184</f>
        <v>0</v>
      </c>
      <c r="F184" s="734">
        <f>'BASE DE DATOS'!F184</f>
        <v>0</v>
      </c>
      <c r="G184" s="734">
        <f>'BASE DE DATOS'!G184</f>
        <v>0</v>
      </c>
      <c r="H184" s="734">
        <f>'BASE DE DATOS'!H184</f>
        <v>0</v>
      </c>
      <c r="I184" s="734">
        <f>'BASE DE DATOS'!I184</f>
        <v>0</v>
      </c>
      <c r="J184" s="734">
        <f>'BASE DE DATOS'!J184</f>
        <v>0</v>
      </c>
      <c r="K184" s="734">
        <f>'BASE DE DATOS'!K184</f>
        <v>0</v>
      </c>
      <c r="L184" s="734">
        <f>'BASE DE DATOS'!L184</f>
        <v>0</v>
      </c>
      <c r="M184" s="734">
        <f>'BASE DE DATOS'!M184</f>
        <v>0</v>
      </c>
      <c r="N184" s="734">
        <f>'BASE DE DATOS'!N184</f>
        <v>0</v>
      </c>
      <c r="O184" s="734">
        <f>'BASE DE DATOS'!O184</f>
        <v>0</v>
      </c>
      <c r="P184" s="734">
        <f>'BASE DE DATOS'!P184</f>
        <v>0</v>
      </c>
      <c r="Q184" s="734">
        <f>'BASE DE DATOS'!Q184</f>
        <v>0</v>
      </c>
      <c r="R184" s="734">
        <f>'BASE DE DATOS'!R184</f>
        <v>0</v>
      </c>
      <c r="S184" s="734">
        <f>'BASE DE DATOS'!S184</f>
        <v>0</v>
      </c>
      <c r="T184" s="734">
        <f>'BASE DE DATOS'!T184</f>
        <v>0</v>
      </c>
      <c r="U184" s="734">
        <f>'BASE DE DATOS'!U184</f>
        <v>0</v>
      </c>
      <c r="V184" s="734">
        <f>'BASE DE DATOS'!V184</f>
        <v>0</v>
      </c>
      <c r="W184" s="734">
        <f>'BASE DE DATOS'!W184</f>
        <v>0</v>
      </c>
      <c r="X184" s="734">
        <f>'BASE DE DATOS'!X184</f>
        <v>0</v>
      </c>
      <c r="Y184" s="734">
        <f>'BASE DE DATOS'!Y184</f>
        <v>0</v>
      </c>
      <c r="Z184" s="734">
        <f>'BASE DE DATOS'!Z184</f>
        <v>0</v>
      </c>
      <c r="AA184" s="734">
        <f>'BASE DE DATOS'!AA184</f>
        <v>0</v>
      </c>
      <c r="AB184" s="734">
        <f>'BASE DE DATOS'!AB184</f>
        <v>0</v>
      </c>
      <c r="AD184" s="734">
        <f>'BASE DE DATOS'!AD184</f>
        <v>0</v>
      </c>
      <c r="AE184" s="734">
        <f>'BASE DE DATOS'!AE184</f>
        <v>0</v>
      </c>
      <c r="AF184" s="734">
        <f>'BASE DE DATOS'!AF184</f>
        <v>0</v>
      </c>
      <c r="AG184" s="734">
        <f>'BASE DE DATOS'!AG184</f>
        <v>0</v>
      </c>
      <c r="AH184" s="734">
        <f>'BASE DE DATOS'!AH184</f>
        <v>0</v>
      </c>
      <c r="AI184" s="734">
        <f>'BASE DE DATOS'!AI184</f>
        <v>0</v>
      </c>
      <c r="AJ184" s="734">
        <f>'BASE DE DATOS'!AJ184</f>
        <v>0</v>
      </c>
      <c r="AK184" s="734">
        <f>'BASE DE DATOS'!AK184</f>
        <v>0</v>
      </c>
      <c r="AL184" s="734">
        <f>'BASE DE DATOS'!AL184</f>
        <v>0</v>
      </c>
      <c r="AM184" s="734">
        <f>'BASE DE DATOS'!AM184</f>
        <v>0</v>
      </c>
      <c r="AN184" s="734">
        <f>'BASE DE DATOS'!AN184</f>
        <v>0</v>
      </c>
      <c r="AO184" s="734">
        <f>'BASE DE DATOS'!AO184</f>
        <v>0</v>
      </c>
      <c r="AP184" s="734">
        <f>'BASE DE DATOS'!AP184</f>
        <v>0</v>
      </c>
      <c r="AR184" s="734">
        <f>'BASE DE DATOS'!AR184</f>
        <v>0</v>
      </c>
      <c r="AS184" s="734">
        <f>'BASE DE DATOS'!AS184</f>
        <v>0</v>
      </c>
      <c r="AT184" s="734">
        <f>'BASE DE DATOS'!AT184</f>
        <v>0</v>
      </c>
      <c r="AU184" s="734">
        <f>'BASE DE DATOS'!AU184</f>
        <v>0</v>
      </c>
      <c r="AV184" s="734">
        <f>'BASE DE DATOS'!AV184</f>
        <v>0</v>
      </c>
      <c r="AW184" s="734">
        <f>'BASE DE DATOS'!AW184</f>
        <v>0</v>
      </c>
      <c r="AX184" s="734">
        <f>'BASE DE DATOS'!AX184</f>
        <v>0</v>
      </c>
      <c r="AY184" s="734">
        <f>'BASE DE DATOS'!AY184</f>
        <v>0</v>
      </c>
      <c r="AZ184" s="734">
        <f>'BASE DE DATOS'!AZ184</f>
        <v>0</v>
      </c>
      <c r="BA184" s="734">
        <f>'BASE DE DATOS'!BA184</f>
        <v>0</v>
      </c>
      <c r="BB184" s="734">
        <f>'BASE DE DATOS'!BB184</f>
        <v>0</v>
      </c>
      <c r="BC184" s="734">
        <f>'BASE DE DATOS'!BC184</f>
        <v>0</v>
      </c>
      <c r="BD184" s="734">
        <f>'BASE DE DATOS'!BD184</f>
        <v>0</v>
      </c>
      <c r="BE184" s="734">
        <f>'BASE DE DATOS'!BE184</f>
        <v>0</v>
      </c>
      <c r="DO184" s="733">
        <f>'BASE DE DATOS'!BG184</f>
        <v>0</v>
      </c>
      <c r="DP184" s="733">
        <f>'BASE DE DATOS'!BH184</f>
        <v>0</v>
      </c>
      <c r="DQ184" s="733">
        <f>'BASE DE DATOS'!BI184</f>
        <v>0</v>
      </c>
      <c r="DR184" s="733">
        <f>'BASE DE DATOS'!BJ184</f>
        <v>0</v>
      </c>
      <c r="DS184" s="733">
        <f>'BASE DE DATOS'!BK184</f>
        <v>0</v>
      </c>
      <c r="DT184" s="733">
        <f>'BASE DE DATOS'!BL184</f>
        <v>0</v>
      </c>
      <c r="DU184" s="733">
        <f>'BASE DE DATOS'!BM184</f>
        <v>0</v>
      </c>
      <c r="DV184" s="733">
        <f>'BASE DE DATOS'!BN184</f>
        <v>0</v>
      </c>
      <c r="DW184" s="733">
        <f>'BASE DE DATOS'!BO184</f>
        <v>0</v>
      </c>
      <c r="DX184" s="733">
        <f>'BASE DE DATOS'!BP184</f>
        <v>0</v>
      </c>
      <c r="DY184" s="733">
        <f>'BASE DE DATOS'!BQ184</f>
        <v>0</v>
      </c>
      <c r="DZ184" s="733">
        <f>'BASE DE DATOS'!BR184</f>
        <v>0</v>
      </c>
      <c r="EA184" s="733">
        <f>'BASE DE DATOS'!BS184</f>
        <v>0</v>
      </c>
      <c r="EB184" s="733">
        <f>'BASE DE DATOS'!BT184</f>
        <v>0</v>
      </c>
    </row>
    <row r="185" spans="2:132">
      <c r="B185" s="734">
        <f>'BASE DE DATOS'!B185</f>
        <v>0</v>
      </c>
      <c r="C185" s="734">
        <f>'BASE DE DATOS'!C185</f>
        <v>0</v>
      </c>
      <c r="D185" s="734">
        <f>'BASE DE DATOS'!D185</f>
        <v>0</v>
      </c>
      <c r="E185" s="734">
        <f>'BASE DE DATOS'!E185</f>
        <v>0</v>
      </c>
      <c r="F185" s="734">
        <f>'BASE DE DATOS'!F185</f>
        <v>0</v>
      </c>
      <c r="G185" s="734">
        <f>'BASE DE DATOS'!G185</f>
        <v>0</v>
      </c>
      <c r="H185" s="734">
        <f>'BASE DE DATOS'!H185</f>
        <v>0</v>
      </c>
      <c r="I185" s="734">
        <f>'BASE DE DATOS'!I185</f>
        <v>0</v>
      </c>
      <c r="J185" s="734">
        <f>'BASE DE DATOS'!J185</f>
        <v>0</v>
      </c>
      <c r="K185" s="734">
        <f>'BASE DE DATOS'!K185</f>
        <v>0</v>
      </c>
      <c r="L185" s="734">
        <f>'BASE DE DATOS'!L185</f>
        <v>0</v>
      </c>
      <c r="M185" s="734">
        <f>'BASE DE DATOS'!M185</f>
        <v>0</v>
      </c>
      <c r="N185" s="734">
        <f>'BASE DE DATOS'!N185</f>
        <v>0</v>
      </c>
      <c r="O185" s="734">
        <f>'BASE DE DATOS'!O185</f>
        <v>0</v>
      </c>
      <c r="P185" s="734">
        <f>'BASE DE DATOS'!P185</f>
        <v>0</v>
      </c>
      <c r="Q185" s="734">
        <f>'BASE DE DATOS'!Q185</f>
        <v>0</v>
      </c>
      <c r="R185" s="734">
        <f>'BASE DE DATOS'!R185</f>
        <v>0</v>
      </c>
      <c r="S185" s="734">
        <f>'BASE DE DATOS'!S185</f>
        <v>0</v>
      </c>
      <c r="T185" s="734">
        <f>'BASE DE DATOS'!T185</f>
        <v>0</v>
      </c>
      <c r="U185" s="734">
        <f>'BASE DE DATOS'!U185</f>
        <v>0</v>
      </c>
      <c r="V185" s="734">
        <f>'BASE DE DATOS'!V185</f>
        <v>0</v>
      </c>
      <c r="W185" s="734">
        <f>'BASE DE DATOS'!W185</f>
        <v>0</v>
      </c>
      <c r="X185" s="734">
        <f>'BASE DE DATOS'!X185</f>
        <v>0</v>
      </c>
      <c r="Y185" s="734">
        <f>'BASE DE DATOS'!Y185</f>
        <v>0</v>
      </c>
      <c r="Z185" s="734">
        <f>'BASE DE DATOS'!Z185</f>
        <v>0</v>
      </c>
      <c r="AA185" s="734">
        <f>'BASE DE DATOS'!AA185</f>
        <v>0</v>
      </c>
      <c r="AB185" s="734">
        <f>'BASE DE DATOS'!AB185</f>
        <v>0</v>
      </c>
      <c r="AD185" s="734">
        <f>'BASE DE DATOS'!AD185</f>
        <v>0</v>
      </c>
      <c r="AE185" s="734">
        <f>'BASE DE DATOS'!AE185</f>
        <v>0</v>
      </c>
      <c r="AF185" s="734">
        <f>'BASE DE DATOS'!AF185</f>
        <v>0</v>
      </c>
      <c r="AG185" s="734">
        <f>'BASE DE DATOS'!AG185</f>
        <v>0</v>
      </c>
      <c r="AH185" s="734">
        <f>'BASE DE DATOS'!AH185</f>
        <v>0</v>
      </c>
      <c r="AI185" s="734">
        <f>'BASE DE DATOS'!AI185</f>
        <v>0</v>
      </c>
      <c r="AJ185" s="734">
        <f>'BASE DE DATOS'!AJ185</f>
        <v>0</v>
      </c>
      <c r="AK185" s="734">
        <f>'BASE DE DATOS'!AK185</f>
        <v>0</v>
      </c>
      <c r="AL185" s="734">
        <f>'BASE DE DATOS'!AL185</f>
        <v>0</v>
      </c>
      <c r="AM185" s="734">
        <f>'BASE DE DATOS'!AM185</f>
        <v>0</v>
      </c>
      <c r="AN185" s="734">
        <f>'BASE DE DATOS'!AN185</f>
        <v>0</v>
      </c>
      <c r="AO185" s="734">
        <f>'BASE DE DATOS'!AO185</f>
        <v>0</v>
      </c>
      <c r="AP185" s="734">
        <f>'BASE DE DATOS'!AP185</f>
        <v>0</v>
      </c>
      <c r="AR185" s="734">
        <f>'BASE DE DATOS'!AR185</f>
        <v>0</v>
      </c>
      <c r="AS185" s="734">
        <f>'BASE DE DATOS'!AS185</f>
        <v>0</v>
      </c>
      <c r="AT185" s="734">
        <f>'BASE DE DATOS'!AT185</f>
        <v>0</v>
      </c>
      <c r="AU185" s="734">
        <f>'BASE DE DATOS'!AU185</f>
        <v>0</v>
      </c>
      <c r="AV185" s="734">
        <f>'BASE DE DATOS'!AV185</f>
        <v>0</v>
      </c>
      <c r="AW185" s="734">
        <f>'BASE DE DATOS'!AW185</f>
        <v>0</v>
      </c>
      <c r="AX185" s="734">
        <f>'BASE DE DATOS'!AX185</f>
        <v>0</v>
      </c>
      <c r="AY185" s="734">
        <f>'BASE DE DATOS'!AY185</f>
        <v>0</v>
      </c>
      <c r="AZ185" s="734">
        <f>'BASE DE DATOS'!AZ185</f>
        <v>0</v>
      </c>
      <c r="BA185" s="734">
        <f>'BASE DE DATOS'!BA185</f>
        <v>0</v>
      </c>
      <c r="BB185" s="734">
        <f>'BASE DE DATOS'!BB185</f>
        <v>0</v>
      </c>
      <c r="BC185" s="734">
        <f>'BASE DE DATOS'!BC185</f>
        <v>0</v>
      </c>
      <c r="BD185" s="734">
        <f>'BASE DE DATOS'!BD185</f>
        <v>0</v>
      </c>
      <c r="BE185" s="734">
        <f>'BASE DE DATOS'!BE185</f>
        <v>0</v>
      </c>
      <c r="DO185" s="733">
        <f>'BASE DE DATOS'!BG185</f>
        <v>0</v>
      </c>
      <c r="DP185" s="733">
        <f>'BASE DE DATOS'!BH185</f>
        <v>0</v>
      </c>
      <c r="DQ185" s="733">
        <f>'BASE DE DATOS'!BI185</f>
        <v>0</v>
      </c>
      <c r="DR185" s="733">
        <f>'BASE DE DATOS'!BJ185</f>
        <v>0</v>
      </c>
      <c r="DS185" s="733">
        <f>'BASE DE DATOS'!BK185</f>
        <v>0</v>
      </c>
      <c r="DT185" s="733">
        <f>'BASE DE DATOS'!BL185</f>
        <v>0</v>
      </c>
      <c r="DU185" s="733">
        <f>'BASE DE DATOS'!BM185</f>
        <v>0</v>
      </c>
      <c r="DV185" s="733">
        <f>'BASE DE DATOS'!BN185</f>
        <v>0</v>
      </c>
      <c r="DW185" s="733">
        <f>'BASE DE DATOS'!BO185</f>
        <v>0</v>
      </c>
      <c r="DX185" s="733">
        <f>'BASE DE DATOS'!BP185</f>
        <v>0</v>
      </c>
      <c r="DY185" s="733">
        <f>'BASE DE DATOS'!BQ185</f>
        <v>0</v>
      </c>
      <c r="DZ185" s="733">
        <f>'BASE DE DATOS'!BR185</f>
        <v>0</v>
      </c>
      <c r="EA185" s="733">
        <f>'BASE DE DATOS'!BS185</f>
        <v>0</v>
      </c>
      <c r="EB185" s="733">
        <f>'BASE DE DATOS'!BT185</f>
        <v>0</v>
      </c>
    </row>
    <row r="186" spans="2:132">
      <c r="B186" s="734">
        <f>'BASE DE DATOS'!B186</f>
        <v>0</v>
      </c>
      <c r="C186" s="734">
        <f>'BASE DE DATOS'!C186</f>
        <v>0</v>
      </c>
      <c r="D186" s="734">
        <f>'BASE DE DATOS'!D186</f>
        <v>0</v>
      </c>
      <c r="E186" s="734">
        <f>'BASE DE DATOS'!E186</f>
        <v>0</v>
      </c>
      <c r="F186" s="734">
        <f>'BASE DE DATOS'!F186</f>
        <v>0</v>
      </c>
      <c r="G186" s="734">
        <f>'BASE DE DATOS'!G186</f>
        <v>0</v>
      </c>
      <c r="H186" s="734">
        <f>'BASE DE DATOS'!H186</f>
        <v>0</v>
      </c>
      <c r="I186" s="734">
        <f>'BASE DE DATOS'!I186</f>
        <v>0</v>
      </c>
      <c r="J186" s="734">
        <f>'BASE DE DATOS'!J186</f>
        <v>0</v>
      </c>
      <c r="K186" s="734">
        <f>'BASE DE DATOS'!K186</f>
        <v>0</v>
      </c>
      <c r="L186" s="734">
        <f>'BASE DE DATOS'!L186</f>
        <v>0</v>
      </c>
      <c r="M186" s="734">
        <f>'BASE DE DATOS'!M186</f>
        <v>0</v>
      </c>
      <c r="N186" s="734">
        <f>'BASE DE DATOS'!N186</f>
        <v>0</v>
      </c>
      <c r="O186" s="734">
        <f>'BASE DE DATOS'!O186</f>
        <v>0</v>
      </c>
      <c r="P186" s="734">
        <f>'BASE DE DATOS'!P186</f>
        <v>0</v>
      </c>
      <c r="Q186" s="734">
        <f>'BASE DE DATOS'!Q186</f>
        <v>0</v>
      </c>
      <c r="R186" s="734">
        <f>'BASE DE DATOS'!R186</f>
        <v>0</v>
      </c>
      <c r="S186" s="734">
        <f>'BASE DE DATOS'!S186</f>
        <v>0</v>
      </c>
      <c r="T186" s="734">
        <f>'BASE DE DATOS'!T186</f>
        <v>0</v>
      </c>
      <c r="U186" s="734">
        <f>'BASE DE DATOS'!U186</f>
        <v>0</v>
      </c>
      <c r="V186" s="734">
        <f>'BASE DE DATOS'!V186</f>
        <v>0</v>
      </c>
      <c r="W186" s="734">
        <f>'BASE DE DATOS'!W186</f>
        <v>0</v>
      </c>
      <c r="X186" s="734">
        <f>'BASE DE DATOS'!X186</f>
        <v>0</v>
      </c>
      <c r="Y186" s="734">
        <f>'BASE DE DATOS'!Y186</f>
        <v>0</v>
      </c>
      <c r="Z186" s="734">
        <f>'BASE DE DATOS'!Z186</f>
        <v>0</v>
      </c>
      <c r="AA186" s="734">
        <f>'BASE DE DATOS'!AA186</f>
        <v>0</v>
      </c>
      <c r="AB186" s="734">
        <f>'BASE DE DATOS'!AB186</f>
        <v>0</v>
      </c>
      <c r="AD186" s="734">
        <f>'BASE DE DATOS'!AD186</f>
        <v>0</v>
      </c>
      <c r="AE186" s="734">
        <f>'BASE DE DATOS'!AE186</f>
        <v>0</v>
      </c>
      <c r="AF186" s="734">
        <f>'BASE DE DATOS'!AF186</f>
        <v>0</v>
      </c>
      <c r="AG186" s="734">
        <f>'BASE DE DATOS'!AG186</f>
        <v>0</v>
      </c>
      <c r="AH186" s="734">
        <f>'BASE DE DATOS'!AH186</f>
        <v>0</v>
      </c>
      <c r="AI186" s="734">
        <f>'BASE DE DATOS'!AI186</f>
        <v>0</v>
      </c>
      <c r="AJ186" s="734">
        <f>'BASE DE DATOS'!AJ186</f>
        <v>0</v>
      </c>
      <c r="AK186" s="734">
        <f>'BASE DE DATOS'!AK186</f>
        <v>0</v>
      </c>
      <c r="AL186" s="734">
        <f>'BASE DE DATOS'!AL186</f>
        <v>0</v>
      </c>
      <c r="AM186" s="734">
        <f>'BASE DE DATOS'!AM186</f>
        <v>0</v>
      </c>
      <c r="AN186" s="734">
        <f>'BASE DE DATOS'!AN186</f>
        <v>0</v>
      </c>
      <c r="AO186" s="734">
        <f>'BASE DE DATOS'!AO186</f>
        <v>0</v>
      </c>
      <c r="AP186" s="734">
        <f>'BASE DE DATOS'!AP186</f>
        <v>0</v>
      </c>
      <c r="AR186" s="734">
        <f>'BASE DE DATOS'!AR186</f>
        <v>0</v>
      </c>
      <c r="AS186" s="734">
        <f>'BASE DE DATOS'!AS186</f>
        <v>0</v>
      </c>
      <c r="AT186" s="734">
        <f>'BASE DE DATOS'!AT186</f>
        <v>0</v>
      </c>
      <c r="AU186" s="734">
        <f>'BASE DE DATOS'!AU186</f>
        <v>0</v>
      </c>
      <c r="AV186" s="734">
        <f>'BASE DE DATOS'!AV186</f>
        <v>0</v>
      </c>
      <c r="AW186" s="734">
        <f>'BASE DE DATOS'!AW186</f>
        <v>0</v>
      </c>
      <c r="AX186" s="734">
        <f>'BASE DE DATOS'!AX186</f>
        <v>0</v>
      </c>
      <c r="AY186" s="734">
        <f>'BASE DE DATOS'!AY186</f>
        <v>0</v>
      </c>
      <c r="AZ186" s="734">
        <f>'BASE DE DATOS'!AZ186</f>
        <v>0</v>
      </c>
      <c r="BA186" s="734">
        <f>'BASE DE DATOS'!BA186</f>
        <v>0</v>
      </c>
      <c r="BB186" s="734">
        <f>'BASE DE DATOS'!BB186</f>
        <v>0</v>
      </c>
      <c r="BC186" s="734">
        <f>'BASE DE DATOS'!BC186</f>
        <v>0</v>
      </c>
      <c r="BD186" s="734">
        <f>'BASE DE DATOS'!BD186</f>
        <v>0</v>
      </c>
      <c r="BE186" s="734">
        <f>'BASE DE DATOS'!BE186</f>
        <v>0</v>
      </c>
      <c r="DO186" s="733">
        <f>'BASE DE DATOS'!BG186</f>
        <v>0</v>
      </c>
      <c r="DP186" s="733">
        <f>'BASE DE DATOS'!BH186</f>
        <v>0</v>
      </c>
      <c r="DQ186" s="733">
        <f>'BASE DE DATOS'!BI186</f>
        <v>0</v>
      </c>
      <c r="DR186" s="733">
        <f>'BASE DE DATOS'!BJ186</f>
        <v>0</v>
      </c>
      <c r="DS186" s="733">
        <f>'BASE DE DATOS'!BK186</f>
        <v>0</v>
      </c>
      <c r="DT186" s="733">
        <f>'BASE DE DATOS'!BL186</f>
        <v>0</v>
      </c>
      <c r="DU186" s="733">
        <f>'BASE DE DATOS'!BM186</f>
        <v>0</v>
      </c>
      <c r="DV186" s="733">
        <f>'BASE DE DATOS'!BN186</f>
        <v>0</v>
      </c>
      <c r="DW186" s="733">
        <f>'BASE DE DATOS'!BO186</f>
        <v>0</v>
      </c>
      <c r="DX186" s="733">
        <f>'BASE DE DATOS'!BP186</f>
        <v>0</v>
      </c>
      <c r="DY186" s="733">
        <f>'BASE DE DATOS'!BQ186</f>
        <v>0</v>
      </c>
      <c r="DZ186" s="733">
        <f>'BASE DE DATOS'!BR186</f>
        <v>0</v>
      </c>
      <c r="EA186" s="733">
        <f>'BASE DE DATOS'!BS186</f>
        <v>0</v>
      </c>
      <c r="EB186" s="733">
        <f>'BASE DE DATOS'!BT186</f>
        <v>0</v>
      </c>
    </row>
    <row r="187" spans="2:132">
      <c r="B187" s="734">
        <f>'BASE DE DATOS'!B187</f>
        <v>0</v>
      </c>
      <c r="C187" s="734">
        <f>'BASE DE DATOS'!C187</f>
        <v>0</v>
      </c>
      <c r="D187" s="734">
        <f>'BASE DE DATOS'!D187</f>
        <v>0</v>
      </c>
      <c r="E187" s="734">
        <f>'BASE DE DATOS'!E187</f>
        <v>0</v>
      </c>
      <c r="F187" s="734">
        <f>'BASE DE DATOS'!F187</f>
        <v>0</v>
      </c>
      <c r="G187" s="734">
        <f>'BASE DE DATOS'!G187</f>
        <v>0</v>
      </c>
      <c r="H187" s="734">
        <f>'BASE DE DATOS'!H187</f>
        <v>0</v>
      </c>
      <c r="I187" s="734">
        <f>'BASE DE DATOS'!I187</f>
        <v>0</v>
      </c>
      <c r="J187" s="734">
        <f>'BASE DE DATOS'!J187</f>
        <v>0</v>
      </c>
      <c r="K187" s="734">
        <f>'BASE DE DATOS'!K187</f>
        <v>0</v>
      </c>
      <c r="L187" s="734">
        <f>'BASE DE DATOS'!L187</f>
        <v>0</v>
      </c>
      <c r="M187" s="734">
        <f>'BASE DE DATOS'!M187</f>
        <v>0</v>
      </c>
      <c r="N187" s="734">
        <f>'BASE DE DATOS'!N187</f>
        <v>0</v>
      </c>
      <c r="O187" s="734">
        <f>'BASE DE DATOS'!O187</f>
        <v>0</v>
      </c>
      <c r="P187" s="734">
        <f>'BASE DE DATOS'!P187</f>
        <v>0</v>
      </c>
      <c r="Q187" s="734">
        <f>'BASE DE DATOS'!Q187</f>
        <v>0</v>
      </c>
      <c r="R187" s="734">
        <f>'BASE DE DATOS'!R187</f>
        <v>0</v>
      </c>
      <c r="S187" s="734">
        <f>'BASE DE DATOS'!S187</f>
        <v>0</v>
      </c>
      <c r="T187" s="734">
        <f>'BASE DE DATOS'!T187</f>
        <v>0</v>
      </c>
      <c r="U187" s="734">
        <f>'BASE DE DATOS'!U187</f>
        <v>0</v>
      </c>
      <c r="V187" s="734">
        <f>'BASE DE DATOS'!V187</f>
        <v>0</v>
      </c>
      <c r="W187" s="734">
        <f>'BASE DE DATOS'!W187</f>
        <v>0</v>
      </c>
      <c r="X187" s="734">
        <f>'BASE DE DATOS'!X187</f>
        <v>0</v>
      </c>
      <c r="Y187" s="734">
        <f>'BASE DE DATOS'!Y187</f>
        <v>0</v>
      </c>
      <c r="Z187" s="734">
        <f>'BASE DE DATOS'!Z187</f>
        <v>0</v>
      </c>
      <c r="AA187" s="734">
        <f>'BASE DE DATOS'!AA187</f>
        <v>0</v>
      </c>
      <c r="AB187" s="734">
        <f>'BASE DE DATOS'!AB187</f>
        <v>0</v>
      </c>
      <c r="AD187" s="734">
        <f>'BASE DE DATOS'!AD187</f>
        <v>0</v>
      </c>
      <c r="AE187" s="734">
        <f>'BASE DE DATOS'!AE187</f>
        <v>0</v>
      </c>
      <c r="AF187" s="734">
        <f>'BASE DE DATOS'!AF187</f>
        <v>0</v>
      </c>
      <c r="AG187" s="734">
        <f>'BASE DE DATOS'!AG187</f>
        <v>0</v>
      </c>
      <c r="AH187" s="734">
        <f>'BASE DE DATOS'!AH187</f>
        <v>0</v>
      </c>
      <c r="AI187" s="734">
        <f>'BASE DE DATOS'!AI187</f>
        <v>0</v>
      </c>
      <c r="AJ187" s="734">
        <f>'BASE DE DATOS'!AJ187</f>
        <v>0</v>
      </c>
      <c r="AK187" s="734">
        <f>'BASE DE DATOS'!AK187</f>
        <v>0</v>
      </c>
      <c r="AL187" s="734">
        <f>'BASE DE DATOS'!AL187</f>
        <v>0</v>
      </c>
      <c r="AM187" s="734">
        <f>'BASE DE DATOS'!AM187</f>
        <v>0</v>
      </c>
      <c r="AN187" s="734">
        <f>'BASE DE DATOS'!AN187</f>
        <v>0</v>
      </c>
      <c r="AO187" s="734">
        <f>'BASE DE DATOS'!AO187</f>
        <v>0</v>
      </c>
      <c r="AP187" s="734">
        <f>'BASE DE DATOS'!AP187</f>
        <v>0</v>
      </c>
      <c r="AR187" s="734">
        <f>'BASE DE DATOS'!AR187</f>
        <v>0</v>
      </c>
      <c r="AS187" s="734">
        <f>'BASE DE DATOS'!AS187</f>
        <v>0</v>
      </c>
      <c r="AT187" s="734">
        <f>'BASE DE DATOS'!AT187</f>
        <v>0</v>
      </c>
      <c r="AU187" s="734">
        <f>'BASE DE DATOS'!AU187</f>
        <v>0</v>
      </c>
      <c r="AV187" s="734">
        <f>'BASE DE DATOS'!AV187</f>
        <v>0</v>
      </c>
      <c r="AW187" s="734">
        <f>'BASE DE DATOS'!AW187</f>
        <v>0</v>
      </c>
      <c r="AX187" s="734">
        <f>'BASE DE DATOS'!AX187</f>
        <v>0</v>
      </c>
      <c r="AY187" s="734">
        <f>'BASE DE DATOS'!AY187</f>
        <v>0</v>
      </c>
      <c r="AZ187" s="734">
        <f>'BASE DE DATOS'!AZ187</f>
        <v>0</v>
      </c>
      <c r="BA187" s="734">
        <f>'BASE DE DATOS'!BA187</f>
        <v>0</v>
      </c>
      <c r="BB187" s="734">
        <f>'BASE DE DATOS'!BB187</f>
        <v>0</v>
      </c>
      <c r="BC187" s="734">
        <f>'BASE DE DATOS'!BC187</f>
        <v>0</v>
      </c>
      <c r="BD187" s="734">
        <f>'BASE DE DATOS'!BD187</f>
        <v>0</v>
      </c>
      <c r="BE187" s="734">
        <f>'BASE DE DATOS'!BE187</f>
        <v>0</v>
      </c>
      <c r="DO187" s="733">
        <f>'BASE DE DATOS'!BG187</f>
        <v>0</v>
      </c>
      <c r="DP187" s="733">
        <f>'BASE DE DATOS'!BH187</f>
        <v>0</v>
      </c>
      <c r="DQ187" s="733">
        <f>'BASE DE DATOS'!BI187</f>
        <v>0</v>
      </c>
      <c r="DR187" s="733">
        <f>'BASE DE DATOS'!BJ187</f>
        <v>0</v>
      </c>
      <c r="DS187" s="733">
        <f>'BASE DE DATOS'!BK187</f>
        <v>0</v>
      </c>
      <c r="DT187" s="733">
        <f>'BASE DE DATOS'!BL187</f>
        <v>0</v>
      </c>
      <c r="DU187" s="733">
        <f>'BASE DE DATOS'!BM187</f>
        <v>0</v>
      </c>
      <c r="DV187" s="733">
        <f>'BASE DE DATOS'!BN187</f>
        <v>0</v>
      </c>
      <c r="DW187" s="733">
        <f>'BASE DE DATOS'!BO187</f>
        <v>0</v>
      </c>
      <c r="DX187" s="733">
        <f>'BASE DE DATOS'!BP187</f>
        <v>0</v>
      </c>
      <c r="DY187" s="733">
        <f>'BASE DE DATOS'!BQ187</f>
        <v>0</v>
      </c>
      <c r="DZ187" s="733">
        <f>'BASE DE DATOS'!BR187</f>
        <v>0</v>
      </c>
      <c r="EA187" s="733">
        <f>'BASE DE DATOS'!BS187</f>
        <v>0</v>
      </c>
      <c r="EB187" s="733">
        <f>'BASE DE DATOS'!BT187</f>
        <v>0</v>
      </c>
    </row>
    <row r="188" spans="2:132">
      <c r="B188" s="734">
        <f>'BASE DE DATOS'!B188</f>
        <v>0</v>
      </c>
      <c r="C188" s="734">
        <f>'BASE DE DATOS'!C188</f>
        <v>0</v>
      </c>
      <c r="D188" s="734">
        <f>'BASE DE DATOS'!D188</f>
        <v>0</v>
      </c>
      <c r="E188" s="734">
        <f>'BASE DE DATOS'!E188</f>
        <v>0</v>
      </c>
      <c r="F188" s="734">
        <f>'BASE DE DATOS'!F188</f>
        <v>0</v>
      </c>
      <c r="G188" s="734">
        <f>'BASE DE DATOS'!G188</f>
        <v>0</v>
      </c>
      <c r="H188" s="734">
        <f>'BASE DE DATOS'!H188</f>
        <v>0</v>
      </c>
      <c r="I188" s="734">
        <f>'BASE DE DATOS'!I188</f>
        <v>0</v>
      </c>
      <c r="J188" s="734">
        <f>'BASE DE DATOS'!J188</f>
        <v>0</v>
      </c>
      <c r="K188" s="734">
        <f>'BASE DE DATOS'!K188</f>
        <v>0</v>
      </c>
      <c r="L188" s="734">
        <f>'BASE DE DATOS'!L188</f>
        <v>0</v>
      </c>
      <c r="M188" s="734">
        <f>'BASE DE DATOS'!M188</f>
        <v>0</v>
      </c>
      <c r="N188" s="734">
        <f>'BASE DE DATOS'!N188</f>
        <v>0</v>
      </c>
      <c r="O188" s="734">
        <f>'BASE DE DATOS'!O188</f>
        <v>0</v>
      </c>
      <c r="P188" s="734">
        <f>'BASE DE DATOS'!P188</f>
        <v>0</v>
      </c>
      <c r="Q188" s="734">
        <f>'BASE DE DATOS'!Q188</f>
        <v>0</v>
      </c>
      <c r="R188" s="734">
        <f>'BASE DE DATOS'!R188</f>
        <v>0</v>
      </c>
      <c r="S188" s="734">
        <f>'BASE DE DATOS'!S188</f>
        <v>0</v>
      </c>
      <c r="T188" s="734">
        <f>'BASE DE DATOS'!T188</f>
        <v>0</v>
      </c>
      <c r="U188" s="734">
        <f>'BASE DE DATOS'!U188</f>
        <v>0</v>
      </c>
      <c r="V188" s="734">
        <f>'BASE DE DATOS'!V188</f>
        <v>0</v>
      </c>
      <c r="W188" s="734">
        <f>'BASE DE DATOS'!W188</f>
        <v>0</v>
      </c>
      <c r="X188" s="734">
        <f>'BASE DE DATOS'!X188</f>
        <v>0</v>
      </c>
      <c r="Y188" s="734">
        <f>'BASE DE DATOS'!Y188</f>
        <v>0</v>
      </c>
      <c r="Z188" s="734">
        <f>'BASE DE DATOS'!Z188</f>
        <v>0</v>
      </c>
      <c r="AA188" s="734">
        <f>'BASE DE DATOS'!AA188</f>
        <v>0</v>
      </c>
      <c r="AB188" s="734">
        <f>'BASE DE DATOS'!AB188</f>
        <v>0</v>
      </c>
      <c r="AD188" s="734">
        <f>'BASE DE DATOS'!AD188</f>
        <v>0</v>
      </c>
      <c r="AE188" s="734">
        <f>'BASE DE DATOS'!AE188</f>
        <v>0</v>
      </c>
      <c r="AF188" s="734">
        <f>'BASE DE DATOS'!AF188</f>
        <v>0</v>
      </c>
      <c r="AG188" s="734">
        <f>'BASE DE DATOS'!AG188</f>
        <v>0</v>
      </c>
      <c r="AH188" s="734">
        <f>'BASE DE DATOS'!AH188</f>
        <v>0</v>
      </c>
      <c r="AI188" s="734">
        <f>'BASE DE DATOS'!AI188</f>
        <v>0</v>
      </c>
      <c r="AJ188" s="734">
        <f>'BASE DE DATOS'!AJ188</f>
        <v>0</v>
      </c>
      <c r="AK188" s="734">
        <f>'BASE DE DATOS'!AK188</f>
        <v>0</v>
      </c>
      <c r="AL188" s="734">
        <f>'BASE DE DATOS'!AL188</f>
        <v>0</v>
      </c>
      <c r="AM188" s="734">
        <f>'BASE DE DATOS'!AM188</f>
        <v>0</v>
      </c>
      <c r="AN188" s="734">
        <f>'BASE DE DATOS'!AN188</f>
        <v>0</v>
      </c>
      <c r="AO188" s="734">
        <f>'BASE DE DATOS'!AO188</f>
        <v>0</v>
      </c>
      <c r="AP188" s="734">
        <f>'BASE DE DATOS'!AP188</f>
        <v>0</v>
      </c>
      <c r="AR188" s="734">
        <f>'BASE DE DATOS'!AR188</f>
        <v>0</v>
      </c>
      <c r="AS188" s="734">
        <f>'BASE DE DATOS'!AS188</f>
        <v>0</v>
      </c>
      <c r="AT188" s="734">
        <f>'BASE DE DATOS'!AT188</f>
        <v>0</v>
      </c>
      <c r="AU188" s="734">
        <f>'BASE DE DATOS'!AU188</f>
        <v>0</v>
      </c>
      <c r="AV188" s="734">
        <f>'BASE DE DATOS'!AV188</f>
        <v>0</v>
      </c>
      <c r="AW188" s="734">
        <f>'BASE DE DATOS'!AW188</f>
        <v>0</v>
      </c>
      <c r="AX188" s="734">
        <f>'BASE DE DATOS'!AX188</f>
        <v>0</v>
      </c>
      <c r="AY188" s="734">
        <f>'BASE DE DATOS'!AY188</f>
        <v>0</v>
      </c>
      <c r="AZ188" s="734">
        <f>'BASE DE DATOS'!AZ188</f>
        <v>0</v>
      </c>
      <c r="BA188" s="734">
        <f>'BASE DE DATOS'!BA188</f>
        <v>0</v>
      </c>
      <c r="BB188" s="734">
        <f>'BASE DE DATOS'!BB188</f>
        <v>0</v>
      </c>
      <c r="BC188" s="734">
        <f>'BASE DE DATOS'!BC188</f>
        <v>0</v>
      </c>
      <c r="BD188" s="734">
        <f>'BASE DE DATOS'!BD188</f>
        <v>0</v>
      </c>
      <c r="BE188" s="734">
        <f>'BASE DE DATOS'!BE188</f>
        <v>0</v>
      </c>
      <c r="DO188" s="733">
        <f>'BASE DE DATOS'!BG188</f>
        <v>0</v>
      </c>
      <c r="DP188" s="733">
        <f>'BASE DE DATOS'!BH188</f>
        <v>0</v>
      </c>
      <c r="DQ188" s="733">
        <f>'BASE DE DATOS'!BI188</f>
        <v>0</v>
      </c>
      <c r="DR188" s="733">
        <f>'BASE DE DATOS'!BJ188</f>
        <v>0</v>
      </c>
      <c r="DS188" s="733">
        <f>'BASE DE DATOS'!BK188</f>
        <v>0</v>
      </c>
      <c r="DT188" s="733">
        <f>'BASE DE DATOS'!BL188</f>
        <v>0</v>
      </c>
      <c r="DU188" s="733">
        <f>'BASE DE DATOS'!BM188</f>
        <v>0</v>
      </c>
      <c r="DV188" s="733">
        <f>'BASE DE DATOS'!BN188</f>
        <v>0</v>
      </c>
      <c r="DW188" s="733">
        <f>'BASE DE DATOS'!BO188</f>
        <v>0</v>
      </c>
      <c r="DX188" s="733">
        <f>'BASE DE DATOS'!BP188</f>
        <v>0</v>
      </c>
      <c r="DY188" s="733">
        <f>'BASE DE DATOS'!BQ188</f>
        <v>0</v>
      </c>
      <c r="DZ188" s="733">
        <f>'BASE DE DATOS'!BR188</f>
        <v>0</v>
      </c>
      <c r="EA188" s="733">
        <f>'BASE DE DATOS'!BS188</f>
        <v>0</v>
      </c>
      <c r="EB188" s="733">
        <f>'BASE DE DATOS'!BT188</f>
        <v>0</v>
      </c>
    </row>
    <row r="189" spans="2:132">
      <c r="B189" s="734">
        <f>'BASE DE DATOS'!B189</f>
        <v>0</v>
      </c>
      <c r="C189" s="734">
        <f>'BASE DE DATOS'!C189</f>
        <v>0</v>
      </c>
      <c r="D189" s="734">
        <f>'BASE DE DATOS'!D189</f>
        <v>0</v>
      </c>
      <c r="E189" s="734">
        <f>'BASE DE DATOS'!E189</f>
        <v>0</v>
      </c>
      <c r="F189" s="734">
        <f>'BASE DE DATOS'!F189</f>
        <v>0</v>
      </c>
      <c r="G189" s="734">
        <f>'BASE DE DATOS'!G189</f>
        <v>0</v>
      </c>
      <c r="H189" s="734">
        <f>'BASE DE DATOS'!H189</f>
        <v>0</v>
      </c>
      <c r="I189" s="734">
        <f>'BASE DE DATOS'!I189</f>
        <v>0</v>
      </c>
      <c r="J189" s="734">
        <f>'BASE DE DATOS'!J189</f>
        <v>0</v>
      </c>
      <c r="K189" s="734">
        <f>'BASE DE DATOS'!K189</f>
        <v>0</v>
      </c>
      <c r="L189" s="734">
        <f>'BASE DE DATOS'!L189</f>
        <v>0</v>
      </c>
      <c r="M189" s="734">
        <f>'BASE DE DATOS'!M189</f>
        <v>0</v>
      </c>
      <c r="N189" s="734">
        <f>'BASE DE DATOS'!N189</f>
        <v>0</v>
      </c>
      <c r="O189" s="734">
        <f>'BASE DE DATOS'!O189</f>
        <v>0</v>
      </c>
      <c r="P189" s="734">
        <f>'BASE DE DATOS'!P189</f>
        <v>0</v>
      </c>
      <c r="Q189" s="734">
        <f>'BASE DE DATOS'!Q189</f>
        <v>0</v>
      </c>
      <c r="R189" s="734">
        <f>'BASE DE DATOS'!R189</f>
        <v>0</v>
      </c>
      <c r="S189" s="734">
        <f>'BASE DE DATOS'!S189</f>
        <v>0</v>
      </c>
      <c r="T189" s="734">
        <f>'BASE DE DATOS'!T189</f>
        <v>0</v>
      </c>
      <c r="U189" s="734">
        <f>'BASE DE DATOS'!U189</f>
        <v>0</v>
      </c>
      <c r="V189" s="734">
        <f>'BASE DE DATOS'!V189</f>
        <v>0</v>
      </c>
      <c r="W189" s="734">
        <f>'BASE DE DATOS'!W189</f>
        <v>0</v>
      </c>
      <c r="X189" s="734">
        <f>'BASE DE DATOS'!X189</f>
        <v>0</v>
      </c>
      <c r="Y189" s="734">
        <f>'BASE DE DATOS'!Y189</f>
        <v>0</v>
      </c>
      <c r="Z189" s="734">
        <f>'BASE DE DATOS'!Z189</f>
        <v>0</v>
      </c>
      <c r="AA189" s="734">
        <f>'BASE DE DATOS'!AA189</f>
        <v>0</v>
      </c>
      <c r="AB189" s="734">
        <f>'BASE DE DATOS'!AB189</f>
        <v>0</v>
      </c>
      <c r="AD189" s="734">
        <f>'BASE DE DATOS'!AD189</f>
        <v>0</v>
      </c>
      <c r="AE189" s="734">
        <f>'BASE DE DATOS'!AE189</f>
        <v>0</v>
      </c>
      <c r="AF189" s="734">
        <f>'BASE DE DATOS'!AF189</f>
        <v>0</v>
      </c>
      <c r="AG189" s="734">
        <f>'BASE DE DATOS'!AG189</f>
        <v>0</v>
      </c>
      <c r="AH189" s="734">
        <f>'BASE DE DATOS'!AH189</f>
        <v>0</v>
      </c>
      <c r="AI189" s="734">
        <f>'BASE DE DATOS'!AI189</f>
        <v>0</v>
      </c>
      <c r="AJ189" s="734">
        <f>'BASE DE DATOS'!AJ189</f>
        <v>0</v>
      </c>
      <c r="AK189" s="734">
        <f>'BASE DE DATOS'!AK189</f>
        <v>0</v>
      </c>
      <c r="AL189" s="734">
        <f>'BASE DE DATOS'!AL189</f>
        <v>0</v>
      </c>
      <c r="AM189" s="734">
        <f>'BASE DE DATOS'!AM189</f>
        <v>0</v>
      </c>
      <c r="AN189" s="734">
        <f>'BASE DE DATOS'!AN189</f>
        <v>0</v>
      </c>
      <c r="AO189" s="734">
        <f>'BASE DE DATOS'!AO189</f>
        <v>0</v>
      </c>
      <c r="AP189" s="734">
        <f>'BASE DE DATOS'!AP189</f>
        <v>0</v>
      </c>
      <c r="AR189" s="734">
        <f>'BASE DE DATOS'!AR189</f>
        <v>0</v>
      </c>
      <c r="AS189" s="734">
        <f>'BASE DE DATOS'!AS189</f>
        <v>0</v>
      </c>
      <c r="AT189" s="734">
        <f>'BASE DE DATOS'!AT189</f>
        <v>0</v>
      </c>
      <c r="AU189" s="734">
        <f>'BASE DE DATOS'!AU189</f>
        <v>0</v>
      </c>
      <c r="AV189" s="734">
        <f>'BASE DE DATOS'!AV189</f>
        <v>0</v>
      </c>
      <c r="AW189" s="734">
        <f>'BASE DE DATOS'!AW189</f>
        <v>0</v>
      </c>
      <c r="AX189" s="734">
        <f>'BASE DE DATOS'!AX189</f>
        <v>0</v>
      </c>
      <c r="AY189" s="734">
        <f>'BASE DE DATOS'!AY189</f>
        <v>0</v>
      </c>
      <c r="AZ189" s="734">
        <f>'BASE DE DATOS'!AZ189</f>
        <v>0</v>
      </c>
      <c r="BA189" s="734">
        <f>'BASE DE DATOS'!BA189</f>
        <v>0</v>
      </c>
      <c r="BB189" s="734">
        <f>'BASE DE DATOS'!BB189</f>
        <v>0</v>
      </c>
      <c r="BC189" s="734">
        <f>'BASE DE DATOS'!BC189</f>
        <v>0</v>
      </c>
      <c r="BD189" s="734">
        <f>'BASE DE DATOS'!BD189</f>
        <v>0</v>
      </c>
      <c r="BE189" s="734">
        <f>'BASE DE DATOS'!BE189</f>
        <v>0</v>
      </c>
      <c r="DO189" s="733">
        <f>'BASE DE DATOS'!BG189</f>
        <v>0</v>
      </c>
      <c r="DP189" s="733">
        <f>'BASE DE DATOS'!BH189</f>
        <v>0</v>
      </c>
      <c r="DQ189" s="733">
        <f>'BASE DE DATOS'!BI189</f>
        <v>0</v>
      </c>
      <c r="DR189" s="733">
        <f>'BASE DE DATOS'!BJ189</f>
        <v>0</v>
      </c>
      <c r="DS189" s="733">
        <f>'BASE DE DATOS'!BK189</f>
        <v>0</v>
      </c>
      <c r="DT189" s="733">
        <f>'BASE DE DATOS'!BL189</f>
        <v>0</v>
      </c>
      <c r="DU189" s="733">
        <f>'BASE DE DATOS'!BM189</f>
        <v>0</v>
      </c>
      <c r="DV189" s="733">
        <f>'BASE DE DATOS'!BN189</f>
        <v>0</v>
      </c>
      <c r="DW189" s="733">
        <f>'BASE DE DATOS'!BO189</f>
        <v>0</v>
      </c>
      <c r="DX189" s="733">
        <f>'BASE DE DATOS'!BP189</f>
        <v>0</v>
      </c>
      <c r="DY189" s="733">
        <f>'BASE DE DATOS'!BQ189</f>
        <v>0</v>
      </c>
      <c r="DZ189" s="733">
        <f>'BASE DE DATOS'!BR189</f>
        <v>0</v>
      </c>
      <c r="EA189" s="733">
        <f>'BASE DE DATOS'!BS189</f>
        <v>0</v>
      </c>
      <c r="EB189" s="733">
        <f>'BASE DE DATOS'!BT189</f>
        <v>0</v>
      </c>
    </row>
    <row r="190" spans="2:132">
      <c r="B190" s="734">
        <f>'BASE DE DATOS'!B190</f>
        <v>0</v>
      </c>
      <c r="C190" s="734">
        <f>'BASE DE DATOS'!C190</f>
        <v>0</v>
      </c>
      <c r="D190" s="734">
        <f>'BASE DE DATOS'!D190</f>
        <v>0</v>
      </c>
      <c r="E190" s="734">
        <f>'BASE DE DATOS'!E190</f>
        <v>0</v>
      </c>
      <c r="F190" s="734">
        <f>'BASE DE DATOS'!F190</f>
        <v>0</v>
      </c>
      <c r="G190" s="734">
        <f>'BASE DE DATOS'!G190</f>
        <v>0</v>
      </c>
      <c r="H190" s="734">
        <f>'BASE DE DATOS'!H190</f>
        <v>0</v>
      </c>
      <c r="I190" s="734">
        <f>'BASE DE DATOS'!I190</f>
        <v>0</v>
      </c>
      <c r="J190" s="734">
        <f>'BASE DE DATOS'!J190</f>
        <v>0</v>
      </c>
      <c r="K190" s="734">
        <f>'BASE DE DATOS'!K190</f>
        <v>0</v>
      </c>
      <c r="L190" s="734">
        <f>'BASE DE DATOS'!L190</f>
        <v>0</v>
      </c>
      <c r="M190" s="734">
        <f>'BASE DE DATOS'!M190</f>
        <v>0</v>
      </c>
      <c r="N190" s="734">
        <f>'BASE DE DATOS'!N190</f>
        <v>0</v>
      </c>
      <c r="O190" s="734">
        <f>'BASE DE DATOS'!O190</f>
        <v>0</v>
      </c>
      <c r="P190" s="734">
        <f>'BASE DE DATOS'!P190</f>
        <v>0</v>
      </c>
      <c r="Q190" s="734">
        <f>'BASE DE DATOS'!Q190</f>
        <v>0</v>
      </c>
      <c r="R190" s="734">
        <f>'BASE DE DATOS'!R190</f>
        <v>0</v>
      </c>
      <c r="S190" s="734">
        <f>'BASE DE DATOS'!S190</f>
        <v>0</v>
      </c>
      <c r="T190" s="734">
        <f>'BASE DE DATOS'!T190</f>
        <v>0</v>
      </c>
      <c r="U190" s="734">
        <f>'BASE DE DATOS'!U190</f>
        <v>0</v>
      </c>
      <c r="V190" s="734">
        <f>'BASE DE DATOS'!V190</f>
        <v>0</v>
      </c>
      <c r="W190" s="734">
        <f>'BASE DE DATOS'!W190</f>
        <v>0</v>
      </c>
      <c r="X190" s="734">
        <f>'BASE DE DATOS'!X190</f>
        <v>0</v>
      </c>
      <c r="Y190" s="734">
        <f>'BASE DE DATOS'!Y190</f>
        <v>0</v>
      </c>
      <c r="Z190" s="734">
        <f>'BASE DE DATOS'!Z190</f>
        <v>0</v>
      </c>
      <c r="AA190" s="734">
        <f>'BASE DE DATOS'!AA190</f>
        <v>0</v>
      </c>
      <c r="AB190" s="734">
        <f>'BASE DE DATOS'!AB190</f>
        <v>0</v>
      </c>
      <c r="AD190" s="734">
        <f>'BASE DE DATOS'!AD190</f>
        <v>0</v>
      </c>
      <c r="AE190" s="734">
        <f>'BASE DE DATOS'!AE190</f>
        <v>0</v>
      </c>
      <c r="AF190" s="734">
        <f>'BASE DE DATOS'!AF190</f>
        <v>0</v>
      </c>
      <c r="AG190" s="734">
        <f>'BASE DE DATOS'!AG190</f>
        <v>0</v>
      </c>
      <c r="AH190" s="734">
        <f>'BASE DE DATOS'!AH190</f>
        <v>0</v>
      </c>
      <c r="AI190" s="734">
        <f>'BASE DE DATOS'!AI190</f>
        <v>0</v>
      </c>
      <c r="AJ190" s="734">
        <f>'BASE DE DATOS'!AJ190</f>
        <v>0</v>
      </c>
      <c r="AK190" s="734">
        <f>'BASE DE DATOS'!AK190</f>
        <v>0</v>
      </c>
      <c r="AL190" s="734">
        <f>'BASE DE DATOS'!AL190</f>
        <v>0</v>
      </c>
      <c r="AM190" s="734">
        <f>'BASE DE DATOS'!AM190</f>
        <v>0</v>
      </c>
      <c r="AN190" s="734">
        <f>'BASE DE DATOS'!AN190</f>
        <v>0</v>
      </c>
      <c r="AO190" s="734">
        <f>'BASE DE DATOS'!AO190</f>
        <v>0</v>
      </c>
      <c r="AP190" s="734">
        <f>'BASE DE DATOS'!AP190</f>
        <v>0</v>
      </c>
      <c r="AR190" s="734">
        <f>'BASE DE DATOS'!AR190</f>
        <v>0</v>
      </c>
      <c r="AS190" s="734">
        <f>'BASE DE DATOS'!AS190</f>
        <v>0</v>
      </c>
      <c r="AT190" s="734">
        <f>'BASE DE DATOS'!AT190</f>
        <v>0</v>
      </c>
      <c r="AU190" s="734">
        <f>'BASE DE DATOS'!AU190</f>
        <v>0</v>
      </c>
      <c r="AV190" s="734">
        <f>'BASE DE DATOS'!AV190</f>
        <v>0</v>
      </c>
      <c r="AW190" s="734">
        <f>'BASE DE DATOS'!AW190</f>
        <v>0</v>
      </c>
      <c r="AX190" s="734">
        <f>'BASE DE DATOS'!AX190</f>
        <v>0</v>
      </c>
      <c r="AY190" s="734">
        <f>'BASE DE DATOS'!AY190</f>
        <v>0</v>
      </c>
      <c r="AZ190" s="734">
        <f>'BASE DE DATOS'!AZ190</f>
        <v>0</v>
      </c>
      <c r="BA190" s="734">
        <f>'BASE DE DATOS'!BA190</f>
        <v>0</v>
      </c>
      <c r="BB190" s="734">
        <f>'BASE DE DATOS'!BB190</f>
        <v>0</v>
      </c>
      <c r="BC190" s="734">
        <f>'BASE DE DATOS'!BC190</f>
        <v>0</v>
      </c>
      <c r="BD190" s="734">
        <f>'BASE DE DATOS'!BD190</f>
        <v>0</v>
      </c>
      <c r="BE190" s="734">
        <f>'BASE DE DATOS'!BE190</f>
        <v>0</v>
      </c>
      <c r="DO190" s="733">
        <f>'BASE DE DATOS'!BG190</f>
        <v>0</v>
      </c>
      <c r="DP190" s="733">
        <f>'BASE DE DATOS'!BH190</f>
        <v>0</v>
      </c>
      <c r="DQ190" s="733">
        <f>'BASE DE DATOS'!BI190</f>
        <v>0</v>
      </c>
      <c r="DR190" s="733">
        <f>'BASE DE DATOS'!BJ190</f>
        <v>0</v>
      </c>
      <c r="DS190" s="733">
        <f>'BASE DE DATOS'!BK190</f>
        <v>0</v>
      </c>
      <c r="DT190" s="733">
        <f>'BASE DE DATOS'!BL190</f>
        <v>0</v>
      </c>
      <c r="DU190" s="733">
        <f>'BASE DE DATOS'!BM190</f>
        <v>0</v>
      </c>
      <c r="DV190" s="733">
        <f>'BASE DE DATOS'!BN190</f>
        <v>0</v>
      </c>
      <c r="DW190" s="733">
        <f>'BASE DE DATOS'!BO190</f>
        <v>0</v>
      </c>
      <c r="DX190" s="733">
        <f>'BASE DE DATOS'!BP190</f>
        <v>0</v>
      </c>
      <c r="DY190" s="733">
        <f>'BASE DE DATOS'!BQ190</f>
        <v>0</v>
      </c>
      <c r="DZ190" s="733">
        <f>'BASE DE DATOS'!BR190</f>
        <v>0</v>
      </c>
      <c r="EA190" s="733">
        <f>'BASE DE DATOS'!BS190</f>
        <v>0</v>
      </c>
      <c r="EB190" s="733">
        <f>'BASE DE DATOS'!BT190</f>
        <v>0</v>
      </c>
    </row>
    <row r="191" spans="2:132">
      <c r="B191" s="734">
        <f>'BASE DE DATOS'!B191</f>
        <v>0</v>
      </c>
      <c r="C191" s="734">
        <f>'BASE DE DATOS'!C191</f>
        <v>0</v>
      </c>
      <c r="D191" s="734">
        <f>'BASE DE DATOS'!D191</f>
        <v>0</v>
      </c>
      <c r="E191" s="734">
        <f>'BASE DE DATOS'!E191</f>
        <v>0</v>
      </c>
      <c r="F191" s="734">
        <f>'BASE DE DATOS'!F191</f>
        <v>0</v>
      </c>
      <c r="G191" s="734">
        <f>'BASE DE DATOS'!G191</f>
        <v>0</v>
      </c>
      <c r="H191" s="734">
        <f>'BASE DE DATOS'!H191</f>
        <v>0</v>
      </c>
      <c r="I191" s="734">
        <f>'BASE DE DATOS'!I191</f>
        <v>0</v>
      </c>
      <c r="J191" s="734">
        <f>'BASE DE DATOS'!J191</f>
        <v>0</v>
      </c>
      <c r="K191" s="734">
        <f>'BASE DE DATOS'!K191</f>
        <v>0</v>
      </c>
      <c r="L191" s="734">
        <f>'BASE DE DATOS'!L191</f>
        <v>0</v>
      </c>
      <c r="M191" s="734">
        <f>'BASE DE DATOS'!M191</f>
        <v>0</v>
      </c>
      <c r="N191" s="734">
        <f>'BASE DE DATOS'!N191</f>
        <v>0</v>
      </c>
      <c r="O191" s="734">
        <f>'BASE DE DATOS'!O191</f>
        <v>0</v>
      </c>
      <c r="P191" s="734">
        <f>'BASE DE DATOS'!P191</f>
        <v>0</v>
      </c>
      <c r="Q191" s="734">
        <f>'BASE DE DATOS'!Q191</f>
        <v>0</v>
      </c>
      <c r="R191" s="734">
        <f>'BASE DE DATOS'!R191</f>
        <v>0</v>
      </c>
      <c r="S191" s="734">
        <f>'BASE DE DATOS'!S191</f>
        <v>0</v>
      </c>
      <c r="T191" s="734">
        <f>'BASE DE DATOS'!T191</f>
        <v>0</v>
      </c>
      <c r="U191" s="734">
        <f>'BASE DE DATOS'!U191</f>
        <v>0</v>
      </c>
      <c r="V191" s="734">
        <f>'BASE DE DATOS'!V191</f>
        <v>0</v>
      </c>
      <c r="W191" s="734">
        <f>'BASE DE DATOS'!W191</f>
        <v>0</v>
      </c>
      <c r="X191" s="734">
        <f>'BASE DE DATOS'!X191</f>
        <v>0</v>
      </c>
      <c r="Y191" s="734">
        <f>'BASE DE DATOS'!Y191</f>
        <v>0</v>
      </c>
      <c r="Z191" s="734">
        <f>'BASE DE DATOS'!Z191</f>
        <v>0</v>
      </c>
      <c r="AA191" s="734">
        <f>'BASE DE DATOS'!AA191</f>
        <v>0</v>
      </c>
      <c r="AB191" s="734">
        <f>'BASE DE DATOS'!AB191</f>
        <v>0</v>
      </c>
      <c r="AD191" s="734">
        <f>'BASE DE DATOS'!AD191</f>
        <v>0</v>
      </c>
      <c r="AE191" s="734">
        <f>'BASE DE DATOS'!AE191</f>
        <v>0</v>
      </c>
      <c r="AF191" s="734">
        <f>'BASE DE DATOS'!AF191</f>
        <v>0</v>
      </c>
      <c r="AG191" s="734">
        <f>'BASE DE DATOS'!AG191</f>
        <v>0</v>
      </c>
      <c r="AH191" s="734">
        <f>'BASE DE DATOS'!AH191</f>
        <v>0</v>
      </c>
      <c r="AI191" s="734">
        <f>'BASE DE DATOS'!AI191</f>
        <v>0</v>
      </c>
      <c r="AJ191" s="734">
        <f>'BASE DE DATOS'!AJ191</f>
        <v>0</v>
      </c>
      <c r="AK191" s="734">
        <f>'BASE DE DATOS'!AK191</f>
        <v>0</v>
      </c>
      <c r="AL191" s="734">
        <f>'BASE DE DATOS'!AL191</f>
        <v>0</v>
      </c>
      <c r="AM191" s="734">
        <f>'BASE DE DATOS'!AM191</f>
        <v>0</v>
      </c>
      <c r="AN191" s="734">
        <f>'BASE DE DATOS'!AN191</f>
        <v>0</v>
      </c>
      <c r="AO191" s="734">
        <f>'BASE DE DATOS'!AO191</f>
        <v>0</v>
      </c>
      <c r="AP191" s="734">
        <f>'BASE DE DATOS'!AP191</f>
        <v>0</v>
      </c>
      <c r="AR191" s="734">
        <f>'BASE DE DATOS'!AR191</f>
        <v>0</v>
      </c>
      <c r="AS191" s="734">
        <f>'BASE DE DATOS'!AS191</f>
        <v>0</v>
      </c>
      <c r="AT191" s="734">
        <f>'BASE DE DATOS'!AT191</f>
        <v>0</v>
      </c>
      <c r="AU191" s="734">
        <f>'BASE DE DATOS'!AU191</f>
        <v>0</v>
      </c>
      <c r="AV191" s="734">
        <f>'BASE DE DATOS'!AV191</f>
        <v>0</v>
      </c>
      <c r="AW191" s="734">
        <f>'BASE DE DATOS'!AW191</f>
        <v>0</v>
      </c>
      <c r="AX191" s="734">
        <f>'BASE DE DATOS'!AX191</f>
        <v>0</v>
      </c>
      <c r="AY191" s="734">
        <f>'BASE DE DATOS'!AY191</f>
        <v>0</v>
      </c>
      <c r="AZ191" s="734">
        <f>'BASE DE DATOS'!AZ191</f>
        <v>0</v>
      </c>
      <c r="BA191" s="734">
        <f>'BASE DE DATOS'!BA191</f>
        <v>0</v>
      </c>
      <c r="BB191" s="734">
        <f>'BASE DE DATOS'!BB191</f>
        <v>0</v>
      </c>
      <c r="BC191" s="734">
        <f>'BASE DE DATOS'!BC191</f>
        <v>0</v>
      </c>
      <c r="BD191" s="734">
        <f>'BASE DE DATOS'!BD191</f>
        <v>0</v>
      </c>
      <c r="BE191" s="734">
        <f>'BASE DE DATOS'!BE191</f>
        <v>0</v>
      </c>
      <c r="DO191" s="733">
        <f>'BASE DE DATOS'!BG191</f>
        <v>0</v>
      </c>
      <c r="DP191" s="733">
        <f>'BASE DE DATOS'!BH191</f>
        <v>0</v>
      </c>
      <c r="DQ191" s="733">
        <f>'BASE DE DATOS'!BI191</f>
        <v>0</v>
      </c>
      <c r="DR191" s="733">
        <f>'BASE DE DATOS'!BJ191</f>
        <v>0</v>
      </c>
      <c r="DS191" s="733">
        <f>'BASE DE DATOS'!BK191</f>
        <v>0</v>
      </c>
      <c r="DT191" s="733">
        <f>'BASE DE DATOS'!BL191</f>
        <v>0</v>
      </c>
      <c r="DU191" s="733">
        <f>'BASE DE DATOS'!BM191</f>
        <v>0</v>
      </c>
      <c r="DV191" s="733">
        <f>'BASE DE DATOS'!BN191</f>
        <v>0</v>
      </c>
      <c r="DW191" s="733">
        <f>'BASE DE DATOS'!BO191</f>
        <v>0</v>
      </c>
      <c r="DX191" s="733">
        <f>'BASE DE DATOS'!BP191</f>
        <v>0</v>
      </c>
      <c r="DY191" s="733">
        <f>'BASE DE DATOS'!BQ191</f>
        <v>0</v>
      </c>
      <c r="DZ191" s="733">
        <f>'BASE DE DATOS'!BR191</f>
        <v>0</v>
      </c>
      <c r="EA191" s="733">
        <f>'BASE DE DATOS'!BS191</f>
        <v>0</v>
      </c>
      <c r="EB191" s="733">
        <f>'BASE DE DATOS'!BT191</f>
        <v>0</v>
      </c>
    </row>
    <row r="192" spans="2:132">
      <c r="B192" s="734">
        <f>'BASE DE DATOS'!B192</f>
        <v>0</v>
      </c>
      <c r="C192" s="734">
        <f>'BASE DE DATOS'!C192</f>
        <v>0</v>
      </c>
      <c r="D192" s="734">
        <f>'BASE DE DATOS'!D192</f>
        <v>0</v>
      </c>
      <c r="E192" s="734">
        <f>'BASE DE DATOS'!E192</f>
        <v>0</v>
      </c>
      <c r="F192" s="734">
        <f>'BASE DE DATOS'!F192</f>
        <v>0</v>
      </c>
      <c r="G192" s="734">
        <f>'BASE DE DATOS'!G192</f>
        <v>0</v>
      </c>
      <c r="H192" s="734">
        <f>'BASE DE DATOS'!H192</f>
        <v>0</v>
      </c>
      <c r="I192" s="734">
        <f>'BASE DE DATOS'!I192</f>
        <v>0</v>
      </c>
      <c r="J192" s="734">
        <f>'BASE DE DATOS'!J192</f>
        <v>0</v>
      </c>
      <c r="K192" s="734">
        <f>'BASE DE DATOS'!K192</f>
        <v>0</v>
      </c>
      <c r="L192" s="734">
        <f>'BASE DE DATOS'!L192</f>
        <v>0</v>
      </c>
      <c r="M192" s="734">
        <f>'BASE DE DATOS'!M192</f>
        <v>0</v>
      </c>
      <c r="N192" s="734">
        <f>'BASE DE DATOS'!N192</f>
        <v>0</v>
      </c>
      <c r="O192" s="734">
        <f>'BASE DE DATOS'!O192</f>
        <v>0</v>
      </c>
      <c r="P192" s="734">
        <f>'BASE DE DATOS'!P192</f>
        <v>0</v>
      </c>
      <c r="Q192" s="734">
        <f>'BASE DE DATOS'!Q192</f>
        <v>0</v>
      </c>
      <c r="R192" s="734">
        <f>'BASE DE DATOS'!R192</f>
        <v>0</v>
      </c>
      <c r="S192" s="734">
        <f>'BASE DE DATOS'!S192</f>
        <v>0</v>
      </c>
      <c r="T192" s="734">
        <f>'BASE DE DATOS'!T192</f>
        <v>0</v>
      </c>
      <c r="U192" s="734">
        <f>'BASE DE DATOS'!U192</f>
        <v>0</v>
      </c>
      <c r="V192" s="734">
        <f>'BASE DE DATOS'!V192</f>
        <v>0</v>
      </c>
      <c r="W192" s="734">
        <f>'BASE DE DATOS'!W192</f>
        <v>0</v>
      </c>
      <c r="X192" s="734">
        <f>'BASE DE DATOS'!X192</f>
        <v>0</v>
      </c>
      <c r="Y192" s="734">
        <f>'BASE DE DATOS'!Y192</f>
        <v>0</v>
      </c>
      <c r="Z192" s="734">
        <f>'BASE DE DATOS'!Z192</f>
        <v>0</v>
      </c>
      <c r="AA192" s="734">
        <f>'BASE DE DATOS'!AA192</f>
        <v>0</v>
      </c>
      <c r="AB192" s="734">
        <f>'BASE DE DATOS'!AB192</f>
        <v>0</v>
      </c>
      <c r="AD192" s="734">
        <f>'BASE DE DATOS'!AD192</f>
        <v>0</v>
      </c>
      <c r="AE192" s="734">
        <f>'BASE DE DATOS'!AE192</f>
        <v>0</v>
      </c>
      <c r="AF192" s="734">
        <f>'BASE DE DATOS'!AF192</f>
        <v>0</v>
      </c>
      <c r="AG192" s="734">
        <f>'BASE DE DATOS'!AG192</f>
        <v>0</v>
      </c>
      <c r="AH192" s="734">
        <f>'BASE DE DATOS'!AH192</f>
        <v>0</v>
      </c>
      <c r="AI192" s="734">
        <f>'BASE DE DATOS'!AI192</f>
        <v>0</v>
      </c>
      <c r="AJ192" s="734">
        <f>'BASE DE DATOS'!AJ192</f>
        <v>0</v>
      </c>
      <c r="AK192" s="734">
        <f>'BASE DE DATOS'!AK192</f>
        <v>0</v>
      </c>
      <c r="AL192" s="734">
        <f>'BASE DE DATOS'!AL192</f>
        <v>0</v>
      </c>
      <c r="AM192" s="734">
        <f>'BASE DE DATOS'!AM192</f>
        <v>0</v>
      </c>
      <c r="AN192" s="734">
        <f>'BASE DE DATOS'!AN192</f>
        <v>0</v>
      </c>
      <c r="AO192" s="734">
        <f>'BASE DE DATOS'!AO192</f>
        <v>0</v>
      </c>
      <c r="AP192" s="734">
        <f>'BASE DE DATOS'!AP192</f>
        <v>0</v>
      </c>
      <c r="AR192" s="734">
        <f>'BASE DE DATOS'!AR192</f>
        <v>0</v>
      </c>
      <c r="AS192" s="734">
        <f>'BASE DE DATOS'!AS192</f>
        <v>0</v>
      </c>
      <c r="AT192" s="734">
        <f>'BASE DE DATOS'!AT192</f>
        <v>0</v>
      </c>
      <c r="AU192" s="734">
        <f>'BASE DE DATOS'!AU192</f>
        <v>0</v>
      </c>
      <c r="AV192" s="734">
        <f>'BASE DE DATOS'!AV192</f>
        <v>0</v>
      </c>
      <c r="AW192" s="734">
        <f>'BASE DE DATOS'!AW192</f>
        <v>0</v>
      </c>
      <c r="AX192" s="734">
        <f>'BASE DE DATOS'!AX192</f>
        <v>0</v>
      </c>
      <c r="AY192" s="734">
        <f>'BASE DE DATOS'!AY192</f>
        <v>0</v>
      </c>
      <c r="AZ192" s="734">
        <f>'BASE DE DATOS'!AZ192</f>
        <v>0</v>
      </c>
      <c r="BA192" s="734">
        <f>'BASE DE DATOS'!BA192</f>
        <v>0</v>
      </c>
      <c r="BB192" s="734">
        <f>'BASE DE DATOS'!BB192</f>
        <v>0</v>
      </c>
      <c r="BC192" s="734">
        <f>'BASE DE DATOS'!BC192</f>
        <v>0</v>
      </c>
      <c r="BD192" s="734">
        <f>'BASE DE DATOS'!BD192</f>
        <v>0</v>
      </c>
      <c r="BE192" s="734">
        <f>'BASE DE DATOS'!BE192</f>
        <v>0</v>
      </c>
      <c r="DO192" s="733">
        <f>'BASE DE DATOS'!BG192</f>
        <v>0</v>
      </c>
      <c r="DP192" s="733">
        <f>'BASE DE DATOS'!BH192</f>
        <v>0</v>
      </c>
      <c r="DQ192" s="733">
        <f>'BASE DE DATOS'!BI192</f>
        <v>0</v>
      </c>
      <c r="DR192" s="733">
        <f>'BASE DE DATOS'!BJ192</f>
        <v>0</v>
      </c>
      <c r="DS192" s="733">
        <f>'BASE DE DATOS'!BK192</f>
        <v>0</v>
      </c>
      <c r="DT192" s="733">
        <f>'BASE DE DATOS'!BL192</f>
        <v>0</v>
      </c>
      <c r="DU192" s="733">
        <f>'BASE DE DATOS'!BM192</f>
        <v>0</v>
      </c>
      <c r="DV192" s="733">
        <f>'BASE DE DATOS'!BN192</f>
        <v>0</v>
      </c>
      <c r="DW192" s="733">
        <f>'BASE DE DATOS'!BO192</f>
        <v>0</v>
      </c>
      <c r="DX192" s="733">
        <f>'BASE DE DATOS'!BP192</f>
        <v>0</v>
      </c>
      <c r="DY192" s="733">
        <f>'BASE DE DATOS'!BQ192</f>
        <v>0</v>
      </c>
      <c r="DZ192" s="733">
        <f>'BASE DE DATOS'!BR192</f>
        <v>0</v>
      </c>
      <c r="EA192" s="733">
        <f>'BASE DE DATOS'!BS192</f>
        <v>0</v>
      </c>
      <c r="EB192" s="733">
        <f>'BASE DE DATOS'!BT192</f>
        <v>0</v>
      </c>
    </row>
    <row r="193" spans="2:132">
      <c r="B193" s="734">
        <f>'BASE DE DATOS'!B193</f>
        <v>0</v>
      </c>
      <c r="C193" s="734">
        <f>'BASE DE DATOS'!C193</f>
        <v>0</v>
      </c>
      <c r="D193" s="734">
        <f>'BASE DE DATOS'!D193</f>
        <v>0</v>
      </c>
      <c r="E193" s="734">
        <f>'BASE DE DATOS'!E193</f>
        <v>0</v>
      </c>
      <c r="F193" s="734">
        <f>'BASE DE DATOS'!F193</f>
        <v>0</v>
      </c>
      <c r="G193" s="734">
        <f>'BASE DE DATOS'!G193</f>
        <v>0</v>
      </c>
      <c r="H193" s="734">
        <f>'BASE DE DATOS'!H193</f>
        <v>0</v>
      </c>
      <c r="I193" s="734">
        <f>'BASE DE DATOS'!I193</f>
        <v>0</v>
      </c>
      <c r="J193" s="734">
        <f>'BASE DE DATOS'!J193</f>
        <v>0</v>
      </c>
      <c r="K193" s="734">
        <f>'BASE DE DATOS'!K193</f>
        <v>0</v>
      </c>
      <c r="L193" s="734">
        <f>'BASE DE DATOS'!L193</f>
        <v>0</v>
      </c>
      <c r="M193" s="734">
        <f>'BASE DE DATOS'!M193</f>
        <v>0</v>
      </c>
      <c r="N193" s="734">
        <f>'BASE DE DATOS'!N193</f>
        <v>0</v>
      </c>
      <c r="O193" s="734">
        <f>'BASE DE DATOS'!O193</f>
        <v>0</v>
      </c>
      <c r="P193" s="734">
        <f>'BASE DE DATOS'!P193</f>
        <v>0</v>
      </c>
      <c r="Q193" s="734">
        <f>'BASE DE DATOS'!Q193</f>
        <v>0</v>
      </c>
      <c r="R193" s="734">
        <f>'BASE DE DATOS'!R193</f>
        <v>0</v>
      </c>
      <c r="S193" s="734">
        <f>'BASE DE DATOS'!S193</f>
        <v>0</v>
      </c>
      <c r="T193" s="734">
        <f>'BASE DE DATOS'!T193</f>
        <v>0</v>
      </c>
      <c r="U193" s="734">
        <f>'BASE DE DATOS'!U193</f>
        <v>0</v>
      </c>
      <c r="V193" s="734">
        <f>'BASE DE DATOS'!V193</f>
        <v>0</v>
      </c>
      <c r="W193" s="734">
        <f>'BASE DE DATOS'!W193</f>
        <v>0</v>
      </c>
      <c r="X193" s="734">
        <f>'BASE DE DATOS'!X193</f>
        <v>0</v>
      </c>
      <c r="Y193" s="734">
        <f>'BASE DE DATOS'!Y193</f>
        <v>0</v>
      </c>
      <c r="Z193" s="734">
        <f>'BASE DE DATOS'!Z193</f>
        <v>0</v>
      </c>
      <c r="AA193" s="734">
        <f>'BASE DE DATOS'!AA193</f>
        <v>0</v>
      </c>
      <c r="AB193" s="734">
        <f>'BASE DE DATOS'!AB193</f>
        <v>0</v>
      </c>
      <c r="AD193" s="734">
        <f>'BASE DE DATOS'!AD193</f>
        <v>0</v>
      </c>
      <c r="AE193" s="734">
        <f>'BASE DE DATOS'!AE193</f>
        <v>0</v>
      </c>
      <c r="AF193" s="734">
        <f>'BASE DE DATOS'!AF193</f>
        <v>0</v>
      </c>
      <c r="AG193" s="734">
        <f>'BASE DE DATOS'!AG193</f>
        <v>0</v>
      </c>
      <c r="AH193" s="734">
        <f>'BASE DE DATOS'!AH193</f>
        <v>0</v>
      </c>
      <c r="AI193" s="734">
        <f>'BASE DE DATOS'!AI193</f>
        <v>0</v>
      </c>
      <c r="AJ193" s="734">
        <f>'BASE DE DATOS'!AJ193</f>
        <v>0</v>
      </c>
      <c r="AK193" s="734">
        <f>'BASE DE DATOS'!AK193</f>
        <v>0</v>
      </c>
      <c r="AL193" s="734">
        <f>'BASE DE DATOS'!AL193</f>
        <v>0</v>
      </c>
      <c r="AM193" s="734">
        <f>'BASE DE DATOS'!AM193</f>
        <v>0</v>
      </c>
      <c r="AN193" s="734">
        <f>'BASE DE DATOS'!AN193</f>
        <v>0</v>
      </c>
      <c r="AO193" s="734">
        <f>'BASE DE DATOS'!AO193</f>
        <v>0</v>
      </c>
      <c r="AP193" s="734">
        <f>'BASE DE DATOS'!AP193</f>
        <v>0</v>
      </c>
      <c r="AR193" s="734">
        <f>'BASE DE DATOS'!AR193</f>
        <v>0</v>
      </c>
      <c r="AS193" s="734">
        <f>'BASE DE DATOS'!AS193</f>
        <v>0</v>
      </c>
      <c r="AT193" s="734">
        <f>'BASE DE DATOS'!AT193</f>
        <v>0</v>
      </c>
      <c r="AU193" s="734">
        <f>'BASE DE DATOS'!AU193</f>
        <v>0</v>
      </c>
      <c r="AV193" s="734">
        <f>'BASE DE DATOS'!AV193</f>
        <v>0</v>
      </c>
      <c r="AW193" s="734">
        <f>'BASE DE DATOS'!AW193</f>
        <v>0</v>
      </c>
      <c r="AX193" s="734">
        <f>'BASE DE DATOS'!AX193</f>
        <v>0</v>
      </c>
      <c r="AY193" s="734">
        <f>'BASE DE DATOS'!AY193</f>
        <v>0</v>
      </c>
      <c r="AZ193" s="734">
        <f>'BASE DE DATOS'!AZ193</f>
        <v>0</v>
      </c>
      <c r="BA193" s="734">
        <f>'BASE DE DATOS'!BA193</f>
        <v>0</v>
      </c>
      <c r="BB193" s="734">
        <f>'BASE DE DATOS'!BB193</f>
        <v>0</v>
      </c>
      <c r="BC193" s="734">
        <f>'BASE DE DATOS'!BC193</f>
        <v>0</v>
      </c>
      <c r="BD193" s="734">
        <f>'BASE DE DATOS'!BD193</f>
        <v>0</v>
      </c>
      <c r="BE193" s="734">
        <f>'BASE DE DATOS'!BE193</f>
        <v>0</v>
      </c>
      <c r="DO193" s="733">
        <f>'BASE DE DATOS'!BG193</f>
        <v>0</v>
      </c>
      <c r="DP193" s="733">
        <f>'BASE DE DATOS'!BH193</f>
        <v>0</v>
      </c>
      <c r="DQ193" s="733">
        <f>'BASE DE DATOS'!BI193</f>
        <v>0</v>
      </c>
      <c r="DR193" s="733">
        <f>'BASE DE DATOS'!BJ193</f>
        <v>0</v>
      </c>
      <c r="DS193" s="733">
        <f>'BASE DE DATOS'!BK193</f>
        <v>0</v>
      </c>
      <c r="DT193" s="733">
        <f>'BASE DE DATOS'!BL193</f>
        <v>0</v>
      </c>
      <c r="DU193" s="733">
        <f>'BASE DE DATOS'!BM193</f>
        <v>0</v>
      </c>
      <c r="DV193" s="733">
        <f>'BASE DE DATOS'!BN193</f>
        <v>0</v>
      </c>
      <c r="DW193" s="733">
        <f>'BASE DE DATOS'!BO193</f>
        <v>0</v>
      </c>
      <c r="DX193" s="733">
        <f>'BASE DE DATOS'!BP193</f>
        <v>0</v>
      </c>
      <c r="DY193" s="733">
        <f>'BASE DE DATOS'!BQ193</f>
        <v>0</v>
      </c>
      <c r="DZ193" s="733">
        <f>'BASE DE DATOS'!BR193</f>
        <v>0</v>
      </c>
      <c r="EA193" s="733">
        <f>'BASE DE DATOS'!BS193</f>
        <v>0</v>
      </c>
      <c r="EB193" s="733">
        <f>'BASE DE DATOS'!BT193</f>
        <v>0</v>
      </c>
    </row>
    <row r="194" spans="2:132">
      <c r="B194" s="734">
        <f>'BASE DE DATOS'!B194</f>
        <v>0</v>
      </c>
      <c r="C194" s="734">
        <f>'BASE DE DATOS'!C194</f>
        <v>0</v>
      </c>
      <c r="D194" s="734">
        <f>'BASE DE DATOS'!D194</f>
        <v>0</v>
      </c>
      <c r="E194" s="734">
        <f>'BASE DE DATOS'!E194</f>
        <v>0</v>
      </c>
      <c r="F194" s="734">
        <f>'BASE DE DATOS'!F194</f>
        <v>0</v>
      </c>
      <c r="G194" s="734">
        <f>'BASE DE DATOS'!G194</f>
        <v>0</v>
      </c>
      <c r="H194" s="734">
        <f>'BASE DE DATOS'!H194</f>
        <v>0</v>
      </c>
      <c r="I194" s="734">
        <f>'BASE DE DATOS'!I194</f>
        <v>0</v>
      </c>
      <c r="J194" s="734">
        <f>'BASE DE DATOS'!J194</f>
        <v>0</v>
      </c>
      <c r="K194" s="734">
        <f>'BASE DE DATOS'!K194</f>
        <v>0</v>
      </c>
      <c r="L194" s="734">
        <f>'BASE DE DATOS'!L194</f>
        <v>0</v>
      </c>
      <c r="M194" s="734">
        <f>'BASE DE DATOS'!M194</f>
        <v>0</v>
      </c>
      <c r="N194" s="734">
        <f>'BASE DE DATOS'!N194</f>
        <v>0</v>
      </c>
      <c r="O194" s="734">
        <f>'BASE DE DATOS'!O194</f>
        <v>0</v>
      </c>
      <c r="P194" s="734">
        <f>'BASE DE DATOS'!P194</f>
        <v>0</v>
      </c>
      <c r="Q194" s="734">
        <f>'BASE DE DATOS'!Q194</f>
        <v>0</v>
      </c>
      <c r="R194" s="734">
        <f>'BASE DE DATOS'!R194</f>
        <v>0</v>
      </c>
      <c r="S194" s="734">
        <f>'BASE DE DATOS'!S194</f>
        <v>0</v>
      </c>
      <c r="T194" s="734">
        <f>'BASE DE DATOS'!T194</f>
        <v>0</v>
      </c>
      <c r="U194" s="734">
        <f>'BASE DE DATOS'!U194</f>
        <v>0</v>
      </c>
      <c r="V194" s="734">
        <f>'BASE DE DATOS'!V194</f>
        <v>0</v>
      </c>
      <c r="W194" s="734">
        <f>'BASE DE DATOS'!W194</f>
        <v>0</v>
      </c>
      <c r="X194" s="734">
        <f>'BASE DE DATOS'!X194</f>
        <v>0</v>
      </c>
      <c r="Y194" s="734">
        <f>'BASE DE DATOS'!Y194</f>
        <v>0</v>
      </c>
      <c r="Z194" s="734">
        <f>'BASE DE DATOS'!Z194</f>
        <v>0</v>
      </c>
      <c r="AA194" s="734">
        <f>'BASE DE DATOS'!AA194</f>
        <v>0</v>
      </c>
      <c r="AB194" s="734">
        <f>'BASE DE DATOS'!AB194</f>
        <v>0</v>
      </c>
      <c r="AD194" s="734">
        <f>'BASE DE DATOS'!AD194</f>
        <v>0</v>
      </c>
      <c r="AE194" s="734">
        <f>'BASE DE DATOS'!AE194</f>
        <v>0</v>
      </c>
      <c r="AF194" s="734">
        <f>'BASE DE DATOS'!AF194</f>
        <v>0</v>
      </c>
      <c r="AG194" s="734">
        <f>'BASE DE DATOS'!AG194</f>
        <v>0</v>
      </c>
      <c r="AH194" s="734">
        <f>'BASE DE DATOS'!AH194</f>
        <v>0</v>
      </c>
      <c r="AI194" s="734">
        <f>'BASE DE DATOS'!AI194</f>
        <v>0</v>
      </c>
      <c r="AJ194" s="734">
        <f>'BASE DE DATOS'!AJ194</f>
        <v>0</v>
      </c>
      <c r="AK194" s="734">
        <f>'BASE DE DATOS'!AK194</f>
        <v>0</v>
      </c>
      <c r="AL194" s="734">
        <f>'BASE DE DATOS'!AL194</f>
        <v>0</v>
      </c>
      <c r="AM194" s="734">
        <f>'BASE DE DATOS'!AM194</f>
        <v>0</v>
      </c>
      <c r="AN194" s="734">
        <f>'BASE DE DATOS'!AN194</f>
        <v>0</v>
      </c>
      <c r="AO194" s="734">
        <f>'BASE DE DATOS'!AO194</f>
        <v>0</v>
      </c>
      <c r="AP194" s="734">
        <f>'BASE DE DATOS'!AP194</f>
        <v>0</v>
      </c>
      <c r="AR194" s="734">
        <f>'BASE DE DATOS'!AR194</f>
        <v>0</v>
      </c>
      <c r="AS194" s="734">
        <f>'BASE DE DATOS'!AS194</f>
        <v>0</v>
      </c>
      <c r="AT194" s="734">
        <f>'BASE DE DATOS'!AT194</f>
        <v>0</v>
      </c>
      <c r="AU194" s="734">
        <f>'BASE DE DATOS'!AU194</f>
        <v>0</v>
      </c>
      <c r="AV194" s="734">
        <f>'BASE DE DATOS'!AV194</f>
        <v>0</v>
      </c>
      <c r="AW194" s="734">
        <f>'BASE DE DATOS'!AW194</f>
        <v>0</v>
      </c>
      <c r="AX194" s="734">
        <f>'BASE DE DATOS'!AX194</f>
        <v>0</v>
      </c>
      <c r="AY194" s="734">
        <f>'BASE DE DATOS'!AY194</f>
        <v>0</v>
      </c>
      <c r="AZ194" s="734">
        <f>'BASE DE DATOS'!AZ194</f>
        <v>0</v>
      </c>
      <c r="BA194" s="734">
        <f>'BASE DE DATOS'!BA194</f>
        <v>0</v>
      </c>
      <c r="BB194" s="734">
        <f>'BASE DE DATOS'!BB194</f>
        <v>0</v>
      </c>
      <c r="BC194" s="734">
        <f>'BASE DE DATOS'!BC194</f>
        <v>0</v>
      </c>
      <c r="BD194" s="734">
        <f>'BASE DE DATOS'!BD194</f>
        <v>0</v>
      </c>
      <c r="BE194" s="734">
        <f>'BASE DE DATOS'!BE194</f>
        <v>0</v>
      </c>
      <c r="DO194" s="733">
        <f>'BASE DE DATOS'!BG194</f>
        <v>0</v>
      </c>
      <c r="DP194" s="733">
        <f>'BASE DE DATOS'!BH194</f>
        <v>0</v>
      </c>
      <c r="DQ194" s="733">
        <f>'BASE DE DATOS'!BI194</f>
        <v>0</v>
      </c>
      <c r="DR194" s="733">
        <f>'BASE DE DATOS'!BJ194</f>
        <v>0</v>
      </c>
      <c r="DS194" s="733">
        <f>'BASE DE DATOS'!BK194</f>
        <v>0</v>
      </c>
      <c r="DT194" s="733">
        <f>'BASE DE DATOS'!BL194</f>
        <v>0</v>
      </c>
      <c r="DU194" s="733">
        <f>'BASE DE DATOS'!BM194</f>
        <v>0</v>
      </c>
      <c r="DV194" s="733">
        <f>'BASE DE DATOS'!BN194</f>
        <v>0</v>
      </c>
      <c r="DW194" s="733">
        <f>'BASE DE DATOS'!BO194</f>
        <v>0</v>
      </c>
      <c r="DX194" s="733">
        <f>'BASE DE DATOS'!BP194</f>
        <v>0</v>
      </c>
      <c r="DY194" s="733">
        <f>'BASE DE DATOS'!BQ194</f>
        <v>0</v>
      </c>
      <c r="DZ194" s="733">
        <f>'BASE DE DATOS'!BR194</f>
        <v>0</v>
      </c>
      <c r="EA194" s="733">
        <f>'BASE DE DATOS'!BS194</f>
        <v>0</v>
      </c>
      <c r="EB194" s="733">
        <f>'BASE DE DATOS'!BT194</f>
        <v>0</v>
      </c>
    </row>
    <row r="195" spans="2:132">
      <c r="B195" s="734">
        <f>'BASE DE DATOS'!B195</f>
        <v>0</v>
      </c>
      <c r="C195" s="734">
        <f>'BASE DE DATOS'!C195</f>
        <v>0</v>
      </c>
      <c r="D195" s="734">
        <f>'BASE DE DATOS'!D195</f>
        <v>0</v>
      </c>
      <c r="E195" s="734">
        <f>'BASE DE DATOS'!E195</f>
        <v>0</v>
      </c>
      <c r="F195" s="734">
        <f>'BASE DE DATOS'!F195</f>
        <v>0</v>
      </c>
      <c r="G195" s="734">
        <f>'BASE DE DATOS'!G195</f>
        <v>0</v>
      </c>
      <c r="H195" s="734">
        <f>'BASE DE DATOS'!H195</f>
        <v>0</v>
      </c>
      <c r="I195" s="734">
        <f>'BASE DE DATOS'!I195</f>
        <v>0</v>
      </c>
      <c r="J195" s="734">
        <f>'BASE DE DATOS'!J195</f>
        <v>0</v>
      </c>
      <c r="K195" s="734">
        <f>'BASE DE DATOS'!K195</f>
        <v>0</v>
      </c>
      <c r="L195" s="734">
        <f>'BASE DE DATOS'!L195</f>
        <v>0</v>
      </c>
      <c r="M195" s="734">
        <f>'BASE DE DATOS'!M195</f>
        <v>0</v>
      </c>
      <c r="N195" s="734">
        <f>'BASE DE DATOS'!N195</f>
        <v>0</v>
      </c>
      <c r="O195" s="734">
        <f>'BASE DE DATOS'!O195</f>
        <v>0</v>
      </c>
      <c r="P195" s="734">
        <f>'BASE DE DATOS'!P195</f>
        <v>0</v>
      </c>
      <c r="Q195" s="734">
        <f>'BASE DE DATOS'!Q195</f>
        <v>0</v>
      </c>
      <c r="R195" s="734">
        <f>'BASE DE DATOS'!R195</f>
        <v>0</v>
      </c>
      <c r="S195" s="734">
        <f>'BASE DE DATOS'!S195</f>
        <v>0</v>
      </c>
      <c r="T195" s="734">
        <f>'BASE DE DATOS'!T195</f>
        <v>0</v>
      </c>
      <c r="U195" s="734">
        <f>'BASE DE DATOS'!U195</f>
        <v>0</v>
      </c>
      <c r="V195" s="734">
        <f>'BASE DE DATOS'!V195</f>
        <v>0</v>
      </c>
      <c r="W195" s="734">
        <f>'BASE DE DATOS'!W195</f>
        <v>0</v>
      </c>
      <c r="X195" s="734">
        <f>'BASE DE DATOS'!X195</f>
        <v>0</v>
      </c>
      <c r="Y195" s="734">
        <f>'BASE DE DATOS'!Y195</f>
        <v>0</v>
      </c>
      <c r="Z195" s="734">
        <f>'BASE DE DATOS'!Z195</f>
        <v>0</v>
      </c>
      <c r="AA195" s="734">
        <f>'BASE DE DATOS'!AA195</f>
        <v>0</v>
      </c>
      <c r="AB195" s="734">
        <f>'BASE DE DATOS'!AB195</f>
        <v>0</v>
      </c>
      <c r="AD195" s="734">
        <f>'BASE DE DATOS'!AD195</f>
        <v>0</v>
      </c>
      <c r="AE195" s="734">
        <f>'BASE DE DATOS'!AE195</f>
        <v>0</v>
      </c>
      <c r="AF195" s="734">
        <f>'BASE DE DATOS'!AF195</f>
        <v>0</v>
      </c>
      <c r="AG195" s="734">
        <f>'BASE DE DATOS'!AG195</f>
        <v>0</v>
      </c>
      <c r="AH195" s="734">
        <f>'BASE DE DATOS'!AH195</f>
        <v>0</v>
      </c>
      <c r="AI195" s="734">
        <f>'BASE DE DATOS'!AI195</f>
        <v>0</v>
      </c>
      <c r="AJ195" s="734">
        <f>'BASE DE DATOS'!AJ195</f>
        <v>0</v>
      </c>
      <c r="AK195" s="734">
        <f>'BASE DE DATOS'!AK195</f>
        <v>0</v>
      </c>
      <c r="AL195" s="734">
        <f>'BASE DE DATOS'!AL195</f>
        <v>0</v>
      </c>
      <c r="AM195" s="734">
        <f>'BASE DE DATOS'!AM195</f>
        <v>0</v>
      </c>
      <c r="AN195" s="734">
        <f>'BASE DE DATOS'!AN195</f>
        <v>0</v>
      </c>
      <c r="AO195" s="734">
        <f>'BASE DE DATOS'!AO195</f>
        <v>0</v>
      </c>
      <c r="AP195" s="734">
        <f>'BASE DE DATOS'!AP195</f>
        <v>0</v>
      </c>
      <c r="AR195" s="734">
        <f>'BASE DE DATOS'!AR195</f>
        <v>0</v>
      </c>
      <c r="AS195" s="734">
        <f>'BASE DE DATOS'!AS195</f>
        <v>0</v>
      </c>
      <c r="AT195" s="734">
        <f>'BASE DE DATOS'!AT195</f>
        <v>0</v>
      </c>
      <c r="AU195" s="734">
        <f>'BASE DE DATOS'!AU195</f>
        <v>0</v>
      </c>
      <c r="AV195" s="734">
        <f>'BASE DE DATOS'!AV195</f>
        <v>0</v>
      </c>
      <c r="AW195" s="734">
        <f>'BASE DE DATOS'!AW195</f>
        <v>0</v>
      </c>
      <c r="AX195" s="734">
        <f>'BASE DE DATOS'!AX195</f>
        <v>0</v>
      </c>
      <c r="AY195" s="734">
        <f>'BASE DE DATOS'!AY195</f>
        <v>0</v>
      </c>
      <c r="AZ195" s="734">
        <f>'BASE DE DATOS'!AZ195</f>
        <v>0</v>
      </c>
      <c r="BA195" s="734">
        <f>'BASE DE DATOS'!BA195</f>
        <v>0</v>
      </c>
      <c r="BB195" s="734">
        <f>'BASE DE DATOS'!BB195</f>
        <v>0</v>
      </c>
      <c r="BC195" s="734">
        <f>'BASE DE DATOS'!BC195</f>
        <v>0</v>
      </c>
      <c r="BD195" s="734">
        <f>'BASE DE DATOS'!BD195</f>
        <v>0</v>
      </c>
      <c r="BE195" s="734">
        <f>'BASE DE DATOS'!BE195</f>
        <v>0</v>
      </c>
      <c r="DO195" s="733">
        <f>'BASE DE DATOS'!BG195</f>
        <v>0</v>
      </c>
      <c r="DP195" s="733">
        <f>'BASE DE DATOS'!BH195</f>
        <v>0</v>
      </c>
      <c r="DQ195" s="733">
        <f>'BASE DE DATOS'!BI195</f>
        <v>0</v>
      </c>
      <c r="DR195" s="733">
        <f>'BASE DE DATOS'!BJ195</f>
        <v>0</v>
      </c>
      <c r="DS195" s="733">
        <f>'BASE DE DATOS'!BK195</f>
        <v>0</v>
      </c>
      <c r="DT195" s="733">
        <f>'BASE DE DATOS'!BL195</f>
        <v>0</v>
      </c>
      <c r="DU195" s="733">
        <f>'BASE DE DATOS'!BM195</f>
        <v>0</v>
      </c>
      <c r="DV195" s="733">
        <f>'BASE DE DATOS'!BN195</f>
        <v>0</v>
      </c>
      <c r="DW195" s="733">
        <f>'BASE DE DATOS'!BO195</f>
        <v>0</v>
      </c>
      <c r="DX195" s="733">
        <f>'BASE DE DATOS'!BP195</f>
        <v>0</v>
      </c>
      <c r="DY195" s="733">
        <f>'BASE DE DATOS'!BQ195</f>
        <v>0</v>
      </c>
      <c r="DZ195" s="733">
        <f>'BASE DE DATOS'!BR195</f>
        <v>0</v>
      </c>
      <c r="EA195" s="733">
        <f>'BASE DE DATOS'!BS195</f>
        <v>0</v>
      </c>
      <c r="EB195" s="733">
        <f>'BASE DE DATOS'!BT195</f>
        <v>0</v>
      </c>
    </row>
    <row r="196" spans="2:132">
      <c r="B196" s="734">
        <f>'BASE DE DATOS'!B196</f>
        <v>0</v>
      </c>
      <c r="C196" s="734">
        <f>'BASE DE DATOS'!C196</f>
        <v>0</v>
      </c>
      <c r="D196" s="734">
        <f>'BASE DE DATOS'!D196</f>
        <v>0</v>
      </c>
      <c r="E196" s="734">
        <f>'BASE DE DATOS'!E196</f>
        <v>0</v>
      </c>
      <c r="F196" s="734">
        <f>'BASE DE DATOS'!F196</f>
        <v>0</v>
      </c>
      <c r="G196" s="734">
        <f>'BASE DE DATOS'!G196</f>
        <v>0</v>
      </c>
      <c r="H196" s="734">
        <f>'BASE DE DATOS'!H196</f>
        <v>0</v>
      </c>
      <c r="I196" s="734">
        <f>'BASE DE DATOS'!I196</f>
        <v>0</v>
      </c>
      <c r="J196" s="734">
        <f>'BASE DE DATOS'!J196</f>
        <v>0</v>
      </c>
      <c r="K196" s="734">
        <f>'BASE DE DATOS'!K196</f>
        <v>0</v>
      </c>
      <c r="L196" s="734">
        <f>'BASE DE DATOS'!L196</f>
        <v>0</v>
      </c>
      <c r="M196" s="734">
        <f>'BASE DE DATOS'!M196</f>
        <v>0</v>
      </c>
      <c r="N196" s="734">
        <f>'BASE DE DATOS'!N196</f>
        <v>0</v>
      </c>
      <c r="O196" s="734">
        <f>'BASE DE DATOS'!O196</f>
        <v>0</v>
      </c>
      <c r="P196" s="734">
        <f>'BASE DE DATOS'!P196</f>
        <v>0</v>
      </c>
      <c r="Q196" s="734">
        <f>'BASE DE DATOS'!Q196</f>
        <v>0</v>
      </c>
      <c r="R196" s="734">
        <f>'BASE DE DATOS'!R196</f>
        <v>0</v>
      </c>
      <c r="S196" s="734">
        <f>'BASE DE DATOS'!S196</f>
        <v>0</v>
      </c>
      <c r="T196" s="734">
        <f>'BASE DE DATOS'!T196</f>
        <v>0</v>
      </c>
      <c r="U196" s="734">
        <f>'BASE DE DATOS'!U196</f>
        <v>0</v>
      </c>
      <c r="V196" s="734">
        <f>'BASE DE DATOS'!V196</f>
        <v>0</v>
      </c>
      <c r="W196" s="734">
        <f>'BASE DE DATOS'!W196</f>
        <v>0</v>
      </c>
      <c r="X196" s="734">
        <f>'BASE DE DATOS'!X196</f>
        <v>0</v>
      </c>
      <c r="Y196" s="734">
        <f>'BASE DE DATOS'!Y196</f>
        <v>0</v>
      </c>
      <c r="Z196" s="734">
        <f>'BASE DE DATOS'!Z196</f>
        <v>0</v>
      </c>
      <c r="AA196" s="734">
        <f>'BASE DE DATOS'!AA196</f>
        <v>0</v>
      </c>
      <c r="AB196" s="734">
        <f>'BASE DE DATOS'!AB196</f>
        <v>0</v>
      </c>
      <c r="AD196" s="734">
        <f>'BASE DE DATOS'!AD196</f>
        <v>0</v>
      </c>
      <c r="AE196" s="734">
        <f>'BASE DE DATOS'!AE196</f>
        <v>0</v>
      </c>
      <c r="AF196" s="734">
        <f>'BASE DE DATOS'!AF196</f>
        <v>0</v>
      </c>
      <c r="AG196" s="734">
        <f>'BASE DE DATOS'!AG196</f>
        <v>0</v>
      </c>
      <c r="AH196" s="734">
        <f>'BASE DE DATOS'!AH196</f>
        <v>0</v>
      </c>
      <c r="AI196" s="734">
        <f>'BASE DE DATOS'!AI196</f>
        <v>0</v>
      </c>
      <c r="AJ196" s="734">
        <f>'BASE DE DATOS'!AJ196</f>
        <v>0</v>
      </c>
      <c r="AK196" s="734">
        <f>'BASE DE DATOS'!AK196</f>
        <v>0</v>
      </c>
      <c r="AL196" s="734">
        <f>'BASE DE DATOS'!AL196</f>
        <v>0</v>
      </c>
      <c r="AM196" s="734">
        <f>'BASE DE DATOS'!AM196</f>
        <v>0</v>
      </c>
      <c r="AN196" s="734">
        <f>'BASE DE DATOS'!AN196</f>
        <v>0</v>
      </c>
      <c r="AO196" s="734">
        <f>'BASE DE DATOS'!AO196</f>
        <v>0</v>
      </c>
      <c r="AP196" s="734">
        <f>'BASE DE DATOS'!AP196</f>
        <v>0</v>
      </c>
      <c r="AR196" s="734">
        <f>'BASE DE DATOS'!AR196</f>
        <v>0</v>
      </c>
      <c r="AS196" s="734">
        <f>'BASE DE DATOS'!AS196</f>
        <v>0</v>
      </c>
      <c r="AT196" s="734">
        <f>'BASE DE DATOS'!AT196</f>
        <v>0</v>
      </c>
      <c r="AU196" s="734">
        <f>'BASE DE DATOS'!AU196</f>
        <v>0</v>
      </c>
      <c r="AV196" s="734">
        <f>'BASE DE DATOS'!AV196</f>
        <v>0</v>
      </c>
      <c r="AW196" s="734">
        <f>'BASE DE DATOS'!AW196</f>
        <v>0</v>
      </c>
      <c r="AX196" s="734">
        <f>'BASE DE DATOS'!AX196</f>
        <v>0</v>
      </c>
      <c r="AY196" s="734">
        <f>'BASE DE DATOS'!AY196</f>
        <v>0</v>
      </c>
      <c r="AZ196" s="734">
        <f>'BASE DE DATOS'!AZ196</f>
        <v>0</v>
      </c>
      <c r="BA196" s="734">
        <f>'BASE DE DATOS'!BA196</f>
        <v>0</v>
      </c>
      <c r="BB196" s="734">
        <f>'BASE DE DATOS'!BB196</f>
        <v>0</v>
      </c>
      <c r="BC196" s="734">
        <f>'BASE DE DATOS'!BC196</f>
        <v>0</v>
      </c>
      <c r="BD196" s="734">
        <f>'BASE DE DATOS'!BD196</f>
        <v>0</v>
      </c>
      <c r="BE196" s="734">
        <f>'BASE DE DATOS'!BE196</f>
        <v>0</v>
      </c>
      <c r="DO196" s="733">
        <f>'BASE DE DATOS'!BG196</f>
        <v>0</v>
      </c>
      <c r="DP196" s="733">
        <f>'BASE DE DATOS'!BH196</f>
        <v>0</v>
      </c>
      <c r="DQ196" s="733">
        <f>'BASE DE DATOS'!BI196</f>
        <v>0</v>
      </c>
      <c r="DR196" s="733">
        <f>'BASE DE DATOS'!BJ196</f>
        <v>0</v>
      </c>
      <c r="DS196" s="733">
        <f>'BASE DE DATOS'!BK196</f>
        <v>0</v>
      </c>
      <c r="DT196" s="733">
        <f>'BASE DE DATOS'!BL196</f>
        <v>0</v>
      </c>
      <c r="DU196" s="733">
        <f>'BASE DE DATOS'!BM196</f>
        <v>0</v>
      </c>
      <c r="DV196" s="733">
        <f>'BASE DE DATOS'!BN196</f>
        <v>0</v>
      </c>
      <c r="DW196" s="733">
        <f>'BASE DE DATOS'!BO196</f>
        <v>0</v>
      </c>
      <c r="DX196" s="733">
        <f>'BASE DE DATOS'!BP196</f>
        <v>0</v>
      </c>
      <c r="DY196" s="733">
        <f>'BASE DE DATOS'!BQ196</f>
        <v>0</v>
      </c>
      <c r="DZ196" s="733">
        <f>'BASE DE DATOS'!BR196</f>
        <v>0</v>
      </c>
      <c r="EA196" s="733">
        <f>'BASE DE DATOS'!BS196</f>
        <v>0</v>
      </c>
      <c r="EB196" s="733">
        <f>'BASE DE DATOS'!BT196</f>
        <v>0</v>
      </c>
    </row>
    <row r="197" spans="2:132">
      <c r="B197" s="734">
        <f>'BASE DE DATOS'!B197</f>
        <v>0</v>
      </c>
      <c r="C197" s="734">
        <f>'BASE DE DATOS'!C197</f>
        <v>0</v>
      </c>
      <c r="D197" s="734">
        <f>'BASE DE DATOS'!D197</f>
        <v>0</v>
      </c>
      <c r="E197" s="734">
        <f>'BASE DE DATOS'!E197</f>
        <v>0</v>
      </c>
      <c r="F197" s="734">
        <f>'BASE DE DATOS'!F197</f>
        <v>0</v>
      </c>
      <c r="G197" s="734">
        <f>'BASE DE DATOS'!G197</f>
        <v>0</v>
      </c>
      <c r="H197" s="734">
        <f>'BASE DE DATOS'!H197</f>
        <v>0</v>
      </c>
      <c r="I197" s="734">
        <f>'BASE DE DATOS'!I197</f>
        <v>0</v>
      </c>
      <c r="J197" s="734">
        <f>'BASE DE DATOS'!J197</f>
        <v>0</v>
      </c>
      <c r="K197" s="734">
        <f>'BASE DE DATOS'!K197</f>
        <v>0</v>
      </c>
      <c r="L197" s="734">
        <f>'BASE DE DATOS'!L197</f>
        <v>0</v>
      </c>
      <c r="M197" s="734">
        <f>'BASE DE DATOS'!M197</f>
        <v>0</v>
      </c>
      <c r="N197" s="734">
        <f>'BASE DE DATOS'!N197</f>
        <v>0</v>
      </c>
      <c r="O197" s="734">
        <f>'BASE DE DATOS'!O197</f>
        <v>0</v>
      </c>
      <c r="P197" s="734">
        <f>'BASE DE DATOS'!P197</f>
        <v>0</v>
      </c>
      <c r="Q197" s="734">
        <f>'BASE DE DATOS'!Q197</f>
        <v>0</v>
      </c>
      <c r="R197" s="734">
        <f>'BASE DE DATOS'!R197</f>
        <v>0</v>
      </c>
      <c r="S197" s="734">
        <f>'BASE DE DATOS'!S197</f>
        <v>0</v>
      </c>
      <c r="T197" s="734">
        <f>'BASE DE DATOS'!T197</f>
        <v>0</v>
      </c>
      <c r="U197" s="734">
        <f>'BASE DE DATOS'!U197</f>
        <v>0</v>
      </c>
      <c r="V197" s="734">
        <f>'BASE DE DATOS'!V197</f>
        <v>0</v>
      </c>
      <c r="W197" s="734">
        <f>'BASE DE DATOS'!W197</f>
        <v>0</v>
      </c>
      <c r="X197" s="734">
        <f>'BASE DE DATOS'!X197</f>
        <v>0</v>
      </c>
      <c r="Y197" s="734">
        <f>'BASE DE DATOS'!Y197</f>
        <v>0</v>
      </c>
      <c r="Z197" s="734">
        <f>'BASE DE DATOS'!Z197</f>
        <v>0</v>
      </c>
      <c r="AA197" s="734">
        <f>'BASE DE DATOS'!AA197</f>
        <v>0</v>
      </c>
      <c r="AB197" s="734">
        <f>'BASE DE DATOS'!AB197</f>
        <v>0</v>
      </c>
      <c r="AD197" s="734">
        <f>'BASE DE DATOS'!AD197</f>
        <v>0</v>
      </c>
      <c r="AE197" s="734">
        <f>'BASE DE DATOS'!AE197</f>
        <v>0</v>
      </c>
      <c r="AF197" s="734">
        <f>'BASE DE DATOS'!AF197</f>
        <v>0</v>
      </c>
      <c r="AG197" s="734">
        <f>'BASE DE DATOS'!AG197</f>
        <v>0</v>
      </c>
      <c r="AH197" s="734">
        <f>'BASE DE DATOS'!AH197</f>
        <v>0</v>
      </c>
      <c r="AI197" s="734">
        <f>'BASE DE DATOS'!AI197</f>
        <v>0</v>
      </c>
      <c r="AJ197" s="734">
        <f>'BASE DE DATOS'!AJ197</f>
        <v>0</v>
      </c>
      <c r="AK197" s="734">
        <f>'BASE DE DATOS'!AK197</f>
        <v>0</v>
      </c>
      <c r="AL197" s="734">
        <f>'BASE DE DATOS'!AL197</f>
        <v>0</v>
      </c>
      <c r="AM197" s="734">
        <f>'BASE DE DATOS'!AM197</f>
        <v>0</v>
      </c>
      <c r="AN197" s="734">
        <f>'BASE DE DATOS'!AN197</f>
        <v>0</v>
      </c>
      <c r="AO197" s="734">
        <f>'BASE DE DATOS'!AO197</f>
        <v>0</v>
      </c>
      <c r="AP197" s="734">
        <f>'BASE DE DATOS'!AP197</f>
        <v>0</v>
      </c>
      <c r="AR197" s="734">
        <f>'BASE DE DATOS'!AR197</f>
        <v>0</v>
      </c>
      <c r="AS197" s="734">
        <f>'BASE DE DATOS'!AS197</f>
        <v>0</v>
      </c>
      <c r="AT197" s="734">
        <f>'BASE DE DATOS'!AT197</f>
        <v>0</v>
      </c>
      <c r="AU197" s="734">
        <f>'BASE DE DATOS'!AU197</f>
        <v>0</v>
      </c>
      <c r="AV197" s="734">
        <f>'BASE DE DATOS'!AV197</f>
        <v>0</v>
      </c>
      <c r="AW197" s="734">
        <f>'BASE DE DATOS'!AW197</f>
        <v>0</v>
      </c>
      <c r="AX197" s="734">
        <f>'BASE DE DATOS'!AX197</f>
        <v>0</v>
      </c>
      <c r="AY197" s="734">
        <f>'BASE DE DATOS'!AY197</f>
        <v>0</v>
      </c>
      <c r="AZ197" s="734">
        <f>'BASE DE DATOS'!AZ197</f>
        <v>0</v>
      </c>
      <c r="BA197" s="734">
        <f>'BASE DE DATOS'!BA197</f>
        <v>0</v>
      </c>
      <c r="BB197" s="734">
        <f>'BASE DE DATOS'!BB197</f>
        <v>0</v>
      </c>
      <c r="BC197" s="734">
        <f>'BASE DE DATOS'!BC197</f>
        <v>0</v>
      </c>
      <c r="BD197" s="734">
        <f>'BASE DE DATOS'!BD197</f>
        <v>0</v>
      </c>
      <c r="BE197" s="734">
        <f>'BASE DE DATOS'!BE197</f>
        <v>0</v>
      </c>
      <c r="DO197" s="733">
        <f>'BASE DE DATOS'!BG197</f>
        <v>0</v>
      </c>
      <c r="DP197" s="733">
        <f>'BASE DE DATOS'!BH197</f>
        <v>0</v>
      </c>
      <c r="DQ197" s="733">
        <f>'BASE DE DATOS'!BI197</f>
        <v>0</v>
      </c>
      <c r="DR197" s="733">
        <f>'BASE DE DATOS'!BJ197</f>
        <v>0</v>
      </c>
      <c r="DS197" s="733">
        <f>'BASE DE DATOS'!BK197</f>
        <v>0</v>
      </c>
      <c r="DT197" s="733">
        <f>'BASE DE DATOS'!BL197</f>
        <v>0</v>
      </c>
      <c r="DU197" s="733">
        <f>'BASE DE DATOS'!BM197</f>
        <v>0</v>
      </c>
      <c r="DV197" s="733">
        <f>'BASE DE DATOS'!BN197</f>
        <v>0</v>
      </c>
      <c r="DW197" s="733">
        <f>'BASE DE DATOS'!BO197</f>
        <v>0</v>
      </c>
      <c r="DX197" s="733">
        <f>'BASE DE DATOS'!BP197</f>
        <v>0</v>
      </c>
      <c r="DY197" s="733">
        <f>'BASE DE DATOS'!BQ197</f>
        <v>0</v>
      </c>
      <c r="DZ197" s="733">
        <f>'BASE DE DATOS'!BR197</f>
        <v>0</v>
      </c>
      <c r="EA197" s="733">
        <f>'BASE DE DATOS'!BS197</f>
        <v>0</v>
      </c>
      <c r="EB197" s="733">
        <f>'BASE DE DATOS'!BT197</f>
        <v>0</v>
      </c>
    </row>
    <row r="198" spans="2:132">
      <c r="B198" s="734">
        <f>'BASE DE DATOS'!B198</f>
        <v>0</v>
      </c>
      <c r="C198" s="734">
        <f>'BASE DE DATOS'!C198</f>
        <v>0</v>
      </c>
      <c r="D198" s="734">
        <f>'BASE DE DATOS'!D198</f>
        <v>0</v>
      </c>
      <c r="E198" s="734">
        <f>'BASE DE DATOS'!E198</f>
        <v>0</v>
      </c>
      <c r="F198" s="734">
        <f>'BASE DE DATOS'!F198</f>
        <v>0</v>
      </c>
      <c r="G198" s="734">
        <f>'BASE DE DATOS'!G198</f>
        <v>0</v>
      </c>
      <c r="H198" s="734">
        <f>'BASE DE DATOS'!H198</f>
        <v>0</v>
      </c>
      <c r="I198" s="734">
        <f>'BASE DE DATOS'!I198</f>
        <v>0</v>
      </c>
      <c r="J198" s="734">
        <f>'BASE DE DATOS'!J198</f>
        <v>0</v>
      </c>
      <c r="K198" s="734">
        <f>'BASE DE DATOS'!K198</f>
        <v>0</v>
      </c>
      <c r="L198" s="734">
        <f>'BASE DE DATOS'!L198</f>
        <v>0</v>
      </c>
      <c r="M198" s="734">
        <f>'BASE DE DATOS'!M198</f>
        <v>0</v>
      </c>
      <c r="N198" s="734">
        <f>'BASE DE DATOS'!N198</f>
        <v>0</v>
      </c>
      <c r="O198" s="734">
        <f>'BASE DE DATOS'!O198</f>
        <v>0</v>
      </c>
      <c r="P198" s="734">
        <f>'BASE DE DATOS'!P198</f>
        <v>0</v>
      </c>
      <c r="Q198" s="734">
        <f>'BASE DE DATOS'!Q198</f>
        <v>0</v>
      </c>
      <c r="R198" s="734">
        <f>'BASE DE DATOS'!R198</f>
        <v>0</v>
      </c>
      <c r="S198" s="734">
        <f>'BASE DE DATOS'!S198</f>
        <v>0</v>
      </c>
      <c r="T198" s="734">
        <f>'BASE DE DATOS'!T198</f>
        <v>0</v>
      </c>
      <c r="U198" s="734">
        <f>'BASE DE DATOS'!U198</f>
        <v>0</v>
      </c>
      <c r="V198" s="734">
        <f>'BASE DE DATOS'!V198</f>
        <v>0</v>
      </c>
      <c r="W198" s="734">
        <f>'BASE DE DATOS'!W198</f>
        <v>0</v>
      </c>
      <c r="X198" s="734">
        <f>'BASE DE DATOS'!X198</f>
        <v>0</v>
      </c>
      <c r="Y198" s="734">
        <f>'BASE DE DATOS'!Y198</f>
        <v>0</v>
      </c>
      <c r="Z198" s="734">
        <f>'BASE DE DATOS'!Z198</f>
        <v>0</v>
      </c>
      <c r="AA198" s="734">
        <f>'BASE DE DATOS'!AA198</f>
        <v>0</v>
      </c>
      <c r="AB198" s="734">
        <f>'BASE DE DATOS'!AB198</f>
        <v>0</v>
      </c>
      <c r="AD198" s="734">
        <f>'BASE DE DATOS'!AD198</f>
        <v>0</v>
      </c>
      <c r="AE198" s="734">
        <f>'BASE DE DATOS'!AE198</f>
        <v>0</v>
      </c>
      <c r="AF198" s="734">
        <f>'BASE DE DATOS'!AF198</f>
        <v>0</v>
      </c>
      <c r="AG198" s="734">
        <f>'BASE DE DATOS'!AG198</f>
        <v>0</v>
      </c>
      <c r="AH198" s="734">
        <f>'BASE DE DATOS'!AH198</f>
        <v>0</v>
      </c>
      <c r="AI198" s="734">
        <f>'BASE DE DATOS'!AI198</f>
        <v>0</v>
      </c>
      <c r="AJ198" s="734">
        <f>'BASE DE DATOS'!AJ198</f>
        <v>0</v>
      </c>
      <c r="AK198" s="734">
        <f>'BASE DE DATOS'!AK198</f>
        <v>0</v>
      </c>
      <c r="AL198" s="734">
        <f>'BASE DE DATOS'!AL198</f>
        <v>0</v>
      </c>
      <c r="AM198" s="734">
        <f>'BASE DE DATOS'!AM198</f>
        <v>0</v>
      </c>
      <c r="AN198" s="734">
        <f>'BASE DE DATOS'!AN198</f>
        <v>0</v>
      </c>
      <c r="AO198" s="734">
        <f>'BASE DE DATOS'!AO198</f>
        <v>0</v>
      </c>
      <c r="AP198" s="734">
        <f>'BASE DE DATOS'!AP198</f>
        <v>0</v>
      </c>
      <c r="AR198" s="734">
        <f>'BASE DE DATOS'!AR198</f>
        <v>0</v>
      </c>
      <c r="AS198" s="734">
        <f>'BASE DE DATOS'!AS198</f>
        <v>0</v>
      </c>
      <c r="AT198" s="734">
        <f>'BASE DE DATOS'!AT198</f>
        <v>0</v>
      </c>
      <c r="AU198" s="734">
        <f>'BASE DE DATOS'!AU198</f>
        <v>0</v>
      </c>
      <c r="AV198" s="734">
        <f>'BASE DE DATOS'!AV198</f>
        <v>0</v>
      </c>
      <c r="AW198" s="734">
        <f>'BASE DE DATOS'!AW198</f>
        <v>0</v>
      </c>
      <c r="AX198" s="734">
        <f>'BASE DE DATOS'!AX198</f>
        <v>0</v>
      </c>
      <c r="AY198" s="734">
        <f>'BASE DE DATOS'!AY198</f>
        <v>0</v>
      </c>
      <c r="AZ198" s="734">
        <f>'BASE DE DATOS'!AZ198</f>
        <v>0</v>
      </c>
      <c r="BA198" s="734">
        <f>'BASE DE DATOS'!BA198</f>
        <v>0</v>
      </c>
      <c r="BB198" s="734">
        <f>'BASE DE DATOS'!BB198</f>
        <v>0</v>
      </c>
      <c r="BC198" s="734">
        <f>'BASE DE DATOS'!BC198</f>
        <v>0</v>
      </c>
      <c r="BD198" s="734">
        <f>'BASE DE DATOS'!BD198</f>
        <v>0</v>
      </c>
      <c r="BE198" s="734">
        <f>'BASE DE DATOS'!BE198</f>
        <v>0</v>
      </c>
      <c r="DO198" s="733">
        <f>'BASE DE DATOS'!BG198</f>
        <v>0</v>
      </c>
      <c r="DP198" s="733">
        <f>'BASE DE DATOS'!BH198</f>
        <v>0</v>
      </c>
      <c r="DQ198" s="733">
        <f>'BASE DE DATOS'!BI198</f>
        <v>0</v>
      </c>
      <c r="DR198" s="733">
        <f>'BASE DE DATOS'!BJ198</f>
        <v>0</v>
      </c>
      <c r="DS198" s="733">
        <f>'BASE DE DATOS'!BK198</f>
        <v>0</v>
      </c>
      <c r="DT198" s="733">
        <f>'BASE DE DATOS'!BL198</f>
        <v>0</v>
      </c>
      <c r="DU198" s="733">
        <f>'BASE DE DATOS'!BM198</f>
        <v>0</v>
      </c>
      <c r="DV198" s="733">
        <f>'BASE DE DATOS'!BN198</f>
        <v>0</v>
      </c>
      <c r="DW198" s="733">
        <f>'BASE DE DATOS'!BO198</f>
        <v>0</v>
      </c>
      <c r="DX198" s="733">
        <f>'BASE DE DATOS'!BP198</f>
        <v>0</v>
      </c>
      <c r="DY198" s="733">
        <f>'BASE DE DATOS'!BQ198</f>
        <v>0</v>
      </c>
      <c r="DZ198" s="733">
        <f>'BASE DE DATOS'!BR198</f>
        <v>0</v>
      </c>
      <c r="EA198" s="733">
        <f>'BASE DE DATOS'!BS198</f>
        <v>0</v>
      </c>
      <c r="EB198" s="733">
        <f>'BASE DE DATOS'!BT198</f>
        <v>0</v>
      </c>
    </row>
    <row r="199" spans="2:132">
      <c r="B199" s="734">
        <f>'BASE DE DATOS'!B199</f>
        <v>0</v>
      </c>
      <c r="C199" s="734">
        <f>'BASE DE DATOS'!C199</f>
        <v>0</v>
      </c>
      <c r="D199" s="734">
        <f>'BASE DE DATOS'!D199</f>
        <v>0</v>
      </c>
      <c r="E199" s="734">
        <f>'BASE DE DATOS'!E199</f>
        <v>0</v>
      </c>
      <c r="F199" s="734">
        <f>'BASE DE DATOS'!F199</f>
        <v>0</v>
      </c>
      <c r="G199" s="734">
        <f>'BASE DE DATOS'!G199</f>
        <v>0</v>
      </c>
      <c r="H199" s="734">
        <f>'BASE DE DATOS'!H199</f>
        <v>0</v>
      </c>
      <c r="I199" s="734">
        <f>'BASE DE DATOS'!I199</f>
        <v>0</v>
      </c>
      <c r="J199" s="734">
        <f>'BASE DE DATOS'!J199</f>
        <v>0</v>
      </c>
      <c r="K199" s="734">
        <f>'BASE DE DATOS'!K199</f>
        <v>0</v>
      </c>
      <c r="L199" s="734">
        <f>'BASE DE DATOS'!L199</f>
        <v>0</v>
      </c>
      <c r="M199" s="734">
        <f>'BASE DE DATOS'!M199</f>
        <v>0</v>
      </c>
      <c r="N199" s="734">
        <f>'BASE DE DATOS'!N199</f>
        <v>0</v>
      </c>
      <c r="O199" s="734">
        <f>'BASE DE DATOS'!O199</f>
        <v>0</v>
      </c>
      <c r="P199" s="734">
        <f>'BASE DE DATOS'!P199</f>
        <v>0</v>
      </c>
      <c r="Q199" s="734">
        <f>'BASE DE DATOS'!Q199</f>
        <v>0</v>
      </c>
      <c r="R199" s="734">
        <f>'BASE DE DATOS'!R199</f>
        <v>0</v>
      </c>
      <c r="S199" s="734">
        <f>'BASE DE DATOS'!S199</f>
        <v>0</v>
      </c>
      <c r="T199" s="734">
        <f>'BASE DE DATOS'!T199</f>
        <v>0</v>
      </c>
      <c r="U199" s="734">
        <f>'BASE DE DATOS'!U199</f>
        <v>0</v>
      </c>
      <c r="V199" s="734">
        <f>'BASE DE DATOS'!V199</f>
        <v>0</v>
      </c>
      <c r="W199" s="734">
        <f>'BASE DE DATOS'!W199</f>
        <v>0</v>
      </c>
      <c r="X199" s="734">
        <f>'BASE DE DATOS'!X199</f>
        <v>0</v>
      </c>
      <c r="Y199" s="734">
        <f>'BASE DE DATOS'!Y199</f>
        <v>0</v>
      </c>
      <c r="Z199" s="734">
        <f>'BASE DE DATOS'!Z199</f>
        <v>0</v>
      </c>
      <c r="AA199" s="734">
        <f>'BASE DE DATOS'!AA199</f>
        <v>0</v>
      </c>
      <c r="AB199" s="734">
        <f>'BASE DE DATOS'!AB199</f>
        <v>0</v>
      </c>
      <c r="AD199" s="734">
        <f>'BASE DE DATOS'!AD199</f>
        <v>0</v>
      </c>
      <c r="AE199" s="734">
        <f>'BASE DE DATOS'!AE199</f>
        <v>0</v>
      </c>
      <c r="AF199" s="734">
        <f>'BASE DE DATOS'!AF199</f>
        <v>0</v>
      </c>
      <c r="AG199" s="734">
        <f>'BASE DE DATOS'!AG199</f>
        <v>0</v>
      </c>
      <c r="AH199" s="734">
        <f>'BASE DE DATOS'!AH199</f>
        <v>0</v>
      </c>
      <c r="AI199" s="734">
        <f>'BASE DE DATOS'!AI199</f>
        <v>0</v>
      </c>
      <c r="AJ199" s="734">
        <f>'BASE DE DATOS'!AJ199</f>
        <v>0</v>
      </c>
      <c r="AK199" s="734">
        <f>'BASE DE DATOS'!AK199</f>
        <v>0</v>
      </c>
      <c r="AL199" s="734">
        <f>'BASE DE DATOS'!AL199</f>
        <v>0</v>
      </c>
      <c r="AM199" s="734">
        <f>'BASE DE DATOS'!AM199</f>
        <v>0</v>
      </c>
      <c r="AN199" s="734">
        <f>'BASE DE DATOS'!AN199</f>
        <v>0</v>
      </c>
      <c r="AO199" s="734">
        <f>'BASE DE DATOS'!AO199</f>
        <v>0</v>
      </c>
      <c r="AP199" s="734">
        <f>'BASE DE DATOS'!AP199</f>
        <v>0</v>
      </c>
      <c r="AR199" s="734">
        <f>'BASE DE DATOS'!AR199</f>
        <v>0</v>
      </c>
      <c r="AS199" s="734">
        <f>'BASE DE DATOS'!AS199</f>
        <v>0</v>
      </c>
      <c r="AT199" s="734">
        <f>'BASE DE DATOS'!AT199</f>
        <v>0</v>
      </c>
      <c r="AU199" s="734">
        <f>'BASE DE DATOS'!AU199</f>
        <v>0</v>
      </c>
      <c r="AV199" s="734">
        <f>'BASE DE DATOS'!AV199</f>
        <v>0</v>
      </c>
      <c r="AW199" s="734">
        <f>'BASE DE DATOS'!AW199</f>
        <v>0</v>
      </c>
      <c r="AX199" s="734">
        <f>'BASE DE DATOS'!AX199</f>
        <v>0</v>
      </c>
      <c r="AY199" s="734">
        <f>'BASE DE DATOS'!AY199</f>
        <v>0</v>
      </c>
      <c r="AZ199" s="734">
        <f>'BASE DE DATOS'!AZ199</f>
        <v>0</v>
      </c>
      <c r="BA199" s="734">
        <f>'BASE DE DATOS'!BA199</f>
        <v>0</v>
      </c>
      <c r="BB199" s="734">
        <f>'BASE DE DATOS'!BB199</f>
        <v>0</v>
      </c>
      <c r="BC199" s="734">
        <f>'BASE DE DATOS'!BC199</f>
        <v>0</v>
      </c>
      <c r="BD199" s="734">
        <f>'BASE DE DATOS'!BD199</f>
        <v>0</v>
      </c>
      <c r="BE199" s="734">
        <f>'BASE DE DATOS'!BE199</f>
        <v>0</v>
      </c>
      <c r="DO199" s="733">
        <f>'BASE DE DATOS'!BG199</f>
        <v>0</v>
      </c>
      <c r="DP199" s="733">
        <f>'BASE DE DATOS'!BH199</f>
        <v>0</v>
      </c>
      <c r="DQ199" s="733">
        <f>'BASE DE DATOS'!BI199</f>
        <v>0</v>
      </c>
      <c r="DR199" s="733">
        <f>'BASE DE DATOS'!BJ199</f>
        <v>0</v>
      </c>
      <c r="DS199" s="733">
        <f>'BASE DE DATOS'!BK199</f>
        <v>0</v>
      </c>
      <c r="DT199" s="733">
        <f>'BASE DE DATOS'!BL199</f>
        <v>0</v>
      </c>
      <c r="DU199" s="733">
        <f>'BASE DE DATOS'!BM199</f>
        <v>0</v>
      </c>
      <c r="DV199" s="733">
        <f>'BASE DE DATOS'!BN199</f>
        <v>0</v>
      </c>
      <c r="DW199" s="733">
        <f>'BASE DE DATOS'!BO199</f>
        <v>0</v>
      </c>
      <c r="DX199" s="733">
        <f>'BASE DE DATOS'!BP199</f>
        <v>0</v>
      </c>
      <c r="DY199" s="733">
        <f>'BASE DE DATOS'!BQ199</f>
        <v>0</v>
      </c>
      <c r="DZ199" s="733">
        <f>'BASE DE DATOS'!BR199</f>
        <v>0</v>
      </c>
      <c r="EA199" s="733">
        <f>'BASE DE DATOS'!BS199</f>
        <v>0</v>
      </c>
      <c r="EB199" s="733">
        <f>'BASE DE DATOS'!BT199</f>
        <v>0</v>
      </c>
    </row>
    <row r="200" spans="2:132">
      <c r="B200" s="734">
        <f>'BASE DE DATOS'!B200</f>
        <v>0</v>
      </c>
      <c r="C200" s="734">
        <f>'BASE DE DATOS'!C200</f>
        <v>0</v>
      </c>
      <c r="D200" s="734">
        <f>'BASE DE DATOS'!D200</f>
        <v>0</v>
      </c>
      <c r="E200" s="734">
        <f>'BASE DE DATOS'!E200</f>
        <v>0</v>
      </c>
      <c r="F200" s="734">
        <f>'BASE DE DATOS'!F200</f>
        <v>0</v>
      </c>
      <c r="G200" s="734">
        <f>'BASE DE DATOS'!G200</f>
        <v>0</v>
      </c>
      <c r="H200" s="734">
        <f>'BASE DE DATOS'!H200</f>
        <v>0</v>
      </c>
      <c r="I200" s="734">
        <f>'BASE DE DATOS'!I200</f>
        <v>0</v>
      </c>
      <c r="J200" s="734">
        <f>'BASE DE DATOS'!J200</f>
        <v>0</v>
      </c>
      <c r="K200" s="734">
        <f>'BASE DE DATOS'!K200</f>
        <v>0</v>
      </c>
      <c r="L200" s="734">
        <f>'BASE DE DATOS'!L200</f>
        <v>0</v>
      </c>
      <c r="M200" s="734">
        <f>'BASE DE DATOS'!M200</f>
        <v>0</v>
      </c>
      <c r="N200" s="734">
        <f>'BASE DE DATOS'!N200</f>
        <v>0</v>
      </c>
      <c r="O200" s="734">
        <f>'BASE DE DATOS'!O200</f>
        <v>0</v>
      </c>
      <c r="P200" s="734">
        <f>'BASE DE DATOS'!P200</f>
        <v>0</v>
      </c>
      <c r="Q200" s="734">
        <f>'BASE DE DATOS'!Q200</f>
        <v>0</v>
      </c>
      <c r="R200" s="734">
        <f>'BASE DE DATOS'!R200</f>
        <v>0</v>
      </c>
      <c r="S200" s="734">
        <f>'BASE DE DATOS'!S200</f>
        <v>0</v>
      </c>
      <c r="T200" s="734">
        <f>'BASE DE DATOS'!T200</f>
        <v>0</v>
      </c>
      <c r="U200" s="734">
        <f>'BASE DE DATOS'!U200</f>
        <v>0</v>
      </c>
      <c r="V200" s="734">
        <f>'BASE DE DATOS'!V200</f>
        <v>0</v>
      </c>
      <c r="W200" s="734">
        <f>'BASE DE DATOS'!W200</f>
        <v>0</v>
      </c>
      <c r="X200" s="734">
        <f>'BASE DE DATOS'!X200</f>
        <v>0</v>
      </c>
      <c r="Y200" s="734">
        <f>'BASE DE DATOS'!Y200</f>
        <v>0</v>
      </c>
      <c r="Z200" s="734">
        <f>'BASE DE DATOS'!Z200</f>
        <v>0</v>
      </c>
      <c r="AA200" s="734">
        <f>'BASE DE DATOS'!AA200</f>
        <v>0</v>
      </c>
      <c r="AB200" s="734">
        <f>'BASE DE DATOS'!AB200</f>
        <v>0</v>
      </c>
      <c r="AD200" s="734">
        <f>'BASE DE DATOS'!AD200</f>
        <v>0</v>
      </c>
      <c r="AE200" s="734">
        <f>'BASE DE DATOS'!AE200</f>
        <v>0</v>
      </c>
      <c r="AF200" s="734">
        <f>'BASE DE DATOS'!AF200</f>
        <v>0</v>
      </c>
      <c r="AG200" s="734">
        <f>'BASE DE DATOS'!AG200</f>
        <v>0</v>
      </c>
      <c r="AH200" s="734">
        <f>'BASE DE DATOS'!AH200</f>
        <v>0</v>
      </c>
      <c r="AI200" s="734">
        <f>'BASE DE DATOS'!AI200</f>
        <v>0</v>
      </c>
      <c r="AJ200" s="734">
        <f>'BASE DE DATOS'!AJ200</f>
        <v>0</v>
      </c>
      <c r="AK200" s="734">
        <f>'BASE DE DATOS'!AK200</f>
        <v>0</v>
      </c>
      <c r="AL200" s="734">
        <f>'BASE DE DATOS'!AL200</f>
        <v>0</v>
      </c>
      <c r="AM200" s="734">
        <f>'BASE DE DATOS'!AM200</f>
        <v>0</v>
      </c>
      <c r="AN200" s="734">
        <f>'BASE DE DATOS'!AN200</f>
        <v>0</v>
      </c>
      <c r="AO200" s="734">
        <f>'BASE DE DATOS'!AO200</f>
        <v>0</v>
      </c>
      <c r="AP200" s="734">
        <f>'BASE DE DATOS'!AP200</f>
        <v>0</v>
      </c>
      <c r="AR200" s="734">
        <f>'BASE DE DATOS'!AR200</f>
        <v>0</v>
      </c>
      <c r="AS200" s="734">
        <f>'BASE DE DATOS'!AS200</f>
        <v>0</v>
      </c>
      <c r="AT200" s="734">
        <f>'BASE DE DATOS'!AT200</f>
        <v>0</v>
      </c>
      <c r="AU200" s="734">
        <f>'BASE DE DATOS'!AU200</f>
        <v>0</v>
      </c>
      <c r="AV200" s="734">
        <f>'BASE DE DATOS'!AV200</f>
        <v>0</v>
      </c>
      <c r="AW200" s="734">
        <f>'BASE DE DATOS'!AW200</f>
        <v>0</v>
      </c>
      <c r="AX200" s="734">
        <f>'BASE DE DATOS'!AX200</f>
        <v>0</v>
      </c>
      <c r="AY200" s="734">
        <f>'BASE DE DATOS'!AY200</f>
        <v>0</v>
      </c>
      <c r="AZ200" s="734">
        <f>'BASE DE DATOS'!AZ200</f>
        <v>0</v>
      </c>
      <c r="BA200" s="734">
        <f>'BASE DE DATOS'!BA200</f>
        <v>0</v>
      </c>
      <c r="BB200" s="734">
        <f>'BASE DE DATOS'!BB200</f>
        <v>0</v>
      </c>
      <c r="BC200" s="734">
        <f>'BASE DE DATOS'!BC200</f>
        <v>0</v>
      </c>
      <c r="BD200" s="734">
        <f>'BASE DE DATOS'!BD200</f>
        <v>0</v>
      </c>
      <c r="BE200" s="734">
        <f>'BASE DE DATOS'!BE200</f>
        <v>0</v>
      </c>
      <c r="DO200" s="733">
        <f>'BASE DE DATOS'!BG200</f>
        <v>0</v>
      </c>
      <c r="DP200" s="733">
        <f>'BASE DE DATOS'!BH200</f>
        <v>0</v>
      </c>
      <c r="DQ200" s="733">
        <f>'BASE DE DATOS'!BI200</f>
        <v>0</v>
      </c>
      <c r="DR200" s="733">
        <f>'BASE DE DATOS'!BJ200</f>
        <v>0</v>
      </c>
      <c r="DS200" s="733">
        <f>'BASE DE DATOS'!BK200</f>
        <v>0</v>
      </c>
      <c r="DT200" s="733">
        <f>'BASE DE DATOS'!BL200</f>
        <v>0</v>
      </c>
      <c r="DU200" s="733">
        <f>'BASE DE DATOS'!BM200</f>
        <v>0</v>
      </c>
      <c r="DV200" s="733">
        <f>'BASE DE DATOS'!BN200</f>
        <v>0</v>
      </c>
      <c r="DW200" s="733">
        <f>'BASE DE DATOS'!BO200</f>
        <v>0</v>
      </c>
      <c r="DX200" s="733">
        <f>'BASE DE DATOS'!BP200</f>
        <v>0</v>
      </c>
      <c r="DY200" s="733">
        <f>'BASE DE DATOS'!BQ200</f>
        <v>0</v>
      </c>
      <c r="DZ200" s="733">
        <f>'BASE DE DATOS'!BR200</f>
        <v>0</v>
      </c>
      <c r="EA200" s="733">
        <f>'BASE DE DATOS'!BS200</f>
        <v>0</v>
      </c>
      <c r="EB200" s="733">
        <f>'BASE DE DATOS'!BT200</f>
        <v>0</v>
      </c>
    </row>
    <row r="201" spans="2:132">
      <c r="B201" s="734">
        <f>'BASE DE DATOS'!B201</f>
        <v>0</v>
      </c>
      <c r="C201" s="734">
        <f>'BASE DE DATOS'!C201</f>
        <v>0</v>
      </c>
      <c r="D201" s="734">
        <f>'BASE DE DATOS'!D201</f>
        <v>0</v>
      </c>
      <c r="E201" s="734">
        <f>'BASE DE DATOS'!E201</f>
        <v>0</v>
      </c>
      <c r="F201" s="734">
        <f>'BASE DE DATOS'!F201</f>
        <v>0</v>
      </c>
      <c r="G201" s="734">
        <f>'BASE DE DATOS'!G201</f>
        <v>0</v>
      </c>
      <c r="H201" s="734">
        <f>'BASE DE DATOS'!H201</f>
        <v>0</v>
      </c>
      <c r="I201" s="734">
        <f>'BASE DE DATOS'!I201</f>
        <v>0</v>
      </c>
      <c r="J201" s="734">
        <f>'BASE DE DATOS'!J201</f>
        <v>0</v>
      </c>
      <c r="K201" s="734">
        <f>'BASE DE DATOS'!K201</f>
        <v>0</v>
      </c>
      <c r="L201" s="734">
        <f>'BASE DE DATOS'!L201</f>
        <v>0</v>
      </c>
      <c r="M201" s="734">
        <f>'BASE DE DATOS'!M201</f>
        <v>0</v>
      </c>
      <c r="N201" s="734">
        <f>'BASE DE DATOS'!N201</f>
        <v>0</v>
      </c>
      <c r="O201" s="734">
        <f>'BASE DE DATOS'!O201</f>
        <v>0</v>
      </c>
      <c r="P201" s="734">
        <f>'BASE DE DATOS'!P201</f>
        <v>0</v>
      </c>
      <c r="Q201" s="734">
        <f>'BASE DE DATOS'!Q201</f>
        <v>0</v>
      </c>
      <c r="R201" s="734">
        <f>'BASE DE DATOS'!R201</f>
        <v>0</v>
      </c>
      <c r="S201" s="734">
        <f>'BASE DE DATOS'!S201</f>
        <v>0</v>
      </c>
      <c r="T201" s="734">
        <f>'BASE DE DATOS'!T201</f>
        <v>0</v>
      </c>
      <c r="U201" s="734">
        <f>'BASE DE DATOS'!U201</f>
        <v>0</v>
      </c>
      <c r="V201" s="734">
        <f>'BASE DE DATOS'!V201</f>
        <v>0</v>
      </c>
      <c r="W201" s="734">
        <f>'BASE DE DATOS'!W201</f>
        <v>0</v>
      </c>
      <c r="X201" s="734">
        <f>'BASE DE DATOS'!X201</f>
        <v>0</v>
      </c>
      <c r="Y201" s="734">
        <f>'BASE DE DATOS'!Y201</f>
        <v>0</v>
      </c>
      <c r="Z201" s="734">
        <f>'BASE DE DATOS'!Z201</f>
        <v>0</v>
      </c>
      <c r="AA201" s="734">
        <f>'BASE DE DATOS'!AA201</f>
        <v>0</v>
      </c>
      <c r="AB201" s="734">
        <f>'BASE DE DATOS'!AB201</f>
        <v>0</v>
      </c>
      <c r="AD201" s="734">
        <f>'BASE DE DATOS'!AD201</f>
        <v>0</v>
      </c>
      <c r="AE201" s="734">
        <f>'BASE DE DATOS'!AE201</f>
        <v>0</v>
      </c>
      <c r="AF201" s="734">
        <f>'BASE DE DATOS'!AF201</f>
        <v>0</v>
      </c>
      <c r="AG201" s="734">
        <f>'BASE DE DATOS'!AG201</f>
        <v>0</v>
      </c>
      <c r="AH201" s="734">
        <f>'BASE DE DATOS'!AH201</f>
        <v>0</v>
      </c>
      <c r="AI201" s="734">
        <f>'BASE DE DATOS'!AI201</f>
        <v>0</v>
      </c>
      <c r="AJ201" s="734">
        <f>'BASE DE DATOS'!AJ201</f>
        <v>0</v>
      </c>
      <c r="AK201" s="734">
        <f>'BASE DE DATOS'!AK201</f>
        <v>0</v>
      </c>
      <c r="AL201" s="734">
        <f>'BASE DE DATOS'!AL201</f>
        <v>0</v>
      </c>
      <c r="AM201" s="734">
        <f>'BASE DE DATOS'!AM201</f>
        <v>0</v>
      </c>
      <c r="AN201" s="734">
        <f>'BASE DE DATOS'!AN201</f>
        <v>0</v>
      </c>
      <c r="AO201" s="734">
        <f>'BASE DE DATOS'!AO201</f>
        <v>0</v>
      </c>
      <c r="AP201" s="734">
        <f>'BASE DE DATOS'!AP201</f>
        <v>0</v>
      </c>
      <c r="AR201" s="734">
        <f>'BASE DE DATOS'!AR201</f>
        <v>0</v>
      </c>
      <c r="AS201" s="734">
        <f>'BASE DE DATOS'!AS201</f>
        <v>0</v>
      </c>
      <c r="AT201" s="734">
        <f>'BASE DE DATOS'!AT201</f>
        <v>0</v>
      </c>
      <c r="AU201" s="734">
        <f>'BASE DE DATOS'!AU201</f>
        <v>0</v>
      </c>
      <c r="AV201" s="734">
        <f>'BASE DE DATOS'!AV201</f>
        <v>0</v>
      </c>
      <c r="AW201" s="734">
        <f>'BASE DE DATOS'!AW201</f>
        <v>0</v>
      </c>
      <c r="AX201" s="734">
        <f>'BASE DE DATOS'!AX201</f>
        <v>0</v>
      </c>
      <c r="AY201" s="734">
        <f>'BASE DE DATOS'!AY201</f>
        <v>0</v>
      </c>
      <c r="AZ201" s="734">
        <f>'BASE DE DATOS'!AZ201</f>
        <v>0</v>
      </c>
      <c r="BA201" s="734">
        <f>'BASE DE DATOS'!BA201</f>
        <v>0</v>
      </c>
      <c r="BB201" s="734">
        <f>'BASE DE DATOS'!BB201</f>
        <v>0</v>
      </c>
      <c r="BC201" s="734">
        <f>'BASE DE DATOS'!BC201</f>
        <v>0</v>
      </c>
      <c r="BD201" s="734">
        <f>'BASE DE DATOS'!BD201</f>
        <v>0</v>
      </c>
      <c r="BE201" s="734">
        <f>'BASE DE DATOS'!BE201</f>
        <v>0</v>
      </c>
      <c r="DO201" s="733">
        <f>'BASE DE DATOS'!BG201</f>
        <v>0</v>
      </c>
      <c r="DP201" s="733">
        <f>'BASE DE DATOS'!BH201</f>
        <v>0</v>
      </c>
      <c r="DQ201" s="733">
        <f>'BASE DE DATOS'!BI201</f>
        <v>0</v>
      </c>
      <c r="DR201" s="733">
        <f>'BASE DE DATOS'!BJ201</f>
        <v>0</v>
      </c>
      <c r="DS201" s="733">
        <f>'BASE DE DATOS'!BK201</f>
        <v>0</v>
      </c>
      <c r="DT201" s="733">
        <f>'BASE DE DATOS'!BL201</f>
        <v>0</v>
      </c>
      <c r="DU201" s="733">
        <f>'BASE DE DATOS'!BM201</f>
        <v>0</v>
      </c>
      <c r="DV201" s="733">
        <f>'BASE DE DATOS'!BN201</f>
        <v>0</v>
      </c>
      <c r="DW201" s="733">
        <f>'BASE DE DATOS'!BO201</f>
        <v>0</v>
      </c>
      <c r="DX201" s="733">
        <f>'BASE DE DATOS'!BP201</f>
        <v>0</v>
      </c>
      <c r="DY201" s="733">
        <f>'BASE DE DATOS'!BQ201</f>
        <v>0</v>
      </c>
      <c r="DZ201" s="733">
        <f>'BASE DE DATOS'!BR201</f>
        <v>0</v>
      </c>
      <c r="EA201" s="733">
        <f>'BASE DE DATOS'!BS201</f>
        <v>0</v>
      </c>
      <c r="EB201" s="733">
        <f>'BASE DE DATOS'!BT201</f>
        <v>0</v>
      </c>
    </row>
    <row r="202" spans="2:132">
      <c r="B202" s="734">
        <f>'BASE DE DATOS'!B202</f>
        <v>0</v>
      </c>
      <c r="C202" s="734">
        <f>'BASE DE DATOS'!C202</f>
        <v>0</v>
      </c>
      <c r="D202" s="734">
        <f>'BASE DE DATOS'!D202</f>
        <v>0</v>
      </c>
      <c r="E202" s="734">
        <f>'BASE DE DATOS'!E202</f>
        <v>0</v>
      </c>
      <c r="F202" s="734">
        <f>'BASE DE DATOS'!F202</f>
        <v>0</v>
      </c>
      <c r="G202" s="734">
        <f>'BASE DE DATOS'!G202</f>
        <v>0</v>
      </c>
      <c r="H202" s="734">
        <f>'BASE DE DATOS'!H202</f>
        <v>0</v>
      </c>
      <c r="I202" s="734">
        <f>'BASE DE DATOS'!I202</f>
        <v>0</v>
      </c>
      <c r="J202" s="734">
        <f>'BASE DE DATOS'!J202</f>
        <v>0</v>
      </c>
      <c r="K202" s="734">
        <f>'BASE DE DATOS'!K202</f>
        <v>0</v>
      </c>
      <c r="L202" s="734">
        <f>'BASE DE DATOS'!L202</f>
        <v>0</v>
      </c>
      <c r="M202" s="734">
        <f>'BASE DE DATOS'!M202</f>
        <v>0</v>
      </c>
      <c r="N202" s="734">
        <f>'BASE DE DATOS'!N202</f>
        <v>0</v>
      </c>
      <c r="O202" s="734">
        <f>'BASE DE DATOS'!O202</f>
        <v>0</v>
      </c>
      <c r="P202" s="734">
        <f>'BASE DE DATOS'!P202</f>
        <v>0</v>
      </c>
      <c r="Q202" s="734">
        <f>'BASE DE DATOS'!Q202</f>
        <v>0</v>
      </c>
      <c r="R202" s="734">
        <f>'BASE DE DATOS'!R202</f>
        <v>0</v>
      </c>
      <c r="S202" s="734">
        <f>'BASE DE DATOS'!S202</f>
        <v>0</v>
      </c>
      <c r="T202" s="734">
        <f>'BASE DE DATOS'!T202</f>
        <v>0</v>
      </c>
      <c r="U202" s="734">
        <f>'BASE DE DATOS'!U202</f>
        <v>0</v>
      </c>
      <c r="V202" s="734">
        <f>'BASE DE DATOS'!V202</f>
        <v>0</v>
      </c>
      <c r="W202" s="734">
        <f>'BASE DE DATOS'!W202</f>
        <v>0</v>
      </c>
      <c r="X202" s="734">
        <f>'BASE DE DATOS'!X202</f>
        <v>0</v>
      </c>
      <c r="Y202" s="734">
        <f>'BASE DE DATOS'!Y202</f>
        <v>0</v>
      </c>
      <c r="Z202" s="734">
        <f>'BASE DE DATOS'!Z202</f>
        <v>0</v>
      </c>
      <c r="AA202" s="734">
        <f>'BASE DE DATOS'!AA202</f>
        <v>0</v>
      </c>
      <c r="AB202" s="734">
        <f>'BASE DE DATOS'!AB202</f>
        <v>0</v>
      </c>
      <c r="AD202" s="734">
        <f>'BASE DE DATOS'!AD202</f>
        <v>0</v>
      </c>
      <c r="AE202" s="734">
        <f>'BASE DE DATOS'!AE202</f>
        <v>0</v>
      </c>
      <c r="AF202" s="734">
        <f>'BASE DE DATOS'!AF202</f>
        <v>0</v>
      </c>
      <c r="AG202" s="734">
        <f>'BASE DE DATOS'!AG202</f>
        <v>0</v>
      </c>
      <c r="AH202" s="734">
        <f>'BASE DE DATOS'!AH202</f>
        <v>0</v>
      </c>
      <c r="AI202" s="734">
        <f>'BASE DE DATOS'!AI202</f>
        <v>0</v>
      </c>
      <c r="AJ202" s="734">
        <f>'BASE DE DATOS'!AJ202</f>
        <v>0</v>
      </c>
      <c r="AK202" s="734">
        <f>'BASE DE DATOS'!AK202</f>
        <v>0</v>
      </c>
      <c r="AL202" s="734">
        <f>'BASE DE DATOS'!AL202</f>
        <v>0</v>
      </c>
      <c r="AM202" s="734">
        <f>'BASE DE DATOS'!AM202</f>
        <v>0</v>
      </c>
      <c r="AN202" s="734">
        <f>'BASE DE DATOS'!AN202</f>
        <v>0</v>
      </c>
      <c r="AO202" s="734">
        <f>'BASE DE DATOS'!AO202</f>
        <v>0</v>
      </c>
      <c r="AP202" s="734">
        <f>'BASE DE DATOS'!AP202</f>
        <v>0</v>
      </c>
      <c r="AR202" s="734">
        <f>'BASE DE DATOS'!AR202</f>
        <v>0</v>
      </c>
      <c r="AS202" s="734">
        <f>'BASE DE DATOS'!AS202</f>
        <v>0</v>
      </c>
      <c r="AT202" s="734">
        <f>'BASE DE DATOS'!AT202</f>
        <v>0</v>
      </c>
      <c r="AU202" s="734">
        <f>'BASE DE DATOS'!AU202</f>
        <v>0</v>
      </c>
      <c r="AV202" s="734">
        <f>'BASE DE DATOS'!AV202</f>
        <v>0</v>
      </c>
      <c r="AW202" s="734">
        <f>'BASE DE DATOS'!AW202</f>
        <v>0</v>
      </c>
      <c r="AX202" s="734">
        <f>'BASE DE DATOS'!AX202</f>
        <v>0</v>
      </c>
      <c r="AY202" s="734">
        <f>'BASE DE DATOS'!AY202</f>
        <v>0</v>
      </c>
      <c r="AZ202" s="734">
        <f>'BASE DE DATOS'!AZ202</f>
        <v>0</v>
      </c>
      <c r="BA202" s="734">
        <f>'BASE DE DATOS'!BA202</f>
        <v>0</v>
      </c>
      <c r="BB202" s="734">
        <f>'BASE DE DATOS'!BB202</f>
        <v>0</v>
      </c>
      <c r="BC202" s="734">
        <f>'BASE DE DATOS'!BC202</f>
        <v>0</v>
      </c>
      <c r="BD202" s="734">
        <f>'BASE DE DATOS'!BD202</f>
        <v>0</v>
      </c>
      <c r="BE202" s="734">
        <f>'BASE DE DATOS'!BE202</f>
        <v>0</v>
      </c>
      <c r="DO202" s="733">
        <f>'BASE DE DATOS'!BG202</f>
        <v>0</v>
      </c>
      <c r="DP202" s="733">
        <f>'BASE DE DATOS'!BH202</f>
        <v>0</v>
      </c>
      <c r="DQ202" s="733">
        <f>'BASE DE DATOS'!BI202</f>
        <v>0</v>
      </c>
      <c r="DR202" s="733">
        <f>'BASE DE DATOS'!BJ202</f>
        <v>0</v>
      </c>
      <c r="DS202" s="733">
        <f>'BASE DE DATOS'!BK202</f>
        <v>0</v>
      </c>
      <c r="DT202" s="733">
        <f>'BASE DE DATOS'!BL202</f>
        <v>0</v>
      </c>
      <c r="DU202" s="733">
        <f>'BASE DE DATOS'!BM202</f>
        <v>0</v>
      </c>
      <c r="DV202" s="733">
        <f>'BASE DE DATOS'!BN202</f>
        <v>0</v>
      </c>
      <c r="DW202" s="733">
        <f>'BASE DE DATOS'!BO202</f>
        <v>0</v>
      </c>
      <c r="DX202" s="733">
        <f>'BASE DE DATOS'!BP202</f>
        <v>0</v>
      </c>
      <c r="DY202" s="733">
        <f>'BASE DE DATOS'!BQ202</f>
        <v>0</v>
      </c>
      <c r="DZ202" s="733">
        <f>'BASE DE DATOS'!BR202</f>
        <v>0</v>
      </c>
      <c r="EA202" s="733">
        <f>'BASE DE DATOS'!BS202</f>
        <v>0</v>
      </c>
      <c r="EB202" s="733">
        <f>'BASE DE DATOS'!BT202</f>
        <v>0</v>
      </c>
    </row>
    <row r="203" spans="2:132">
      <c r="B203" s="734">
        <f>'BASE DE DATOS'!B203</f>
        <v>0</v>
      </c>
      <c r="C203" s="734">
        <f>'BASE DE DATOS'!C203</f>
        <v>0</v>
      </c>
      <c r="D203" s="734">
        <f>'BASE DE DATOS'!D203</f>
        <v>0</v>
      </c>
      <c r="E203" s="734">
        <f>'BASE DE DATOS'!E203</f>
        <v>0</v>
      </c>
      <c r="F203" s="734">
        <f>'BASE DE DATOS'!F203</f>
        <v>0</v>
      </c>
      <c r="G203" s="734">
        <f>'BASE DE DATOS'!G203</f>
        <v>0</v>
      </c>
      <c r="H203" s="734">
        <f>'BASE DE DATOS'!H203</f>
        <v>0</v>
      </c>
      <c r="I203" s="734">
        <f>'BASE DE DATOS'!I203</f>
        <v>0</v>
      </c>
      <c r="J203" s="734">
        <f>'BASE DE DATOS'!J203</f>
        <v>0</v>
      </c>
      <c r="K203" s="734">
        <f>'BASE DE DATOS'!K203</f>
        <v>0</v>
      </c>
      <c r="L203" s="734">
        <f>'BASE DE DATOS'!L203</f>
        <v>0</v>
      </c>
      <c r="M203" s="734">
        <f>'BASE DE DATOS'!M203</f>
        <v>0</v>
      </c>
      <c r="N203" s="734">
        <f>'BASE DE DATOS'!N203</f>
        <v>0</v>
      </c>
      <c r="O203" s="734">
        <f>'BASE DE DATOS'!O203</f>
        <v>0</v>
      </c>
      <c r="P203" s="734">
        <f>'BASE DE DATOS'!P203</f>
        <v>0</v>
      </c>
      <c r="Q203" s="734">
        <f>'BASE DE DATOS'!Q203</f>
        <v>0</v>
      </c>
      <c r="R203" s="734">
        <f>'BASE DE DATOS'!R203</f>
        <v>0</v>
      </c>
      <c r="S203" s="734">
        <f>'BASE DE DATOS'!S203</f>
        <v>0</v>
      </c>
      <c r="T203" s="734">
        <f>'BASE DE DATOS'!T203</f>
        <v>0</v>
      </c>
      <c r="U203" s="734">
        <f>'BASE DE DATOS'!U203</f>
        <v>0</v>
      </c>
      <c r="V203" s="734">
        <f>'BASE DE DATOS'!V203</f>
        <v>0</v>
      </c>
      <c r="W203" s="734">
        <f>'BASE DE DATOS'!W203</f>
        <v>0</v>
      </c>
      <c r="X203" s="734">
        <f>'BASE DE DATOS'!X203</f>
        <v>0</v>
      </c>
      <c r="Y203" s="734">
        <f>'BASE DE DATOS'!Y203</f>
        <v>0</v>
      </c>
      <c r="Z203" s="734">
        <f>'BASE DE DATOS'!Z203</f>
        <v>0</v>
      </c>
      <c r="AA203" s="734">
        <f>'BASE DE DATOS'!AA203</f>
        <v>0</v>
      </c>
      <c r="AB203" s="734">
        <f>'BASE DE DATOS'!AB203</f>
        <v>0</v>
      </c>
      <c r="AD203" s="734">
        <f>'BASE DE DATOS'!AD203</f>
        <v>0</v>
      </c>
      <c r="AE203" s="734">
        <f>'BASE DE DATOS'!AE203</f>
        <v>0</v>
      </c>
      <c r="AF203" s="734">
        <f>'BASE DE DATOS'!AF203</f>
        <v>0</v>
      </c>
      <c r="AG203" s="734">
        <f>'BASE DE DATOS'!AG203</f>
        <v>0</v>
      </c>
      <c r="AH203" s="734">
        <f>'BASE DE DATOS'!AH203</f>
        <v>0</v>
      </c>
      <c r="AI203" s="734">
        <f>'BASE DE DATOS'!AI203</f>
        <v>0</v>
      </c>
      <c r="AJ203" s="734">
        <f>'BASE DE DATOS'!AJ203</f>
        <v>0</v>
      </c>
      <c r="AK203" s="734">
        <f>'BASE DE DATOS'!AK203</f>
        <v>0</v>
      </c>
      <c r="AL203" s="734">
        <f>'BASE DE DATOS'!AL203</f>
        <v>0</v>
      </c>
      <c r="AM203" s="734">
        <f>'BASE DE DATOS'!AM203</f>
        <v>0</v>
      </c>
      <c r="AN203" s="734">
        <f>'BASE DE DATOS'!AN203</f>
        <v>0</v>
      </c>
      <c r="AO203" s="734">
        <f>'BASE DE DATOS'!AO203</f>
        <v>0</v>
      </c>
      <c r="AP203" s="734">
        <f>'BASE DE DATOS'!AP203</f>
        <v>0</v>
      </c>
      <c r="AR203" s="734">
        <f>'BASE DE DATOS'!AR203</f>
        <v>0</v>
      </c>
      <c r="AS203" s="734">
        <f>'BASE DE DATOS'!AS203</f>
        <v>0</v>
      </c>
      <c r="AT203" s="734">
        <f>'BASE DE DATOS'!AT203</f>
        <v>0</v>
      </c>
      <c r="AU203" s="734">
        <f>'BASE DE DATOS'!AU203</f>
        <v>0</v>
      </c>
      <c r="AV203" s="734">
        <f>'BASE DE DATOS'!AV203</f>
        <v>0</v>
      </c>
      <c r="AW203" s="734">
        <f>'BASE DE DATOS'!AW203</f>
        <v>0</v>
      </c>
      <c r="AX203" s="734">
        <f>'BASE DE DATOS'!AX203</f>
        <v>0</v>
      </c>
      <c r="AY203" s="734">
        <f>'BASE DE DATOS'!AY203</f>
        <v>0</v>
      </c>
      <c r="AZ203" s="734">
        <f>'BASE DE DATOS'!AZ203</f>
        <v>0</v>
      </c>
      <c r="BA203" s="734">
        <f>'BASE DE DATOS'!BA203</f>
        <v>0</v>
      </c>
      <c r="BB203" s="734">
        <f>'BASE DE DATOS'!BB203</f>
        <v>0</v>
      </c>
      <c r="BC203" s="734">
        <f>'BASE DE DATOS'!BC203</f>
        <v>0</v>
      </c>
      <c r="BD203" s="734">
        <f>'BASE DE DATOS'!BD203</f>
        <v>0</v>
      </c>
      <c r="BE203" s="734">
        <f>'BASE DE DATOS'!BE203</f>
        <v>0</v>
      </c>
      <c r="DO203" s="733">
        <f>'BASE DE DATOS'!BG203</f>
        <v>0</v>
      </c>
      <c r="DP203" s="733">
        <f>'BASE DE DATOS'!BH203</f>
        <v>0</v>
      </c>
      <c r="DQ203" s="733">
        <f>'BASE DE DATOS'!BI203</f>
        <v>0</v>
      </c>
      <c r="DR203" s="733">
        <f>'BASE DE DATOS'!BJ203</f>
        <v>0</v>
      </c>
      <c r="DS203" s="733">
        <f>'BASE DE DATOS'!BK203</f>
        <v>0</v>
      </c>
      <c r="DT203" s="733">
        <f>'BASE DE DATOS'!BL203</f>
        <v>0</v>
      </c>
      <c r="DU203" s="733">
        <f>'BASE DE DATOS'!BM203</f>
        <v>0</v>
      </c>
      <c r="DV203" s="733">
        <f>'BASE DE DATOS'!BN203</f>
        <v>0</v>
      </c>
      <c r="DW203" s="733">
        <f>'BASE DE DATOS'!BO203</f>
        <v>0</v>
      </c>
      <c r="DX203" s="733">
        <f>'BASE DE DATOS'!BP203</f>
        <v>0</v>
      </c>
      <c r="DY203" s="733">
        <f>'BASE DE DATOS'!BQ203</f>
        <v>0</v>
      </c>
      <c r="DZ203" s="733">
        <f>'BASE DE DATOS'!BR203</f>
        <v>0</v>
      </c>
      <c r="EA203" s="733">
        <f>'BASE DE DATOS'!BS203</f>
        <v>0</v>
      </c>
      <c r="EB203" s="733">
        <f>'BASE DE DATOS'!BT203</f>
        <v>0</v>
      </c>
    </row>
    <row r="204" spans="2:132">
      <c r="B204" s="734">
        <f>'BASE DE DATOS'!B204</f>
        <v>0</v>
      </c>
      <c r="C204" s="734">
        <f>'BASE DE DATOS'!C204</f>
        <v>0</v>
      </c>
      <c r="D204" s="734">
        <f>'BASE DE DATOS'!D204</f>
        <v>0</v>
      </c>
      <c r="E204" s="734">
        <f>'BASE DE DATOS'!E204</f>
        <v>0</v>
      </c>
      <c r="F204" s="734">
        <f>'BASE DE DATOS'!F204</f>
        <v>0</v>
      </c>
      <c r="G204" s="734">
        <f>'BASE DE DATOS'!G204</f>
        <v>0</v>
      </c>
      <c r="H204" s="734">
        <f>'BASE DE DATOS'!H204</f>
        <v>0</v>
      </c>
      <c r="I204" s="734">
        <f>'BASE DE DATOS'!I204</f>
        <v>0</v>
      </c>
      <c r="J204" s="734">
        <f>'BASE DE DATOS'!J204</f>
        <v>0</v>
      </c>
      <c r="K204" s="734">
        <f>'BASE DE DATOS'!K204</f>
        <v>0</v>
      </c>
      <c r="L204" s="734">
        <f>'BASE DE DATOS'!L204</f>
        <v>0</v>
      </c>
      <c r="M204" s="734">
        <f>'BASE DE DATOS'!M204</f>
        <v>0</v>
      </c>
      <c r="N204" s="734">
        <f>'BASE DE DATOS'!N204</f>
        <v>0</v>
      </c>
      <c r="O204" s="734">
        <f>'BASE DE DATOS'!O204</f>
        <v>0</v>
      </c>
      <c r="P204" s="734">
        <f>'BASE DE DATOS'!P204</f>
        <v>0</v>
      </c>
      <c r="Q204" s="734">
        <f>'BASE DE DATOS'!Q204</f>
        <v>0</v>
      </c>
      <c r="R204" s="734">
        <f>'BASE DE DATOS'!R204</f>
        <v>0</v>
      </c>
      <c r="S204" s="734">
        <f>'BASE DE DATOS'!S204</f>
        <v>0</v>
      </c>
      <c r="T204" s="734">
        <f>'BASE DE DATOS'!T204</f>
        <v>0</v>
      </c>
      <c r="U204" s="734">
        <f>'BASE DE DATOS'!U204</f>
        <v>0</v>
      </c>
      <c r="V204" s="734">
        <f>'BASE DE DATOS'!V204</f>
        <v>0</v>
      </c>
      <c r="W204" s="734">
        <f>'BASE DE DATOS'!W204</f>
        <v>0</v>
      </c>
      <c r="X204" s="734">
        <f>'BASE DE DATOS'!X204</f>
        <v>0</v>
      </c>
      <c r="Y204" s="734">
        <f>'BASE DE DATOS'!Y204</f>
        <v>0</v>
      </c>
      <c r="Z204" s="734">
        <f>'BASE DE DATOS'!Z204</f>
        <v>0</v>
      </c>
      <c r="AA204" s="734">
        <f>'BASE DE DATOS'!AA204</f>
        <v>0</v>
      </c>
      <c r="AB204" s="734">
        <f>'BASE DE DATOS'!AB204</f>
        <v>0</v>
      </c>
      <c r="AD204" s="734">
        <f>'BASE DE DATOS'!AD204</f>
        <v>0</v>
      </c>
      <c r="AE204" s="734">
        <f>'BASE DE DATOS'!AE204</f>
        <v>0</v>
      </c>
      <c r="AF204" s="734">
        <f>'BASE DE DATOS'!AF204</f>
        <v>0</v>
      </c>
      <c r="AG204" s="734">
        <f>'BASE DE DATOS'!AG204</f>
        <v>0</v>
      </c>
      <c r="AH204" s="734">
        <f>'BASE DE DATOS'!AH204</f>
        <v>0</v>
      </c>
      <c r="AI204" s="734">
        <f>'BASE DE DATOS'!AI204</f>
        <v>0</v>
      </c>
      <c r="AJ204" s="734">
        <f>'BASE DE DATOS'!AJ204</f>
        <v>0</v>
      </c>
      <c r="AK204" s="734">
        <f>'BASE DE DATOS'!AK204</f>
        <v>0</v>
      </c>
      <c r="AL204" s="734">
        <f>'BASE DE DATOS'!AL204</f>
        <v>0</v>
      </c>
      <c r="AM204" s="734">
        <f>'BASE DE DATOS'!AM204</f>
        <v>0</v>
      </c>
      <c r="AN204" s="734">
        <f>'BASE DE DATOS'!AN204</f>
        <v>0</v>
      </c>
      <c r="AO204" s="734">
        <f>'BASE DE DATOS'!AO204</f>
        <v>0</v>
      </c>
      <c r="AP204" s="734">
        <f>'BASE DE DATOS'!AP204</f>
        <v>0</v>
      </c>
      <c r="AR204" s="734">
        <f>'BASE DE DATOS'!AR204</f>
        <v>0</v>
      </c>
      <c r="AS204" s="734">
        <f>'BASE DE DATOS'!AS204</f>
        <v>0</v>
      </c>
      <c r="AT204" s="734">
        <f>'BASE DE DATOS'!AT204</f>
        <v>0</v>
      </c>
      <c r="AU204" s="734">
        <f>'BASE DE DATOS'!AU204</f>
        <v>0</v>
      </c>
      <c r="AV204" s="734">
        <f>'BASE DE DATOS'!AV204</f>
        <v>0</v>
      </c>
      <c r="AW204" s="734">
        <f>'BASE DE DATOS'!AW204</f>
        <v>0</v>
      </c>
      <c r="AX204" s="734">
        <f>'BASE DE DATOS'!AX204</f>
        <v>0</v>
      </c>
      <c r="AY204" s="734">
        <f>'BASE DE DATOS'!AY204</f>
        <v>0</v>
      </c>
      <c r="AZ204" s="734">
        <f>'BASE DE DATOS'!AZ204</f>
        <v>0</v>
      </c>
      <c r="BA204" s="734">
        <f>'BASE DE DATOS'!BA204</f>
        <v>0</v>
      </c>
      <c r="BB204" s="734">
        <f>'BASE DE DATOS'!BB204</f>
        <v>0</v>
      </c>
      <c r="BC204" s="734">
        <f>'BASE DE DATOS'!BC204</f>
        <v>0</v>
      </c>
      <c r="BD204" s="734">
        <f>'BASE DE DATOS'!BD204</f>
        <v>0</v>
      </c>
      <c r="BE204" s="734">
        <f>'BASE DE DATOS'!BE204</f>
        <v>0</v>
      </c>
      <c r="DO204" s="733">
        <f>'BASE DE DATOS'!BG204</f>
        <v>0</v>
      </c>
      <c r="DP204" s="733">
        <f>'BASE DE DATOS'!BH204</f>
        <v>0</v>
      </c>
      <c r="DQ204" s="733">
        <f>'BASE DE DATOS'!BI204</f>
        <v>0</v>
      </c>
      <c r="DR204" s="733">
        <f>'BASE DE DATOS'!BJ204</f>
        <v>0</v>
      </c>
      <c r="DS204" s="733">
        <f>'BASE DE DATOS'!BK204</f>
        <v>0</v>
      </c>
      <c r="DT204" s="733">
        <f>'BASE DE DATOS'!BL204</f>
        <v>0</v>
      </c>
      <c r="DU204" s="733">
        <f>'BASE DE DATOS'!BM204</f>
        <v>0</v>
      </c>
      <c r="DV204" s="733">
        <f>'BASE DE DATOS'!BN204</f>
        <v>0</v>
      </c>
      <c r="DW204" s="733">
        <f>'BASE DE DATOS'!BO204</f>
        <v>0</v>
      </c>
      <c r="DX204" s="733">
        <f>'BASE DE DATOS'!BP204</f>
        <v>0</v>
      </c>
      <c r="DY204" s="733">
        <f>'BASE DE DATOS'!BQ204</f>
        <v>0</v>
      </c>
      <c r="DZ204" s="733">
        <f>'BASE DE DATOS'!BR204</f>
        <v>0</v>
      </c>
      <c r="EA204" s="733">
        <f>'BASE DE DATOS'!BS204</f>
        <v>0</v>
      </c>
      <c r="EB204" s="733">
        <f>'BASE DE DATOS'!BT204</f>
        <v>0</v>
      </c>
    </row>
    <row r="205" spans="2:132">
      <c r="B205" s="734">
        <f>'BASE DE DATOS'!B205</f>
        <v>0</v>
      </c>
      <c r="C205" s="734">
        <f>'BASE DE DATOS'!C205</f>
        <v>0</v>
      </c>
      <c r="D205" s="734">
        <f>'BASE DE DATOS'!D205</f>
        <v>0</v>
      </c>
      <c r="E205" s="734">
        <f>'BASE DE DATOS'!E205</f>
        <v>0</v>
      </c>
      <c r="F205" s="734">
        <f>'BASE DE DATOS'!F205</f>
        <v>0</v>
      </c>
      <c r="G205" s="734">
        <f>'BASE DE DATOS'!G205</f>
        <v>0</v>
      </c>
      <c r="H205" s="734">
        <f>'BASE DE DATOS'!H205</f>
        <v>0</v>
      </c>
      <c r="I205" s="734">
        <f>'BASE DE DATOS'!I205</f>
        <v>0</v>
      </c>
      <c r="J205" s="734">
        <f>'BASE DE DATOS'!J205</f>
        <v>0</v>
      </c>
      <c r="K205" s="734">
        <f>'BASE DE DATOS'!K205</f>
        <v>0</v>
      </c>
      <c r="L205" s="734">
        <f>'BASE DE DATOS'!L205</f>
        <v>0</v>
      </c>
      <c r="M205" s="734">
        <f>'BASE DE DATOS'!M205</f>
        <v>0</v>
      </c>
      <c r="N205" s="734">
        <f>'BASE DE DATOS'!N205</f>
        <v>0</v>
      </c>
      <c r="O205" s="734">
        <f>'BASE DE DATOS'!O205</f>
        <v>0</v>
      </c>
      <c r="P205" s="734">
        <f>'BASE DE DATOS'!P205</f>
        <v>0</v>
      </c>
      <c r="Q205" s="734">
        <f>'BASE DE DATOS'!Q205</f>
        <v>0</v>
      </c>
      <c r="R205" s="734">
        <f>'BASE DE DATOS'!R205</f>
        <v>0</v>
      </c>
      <c r="S205" s="734">
        <f>'BASE DE DATOS'!S205</f>
        <v>0</v>
      </c>
      <c r="T205" s="734">
        <f>'BASE DE DATOS'!T205</f>
        <v>0</v>
      </c>
      <c r="U205" s="734">
        <f>'BASE DE DATOS'!U205</f>
        <v>0</v>
      </c>
      <c r="V205" s="734">
        <f>'BASE DE DATOS'!V205</f>
        <v>0</v>
      </c>
      <c r="W205" s="734">
        <f>'BASE DE DATOS'!W205</f>
        <v>0</v>
      </c>
      <c r="X205" s="734">
        <f>'BASE DE DATOS'!X205</f>
        <v>0</v>
      </c>
      <c r="Y205" s="734">
        <f>'BASE DE DATOS'!Y205</f>
        <v>0</v>
      </c>
      <c r="Z205" s="734">
        <f>'BASE DE DATOS'!Z205</f>
        <v>0</v>
      </c>
      <c r="AA205" s="734">
        <f>'BASE DE DATOS'!AA205</f>
        <v>0</v>
      </c>
      <c r="AB205" s="734">
        <f>'BASE DE DATOS'!AB205</f>
        <v>0</v>
      </c>
      <c r="AD205" s="734">
        <f>'BASE DE DATOS'!AD205</f>
        <v>0</v>
      </c>
      <c r="AE205" s="734">
        <f>'BASE DE DATOS'!AE205</f>
        <v>0</v>
      </c>
      <c r="AF205" s="734">
        <f>'BASE DE DATOS'!AF205</f>
        <v>0</v>
      </c>
      <c r="AG205" s="734">
        <f>'BASE DE DATOS'!AG205</f>
        <v>0</v>
      </c>
      <c r="AH205" s="734">
        <f>'BASE DE DATOS'!AH205</f>
        <v>0</v>
      </c>
      <c r="AI205" s="734">
        <f>'BASE DE DATOS'!AI205</f>
        <v>0</v>
      </c>
      <c r="AJ205" s="734">
        <f>'BASE DE DATOS'!AJ205</f>
        <v>0</v>
      </c>
      <c r="AK205" s="734">
        <f>'BASE DE DATOS'!AK205</f>
        <v>0</v>
      </c>
      <c r="AL205" s="734">
        <f>'BASE DE DATOS'!AL205</f>
        <v>0</v>
      </c>
      <c r="AM205" s="734">
        <f>'BASE DE DATOS'!AM205</f>
        <v>0</v>
      </c>
      <c r="AN205" s="734">
        <f>'BASE DE DATOS'!AN205</f>
        <v>0</v>
      </c>
      <c r="AO205" s="734">
        <f>'BASE DE DATOS'!AO205</f>
        <v>0</v>
      </c>
      <c r="AP205" s="734">
        <f>'BASE DE DATOS'!AP205</f>
        <v>0</v>
      </c>
      <c r="AR205" s="734">
        <f>'BASE DE DATOS'!AR205</f>
        <v>0</v>
      </c>
      <c r="AS205" s="734">
        <f>'BASE DE DATOS'!AS205</f>
        <v>0</v>
      </c>
      <c r="AT205" s="734">
        <f>'BASE DE DATOS'!AT205</f>
        <v>0</v>
      </c>
      <c r="AU205" s="734">
        <f>'BASE DE DATOS'!AU205</f>
        <v>0</v>
      </c>
      <c r="AV205" s="734">
        <f>'BASE DE DATOS'!AV205</f>
        <v>0</v>
      </c>
      <c r="AW205" s="734">
        <f>'BASE DE DATOS'!AW205</f>
        <v>0</v>
      </c>
      <c r="AX205" s="734">
        <f>'BASE DE DATOS'!AX205</f>
        <v>0</v>
      </c>
      <c r="AY205" s="734">
        <f>'BASE DE DATOS'!AY205</f>
        <v>0</v>
      </c>
      <c r="AZ205" s="734">
        <f>'BASE DE DATOS'!AZ205</f>
        <v>0</v>
      </c>
      <c r="BA205" s="734">
        <f>'BASE DE DATOS'!BA205</f>
        <v>0</v>
      </c>
      <c r="BB205" s="734">
        <f>'BASE DE DATOS'!BB205</f>
        <v>0</v>
      </c>
      <c r="BC205" s="734">
        <f>'BASE DE DATOS'!BC205</f>
        <v>0</v>
      </c>
      <c r="BD205" s="734">
        <f>'BASE DE DATOS'!BD205</f>
        <v>0</v>
      </c>
      <c r="BE205" s="734">
        <f>'BASE DE DATOS'!BE205</f>
        <v>0</v>
      </c>
      <c r="DO205" s="733">
        <f>'BASE DE DATOS'!BG205</f>
        <v>0</v>
      </c>
      <c r="DP205" s="733">
        <f>'BASE DE DATOS'!BH205</f>
        <v>0</v>
      </c>
      <c r="DQ205" s="733">
        <f>'BASE DE DATOS'!BI205</f>
        <v>0</v>
      </c>
      <c r="DR205" s="733">
        <f>'BASE DE DATOS'!BJ205</f>
        <v>0</v>
      </c>
      <c r="DS205" s="733">
        <f>'BASE DE DATOS'!BK205</f>
        <v>0</v>
      </c>
      <c r="DT205" s="733">
        <f>'BASE DE DATOS'!BL205</f>
        <v>0</v>
      </c>
      <c r="DU205" s="733">
        <f>'BASE DE DATOS'!BM205</f>
        <v>0</v>
      </c>
      <c r="DV205" s="733">
        <f>'BASE DE DATOS'!BN205</f>
        <v>0</v>
      </c>
      <c r="DW205" s="733">
        <f>'BASE DE DATOS'!BO205</f>
        <v>0</v>
      </c>
      <c r="DX205" s="733">
        <f>'BASE DE DATOS'!BP205</f>
        <v>0</v>
      </c>
      <c r="DY205" s="733">
        <f>'BASE DE DATOS'!BQ205</f>
        <v>0</v>
      </c>
      <c r="DZ205" s="733">
        <f>'BASE DE DATOS'!BR205</f>
        <v>0</v>
      </c>
      <c r="EA205" s="733">
        <f>'BASE DE DATOS'!BS205</f>
        <v>0</v>
      </c>
      <c r="EB205" s="733">
        <f>'BASE DE DATOS'!BT205</f>
        <v>0</v>
      </c>
    </row>
    <row r="418" ht="267" customHeight="1"/>
    <row r="419" ht="267" customHeight="1"/>
    <row r="420" ht="267" customHeight="1"/>
    <row r="421" ht="267" customHeight="1"/>
    <row r="422" ht="267" customHeight="1"/>
    <row r="423" ht="267" customHeight="1"/>
  </sheetData>
  <sheetProtection algorithmName="SHA-512" hashValue="G4r+8M3ZDWbjT3jE5+bV3IDiCefB14fhS9BJjwDlgOnl5y4GXMvNpLKc1iTvDitd3UbVabTuiRJ2GcRQTeiAlw==" saltValue="OZGO18FNcthGGHkf6ORMTw==" spinCount="100000" sheet="1" objects="1" scenarios="1" selectLockedCells="1" selectUnlockedCells="1"/>
  <sortState ref="GO2:GO46">
    <sortCondition ref="GO2"/>
  </sortState>
  <mergeCells count="110">
    <mergeCell ref="GP48:GQ48"/>
    <mergeCell ref="GT48:GU48"/>
    <mergeCell ref="GU102:GU103"/>
    <mergeCell ref="GY106:GY108"/>
    <mergeCell ref="GP45:GQ45"/>
    <mergeCell ref="GT45:GU45"/>
    <mergeCell ref="GY45:GY47"/>
    <mergeCell ref="GP46:GQ46"/>
    <mergeCell ref="GT46:GU46"/>
    <mergeCell ref="GP47:GQ47"/>
    <mergeCell ref="GT47:GU47"/>
    <mergeCell ref="GP50:GQ50"/>
    <mergeCell ref="GT50:GU50"/>
    <mergeCell ref="GO32:GP32"/>
    <mergeCell ref="GQ32:GQ38"/>
    <mergeCell ref="GS32:GU32"/>
    <mergeCell ref="GO41:GU42"/>
    <mergeCell ref="GX41:GX43"/>
    <mergeCell ref="GP43:GQ43"/>
    <mergeCell ref="GT43:GU43"/>
    <mergeCell ref="GQ18:GU18"/>
    <mergeCell ref="GO21:GU21"/>
    <mergeCell ref="GO22:GO24"/>
    <mergeCell ref="GR22:GR25"/>
    <mergeCell ref="GT22:GT25"/>
    <mergeCell ref="GU22:GU28"/>
    <mergeCell ref="GR26:GR28"/>
    <mergeCell ref="GT26:GT27"/>
    <mergeCell ref="GO10:GS10"/>
    <mergeCell ref="GQ12:GU12"/>
    <mergeCell ref="GQ13:GQ16"/>
    <mergeCell ref="GR13:GU16"/>
    <mergeCell ref="GQ17:GU17"/>
    <mergeCell ref="EU3:EV3"/>
    <mergeCell ref="EW3:EY3"/>
    <mergeCell ref="EZ3:FB3"/>
    <mergeCell ref="FC3:FE3"/>
    <mergeCell ref="EH11:EP11"/>
    <mergeCell ref="EH15:EP15"/>
    <mergeCell ref="ES3:ET3"/>
    <mergeCell ref="BG20:BH21"/>
    <mergeCell ref="DA2:DB2"/>
    <mergeCell ref="DE3:DG3"/>
    <mergeCell ref="BX2:CD2"/>
    <mergeCell ref="BN5:BN6"/>
    <mergeCell ref="BO5:BO6"/>
    <mergeCell ref="BG4:BO4"/>
    <mergeCell ref="BH5:BJ5"/>
    <mergeCell ref="BG2:BO2"/>
    <mergeCell ref="BG5:BG6"/>
    <mergeCell ref="BK5:BL6"/>
    <mergeCell ref="BM5:BM6"/>
    <mergeCell ref="ER2:FE2"/>
    <mergeCell ref="DO4:DP5"/>
    <mergeCell ref="BQ2:BV2"/>
    <mergeCell ref="CI10:CI11"/>
    <mergeCell ref="CF2:CY2"/>
    <mergeCell ref="CF3:CF4"/>
    <mergeCell ref="CI4:CI5"/>
    <mergeCell ref="CI7:CI8"/>
    <mergeCell ref="DH3:DJ3"/>
    <mergeCell ref="AD2:AP2"/>
    <mergeCell ref="AD4:AD5"/>
    <mergeCell ref="AR2:BE2"/>
    <mergeCell ref="AR4:AS5"/>
    <mergeCell ref="AB4:AB5"/>
    <mergeCell ref="B2:AB2"/>
    <mergeCell ref="Q4:Q5"/>
    <mergeCell ref="B4:B5"/>
    <mergeCell ref="C4:C5"/>
    <mergeCell ref="D4:D5"/>
    <mergeCell ref="E4:E5"/>
    <mergeCell ref="O4:P4"/>
    <mergeCell ref="I4:J4"/>
    <mergeCell ref="G4:G5"/>
    <mergeCell ref="S4:S5"/>
    <mergeCell ref="Z4:AA4"/>
    <mergeCell ref="DK3:DM3"/>
    <mergeCell ref="DD2:DM2"/>
    <mergeCell ref="ED3:EE3"/>
    <mergeCell ref="ED2:EF2"/>
    <mergeCell ref="DO2:EB2"/>
    <mergeCell ref="DO3:DP3"/>
    <mergeCell ref="EH2:EP2"/>
    <mergeCell ref="EH3:EP3"/>
    <mergeCell ref="EH7:EP7"/>
    <mergeCell ref="FG2:FI2"/>
    <mergeCell ref="FK2:GJ2"/>
    <mergeCell ref="FM3:GJ3"/>
    <mergeCell ref="FM4:FN4"/>
    <mergeCell ref="FO4:FR4"/>
    <mergeCell ref="FS4:FV4"/>
    <mergeCell ref="FW4:FZ4"/>
    <mergeCell ref="GA4:GD4"/>
    <mergeCell ref="GE4:GG4"/>
    <mergeCell ref="GH4:GJ4"/>
    <mergeCell ref="HH2:HN2"/>
    <mergeCell ref="GI6:GJ6"/>
    <mergeCell ref="FK3:FL6"/>
    <mergeCell ref="FW6:FX6"/>
    <mergeCell ref="FY6:FZ6"/>
    <mergeCell ref="GA6:GB6"/>
    <mergeCell ref="GC6:GD6"/>
    <mergeCell ref="GF6:GG6"/>
    <mergeCell ref="FM5:GJ5"/>
    <mergeCell ref="FO6:FP6"/>
    <mergeCell ref="FQ6:FR6"/>
    <mergeCell ref="FS6:FT6"/>
    <mergeCell ref="FU6:FV6"/>
    <mergeCell ref="GO4:GR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BX262"/>
  <sheetViews>
    <sheetView zoomScale="150" zoomScaleNormal="150" zoomScalePageLayoutView="20" workbookViewId="0">
      <selection sqref="A1:XFD1048576"/>
    </sheetView>
  </sheetViews>
  <sheetFormatPr baseColWidth="10" defaultColWidth="10.83203125" defaultRowHeight="16"/>
  <cols>
    <col min="1" max="1" width="10.83203125" style="24" customWidth="1"/>
    <col min="2" max="2" width="9.6640625" style="25" bestFit="1" customWidth="1"/>
    <col min="3" max="3" width="8" style="25" bestFit="1" customWidth="1"/>
    <col min="4" max="15" width="10.6640625" style="25" bestFit="1" customWidth="1"/>
    <col min="16" max="16" width="10.83203125" style="25"/>
    <col min="17" max="17" width="13.1640625" style="25" bestFit="1" customWidth="1"/>
    <col min="18" max="18" width="8" style="25" bestFit="1" customWidth="1"/>
    <col min="19" max="30" width="10.6640625" style="25" bestFit="1" customWidth="1"/>
    <col min="31" max="31" width="10.83203125" style="25"/>
    <col min="32" max="33" width="9" style="25" customWidth="1"/>
    <col min="34" max="34" width="14" style="25" bestFit="1" customWidth="1"/>
    <col min="35" max="44" width="15.1640625" style="25" bestFit="1" customWidth="1"/>
    <col min="45" max="45" width="14" style="25" bestFit="1" customWidth="1"/>
    <col min="46" max="46" width="10.83203125" style="25"/>
    <col min="47" max="48" width="9.6640625" style="25" customWidth="1"/>
    <col min="49" max="60" width="10.6640625" style="25" bestFit="1" customWidth="1"/>
    <col min="61" max="61" width="10.83203125" style="24"/>
    <col min="62" max="63" width="6.33203125" style="24" bestFit="1" customWidth="1"/>
    <col min="64" max="64" width="8.5" style="24" bestFit="1" customWidth="1"/>
    <col min="65" max="65" width="15.1640625" style="24" bestFit="1" customWidth="1"/>
    <col min="66" max="69" width="8.5" style="24" bestFit="1" customWidth="1"/>
    <col min="70" max="70" width="11.33203125" style="24" bestFit="1" customWidth="1"/>
    <col min="71" max="71" width="14.6640625" style="24" bestFit="1" customWidth="1"/>
    <col min="72" max="72" width="10.33203125" style="24" bestFit="1" customWidth="1"/>
    <col min="73" max="73" width="14.6640625" style="24" bestFit="1" customWidth="1"/>
    <col min="74" max="74" width="10.1640625" style="24" bestFit="1" customWidth="1"/>
    <col min="75" max="75" width="9.33203125" style="24" bestFit="1" customWidth="1"/>
    <col min="76" max="76" width="9.6640625" style="24" bestFit="1" customWidth="1"/>
    <col min="77" max="16384" width="10.83203125" style="25"/>
  </cols>
  <sheetData>
    <row r="1" spans="2:76" s="24" customFormat="1"/>
    <row r="2" spans="2:76" s="24" customFormat="1"/>
    <row r="3" spans="2:76" ht="30" customHeight="1">
      <c r="B3" s="1221" t="s">
        <v>1295</v>
      </c>
      <c r="C3" s="1221"/>
      <c r="D3" s="1221"/>
      <c r="E3" s="1221"/>
      <c r="F3" s="1221"/>
      <c r="G3" s="1221"/>
      <c r="H3" s="1221"/>
      <c r="I3" s="1221"/>
      <c r="J3" s="1221"/>
      <c r="K3" s="1221"/>
      <c r="L3" s="1221"/>
      <c r="M3" s="1221"/>
      <c r="N3" s="1221"/>
      <c r="O3" s="1221"/>
      <c r="P3" s="1221"/>
      <c r="Q3" s="1221"/>
      <c r="R3" s="1221"/>
      <c r="S3" s="1221"/>
      <c r="T3" s="1221"/>
      <c r="U3" s="1221"/>
      <c r="V3" s="1221"/>
      <c r="W3" s="1221"/>
      <c r="X3" s="1221"/>
      <c r="Y3" s="1221"/>
      <c r="Z3" s="1221"/>
      <c r="AA3" s="1221"/>
      <c r="AB3" s="1221"/>
      <c r="AC3" s="1221"/>
      <c r="AD3" s="1221"/>
      <c r="AE3" s="1221"/>
      <c r="AF3" s="1221"/>
      <c r="AG3" s="1221"/>
      <c r="AH3" s="1221"/>
      <c r="AI3" s="1221"/>
      <c r="AJ3" s="1221"/>
      <c r="AK3" s="1221"/>
      <c r="AL3" s="1221"/>
      <c r="AM3" s="1221"/>
      <c r="AN3" s="1221"/>
      <c r="AO3" s="1221"/>
      <c r="AP3" s="1221"/>
      <c r="AQ3" s="1221"/>
      <c r="AR3" s="1221"/>
      <c r="AS3" s="1221"/>
      <c r="AT3" s="1221"/>
      <c r="AU3" s="1221"/>
      <c r="AV3" s="1221"/>
      <c r="AW3" s="1221"/>
      <c r="AX3" s="1221"/>
      <c r="AY3" s="1221"/>
      <c r="AZ3" s="1221"/>
      <c r="BA3" s="1221"/>
      <c r="BB3" s="1221"/>
      <c r="BC3" s="1221"/>
      <c r="BD3" s="1221"/>
      <c r="BE3" s="1221"/>
      <c r="BF3" s="1221"/>
      <c r="BG3" s="1221"/>
      <c r="BH3" s="1221"/>
      <c r="BI3" s="1221"/>
      <c r="BJ3" s="1221"/>
      <c r="BK3" s="1221"/>
      <c r="BL3" s="1221"/>
      <c r="BM3" s="1221"/>
      <c r="BN3" s="1221"/>
      <c r="BO3" s="1221"/>
      <c r="BP3" s="1221"/>
      <c r="BQ3" s="1221"/>
      <c r="BR3" s="1221"/>
      <c r="BS3" s="1221"/>
      <c r="BT3" s="1221"/>
      <c r="BU3" s="1221"/>
      <c r="BV3" s="1221"/>
      <c r="BW3" s="1221"/>
      <c r="BX3" s="1221"/>
    </row>
    <row r="4" spans="2:76">
      <c r="B4" s="20"/>
      <c r="C4" s="20"/>
      <c r="D4" s="20"/>
      <c r="E4" s="21"/>
      <c r="F4" s="21"/>
      <c r="G4" s="21"/>
      <c r="H4" s="21"/>
      <c r="I4" s="20"/>
      <c r="J4" s="20"/>
      <c r="K4" s="20"/>
      <c r="L4" s="20"/>
      <c r="M4" s="20"/>
      <c r="N4" s="12"/>
      <c r="O4" s="20"/>
      <c r="P4" s="21"/>
      <c r="Q4" s="20"/>
      <c r="R4" s="20"/>
      <c r="S4" s="20"/>
      <c r="T4" s="20"/>
      <c r="U4" s="20"/>
      <c r="V4" s="20"/>
      <c r="W4" s="20"/>
      <c r="X4" s="20"/>
      <c r="Y4" s="20"/>
      <c r="Z4" s="20"/>
      <c r="AA4" s="20"/>
      <c r="AB4" s="20"/>
      <c r="AC4" s="20"/>
      <c r="AD4" s="20"/>
      <c r="AE4" s="21"/>
      <c r="AF4" s="20"/>
      <c r="AG4" s="20"/>
      <c r="AH4" s="20"/>
      <c r="AI4" s="20"/>
      <c r="AJ4" s="20"/>
      <c r="AK4" s="20"/>
      <c r="AL4" s="20"/>
      <c r="AM4" s="20"/>
      <c r="AN4" s="20"/>
      <c r="AO4" s="20"/>
      <c r="AP4" s="20"/>
      <c r="AQ4" s="20"/>
      <c r="AR4" s="20"/>
      <c r="AS4" s="20"/>
      <c r="AT4" s="21"/>
      <c r="AU4" s="21"/>
      <c r="AV4" s="21"/>
      <c r="AW4" s="21"/>
      <c r="AX4" s="21"/>
      <c r="AY4" s="21"/>
      <c r="AZ4" s="21"/>
      <c r="BA4" s="21"/>
      <c r="BB4" s="21"/>
      <c r="BC4" s="21"/>
      <c r="BD4" s="21"/>
      <c r="BE4" s="21"/>
      <c r="BF4" s="21"/>
      <c r="BG4" s="21"/>
      <c r="BH4" s="21"/>
    </row>
    <row r="5" spans="2:76">
      <c r="B5" s="1262" t="s">
        <v>899</v>
      </c>
      <c r="C5" s="1263"/>
      <c r="D5" s="1264"/>
      <c r="E5" s="6"/>
      <c r="F5" s="24"/>
      <c r="G5" s="24"/>
      <c r="H5" s="24"/>
      <c r="I5" s="1262" t="s">
        <v>900</v>
      </c>
      <c r="J5" s="1263"/>
      <c r="K5" s="1263"/>
      <c r="L5" s="1263"/>
      <c r="M5" s="1263"/>
      <c r="N5" s="1263"/>
      <c r="O5" s="1264"/>
      <c r="P5" s="26"/>
      <c r="Q5" s="27" t="s">
        <v>209</v>
      </c>
      <c r="R5" s="28" t="s">
        <v>970</v>
      </c>
      <c r="S5" s="28">
        <v>0</v>
      </c>
      <c r="T5" s="1250"/>
      <c r="U5" s="1251"/>
      <c r="V5" s="1251"/>
      <c r="W5" s="1251"/>
      <c r="X5" s="1251"/>
      <c r="Y5" s="1251"/>
      <c r="Z5" s="1251"/>
      <c r="AA5" s="1251"/>
      <c r="AB5" s="1251"/>
      <c r="AC5" s="1251"/>
      <c r="AD5" s="1252"/>
      <c r="AE5" s="26"/>
      <c r="AF5" s="1242" t="s">
        <v>938</v>
      </c>
      <c r="AG5" s="1242"/>
      <c r="AH5" s="29">
        <f t="shared" ref="AH5:AS5" si="0">(23.45*$BX$8*SIN(2*PI()*(AH14+284)/365))</f>
        <v>-0.37122234990040354</v>
      </c>
      <c r="AI5" s="29">
        <f t="shared" si="0"/>
        <v>-0.23193953024048516</v>
      </c>
      <c r="AJ5" s="29">
        <f t="shared" si="0"/>
        <v>-4.9198713707109765E-2</v>
      </c>
      <c r="AK5" s="29">
        <f t="shared" si="0"/>
        <v>0.1643208876271659</v>
      </c>
      <c r="AL5" s="29">
        <f t="shared" si="0"/>
        <v>0.32798083344699769</v>
      </c>
      <c r="AM5" s="29">
        <f t="shared" si="0"/>
        <v>0.40691321620538912</v>
      </c>
      <c r="AN5" s="29">
        <f t="shared" si="0"/>
        <v>0.37554836000057829</v>
      </c>
      <c r="AO5" s="29">
        <f t="shared" si="0"/>
        <v>0.24056857736111795</v>
      </c>
      <c r="AP5" s="29">
        <f t="shared" si="0"/>
        <v>3.8691973511018649E-2</v>
      </c>
      <c r="AQ5" s="29">
        <f t="shared" si="0"/>
        <v>-0.1675410879440869</v>
      </c>
      <c r="AR5" s="29">
        <f t="shared" si="0"/>
        <v>-0.33419245656714941</v>
      </c>
      <c r="AS5" s="29">
        <f t="shared" si="0"/>
        <v>-0.40791226587289642</v>
      </c>
      <c r="AT5" s="6"/>
      <c r="AU5" s="1233" t="s">
        <v>924</v>
      </c>
      <c r="AV5" s="1234"/>
      <c r="AW5" s="1222" t="s">
        <v>1460</v>
      </c>
      <c r="AX5" s="1223"/>
      <c r="AY5" s="1223"/>
      <c r="AZ5" s="1223"/>
      <c r="BA5" s="1223"/>
      <c r="BB5" s="1223"/>
      <c r="BC5" s="1223"/>
      <c r="BD5" s="1223"/>
      <c r="BE5" s="1223"/>
      <c r="BF5" s="1223"/>
      <c r="BG5" s="1223"/>
      <c r="BH5" s="1224"/>
      <c r="BK5" s="1237" t="s">
        <v>1296</v>
      </c>
      <c r="BL5" s="1237"/>
      <c r="BM5" s="1237"/>
      <c r="BN5" s="1237"/>
      <c r="BO5" s="1237"/>
      <c r="BP5" s="1237"/>
      <c r="BQ5" s="1237"/>
      <c r="BR5" s="1237"/>
      <c r="BS5" s="1237"/>
      <c r="BT5" s="1237"/>
      <c r="BU5" s="1237"/>
      <c r="BV5" s="1237"/>
      <c r="BW5" s="1237"/>
      <c r="BX5" s="1237"/>
    </row>
    <row r="6" spans="2:76">
      <c r="B6" s="1265" t="s">
        <v>814</v>
      </c>
      <c r="C6" s="1266"/>
      <c r="D6" s="30">
        <f>(ENERGÍA!F5)*-1</f>
        <v>0</v>
      </c>
      <c r="E6" s="2"/>
      <c r="F6" s="24"/>
      <c r="G6" s="24"/>
      <c r="H6" s="24"/>
      <c r="I6" s="1265" t="s">
        <v>901</v>
      </c>
      <c r="J6" s="1267"/>
      <c r="K6" s="1266"/>
      <c r="L6" s="31" t="e">
        <f>VLOOKUP(ENERGÍA!C37,Q5:S20,3,FALSE)</f>
        <v>#N/A</v>
      </c>
      <c r="M6" s="31" t="s">
        <v>846</v>
      </c>
      <c r="N6" s="32" t="s">
        <v>985</v>
      </c>
      <c r="O6" s="31">
        <f>VLOOKUP(DATOS!C11,CLIMA,17,FALSE)</f>
        <v>0</v>
      </c>
      <c r="P6" s="5"/>
      <c r="Q6" s="33" t="s">
        <v>553</v>
      </c>
      <c r="R6" s="10" t="s">
        <v>971</v>
      </c>
      <c r="S6" s="10">
        <f t="shared" ref="S6:S20" si="1">S5+22.5</f>
        <v>22.5</v>
      </c>
      <c r="T6" s="1253"/>
      <c r="U6" s="1254"/>
      <c r="V6" s="1254"/>
      <c r="W6" s="1254"/>
      <c r="X6" s="1254"/>
      <c r="Y6" s="1254"/>
      <c r="Z6" s="1254"/>
      <c r="AA6" s="1254"/>
      <c r="AB6" s="1254"/>
      <c r="AC6" s="1254"/>
      <c r="AD6" s="1255"/>
      <c r="AE6" s="26"/>
      <c r="AF6" s="2"/>
      <c r="AG6" s="2"/>
      <c r="AH6" s="2"/>
      <c r="AI6" s="2"/>
      <c r="AJ6" s="2"/>
      <c r="AK6" s="2"/>
      <c r="AL6" s="2"/>
      <c r="AM6" s="2"/>
      <c r="AN6" s="2"/>
      <c r="AO6" s="2"/>
      <c r="AP6" s="2"/>
      <c r="AQ6" s="2"/>
      <c r="AR6" s="2"/>
      <c r="AS6" s="2"/>
      <c r="AT6" s="2"/>
      <c r="AU6" s="34"/>
      <c r="AV6" s="34"/>
      <c r="AW6" s="35">
        <f t="shared" ref="AW6:BH6" si="2">(116.8992*(1+0.033*COS(2*PI()*AH$14/365))/PI())*(COS($BM$8)*COS(AH$5)*SIN(AH$8)+AH$8*SIN($BM$8)*SIN(AH$5))*0.975</f>
        <v>34.887396296283413</v>
      </c>
      <c r="AX6" s="35">
        <f t="shared" si="2"/>
        <v>36.126997108709496</v>
      </c>
      <c r="AY6" s="35">
        <f t="shared" si="2"/>
        <v>36.585905754071405</v>
      </c>
      <c r="AZ6" s="35">
        <f t="shared" si="2"/>
        <v>35.514254309248621</v>
      </c>
      <c r="BA6" s="35">
        <f t="shared" si="2"/>
        <v>33.57083863368964</v>
      </c>
      <c r="BB6" s="35">
        <f t="shared" si="2"/>
        <v>32.26212218030475</v>
      </c>
      <c r="BC6" s="35">
        <f t="shared" si="2"/>
        <v>32.667590187713877</v>
      </c>
      <c r="BD6" s="35">
        <f t="shared" si="2"/>
        <v>34.397188929331932</v>
      </c>
      <c r="BE6" s="35">
        <f t="shared" si="2"/>
        <v>35.932366107545164</v>
      </c>
      <c r="BF6" s="35">
        <f t="shared" si="2"/>
        <v>36.05859542039429</v>
      </c>
      <c r="BG6" s="35">
        <f t="shared" si="2"/>
        <v>35.067307471687123</v>
      </c>
      <c r="BH6" s="35">
        <f t="shared" si="2"/>
        <v>34.365757107786649</v>
      </c>
      <c r="BK6" s="21"/>
      <c r="BL6" s="21"/>
      <c r="BM6" s="21"/>
      <c r="BN6" s="21"/>
      <c r="BO6" s="21"/>
      <c r="BP6" s="21"/>
      <c r="BQ6" s="21"/>
      <c r="BR6" s="21"/>
      <c r="BS6" s="21"/>
      <c r="BT6" s="21"/>
      <c r="BU6" s="21"/>
      <c r="BV6" s="21"/>
      <c r="BW6" s="21"/>
      <c r="BX6" s="21"/>
    </row>
    <row r="7" spans="2:76">
      <c r="B7" s="1233" t="s">
        <v>902</v>
      </c>
      <c r="C7" s="1234"/>
      <c r="D7" s="3">
        <f>ENERGÍA!F4</f>
        <v>0</v>
      </c>
      <c r="E7" s="2"/>
      <c r="F7" s="24"/>
      <c r="G7" s="24"/>
      <c r="H7" s="24"/>
      <c r="I7" s="1233" t="s">
        <v>903</v>
      </c>
      <c r="J7" s="1238"/>
      <c r="K7" s="1234"/>
      <c r="L7" s="4">
        <v>90</v>
      </c>
      <c r="M7" s="4" t="s">
        <v>846</v>
      </c>
      <c r="N7" s="10" t="s">
        <v>904</v>
      </c>
      <c r="O7" s="10" t="s">
        <v>905</v>
      </c>
      <c r="P7" s="5"/>
      <c r="Q7" s="33" t="s">
        <v>210</v>
      </c>
      <c r="R7" s="10" t="s">
        <v>972</v>
      </c>
      <c r="S7" s="10">
        <f t="shared" si="1"/>
        <v>45</v>
      </c>
      <c r="T7" s="1253"/>
      <c r="U7" s="1254"/>
      <c r="V7" s="1254"/>
      <c r="W7" s="1254"/>
      <c r="X7" s="1254"/>
      <c r="Y7" s="1254"/>
      <c r="Z7" s="1254"/>
      <c r="AA7" s="1254"/>
      <c r="AB7" s="1254"/>
      <c r="AC7" s="1254"/>
      <c r="AD7" s="1255"/>
      <c r="AE7" s="26"/>
      <c r="AF7" s="1246" t="s">
        <v>941</v>
      </c>
      <c r="AG7" s="1246"/>
      <c r="AH7" s="1246"/>
      <c r="AI7" s="1246"/>
      <c r="AJ7" s="1246"/>
      <c r="AK7" s="1246"/>
      <c r="AL7" s="1246"/>
      <c r="AM7" s="1246"/>
      <c r="AN7" s="1246"/>
      <c r="AO7" s="1246"/>
      <c r="AP7" s="1246"/>
      <c r="AQ7" s="1246"/>
      <c r="AR7" s="1246"/>
      <c r="AS7" s="1246"/>
      <c r="AT7" s="2"/>
      <c r="AU7" s="1259" t="s">
        <v>940</v>
      </c>
      <c r="AV7" s="1260"/>
      <c r="AW7" s="1260"/>
      <c r="AX7" s="1260"/>
      <c r="AY7" s="1260"/>
      <c r="AZ7" s="1260"/>
      <c r="BA7" s="1260"/>
      <c r="BB7" s="1260"/>
      <c r="BC7" s="1260"/>
      <c r="BD7" s="1260"/>
      <c r="BE7" s="1260"/>
      <c r="BF7" s="1260"/>
      <c r="BG7" s="1260"/>
      <c r="BH7" s="1261"/>
      <c r="BK7" s="1239" t="s">
        <v>899</v>
      </c>
      <c r="BL7" s="1240"/>
      <c r="BM7" s="1241"/>
      <c r="BN7" s="2"/>
      <c r="BO7" s="1239" t="s">
        <v>900</v>
      </c>
      <c r="BP7" s="1240"/>
      <c r="BQ7" s="1241"/>
      <c r="BR7" s="36" t="e">
        <f>L6</f>
        <v>#N/A</v>
      </c>
      <c r="BS7" s="36" t="e">
        <f>IF(L6+90&gt;=360,L6-270,L6+90)</f>
        <v>#N/A</v>
      </c>
      <c r="BT7" s="36" t="e">
        <f>IF((L6+180)&gt;=360,L6-180,L6+180)</f>
        <v>#N/A</v>
      </c>
      <c r="BU7" s="36" t="e">
        <f>IF((L6+270)&gt;=360,L6-90,L6+270)</f>
        <v>#N/A</v>
      </c>
      <c r="BV7" s="2"/>
      <c r="BW7" s="1245" t="s">
        <v>909</v>
      </c>
      <c r="BX7" s="1245"/>
    </row>
    <row r="8" spans="2:76">
      <c r="B8" s="1233" t="s">
        <v>906</v>
      </c>
      <c r="C8" s="1234"/>
      <c r="D8" s="4">
        <f>VLOOKUP(ENERGÍA!C4,CLIMA,4,FALSE)</f>
        <v>0</v>
      </c>
      <c r="E8" s="37"/>
      <c r="F8" s="24"/>
      <c r="G8" s="24"/>
      <c r="H8" s="24"/>
      <c r="I8" s="12"/>
      <c r="J8" s="12"/>
      <c r="K8" s="12"/>
      <c r="L8" s="12"/>
      <c r="M8" s="12"/>
      <c r="N8" s="12"/>
      <c r="O8" s="12"/>
      <c r="P8" s="38"/>
      <c r="Q8" s="33" t="s">
        <v>554</v>
      </c>
      <c r="R8" s="10" t="s">
        <v>973</v>
      </c>
      <c r="S8" s="10">
        <f t="shared" si="1"/>
        <v>67.5</v>
      </c>
      <c r="T8" s="1253"/>
      <c r="U8" s="1254"/>
      <c r="V8" s="1254"/>
      <c r="W8" s="1254"/>
      <c r="X8" s="1254"/>
      <c r="Y8" s="1254"/>
      <c r="Z8" s="1254"/>
      <c r="AA8" s="1254"/>
      <c r="AB8" s="1254"/>
      <c r="AC8" s="1254"/>
      <c r="AD8" s="1255"/>
      <c r="AE8" s="39"/>
      <c r="AF8" s="1232" t="s">
        <v>943</v>
      </c>
      <c r="AG8" s="1232"/>
      <c r="AH8" s="40">
        <f t="shared" ref="AH8:AS8" si="3">ACOS(-TAN($BM$8)*TAN(AH5))</f>
        <v>1.5707963267948966</v>
      </c>
      <c r="AI8" s="40">
        <f t="shared" si="3"/>
        <v>1.5707963267948966</v>
      </c>
      <c r="AJ8" s="40">
        <f t="shared" si="3"/>
        <v>1.5707963267948966</v>
      </c>
      <c r="AK8" s="40">
        <f t="shared" si="3"/>
        <v>1.5707963267948966</v>
      </c>
      <c r="AL8" s="40">
        <f t="shared" si="3"/>
        <v>1.5707963267948966</v>
      </c>
      <c r="AM8" s="40">
        <f t="shared" si="3"/>
        <v>1.5707963267948966</v>
      </c>
      <c r="AN8" s="40">
        <f t="shared" si="3"/>
        <v>1.5707963267948966</v>
      </c>
      <c r="AO8" s="40">
        <f t="shared" si="3"/>
        <v>1.5707963267948966</v>
      </c>
      <c r="AP8" s="40">
        <f t="shared" si="3"/>
        <v>1.5707963267948966</v>
      </c>
      <c r="AQ8" s="40">
        <f t="shared" si="3"/>
        <v>1.5707963267948966</v>
      </c>
      <c r="AR8" s="40">
        <f t="shared" si="3"/>
        <v>1.5707963267948966</v>
      </c>
      <c r="AS8" s="40">
        <f t="shared" si="3"/>
        <v>1.5707963267948966</v>
      </c>
      <c r="AT8" s="37"/>
      <c r="AU8" s="1233" t="s">
        <v>942</v>
      </c>
      <c r="AV8" s="1234"/>
      <c r="AW8" s="35">
        <f t="shared" ref="AW8:BH8" si="4">AW6*BL$85</f>
        <v>-104.96141808688346</v>
      </c>
      <c r="AX8" s="35">
        <f t="shared" si="4"/>
        <v>-108.69085258032989</v>
      </c>
      <c r="AY8" s="35">
        <f t="shared" si="4"/>
        <v>-110.07151457586689</v>
      </c>
      <c r="AZ8" s="35">
        <f t="shared" si="4"/>
        <v>-106.84736868695629</v>
      </c>
      <c r="BA8" s="35">
        <f t="shared" si="4"/>
        <v>-101.00045298403008</v>
      </c>
      <c r="BB8" s="35">
        <f t="shared" si="4"/>
        <v>-97.063078762854715</v>
      </c>
      <c r="BC8" s="35">
        <f t="shared" si="4"/>
        <v>-98.282960484181643</v>
      </c>
      <c r="BD8" s="35">
        <f t="shared" si="4"/>
        <v>-103.48659147744267</v>
      </c>
      <c r="BE8" s="35">
        <f t="shared" si="4"/>
        <v>-108.1052902267399</v>
      </c>
      <c r="BF8" s="35">
        <f t="shared" si="4"/>
        <v>25.866102654068239</v>
      </c>
      <c r="BG8" s="35">
        <f t="shared" si="4"/>
        <v>-105.50269471124602</v>
      </c>
      <c r="BH8" s="35">
        <f t="shared" si="4"/>
        <v>-103.39202642207343</v>
      </c>
      <c r="BK8" s="1233" t="s">
        <v>814</v>
      </c>
      <c r="BL8" s="1234"/>
      <c r="BM8" s="4">
        <f>D6*BX8</f>
        <v>0</v>
      </c>
      <c r="BN8" s="37"/>
      <c r="BO8" s="1233" t="s">
        <v>901</v>
      </c>
      <c r="BP8" s="1238"/>
      <c r="BQ8" s="1234"/>
      <c r="BR8" s="3" t="e">
        <f>PI()-L6*BX8</f>
        <v>#N/A</v>
      </c>
      <c r="BS8" s="3" t="e">
        <f>IF(L6+90&gt;=360,PI()-(L6-270)*BX8,PI()-(L6+90)*BX8)</f>
        <v>#N/A</v>
      </c>
      <c r="BT8" s="3" t="e">
        <f>IF((L6+180)&gt;=360,PI()-(L6-180)*BX8,PI()-(L6+180)*BX8)</f>
        <v>#N/A</v>
      </c>
      <c r="BU8" s="3" t="e">
        <f>IF((L6+270)&gt;=360,PI()-(L6-90)*BX8,PI()-(L6+270)*BX8)</f>
        <v>#N/A</v>
      </c>
      <c r="BV8" s="37"/>
      <c r="BW8" s="4" t="s">
        <v>911</v>
      </c>
      <c r="BX8" s="41">
        <f>PI()/180</f>
        <v>1.7453292519943295E-2</v>
      </c>
    </row>
    <row r="9" spans="2:76">
      <c r="B9" s="1233" t="s">
        <v>907</v>
      </c>
      <c r="C9" s="1234"/>
      <c r="D9" s="13">
        <v>15</v>
      </c>
      <c r="E9" s="2"/>
      <c r="F9" s="24"/>
      <c r="G9" s="24"/>
      <c r="H9" s="24"/>
      <c r="I9" s="1233" t="s">
        <v>1297</v>
      </c>
      <c r="J9" s="1238"/>
      <c r="K9" s="1234"/>
      <c r="L9" s="13" t="s">
        <v>913</v>
      </c>
      <c r="M9" s="1233" t="s">
        <v>914</v>
      </c>
      <c r="N9" s="1238"/>
      <c r="O9" s="1234"/>
      <c r="P9" s="5"/>
      <c r="Q9" s="33" t="s">
        <v>555</v>
      </c>
      <c r="R9" s="10" t="s">
        <v>974</v>
      </c>
      <c r="S9" s="10">
        <f t="shared" si="1"/>
        <v>90</v>
      </c>
      <c r="T9" s="1253"/>
      <c r="U9" s="1254"/>
      <c r="V9" s="1254"/>
      <c r="W9" s="1254"/>
      <c r="X9" s="1254"/>
      <c r="Y9" s="1254"/>
      <c r="Z9" s="1254"/>
      <c r="AA9" s="1254"/>
      <c r="AB9" s="1254"/>
      <c r="AC9" s="1254"/>
      <c r="AD9" s="1255"/>
      <c r="AE9" s="26"/>
      <c r="AF9" s="1232" t="s">
        <v>946</v>
      </c>
      <c r="AG9" s="1232"/>
      <c r="AH9" s="4">
        <f t="shared" ref="AH9:AS9" si="5">-ACOS(-TAN($BM$8)*TAN(AH5))</f>
        <v>-1.5707963267948966</v>
      </c>
      <c r="AI9" s="4">
        <f t="shared" si="5"/>
        <v>-1.5707963267948966</v>
      </c>
      <c r="AJ9" s="4">
        <f t="shared" si="5"/>
        <v>-1.5707963267948966</v>
      </c>
      <c r="AK9" s="4">
        <f t="shared" si="5"/>
        <v>-1.5707963267948966</v>
      </c>
      <c r="AL9" s="4">
        <f t="shared" si="5"/>
        <v>-1.5707963267948966</v>
      </c>
      <c r="AM9" s="4">
        <f t="shared" si="5"/>
        <v>-1.5707963267948966</v>
      </c>
      <c r="AN9" s="4">
        <f t="shared" si="5"/>
        <v>-1.5707963267948966</v>
      </c>
      <c r="AO9" s="4">
        <f t="shared" si="5"/>
        <v>-1.5707963267948966</v>
      </c>
      <c r="AP9" s="4">
        <f t="shared" si="5"/>
        <v>-1.5707963267948966</v>
      </c>
      <c r="AQ9" s="4">
        <f t="shared" si="5"/>
        <v>-1.5707963267948966</v>
      </c>
      <c r="AR9" s="4">
        <f t="shared" si="5"/>
        <v>-1.5707963267948966</v>
      </c>
      <c r="AS9" s="4">
        <f t="shared" si="5"/>
        <v>-1.5707963267948966</v>
      </c>
      <c r="AT9" s="2"/>
      <c r="AU9" s="1227" t="s">
        <v>944</v>
      </c>
      <c r="AV9" s="1228"/>
      <c r="AW9" s="3">
        <f t="shared" ref="AW9:BH9" si="6">BL86</f>
        <v>2356.3208035169259</v>
      </c>
      <c r="AX9" s="3">
        <f t="shared" si="6"/>
        <v>2356.3208035169259</v>
      </c>
      <c r="AY9" s="3">
        <f t="shared" si="6"/>
        <v>2356.3208035169259</v>
      </c>
      <c r="AZ9" s="3">
        <f t="shared" si="6"/>
        <v>2356.3208035169259</v>
      </c>
      <c r="BA9" s="3">
        <f t="shared" si="6"/>
        <v>2356.3208035169259</v>
      </c>
      <c r="BB9" s="3">
        <f t="shared" si="6"/>
        <v>2356.3208035169259</v>
      </c>
      <c r="BC9" s="3">
        <f t="shared" si="6"/>
        <v>2356.3208035169259</v>
      </c>
      <c r="BD9" s="3">
        <f t="shared" si="6"/>
        <v>2356.3208035169259</v>
      </c>
      <c r="BE9" s="3">
        <f t="shared" si="6"/>
        <v>2356.3208035169259</v>
      </c>
      <c r="BF9" s="3">
        <f t="shared" si="6"/>
        <v>0.19097602751892101</v>
      </c>
      <c r="BG9" s="3">
        <f t="shared" si="6"/>
        <v>2356.3208035169259</v>
      </c>
      <c r="BH9" s="3">
        <f t="shared" si="6"/>
        <v>2356.3208035169259</v>
      </c>
      <c r="BK9" s="1233" t="s">
        <v>902</v>
      </c>
      <c r="BL9" s="1234"/>
      <c r="BM9" s="4">
        <f>D7*BX8</f>
        <v>0</v>
      </c>
      <c r="BN9" s="2"/>
      <c r="BO9" s="1233" t="s">
        <v>903</v>
      </c>
      <c r="BP9" s="1238"/>
      <c r="BQ9" s="1234"/>
      <c r="BR9" s="3">
        <f>L7*BX8</f>
        <v>1.5707963267948966</v>
      </c>
      <c r="BS9" s="3"/>
      <c r="BT9" s="3"/>
      <c r="BU9" s="3"/>
      <c r="BV9" s="2"/>
      <c r="BW9" s="4" t="s">
        <v>915</v>
      </c>
      <c r="BX9" s="41">
        <f>180/PI()</f>
        <v>57.295779513082323</v>
      </c>
    </row>
    <row r="10" spans="2:76">
      <c r="B10" s="1227" t="s">
        <v>910</v>
      </c>
      <c r="C10" s="1228"/>
      <c r="D10" s="13">
        <v>0.25</v>
      </c>
      <c r="E10" s="2"/>
      <c r="F10" s="12"/>
      <c r="G10" s="24"/>
      <c r="H10" s="24"/>
      <c r="I10" s="24"/>
      <c r="J10" s="24"/>
      <c r="K10" s="24"/>
      <c r="L10" s="24"/>
      <c r="M10" s="24"/>
      <c r="N10" s="12"/>
      <c r="O10" s="12"/>
      <c r="P10" s="5"/>
      <c r="Q10" s="33" t="s">
        <v>556</v>
      </c>
      <c r="R10" s="10" t="s">
        <v>975</v>
      </c>
      <c r="S10" s="10">
        <f t="shared" si="1"/>
        <v>112.5</v>
      </c>
      <c r="T10" s="1253"/>
      <c r="U10" s="1254"/>
      <c r="V10" s="1254"/>
      <c r="W10" s="1254"/>
      <c r="X10" s="1254"/>
      <c r="Y10" s="1254"/>
      <c r="Z10" s="1254"/>
      <c r="AA10" s="1254"/>
      <c r="AB10" s="1254"/>
      <c r="AC10" s="1254"/>
      <c r="AD10" s="1255"/>
      <c r="AE10" s="26"/>
      <c r="AF10" s="1242" t="s">
        <v>948</v>
      </c>
      <c r="AG10" s="1242"/>
      <c r="AH10" s="42">
        <f t="shared" ref="AH10:AS10" si="7">AH8*$BX$9/15</f>
        <v>6</v>
      </c>
      <c r="AI10" s="42">
        <f t="shared" si="7"/>
        <v>6</v>
      </c>
      <c r="AJ10" s="42">
        <f t="shared" si="7"/>
        <v>6</v>
      </c>
      <c r="AK10" s="42">
        <f t="shared" si="7"/>
        <v>6</v>
      </c>
      <c r="AL10" s="42">
        <f t="shared" si="7"/>
        <v>6</v>
      </c>
      <c r="AM10" s="42">
        <f t="shared" si="7"/>
        <v>6</v>
      </c>
      <c r="AN10" s="42">
        <f t="shared" si="7"/>
        <v>6</v>
      </c>
      <c r="AO10" s="42">
        <f t="shared" si="7"/>
        <v>6</v>
      </c>
      <c r="AP10" s="42">
        <f t="shared" si="7"/>
        <v>6</v>
      </c>
      <c r="AQ10" s="42">
        <f t="shared" si="7"/>
        <v>6</v>
      </c>
      <c r="AR10" s="42">
        <f t="shared" si="7"/>
        <v>6</v>
      </c>
      <c r="AS10" s="42">
        <f t="shared" si="7"/>
        <v>6</v>
      </c>
      <c r="AT10" s="2"/>
      <c r="AU10" s="1233" t="s">
        <v>947</v>
      </c>
      <c r="AV10" s="1234"/>
      <c r="AW10" s="29">
        <f t="shared" ref="AW10:BH10" si="8">AW8*AW9</f>
        <v>-247322.77300476123</v>
      </c>
      <c r="AX10" s="29">
        <f t="shared" si="8"/>
        <v>-256110.51708702266</v>
      </c>
      <c r="AY10" s="29">
        <f t="shared" si="8"/>
        <v>-259363.79966973167</v>
      </c>
      <c r="AZ10" s="29">
        <f t="shared" si="8"/>
        <v>-251766.67763811807</v>
      </c>
      <c r="BA10" s="29">
        <f t="shared" si="8"/>
        <v>-237989.46853090325</v>
      </c>
      <c r="BB10" s="29">
        <f t="shared" si="8"/>
        <v>-228711.7517423165</v>
      </c>
      <c r="BC10" s="29">
        <f t="shared" si="8"/>
        <v>-231586.18442010917</v>
      </c>
      <c r="BD10" s="29">
        <f t="shared" si="8"/>
        <v>-243847.60838335557</v>
      </c>
      <c r="BE10" s="29">
        <f t="shared" si="8"/>
        <v>-254730.74433150224</v>
      </c>
      <c r="BF10" s="29">
        <f t="shared" si="8"/>
        <v>4.9398055322705714</v>
      </c>
      <c r="BG10" s="29">
        <f t="shared" si="8"/>
        <v>-248598.19437520416</v>
      </c>
      <c r="BH10" s="29">
        <f t="shared" si="8"/>
        <v>-243624.7827761033</v>
      </c>
      <c r="BI10" s="2"/>
      <c r="BK10" s="12"/>
      <c r="BL10" s="12"/>
      <c r="BM10" s="12"/>
      <c r="BN10" s="2"/>
      <c r="BO10" s="1233" t="s">
        <v>908</v>
      </c>
      <c r="BP10" s="1238"/>
      <c r="BQ10" s="1234"/>
      <c r="BR10" s="4">
        <f>L9/8</f>
        <v>5459.875</v>
      </c>
      <c r="BS10" s="12"/>
      <c r="BT10" s="12"/>
      <c r="BU10" s="12"/>
      <c r="BV10" s="2"/>
      <c r="BW10" s="8"/>
      <c r="BX10" s="2"/>
    </row>
    <row r="11" spans="2:76">
      <c r="B11" s="1227" t="s">
        <v>912</v>
      </c>
      <c r="C11" s="1228"/>
      <c r="D11" s="13" t="s">
        <v>723</v>
      </c>
      <c r="E11" s="13">
        <v>0.75</v>
      </c>
      <c r="F11" s="12"/>
      <c r="G11" s="24"/>
      <c r="H11" s="24"/>
      <c r="I11" s="24"/>
      <c r="J11" s="24"/>
      <c r="K11" s="24"/>
      <c r="L11" s="24"/>
      <c r="M11" s="24"/>
      <c r="N11" s="12"/>
      <c r="O11" s="12"/>
      <c r="P11" s="5"/>
      <c r="Q11" s="33" t="s">
        <v>212</v>
      </c>
      <c r="R11" s="10" t="s">
        <v>196</v>
      </c>
      <c r="S11" s="10">
        <f t="shared" si="1"/>
        <v>135</v>
      </c>
      <c r="T11" s="1253"/>
      <c r="U11" s="1254"/>
      <c r="V11" s="1254"/>
      <c r="W11" s="1254"/>
      <c r="X11" s="1254"/>
      <c r="Y11" s="1254"/>
      <c r="Z11" s="1254"/>
      <c r="AA11" s="1254"/>
      <c r="AB11" s="1254"/>
      <c r="AC11" s="1254"/>
      <c r="AD11" s="1255"/>
      <c r="AE11" s="12"/>
      <c r="AF11" s="2"/>
      <c r="AG11" s="2"/>
      <c r="AH11" s="2"/>
      <c r="AI11" s="2"/>
      <c r="AJ11" s="2"/>
      <c r="AK11" s="2"/>
      <c r="AL11" s="2"/>
      <c r="AM11" s="2"/>
      <c r="AN11" s="2"/>
      <c r="AO11" s="2"/>
      <c r="AP11" s="2"/>
      <c r="AQ11" s="2"/>
      <c r="AR11" s="2"/>
      <c r="AS11" s="2"/>
      <c r="AT11" s="2"/>
      <c r="AU11" s="1259" t="str">
        <f>BK97</f>
        <v>Claro</v>
      </c>
      <c r="AV11" s="1260"/>
      <c r="AW11" s="1260"/>
      <c r="AX11" s="1260"/>
      <c r="AY11" s="1260"/>
      <c r="AZ11" s="1260"/>
      <c r="BA11" s="1260"/>
      <c r="BB11" s="1260"/>
      <c r="BC11" s="1260"/>
      <c r="BD11" s="1260"/>
      <c r="BE11" s="1260"/>
      <c r="BF11" s="1260"/>
      <c r="BG11" s="1260"/>
      <c r="BH11" s="1261"/>
      <c r="BI11" s="2"/>
      <c r="BK11" s="1236" t="s">
        <v>1298</v>
      </c>
      <c r="BL11" s="1236"/>
      <c r="BM11" s="3">
        <f>1013.25/EXP((D8)/(8430.15-((D8)*0.09514)))</f>
        <v>1013.25</v>
      </c>
      <c r="BN11" s="2"/>
      <c r="BO11" s="2"/>
      <c r="BP11" s="2"/>
      <c r="BQ11" s="2"/>
      <c r="BR11" s="2"/>
      <c r="BS11" s="2"/>
      <c r="BT11" s="2"/>
      <c r="BU11" s="2"/>
      <c r="BV11" s="2"/>
      <c r="BW11" s="2"/>
      <c r="BX11" s="2"/>
    </row>
    <row r="12" spans="2:76">
      <c r="B12" s="12"/>
      <c r="C12" s="12"/>
      <c r="D12" s="12"/>
      <c r="E12" s="2"/>
      <c r="F12" s="2"/>
      <c r="G12" s="24"/>
      <c r="H12" s="24"/>
      <c r="I12" s="24"/>
      <c r="J12" s="24"/>
      <c r="K12" s="24"/>
      <c r="L12" s="24"/>
      <c r="M12" s="24"/>
      <c r="N12" s="2"/>
      <c r="O12" s="2"/>
      <c r="P12" s="5"/>
      <c r="Q12" s="33" t="s">
        <v>557</v>
      </c>
      <c r="R12" s="10" t="s">
        <v>976</v>
      </c>
      <c r="S12" s="10">
        <f t="shared" si="1"/>
        <v>157.5</v>
      </c>
      <c r="T12" s="1253"/>
      <c r="U12" s="1254"/>
      <c r="V12" s="1254"/>
      <c r="W12" s="1254"/>
      <c r="X12" s="1254"/>
      <c r="Y12" s="1254"/>
      <c r="Z12" s="1254"/>
      <c r="AA12" s="1254"/>
      <c r="AB12" s="1254"/>
      <c r="AC12" s="1254"/>
      <c r="AD12" s="1255"/>
      <c r="AE12" s="12"/>
      <c r="AF12" s="1242" t="s">
        <v>847</v>
      </c>
      <c r="AG12" s="1242"/>
      <c r="AH12" s="4">
        <v>1</v>
      </c>
      <c r="AI12" s="4">
        <v>2</v>
      </c>
      <c r="AJ12" s="4">
        <v>3</v>
      </c>
      <c r="AK12" s="4">
        <v>4</v>
      </c>
      <c r="AL12" s="4">
        <v>5</v>
      </c>
      <c r="AM12" s="4">
        <v>6</v>
      </c>
      <c r="AN12" s="4">
        <v>7</v>
      </c>
      <c r="AO12" s="4">
        <v>8</v>
      </c>
      <c r="AP12" s="4">
        <v>9</v>
      </c>
      <c r="AQ12" s="4">
        <v>10</v>
      </c>
      <c r="AR12" s="4">
        <v>11</v>
      </c>
      <c r="AS12" s="4">
        <v>12</v>
      </c>
      <c r="AT12" s="2"/>
      <c r="AU12" s="1227" t="s">
        <v>950</v>
      </c>
      <c r="AV12" s="1228"/>
      <c r="AW12" s="35">
        <f t="shared" ref="AW12:BH12" si="9">AW6*BL$97</f>
        <v>-104.96141808688346</v>
      </c>
      <c r="AX12" s="35">
        <f t="shared" si="9"/>
        <v>-108.69085258032989</v>
      </c>
      <c r="AY12" s="35">
        <f t="shared" si="9"/>
        <v>-110.07151457586689</v>
      </c>
      <c r="AZ12" s="35">
        <f t="shared" si="9"/>
        <v>-106.84736868695629</v>
      </c>
      <c r="BA12" s="35">
        <f t="shared" si="9"/>
        <v>-101.00045298403008</v>
      </c>
      <c r="BB12" s="35">
        <f t="shared" si="9"/>
        <v>-97.063078762854715</v>
      </c>
      <c r="BC12" s="35">
        <f t="shared" si="9"/>
        <v>-98.282960484181643</v>
      </c>
      <c r="BD12" s="35">
        <f t="shared" si="9"/>
        <v>-103.48659147744267</v>
      </c>
      <c r="BE12" s="35">
        <f t="shared" si="9"/>
        <v>-108.1052902267399</v>
      </c>
      <c r="BF12" s="35">
        <f t="shared" si="9"/>
        <v>25.866102654068239</v>
      </c>
      <c r="BG12" s="35">
        <f t="shared" si="9"/>
        <v>-105.50269471124602</v>
      </c>
      <c r="BH12" s="35">
        <f t="shared" si="9"/>
        <v>-103.39202642207343</v>
      </c>
      <c r="BI12" s="2"/>
      <c r="BM12" s="2"/>
      <c r="BN12" s="2"/>
      <c r="BO12" s="2"/>
      <c r="BP12" s="12"/>
      <c r="BQ12" s="12"/>
      <c r="BR12" s="12"/>
      <c r="BS12" s="2"/>
      <c r="BT12" s="12"/>
      <c r="BU12" s="12"/>
      <c r="BV12" s="2"/>
      <c r="BW12" s="2"/>
      <c r="BX12" s="2"/>
    </row>
    <row r="13" spans="2:76">
      <c r="B13" s="1227" t="s">
        <v>916</v>
      </c>
      <c r="C13" s="1228"/>
      <c r="D13" s="4">
        <v>0.21</v>
      </c>
      <c r="E13" s="4">
        <v>0.54</v>
      </c>
      <c r="F13" s="2"/>
      <c r="G13" s="24"/>
      <c r="H13" s="24"/>
      <c r="I13" s="24"/>
      <c r="J13" s="24"/>
      <c r="K13" s="24"/>
      <c r="L13" s="24"/>
      <c r="M13" s="24"/>
      <c r="N13" s="2"/>
      <c r="O13" s="12"/>
      <c r="P13" s="5"/>
      <c r="Q13" s="33" t="s">
        <v>213</v>
      </c>
      <c r="R13" s="10" t="s">
        <v>977</v>
      </c>
      <c r="S13" s="10">
        <f t="shared" si="1"/>
        <v>180</v>
      </c>
      <c r="T13" s="1253"/>
      <c r="U13" s="1254"/>
      <c r="V13" s="1254"/>
      <c r="W13" s="1254"/>
      <c r="X13" s="1254"/>
      <c r="Y13" s="1254"/>
      <c r="Z13" s="1254"/>
      <c r="AA13" s="1254"/>
      <c r="AB13" s="1254"/>
      <c r="AC13" s="1254"/>
      <c r="AD13" s="1255"/>
      <c r="AE13" s="12"/>
      <c r="AF13" s="1242" t="s">
        <v>951</v>
      </c>
      <c r="AG13" s="1242"/>
      <c r="AH13" s="4">
        <v>0</v>
      </c>
      <c r="AI13" s="4">
        <v>31</v>
      </c>
      <c r="AJ13" s="4">
        <v>59</v>
      </c>
      <c r="AK13" s="4">
        <v>90</v>
      </c>
      <c r="AL13" s="4">
        <v>120</v>
      </c>
      <c r="AM13" s="4">
        <v>151</v>
      </c>
      <c r="AN13" s="4">
        <v>181</v>
      </c>
      <c r="AO13" s="4">
        <v>212</v>
      </c>
      <c r="AP13" s="4">
        <v>243</v>
      </c>
      <c r="AQ13" s="4">
        <v>273</v>
      </c>
      <c r="AR13" s="4">
        <v>304</v>
      </c>
      <c r="AS13" s="4">
        <v>335</v>
      </c>
      <c r="AT13" s="2"/>
      <c r="AU13" s="1227" t="s">
        <v>952</v>
      </c>
      <c r="AV13" s="1228"/>
      <c r="AW13" s="3">
        <f t="shared" ref="AW13:BH13" si="10">BL98</f>
        <v>2356.3208035169259</v>
      </c>
      <c r="AX13" s="3">
        <f t="shared" si="10"/>
        <v>2356.3208035169259</v>
      </c>
      <c r="AY13" s="3">
        <f t="shared" si="10"/>
        <v>2356.3208035169259</v>
      </c>
      <c r="AZ13" s="3">
        <f t="shared" si="10"/>
        <v>2356.3208035169259</v>
      </c>
      <c r="BA13" s="3">
        <f t="shared" si="10"/>
        <v>2356.3208035169259</v>
      </c>
      <c r="BB13" s="3">
        <f t="shared" si="10"/>
        <v>2356.3208035169259</v>
      </c>
      <c r="BC13" s="3">
        <f t="shared" si="10"/>
        <v>2356.3208035169259</v>
      </c>
      <c r="BD13" s="3">
        <f t="shared" si="10"/>
        <v>2356.3208035169259</v>
      </c>
      <c r="BE13" s="3">
        <f t="shared" si="10"/>
        <v>2356.3208035169259</v>
      </c>
      <c r="BF13" s="3">
        <f t="shared" si="10"/>
        <v>0.19097602751892101</v>
      </c>
      <c r="BG13" s="3">
        <f t="shared" si="10"/>
        <v>2356.3208035169259</v>
      </c>
      <c r="BH13" s="3">
        <f t="shared" si="10"/>
        <v>2356.3208035169259</v>
      </c>
      <c r="BI13" s="2"/>
      <c r="BM13" s="12"/>
      <c r="BN13" s="2"/>
      <c r="BO13" s="1236" t="s">
        <v>1002</v>
      </c>
      <c r="BP13" s="1236"/>
      <c r="BQ13" s="4">
        <f>ENERGÍA!AY64</f>
        <v>24</v>
      </c>
      <c r="BR13" s="4" t="s">
        <v>1003</v>
      </c>
      <c r="BS13" s="4">
        <f>(6.108*EXP((17.27*BQ13)/(BQ13+237.3)))*BQ14/100</f>
        <v>14.919587385827796</v>
      </c>
      <c r="BT13" s="4" t="s">
        <v>1004</v>
      </c>
      <c r="BU13" s="4">
        <f>622*BS13/(BM11-0.37804*BS13)</f>
        <v>9.2098978806022647</v>
      </c>
      <c r="BV13" s="4" t="s">
        <v>1005</v>
      </c>
      <c r="BW13" s="2"/>
      <c r="BX13" s="2"/>
    </row>
    <row r="14" spans="2:76">
      <c r="B14" s="1227" t="s">
        <v>917</v>
      </c>
      <c r="C14" s="1228"/>
      <c r="D14" s="4">
        <v>0.21</v>
      </c>
      <c r="E14" s="4">
        <v>0.54</v>
      </c>
      <c r="F14" s="12"/>
      <c r="G14" s="24"/>
      <c r="H14" s="24"/>
      <c r="I14" s="24"/>
      <c r="J14" s="24"/>
      <c r="K14" s="24"/>
      <c r="L14" s="24"/>
      <c r="M14" s="24"/>
      <c r="N14" s="2"/>
      <c r="O14" s="2"/>
      <c r="P14" s="5"/>
      <c r="Q14" s="33" t="s">
        <v>558</v>
      </c>
      <c r="R14" s="10" t="s">
        <v>978</v>
      </c>
      <c r="S14" s="10">
        <f t="shared" si="1"/>
        <v>202.5</v>
      </c>
      <c r="T14" s="1253"/>
      <c r="U14" s="1254"/>
      <c r="V14" s="1254"/>
      <c r="W14" s="1254"/>
      <c r="X14" s="1254"/>
      <c r="Y14" s="1254"/>
      <c r="Z14" s="1254"/>
      <c r="AA14" s="1254"/>
      <c r="AB14" s="1254"/>
      <c r="AC14" s="1254"/>
      <c r="AD14" s="1255"/>
      <c r="AE14" s="26"/>
      <c r="AF14" s="1242" t="s">
        <v>953</v>
      </c>
      <c r="AG14" s="1242"/>
      <c r="AH14" s="4">
        <f t="shared" ref="AH14:AS14" si="11">AH13+$D$9</f>
        <v>15</v>
      </c>
      <c r="AI14" s="4">
        <f t="shared" si="11"/>
        <v>46</v>
      </c>
      <c r="AJ14" s="4">
        <f t="shared" si="11"/>
        <v>74</v>
      </c>
      <c r="AK14" s="4">
        <f t="shared" si="11"/>
        <v>105</v>
      </c>
      <c r="AL14" s="4">
        <f t="shared" si="11"/>
        <v>135</v>
      </c>
      <c r="AM14" s="4">
        <f t="shared" si="11"/>
        <v>166</v>
      </c>
      <c r="AN14" s="4">
        <f t="shared" si="11"/>
        <v>196</v>
      </c>
      <c r="AO14" s="4">
        <f t="shared" si="11"/>
        <v>227</v>
      </c>
      <c r="AP14" s="4">
        <f t="shared" si="11"/>
        <v>258</v>
      </c>
      <c r="AQ14" s="4">
        <f t="shared" si="11"/>
        <v>288</v>
      </c>
      <c r="AR14" s="4">
        <f t="shared" si="11"/>
        <v>319</v>
      </c>
      <c r="AS14" s="4">
        <f t="shared" si="11"/>
        <v>350</v>
      </c>
      <c r="AT14" s="2"/>
      <c r="AU14" s="1227" t="s">
        <v>954</v>
      </c>
      <c r="AV14" s="1228"/>
      <c r="AW14" s="29">
        <f t="shared" ref="AW14:BH14" si="12">AW12*AW13</f>
        <v>-247322.77300476123</v>
      </c>
      <c r="AX14" s="29">
        <f t="shared" si="12"/>
        <v>-256110.51708702266</v>
      </c>
      <c r="AY14" s="29">
        <f t="shared" si="12"/>
        <v>-259363.79966973167</v>
      </c>
      <c r="AZ14" s="29">
        <f t="shared" si="12"/>
        <v>-251766.67763811807</v>
      </c>
      <c r="BA14" s="29">
        <f t="shared" si="12"/>
        <v>-237989.46853090325</v>
      </c>
      <c r="BB14" s="29">
        <f t="shared" si="12"/>
        <v>-228711.7517423165</v>
      </c>
      <c r="BC14" s="29">
        <f t="shared" si="12"/>
        <v>-231586.18442010917</v>
      </c>
      <c r="BD14" s="29">
        <f t="shared" si="12"/>
        <v>-243847.60838335557</v>
      </c>
      <c r="BE14" s="29">
        <f t="shared" si="12"/>
        <v>-254730.74433150224</v>
      </c>
      <c r="BF14" s="29">
        <f t="shared" si="12"/>
        <v>4.9398055322705714</v>
      </c>
      <c r="BG14" s="29">
        <f t="shared" si="12"/>
        <v>-248598.19437520416</v>
      </c>
      <c r="BH14" s="29">
        <f t="shared" si="12"/>
        <v>-243624.7827761033</v>
      </c>
      <c r="BI14" s="2"/>
      <c r="BK14" s="12"/>
      <c r="BL14" s="12"/>
      <c r="BM14" s="12"/>
      <c r="BN14" s="2"/>
      <c r="BO14" s="1236" t="s">
        <v>1006</v>
      </c>
      <c r="BP14" s="1236"/>
      <c r="BQ14" s="4">
        <f>ENERGÍA!AY66</f>
        <v>50</v>
      </c>
      <c r="BR14" s="4" t="s">
        <v>1007</v>
      </c>
      <c r="BS14" s="4">
        <f>(216.67*BS13/(BQ13+273.16))</f>
        <v>10.878405569010997</v>
      </c>
      <c r="BT14" s="4" t="s">
        <v>1008</v>
      </c>
      <c r="BU14" s="4">
        <f>BS14*0.8403</f>
        <v>9.1411241996399415</v>
      </c>
      <c r="BV14" s="4" t="s">
        <v>1005</v>
      </c>
      <c r="BW14" s="12"/>
      <c r="BX14" s="2"/>
    </row>
    <row r="15" spans="2:76">
      <c r="B15" s="12"/>
      <c r="C15" s="12"/>
      <c r="D15" s="12"/>
      <c r="E15" s="12"/>
      <c r="F15" s="2"/>
      <c r="G15" s="2"/>
      <c r="H15" s="2"/>
      <c r="I15" s="2"/>
      <c r="J15" s="2"/>
      <c r="K15" s="2"/>
      <c r="L15" s="2"/>
      <c r="M15" s="2"/>
      <c r="N15" s="2"/>
      <c r="O15" s="2"/>
      <c r="P15" s="5"/>
      <c r="Q15" s="33" t="s">
        <v>559</v>
      </c>
      <c r="R15" s="10" t="s">
        <v>979</v>
      </c>
      <c r="S15" s="10">
        <f t="shared" si="1"/>
        <v>225</v>
      </c>
      <c r="T15" s="1253"/>
      <c r="U15" s="1254"/>
      <c r="V15" s="1254"/>
      <c r="W15" s="1254"/>
      <c r="X15" s="1254"/>
      <c r="Y15" s="1254"/>
      <c r="Z15" s="1254"/>
      <c r="AA15" s="1254"/>
      <c r="AB15" s="1254"/>
      <c r="AC15" s="1254"/>
      <c r="AD15" s="1255"/>
      <c r="AE15" s="26"/>
      <c r="AF15" s="1242" t="s">
        <v>956</v>
      </c>
      <c r="AG15" s="1242"/>
      <c r="AH15" s="3">
        <f t="shared" ref="AH15:AS15" si="13">AH5*$BX$9</f>
        <v>-21.269473910221819</v>
      </c>
      <c r="AI15" s="3">
        <f t="shared" si="13"/>
        <v>-13.289156185026728</v>
      </c>
      <c r="AJ15" s="3">
        <f t="shared" si="13"/>
        <v>-2.818878652889822</v>
      </c>
      <c r="AK15" s="3">
        <f t="shared" si="13"/>
        <v>9.4148933468800742</v>
      </c>
      <c r="AL15" s="3">
        <f t="shared" si="13"/>
        <v>18.791917517696156</v>
      </c>
      <c r="AM15" s="3">
        <f t="shared" si="13"/>
        <v>23.314409916663173</v>
      </c>
      <c r="AN15" s="3">
        <f t="shared" si="13"/>
        <v>21.5173360310928</v>
      </c>
      <c r="AO15" s="3">
        <f t="shared" si="13"/>
        <v>13.783564166258502</v>
      </c>
      <c r="AP15" s="3">
        <f t="shared" si="13"/>
        <v>2.2168867832133463</v>
      </c>
      <c r="AQ15" s="3">
        <f t="shared" si="13"/>
        <v>-9.5993972342263376</v>
      </c>
      <c r="AR15" s="3">
        <f t="shared" si="13"/>
        <v>-19.147817306406733</v>
      </c>
      <c r="AS15" s="3">
        <f t="shared" si="13"/>
        <v>-23.37165124613529</v>
      </c>
      <c r="AT15" s="2"/>
      <c r="AU15" s="24"/>
      <c r="AV15" s="24"/>
      <c r="AW15" s="3">
        <f>(24*1367/PI())*0.001</f>
        <v>10.443110745917807</v>
      </c>
      <c r="AX15" s="3">
        <f t="shared" ref="AX15:BH15" si="14">(24*1367/PI())*0.0036</f>
        <v>37.595198685304098</v>
      </c>
      <c r="AY15" s="3">
        <f t="shared" si="14"/>
        <v>37.595198685304098</v>
      </c>
      <c r="AZ15" s="3">
        <f t="shared" si="14"/>
        <v>37.595198685304098</v>
      </c>
      <c r="BA15" s="3">
        <f t="shared" si="14"/>
        <v>37.595198685304098</v>
      </c>
      <c r="BB15" s="3">
        <f t="shared" si="14"/>
        <v>37.595198685304098</v>
      </c>
      <c r="BC15" s="3">
        <f t="shared" si="14"/>
        <v>37.595198685304098</v>
      </c>
      <c r="BD15" s="3">
        <f t="shared" si="14"/>
        <v>37.595198685304098</v>
      </c>
      <c r="BE15" s="3">
        <f t="shared" si="14"/>
        <v>37.595198685304098</v>
      </c>
      <c r="BF15" s="3">
        <f t="shared" si="14"/>
        <v>37.595198685304098</v>
      </c>
      <c r="BG15" s="3">
        <f t="shared" si="14"/>
        <v>37.595198685304098</v>
      </c>
      <c r="BH15" s="3">
        <f t="shared" si="14"/>
        <v>37.595198685304098</v>
      </c>
      <c r="BI15" s="2"/>
      <c r="BK15" s="12"/>
      <c r="BL15" s="12"/>
      <c r="BM15" s="12"/>
      <c r="BN15" s="2"/>
      <c r="BO15" s="1"/>
      <c r="BP15" s="1"/>
      <c r="BQ15" s="2"/>
      <c r="BR15" s="2"/>
      <c r="BS15" s="2"/>
      <c r="BT15" s="2"/>
      <c r="BU15" s="2"/>
      <c r="BV15" s="2"/>
      <c r="BW15" s="12"/>
      <c r="BX15" s="2"/>
    </row>
    <row r="16" spans="2:76">
      <c r="B16" s="1233" t="s">
        <v>918</v>
      </c>
      <c r="C16" s="1234"/>
      <c r="D16" s="3">
        <f>O6*1.075</f>
        <v>0</v>
      </c>
      <c r="E16" s="3">
        <f>O6*1.025</f>
        <v>0</v>
      </c>
      <c r="F16" s="3">
        <f>O6</f>
        <v>0</v>
      </c>
      <c r="G16" s="3">
        <f>O6*0.975</f>
        <v>0</v>
      </c>
      <c r="H16" s="3">
        <f>O6*0.925</f>
        <v>0</v>
      </c>
      <c r="I16" s="3">
        <f>O6*0.9</f>
        <v>0</v>
      </c>
      <c r="J16" s="3">
        <f>O6*0.925</f>
        <v>0</v>
      </c>
      <c r="K16" s="3">
        <f>O6*0.975</f>
        <v>0</v>
      </c>
      <c r="L16" s="3">
        <f>O6</f>
        <v>0</v>
      </c>
      <c r="M16" s="3">
        <f>0.52*1.025</f>
        <v>0.53299999999999992</v>
      </c>
      <c r="N16" s="3">
        <f>O6*1.075</f>
        <v>0</v>
      </c>
      <c r="O16" s="3">
        <f>O6*1.1</f>
        <v>0</v>
      </c>
      <c r="P16" s="5"/>
      <c r="Q16" s="33" t="s">
        <v>560</v>
      </c>
      <c r="R16" s="10" t="s">
        <v>980</v>
      </c>
      <c r="S16" s="10">
        <f t="shared" si="1"/>
        <v>247.5</v>
      </c>
      <c r="T16" s="1253"/>
      <c r="U16" s="1254"/>
      <c r="V16" s="1254"/>
      <c r="W16" s="1254"/>
      <c r="X16" s="1254"/>
      <c r="Y16" s="1254"/>
      <c r="Z16" s="1254"/>
      <c r="AA16" s="1254"/>
      <c r="AB16" s="1254"/>
      <c r="AC16" s="1254"/>
      <c r="AD16" s="1255"/>
      <c r="AE16" s="26"/>
      <c r="AF16" s="2"/>
      <c r="AG16" s="2"/>
      <c r="AH16" s="2"/>
      <c r="AI16" s="2"/>
      <c r="AJ16" s="2"/>
      <c r="AK16" s="2"/>
      <c r="AL16" s="2"/>
      <c r="AM16" s="2"/>
      <c r="AN16" s="2"/>
      <c r="AO16" s="2"/>
      <c r="AP16" s="2"/>
      <c r="AQ16" s="2"/>
      <c r="AR16" s="2"/>
      <c r="AS16" s="2"/>
      <c r="AT16" s="2"/>
      <c r="AU16" s="24"/>
      <c r="AV16" s="24"/>
      <c r="AW16" s="3">
        <f t="shared" ref="AW16:BH16" si="15">((1+0.033*COS(2*PI()*AH$14/365)))*AW15</f>
        <v>10.776308406051443</v>
      </c>
      <c r="AX16" s="3">
        <f t="shared" si="15"/>
        <v>38.46678346442215</v>
      </c>
      <c r="AY16" s="3">
        <f t="shared" si="15"/>
        <v>37.958210821170333</v>
      </c>
      <c r="AZ16" s="3">
        <f t="shared" si="15"/>
        <v>37.304278922734639</v>
      </c>
      <c r="BA16" s="3">
        <f t="shared" si="15"/>
        <v>36.746699829460482</v>
      </c>
      <c r="BB16" s="3">
        <f t="shared" si="15"/>
        <v>36.404266298958973</v>
      </c>
      <c r="BC16" s="3">
        <f t="shared" si="15"/>
        <v>36.387907636628384</v>
      </c>
      <c r="BD16" s="3">
        <f t="shared" si="15"/>
        <v>36.701109071080275</v>
      </c>
      <c r="BE16" s="3">
        <f t="shared" si="15"/>
        <v>37.262937128863925</v>
      </c>
      <c r="BF16" s="3">
        <f t="shared" si="15"/>
        <v>37.896488142548726</v>
      </c>
      <c r="BG16" s="3">
        <f t="shared" si="15"/>
        <v>38.46678346442215</v>
      </c>
      <c r="BH16" s="3">
        <f t="shared" si="15"/>
        <v>38.794710261785191</v>
      </c>
      <c r="BI16" s="2"/>
      <c r="BK16" s="2"/>
      <c r="BL16" s="2"/>
      <c r="BM16" s="2"/>
      <c r="BN16" s="2"/>
      <c r="BO16" s="1247" t="s">
        <v>1009</v>
      </c>
      <c r="BP16" s="1247"/>
      <c r="BQ16" s="15">
        <f>ENERGÍA!AY73</f>
        <v>0</v>
      </c>
      <c r="BR16" s="36" t="s">
        <v>1003</v>
      </c>
      <c r="BS16" s="36">
        <f>(6.108*EXP((17.27*BQ16)/(BQ16+237.3)))*BQ17/100</f>
        <v>0</v>
      </c>
      <c r="BT16" s="36" t="s">
        <v>1004</v>
      </c>
      <c r="BU16" s="36">
        <f>622*BS16/(BM11-0.37804*BS16)</f>
        <v>0</v>
      </c>
      <c r="BV16" s="36" t="s">
        <v>1005</v>
      </c>
      <c r="BW16" s="12"/>
      <c r="BX16" s="2"/>
    </row>
    <row r="17" spans="2:76">
      <c r="B17" s="1233" t="s">
        <v>919</v>
      </c>
      <c r="C17" s="1234"/>
      <c r="D17" s="3">
        <v>0.56999999999999995</v>
      </c>
      <c r="E17" s="3">
        <v>0.61</v>
      </c>
      <c r="F17" s="3">
        <v>0.6</v>
      </c>
      <c r="G17" s="3">
        <v>0.59</v>
      </c>
      <c r="H17" s="3">
        <v>0.49</v>
      </c>
      <c r="I17" s="3">
        <v>0.44</v>
      </c>
      <c r="J17" s="3">
        <v>0.43</v>
      </c>
      <c r="K17" s="3">
        <v>0.5</v>
      </c>
      <c r="L17" s="3">
        <v>0.55000000000000004</v>
      </c>
      <c r="M17" s="3">
        <v>0.53</v>
      </c>
      <c r="N17" s="3">
        <v>0.57999999999999996</v>
      </c>
      <c r="O17" s="3">
        <v>0.55000000000000004</v>
      </c>
      <c r="P17" s="5"/>
      <c r="Q17" s="33" t="s">
        <v>214</v>
      </c>
      <c r="R17" s="10" t="s">
        <v>981</v>
      </c>
      <c r="S17" s="10">
        <f t="shared" si="1"/>
        <v>270</v>
      </c>
      <c r="T17" s="1253"/>
      <c r="U17" s="1254"/>
      <c r="V17" s="1254"/>
      <c r="W17" s="1254"/>
      <c r="X17" s="1254"/>
      <c r="Y17" s="1254"/>
      <c r="Z17" s="1254"/>
      <c r="AA17" s="1254"/>
      <c r="AB17" s="1254"/>
      <c r="AC17" s="1254"/>
      <c r="AD17" s="1255"/>
      <c r="AE17" s="26"/>
      <c r="AF17" s="1246" t="s">
        <v>941</v>
      </c>
      <c r="AG17" s="1246"/>
      <c r="AH17" s="1246"/>
      <c r="AI17" s="1246"/>
      <c r="AJ17" s="1246"/>
      <c r="AK17" s="1246"/>
      <c r="AL17" s="1246"/>
      <c r="AM17" s="1246"/>
      <c r="AN17" s="1246"/>
      <c r="AO17" s="1246"/>
      <c r="AP17" s="1246"/>
      <c r="AQ17" s="1246"/>
      <c r="AR17" s="1246"/>
      <c r="AS17" s="1246"/>
      <c r="AT17" s="2"/>
      <c r="AU17" s="2"/>
      <c r="AV17" s="2"/>
      <c r="AW17" s="3">
        <f t="shared" ref="AW17:BH17" si="16">(COS($BM$8)*COS(AH$5)*SIN(AH$8)  +  AH$8*SIN($BM$8)*SIN(AH$5))</f>
        <v>0.93188462861549382</v>
      </c>
      <c r="AX17" s="3">
        <f t="shared" si="16"/>
        <v>0.97322239462393045</v>
      </c>
      <c r="AY17" s="3">
        <f t="shared" si="16"/>
        <v>0.99878998738530667</v>
      </c>
      <c r="AZ17" s="3">
        <f t="shared" si="16"/>
        <v>0.98652967366310129</v>
      </c>
      <c r="BA17" s="3">
        <f t="shared" si="16"/>
        <v>0.94669471140591643</v>
      </c>
      <c r="BB17" s="3">
        <f t="shared" si="16"/>
        <v>0.91834687240912982</v>
      </c>
      <c r="BC17" s="3">
        <f t="shared" si="16"/>
        <v>0.93030663281691062</v>
      </c>
      <c r="BD17" s="3">
        <f t="shared" si="16"/>
        <v>0.97120266552007617</v>
      </c>
      <c r="BE17" s="3">
        <f t="shared" si="16"/>
        <v>0.99925155897221118</v>
      </c>
      <c r="BF17" s="3">
        <f t="shared" si="16"/>
        <v>0.98599779146441091</v>
      </c>
      <c r="BG17" s="3">
        <f t="shared" si="16"/>
        <v>0.94467549705041332</v>
      </c>
      <c r="BH17" s="3">
        <f t="shared" si="16"/>
        <v>0.91795101381330879</v>
      </c>
      <c r="BI17" s="12"/>
      <c r="BK17" s="2"/>
      <c r="BL17" s="2"/>
      <c r="BM17" s="2"/>
      <c r="BN17" s="2"/>
      <c r="BO17" s="1236" t="s">
        <v>1010</v>
      </c>
      <c r="BP17" s="1236"/>
      <c r="BQ17" s="4">
        <f>ENERGÍA!AY81</f>
        <v>0</v>
      </c>
      <c r="BR17" s="4" t="s">
        <v>1007</v>
      </c>
      <c r="BS17" s="4">
        <f>(216.67*BS16/(BQ16+273.16))</f>
        <v>0</v>
      </c>
      <c r="BT17" s="4" t="s">
        <v>1008</v>
      </c>
      <c r="BU17" s="4">
        <f>BS17*0.8403</f>
        <v>0</v>
      </c>
      <c r="BV17" s="4" t="s">
        <v>1005</v>
      </c>
      <c r="BW17" s="12"/>
      <c r="BX17" s="2"/>
    </row>
    <row r="18" spans="2:76">
      <c r="B18" s="1233" t="s">
        <v>920</v>
      </c>
      <c r="C18" s="1234"/>
      <c r="D18" s="4">
        <v>20.2</v>
      </c>
      <c r="E18" s="4">
        <v>19.399999999999999</v>
      </c>
      <c r="F18" s="4">
        <v>18.2</v>
      </c>
      <c r="G18" s="4">
        <v>14.4</v>
      </c>
      <c r="H18" s="4">
        <v>11.7</v>
      </c>
      <c r="I18" s="4">
        <v>8.5</v>
      </c>
      <c r="J18" s="4">
        <v>8.5</v>
      </c>
      <c r="K18" s="4">
        <v>8.9</v>
      </c>
      <c r="L18" s="4">
        <v>11.1</v>
      </c>
      <c r="M18" s="4">
        <v>13.4</v>
      </c>
      <c r="N18" s="4">
        <v>13.6</v>
      </c>
      <c r="O18" s="4">
        <v>18.8</v>
      </c>
      <c r="P18" s="5"/>
      <c r="Q18" s="33" t="s">
        <v>561</v>
      </c>
      <c r="R18" s="10" t="s">
        <v>982</v>
      </c>
      <c r="S18" s="10">
        <f t="shared" si="1"/>
        <v>292.5</v>
      </c>
      <c r="T18" s="1253"/>
      <c r="U18" s="1254"/>
      <c r="V18" s="1254"/>
      <c r="W18" s="1254"/>
      <c r="X18" s="1254"/>
      <c r="Y18" s="1254"/>
      <c r="Z18" s="1254"/>
      <c r="AA18" s="1254"/>
      <c r="AB18" s="1254"/>
      <c r="AC18" s="1254"/>
      <c r="AD18" s="1255"/>
      <c r="AE18" s="26"/>
      <c r="AF18" s="1232" t="s">
        <v>959</v>
      </c>
      <c r="AG18" s="1232"/>
      <c r="AH18" s="3">
        <f t="shared" ref="AH18:AS18" si="17">AH8*$BX$9</f>
        <v>90</v>
      </c>
      <c r="AI18" s="3">
        <f t="shared" si="17"/>
        <v>90</v>
      </c>
      <c r="AJ18" s="3">
        <f t="shared" si="17"/>
        <v>90</v>
      </c>
      <c r="AK18" s="3">
        <f t="shared" si="17"/>
        <v>90</v>
      </c>
      <c r="AL18" s="3">
        <f t="shared" si="17"/>
        <v>90</v>
      </c>
      <c r="AM18" s="3">
        <f t="shared" si="17"/>
        <v>90</v>
      </c>
      <c r="AN18" s="3">
        <f t="shared" si="17"/>
        <v>90</v>
      </c>
      <c r="AO18" s="3">
        <f t="shared" si="17"/>
        <v>90</v>
      </c>
      <c r="AP18" s="3">
        <f t="shared" si="17"/>
        <v>90</v>
      </c>
      <c r="AQ18" s="3">
        <f t="shared" si="17"/>
        <v>90</v>
      </c>
      <c r="AR18" s="3">
        <f t="shared" si="17"/>
        <v>90</v>
      </c>
      <c r="AS18" s="3">
        <f t="shared" si="17"/>
        <v>90</v>
      </c>
      <c r="AT18" s="2"/>
      <c r="AU18" s="2"/>
      <c r="AV18" s="2"/>
      <c r="AW18" s="3">
        <f t="shared" ref="AW18:BH18" si="18">AW17*AW16*0.975</f>
        <v>9.7912192528987916</v>
      </c>
      <c r="AX18" s="3">
        <f t="shared" si="18"/>
        <v>36.500816738807011</v>
      </c>
      <c r="AY18" s="3">
        <f t="shared" si="18"/>
        <v>36.964473884564391</v>
      </c>
      <c r="AZ18" s="3">
        <f t="shared" si="18"/>
        <v>35.88173365908564</v>
      </c>
      <c r="BA18" s="3">
        <f t="shared" si="18"/>
        <v>33.918208730416659</v>
      </c>
      <c r="BB18" s="3">
        <f t="shared" si="18"/>
        <v>32.595950495548109</v>
      </c>
      <c r="BC18" s="3">
        <f t="shared" si="18"/>
        <v>33.005614032967387</v>
      </c>
      <c r="BD18" s="3">
        <f t="shared" si="18"/>
        <v>34.753109583441798</v>
      </c>
      <c r="BE18" s="3">
        <f t="shared" si="18"/>
        <v>36.304171817453245</v>
      </c>
      <c r="BF18" s="3">
        <f t="shared" si="18"/>
        <v>36.431707272490016</v>
      </c>
      <c r="BG18" s="3">
        <f t="shared" si="18"/>
        <v>35.430162094454019</v>
      </c>
      <c r="BH18" s="3">
        <f t="shared" si="18"/>
        <v>34.721352525014304</v>
      </c>
      <c r="BI18" s="2"/>
      <c r="BK18" s="2"/>
      <c r="BL18" s="2"/>
      <c r="BM18" s="2"/>
      <c r="BN18" s="2"/>
      <c r="BO18" s="2"/>
      <c r="BP18" s="2"/>
      <c r="BQ18" s="2"/>
      <c r="BR18" s="2"/>
      <c r="BS18" s="2"/>
      <c r="BT18" s="2"/>
      <c r="BU18" s="2"/>
      <c r="BV18" s="2"/>
      <c r="BW18" s="12"/>
      <c r="BX18" s="2"/>
    </row>
    <row r="19" spans="2:76">
      <c r="B19" s="1233" t="s">
        <v>921</v>
      </c>
      <c r="C19" s="1234"/>
      <c r="D19" s="4">
        <v>28.5</v>
      </c>
      <c r="E19" s="4">
        <v>27</v>
      </c>
      <c r="F19" s="4">
        <v>25.4</v>
      </c>
      <c r="G19" s="4">
        <v>21.9</v>
      </c>
      <c r="H19" s="4">
        <v>18.399999999999999</v>
      </c>
      <c r="I19" s="4">
        <v>15.2</v>
      </c>
      <c r="J19" s="4">
        <v>14.9</v>
      </c>
      <c r="K19" s="4">
        <v>16.8</v>
      </c>
      <c r="L19" s="4">
        <v>18.399999999999999</v>
      </c>
      <c r="M19" s="4">
        <v>21.1</v>
      </c>
      <c r="N19" s="4">
        <v>24.2</v>
      </c>
      <c r="O19" s="4">
        <v>27.3</v>
      </c>
      <c r="P19" s="5"/>
      <c r="Q19" s="33" t="s">
        <v>211</v>
      </c>
      <c r="R19" s="10" t="s">
        <v>983</v>
      </c>
      <c r="S19" s="10">
        <f t="shared" si="1"/>
        <v>315</v>
      </c>
      <c r="T19" s="1253"/>
      <c r="U19" s="1254"/>
      <c r="V19" s="1254"/>
      <c r="W19" s="1254"/>
      <c r="X19" s="1254"/>
      <c r="Y19" s="1254"/>
      <c r="Z19" s="1254"/>
      <c r="AA19" s="1254"/>
      <c r="AB19" s="1254"/>
      <c r="AC19" s="1254"/>
      <c r="AD19" s="1255"/>
      <c r="AE19" s="26"/>
      <c r="AF19" s="1232" t="s">
        <v>961</v>
      </c>
      <c r="AG19" s="1232"/>
      <c r="AH19" s="3">
        <f t="shared" ref="AH19:AS19" si="19">AH9*$BX$9</f>
        <v>-90</v>
      </c>
      <c r="AI19" s="3">
        <f t="shared" si="19"/>
        <v>-90</v>
      </c>
      <c r="AJ19" s="3">
        <f t="shared" si="19"/>
        <v>-90</v>
      </c>
      <c r="AK19" s="3">
        <f t="shared" si="19"/>
        <v>-90</v>
      </c>
      <c r="AL19" s="3">
        <f t="shared" si="19"/>
        <v>-90</v>
      </c>
      <c r="AM19" s="3">
        <f t="shared" si="19"/>
        <v>-90</v>
      </c>
      <c r="AN19" s="3">
        <f t="shared" si="19"/>
        <v>-90</v>
      </c>
      <c r="AO19" s="3">
        <f t="shared" si="19"/>
        <v>-90</v>
      </c>
      <c r="AP19" s="3">
        <f t="shared" si="19"/>
        <v>-90</v>
      </c>
      <c r="AQ19" s="3">
        <f t="shared" si="19"/>
        <v>-90</v>
      </c>
      <c r="AR19" s="3">
        <f t="shared" si="19"/>
        <v>-90</v>
      </c>
      <c r="AS19" s="3">
        <f t="shared" si="19"/>
        <v>-90</v>
      </c>
      <c r="AT19" s="2"/>
      <c r="AU19" s="2"/>
      <c r="AV19" s="2"/>
      <c r="AW19" s="2"/>
      <c r="AX19" s="2"/>
      <c r="AY19" s="2"/>
      <c r="AZ19" s="2"/>
      <c r="BA19" s="2"/>
      <c r="BB19" s="2"/>
      <c r="BC19" s="2"/>
      <c r="BD19" s="2"/>
      <c r="BE19" s="2"/>
      <c r="BF19" s="2"/>
      <c r="BG19" s="2"/>
      <c r="BH19" s="2"/>
      <c r="BI19" s="2"/>
      <c r="BK19" s="2"/>
      <c r="BL19" s="2"/>
      <c r="BM19" s="2"/>
      <c r="BN19" s="2"/>
      <c r="BO19" s="2"/>
      <c r="BP19" s="2"/>
      <c r="BQ19" s="2"/>
      <c r="BR19" s="2"/>
      <c r="BS19" s="2"/>
      <c r="BT19" s="2"/>
      <c r="BU19" s="2"/>
      <c r="BV19" s="2"/>
      <c r="BW19" s="12"/>
      <c r="BX19" s="2"/>
    </row>
    <row r="20" spans="2:76">
      <c r="B20" s="1233" t="s">
        <v>922</v>
      </c>
      <c r="C20" s="1234"/>
      <c r="D20" s="4">
        <v>69</v>
      </c>
      <c r="E20" s="4">
        <v>72</v>
      </c>
      <c r="F20" s="4">
        <v>74</v>
      </c>
      <c r="G20" s="4">
        <v>75</v>
      </c>
      <c r="H20" s="4">
        <v>77</v>
      </c>
      <c r="I20" s="4">
        <v>77</v>
      </c>
      <c r="J20" s="4">
        <v>79</v>
      </c>
      <c r="K20" s="4">
        <v>74</v>
      </c>
      <c r="L20" s="4">
        <v>72</v>
      </c>
      <c r="M20" s="4">
        <v>73</v>
      </c>
      <c r="N20" s="4">
        <v>66</v>
      </c>
      <c r="O20" s="4">
        <v>67</v>
      </c>
      <c r="P20" s="5"/>
      <c r="Q20" s="43" t="s">
        <v>562</v>
      </c>
      <c r="R20" s="44" t="s">
        <v>984</v>
      </c>
      <c r="S20" s="44">
        <f t="shared" si="1"/>
        <v>337.5</v>
      </c>
      <c r="T20" s="1256"/>
      <c r="U20" s="1257"/>
      <c r="V20" s="1257"/>
      <c r="W20" s="1257"/>
      <c r="X20" s="1257"/>
      <c r="Y20" s="1257"/>
      <c r="Z20" s="1257"/>
      <c r="AA20" s="1257"/>
      <c r="AB20" s="1257"/>
      <c r="AC20" s="1257"/>
      <c r="AD20" s="1258"/>
      <c r="AE20" s="26"/>
      <c r="AF20" s="1242" t="s">
        <v>963</v>
      </c>
      <c r="AG20" s="1242"/>
      <c r="AH20" s="45">
        <f t="shared" ref="AH20:AS20" si="20">AH10*2</f>
        <v>12</v>
      </c>
      <c r="AI20" s="45">
        <f t="shared" si="20"/>
        <v>12</v>
      </c>
      <c r="AJ20" s="45">
        <f t="shared" si="20"/>
        <v>12</v>
      </c>
      <c r="AK20" s="45">
        <f t="shared" si="20"/>
        <v>12</v>
      </c>
      <c r="AL20" s="45">
        <f t="shared" si="20"/>
        <v>12</v>
      </c>
      <c r="AM20" s="45">
        <f t="shared" si="20"/>
        <v>12</v>
      </c>
      <c r="AN20" s="45">
        <f t="shared" si="20"/>
        <v>12</v>
      </c>
      <c r="AO20" s="45">
        <f t="shared" si="20"/>
        <v>12</v>
      </c>
      <c r="AP20" s="45">
        <f t="shared" si="20"/>
        <v>12</v>
      </c>
      <c r="AQ20" s="45">
        <f t="shared" si="20"/>
        <v>12</v>
      </c>
      <c r="AR20" s="45">
        <f t="shared" si="20"/>
        <v>12</v>
      </c>
      <c r="AS20" s="45">
        <f t="shared" si="20"/>
        <v>12</v>
      </c>
      <c r="AT20" s="2"/>
      <c r="AU20" s="2"/>
      <c r="AV20" s="2"/>
      <c r="AW20" s="2"/>
      <c r="AX20" s="2"/>
      <c r="AY20" s="2"/>
      <c r="AZ20" s="2"/>
      <c r="BA20" s="2"/>
      <c r="BB20" s="2"/>
      <c r="BC20" s="2"/>
      <c r="BD20" s="2"/>
      <c r="BE20" s="2"/>
      <c r="BF20" s="2"/>
      <c r="BG20" s="46"/>
      <c r="BH20" s="2"/>
      <c r="BI20" s="2"/>
      <c r="BJ20" s="2"/>
      <c r="BK20" s="2"/>
    </row>
    <row r="21" spans="2:76">
      <c r="B21" s="1233" t="s">
        <v>923</v>
      </c>
      <c r="C21" s="1234"/>
      <c r="D21" s="4">
        <v>1010.1</v>
      </c>
      <c r="E21" s="4">
        <v>1011.4</v>
      </c>
      <c r="F21" s="4">
        <v>1013.4</v>
      </c>
      <c r="G21" s="4">
        <v>1015.2</v>
      </c>
      <c r="H21" s="4">
        <v>1016</v>
      </c>
      <c r="I21" s="4">
        <v>1016.4</v>
      </c>
      <c r="J21" s="4">
        <v>1016.4</v>
      </c>
      <c r="K21" s="4">
        <v>1017.4</v>
      </c>
      <c r="L21" s="4">
        <v>1017.2</v>
      </c>
      <c r="M21" s="4">
        <v>1014.9</v>
      </c>
      <c r="N21" s="4">
        <v>1012.2</v>
      </c>
      <c r="O21" s="4">
        <v>1010.4</v>
      </c>
      <c r="P21" s="2"/>
      <c r="Q21" s="21"/>
      <c r="R21" s="21"/>
      <c r="S21" s="21"/>
      <c r="T21" s="21"/>
      <c r="U21" s="21"/>
      <c r="V21" s="21"/>
      <c r="W21" s="21"/>
      <c r="X21" s="21"/>
      <c r="Y21" s="21"/>
      <c r="Z21" s="21"/>
      <c r="AA21" s="21"/>
      <c r="AB21" s="21"/>
      <c r="AC21" s="21"/>
      <c r="AD21" s="21"/>
      <c r="AE21" s="5"/>
      <c r="AF21" s="2"/>
      <c r="AG21" s="2"/>
      <c r="AH21" s="42">
        <f t="shared" ref="AH21:AS21" si="21">24-AH20</f>
        <v>12</v>
      </c>
      <c r="AI21" s="42">
        <f t="shared" si="21"/>
        <v>12</v>
      </c>
      <c r="AJ21" s="42">
        <f t="shared" si="21"/>
        <v>12</v>
      </c>
      <c r="AK21" s="42">
        <f t="shared" si="21"/>
        <v>12</v>
      </c>
      <c r="AL21" s="42">
        <f t="shared" si="21"/>
        <v>12</v>
      </c>
      <c r="AM21" s="42">
        <f t="shared" si="21"/>
        <v>12</v>
      </c>
      <c r="AN21" s="42">
        <f t="shared" si="21"/>
        <v>12</v>
      </c>
      <c r="AO21" s="42">
        <f t="shared" si="21"/>
        <v>12</v>
      </c>
      <c r="AP21" s="42">
        <f t="shared" si="21"/>
        <v>12</v>
      </c>
      <c r="AQ21" s="42">
        <f t="shared" si="21"/>
        <v>12</v>
      </c>
      <c r="AR21" s="42">
        <f t="shared" si="21"/>
        <v>12</v>
      </c>
      <c r="AS21" s="42">
        <f t="shared" si="21"/>
        <v>12</v>
      </c>
      <c r="AT21" s="2"/>
      <c r="AU21" s="2"/>
      <c r="AV21" s="2"/>
      <c r="AW21" s="2"/>
      <c r="AX21" s="2"/>
      <c r="AY21" s="2"/>
      <c r="AZ21" s="2"/>
      <c r="BA21" s="2"/>
      <c r="BB21" s="2"/>
      <c r="BC21" s="2"/>
      <c r="BD21" s="2"/>
      <c r="BE21" s="2"/>
      <c r="BF21" s="2"/>
      <c r="BG21" s="12"/>
      <c r="BH21" s="2"/>
      <c r="BI21" s="2"/>
      <c r="BJ21" s="22"/>
      <c r="BK21" s="22"/>
    </row>
    <row r="22" spans="2:76">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J22" s="1243" t="s">
        <v>813</v>
      </c>
      <c r="BK22" s="1243"/>
      <c r="BL22" s="1243"/>
      <c r="BM22" s="1243"/>
      <c r="BN22" s="1243"/>
      <c r="BO22" s="1243"/>
      <c r="BP22" s="1243"/>
      <c r="BQ22" s="1243"/>
      <c r="BR22" s="1243"/>
      <c r="BS22" s="1243"/>
      <c r="BT22" s="1243"/>
      <c r="BU22" s="1243"/>
      <c r="BV22" s="1243"/>
      <c r="BW22" s="1243"/>
      <c r="BX22" s="1242" t="s">
        <v>896</v>
      </c>
    </row>
    <row r="23" spans="2:76">
      <c r="B23" s="5"/>
      <c r="C23" s="6"/>
      <c r="D23" s="2"/>
      <c r="E23" s="2"/>
      <c r="F23" s="2"/>
      <c r="G23" s="2"/>
      <c r="H23" s="2"/>
      <c r="I23" s="2"/>
      <c r="J23" s="2"/>
      <c r="K23" s="2"/>
      <c r="L23" s="2"/>
      <c r="M23" s="2"/>
      <c r="N23" s="2"/>
      <c r="O23" s="2"/>
      <c r="P23" s="2"/>
      <c r="Q23" s="5"/>
      <c r="R23" s="6"/>
      <c r="S23" s="2"/>
      <c r="T23" s="2"/>
      <c r="U23" s="2"/>
      <c r="V23" s="2"/>
      <c r="W23" s="2"/>
      <c r="X23" s="2"/>
      <c r="Y23" s="2"/>
      <c r="Z23" s="2"/>
      <c r="AA23" s="2"/>
      <c r="AB23" s="2"/>
      <c r="AC23" s="2"/>
      <c r="AD23" s="2"/>
      <c r="AE23" s="2"/>
      <c r="AF23" s="5"/>
      <c r="AG23" s="6"/>
      <c r="AH23" s="5"/>
      <c r="AI23" s="26"/>
      <c r="AJ23" s="26"/>
      <c r="AK23" s="26"/>
      <c r="AL23" s="26"/>
      <c r="AM23" s="26"/>
      <c r="AN23" s="26"/>
      <c r="AO23" s="26"/>
      <c r="AP23" s="26"/>
      <c r="AQ23" s="6"/>
      <c r="AR23" s="2"/>
      <c r="AS23" s="2"/>
      <c r="AT23" s="2"/>
      <c r="AU23" s="5"/>
      <c r="AV23" s="6"/>
      <c r="AW23" s="2"/>
      <c r="AX23" s="2"/>
      <c r="AY23" s="2"/>
      <c r="AZ23" s="2"/>
      <c r="BA23" s="2"/>
      <c r="BB23" s="2"/>
      <c r="BC23" s="2"/>
      <c r="BD23" s="2"/>
      <c r="BE23" s="2"/>
      <c r="BF23" s="2"/>
      <c r="BG23" s="2"/>
      <c r="BH23" s="2"/>
      <c r="BJ23" s="47"/>
      <c r="BK23" s="47"/>
      <c r="BL23" s="47"/>
      <c r="BM23" s="47"/>
      <c r="BN23" s="47"/>
      <c r="BO23" s="47"/>
      <c r="BP23" s="47"/>
      <c r="BQ23" s="47"/>
      <c r="BR23" s="47"/>
      <c r="BS23" s="47"/>
      <c r="BT23" s="47"/>
      <c r="BU23" s="47"/>
      <c r="BV23" s="47"/>
      <c r="BW23" s="47"/>
      <c r="BX23" s="1242"/>
    </row>
    <row r="24" spans="2:76">
      <c r="B24" s="1233" t="s">
        <v>924</v>
      </c>
      <c r="C24" s="1234"/>
      <c r="D24" s="1232" t="s">
        <v>925</v>
      </c>
      <c r="E24" s="1232"/>
      <c r="F24" s="1232"/>
      <c r="G24" s="1232"/>
      <c r="H24" s="1232"/>
      <c r="I24" s="1232"/>
      <c r="J24" s="1232"/>
      <c r="K24" s="1232"/>
      <c r="L24" s="1232"/>
      <c r="M24" s="1232"/>
      <c r="N24" s="1232"/>
      <c r="O24" s="1232"/>
      <c r="P24" s="2"/>
      <c r="Q24" s="1233" t="s">
        <v>926</v>
      </c>
      <c r="R24" s="1234"/>
      <c r="S24" s="1232" t="s">
        <v>927</v>
      </c>
      <c r="T24" s="1232"/>
      <c r="U24" s="1232"/>
      <c r="V24" s="1232"/>
      <c r="W24" s="1232"/>
      <c r="X24" s="1232"/>
      <c r="Y24" s="1232"/>
      <c r="Z24" s="1232"/>
      <c r="AA24" s="1232"/>
      <c r="AB24" s="1232"/>
      <c r="AC24" s="1232"/>
      <c r="AD24" s="1232"/>
      <c r="AE24" s="2"/>
      <c r="AF24" s="1233" t="s">
        <v>924</v>
      </c>
      <c r="AG24" s="1234"/>
      <c r="AH24" s="1222" t="s">
        <v>928</v>
      </c>
      <c r="AI24" s="1223"/>
      <c r="AJ24" s="1223"/>
      <c r="AK24" s="1223"/>
      <c r="AL24" s="1223"/>
      <c r="AM24" s="1223"/>
      <c r="AN24" s="1223"/>
      <c r="AO24" s="1223"/>
      <c r="AP24" s="1223"/>
      <c r="AQ24" s="1224"/>
      <c r="AR24" s="48" t="s">
        <v>929</v>
      </c>
      <c r="AS24" s="48" t="str">
        <f>D11</f>
        <v>Claro</v>
      </c>
      <c r="AT24" s="2"/>
      <c r="AU24" s="1227" t="s">
        <v>926</v>
      </c>
      <c r="AV24" s="1228"/>
      <c r="AW24" s="1229" t="s">
        <v>1088</v>
      </c>
      <c r="AX24" s="1229"/>
      <c r="AY24" s="1229"/>
      <c r="AZ24" s="1229"/>
      <c r="BA24" s="1229"/>
      <c r="BB24" s="1229"/>
      <c r="BC24" s="1229"/>
      <c r="BD24" s="1229"/>
      <c r="BE24" s="1229"/>
      <c r="BF24" s="1229"/>
      <c r="BG24" s="1229"/>
      <c r="BH24" s="1229"/>
      <c r="BJ24" s="1242" t="s">
        <v>924</v>
      </c>
      <c r="BK24" s="1242"/>
      <c r="BL24" s="4" t="s">
        <v>823</v>
      </c>
      <c r="BM24" s="4" t="s">
        <v>824</v>
      </c>
      <c r="BN24" s="4" t="s">
        <v>825</v>
      </c>
      <c r="BO24" s="4" t="s">
        <v>826</v>
      </c>
      <c r="BP24" s="4" t="s">
        <v>827</v>
      </c>
      <c r="BQ24" s="4" t="s">
        <v>828</v>
      </c>
      <c r="BR24" s="4" t="s">
        <v>829</v>
      </c>
      <c r="BS24" s="4" t="s">
        <v>830</v>
      </c>
      <c r="BT24" s="4" t="s">
        <v>831</v>
      </c>
      <c r="BU24" s="4" t="s">
        <v>832</v>
      </c>
      <c r="BV24" s="4" t="s">
        <v>833</v>
      </c>
      <c r="BW24" s="4" t="s">
        <v>834</v>
      </c>
      <c r="BX24" s="1242"/>
    </row>
    <row r="25" spans="2:76">
      <c r="B25" s="4">
        <v>0</v>
      </c>
      <c r="C25" s="4">
        <f t="shared" ref="C25:C48" si="22">180-15*B25</f>
        <v>180</v>
      </c>
      <c r="D25" s="14">
        <f t="shared" ref="D25:D48" si="23">IF(S25&lt;0,0,S25*$BX$9)</f>
        <v>0</v>
      </c>
      <c r="E25" s="14">
        <f t="shared" ref="E25:E48" si="24">IF(T25&lt;0,0,T25*$BX$9)</f>
        <v>0</v>
      </c>
      <c r="F25" s="14">
        <f t="shared" ref="F25:F48" si="25">IF(U25&lt;0,0,U25*$BX$9)</f>
        <v>0</v>
      </c>
      <c r="G25" s="14">
        <f t="shared" ref="G25:G48" si="26">IF(V25&lt;0,0,V25*$BX$9)</f>
        <v>0</v>
      </c>
      <c r="H25" s="14">
        <f t="shared" ref="H25:H48" si="27">IF(W25&lt;0,0,W25*$BX$9)</f>
        <v>0</v>
      </c>
      <c r="I25" s="14">
        <f t="shared" ref="I25:I48" si="28">IF(X25&lt;0,0,X25*$BX$9)</f>
        <v>0</v>
      </c>
      <c r="J25" s="14">
        <f t="shared" ref="J25:J48" si="29">IF(Y25&lt;0,0,Y25*$BX$9)</f>
        <v>0</v>
      </c>
      <c r="K25" s="14">
        <f t="shared" ref="K25:K48" si="30">IF(Z25&lt;0,0,Z25*$BX$9)</f>
        <v>0</v>
      </c>
      <c r="L25" s="14">
        <f t="shared" ref="L25:L48" si="31">IF(AA25&lt;0,0,AA25*$BX$9)</f>
        <v>0</v>
      </c>
      <c r="M25" s="14">
        <f t="shared" ref="M25:M48" si="32">IF(AB25&lt;0,0,AB25*$BX$9)</f>
        <v>0</v>
      </c>
      <c r="N25" s="14">
        <f t="shared" ref="N25:N48" si="33">IF(AC25&lt;0,0,AC25*$BX$9)</f>
        <v>0</v>
      </c>
      <c r="O25" s="14">
        <f t="shared" ref="O25:O48" si="34">IF(AD25&lt;0,0,AD25*$BX$9)</f>
        <v>0</v>
      </c>
      <c r="P25" s="2"/>
      <c r="Q25" s="4">
        <v>0</v>
      </c>
      <c r="R25" s="29">
        <f t="shared" ref="R25:R48" si="35">C25*$BX$8+0.000001</f>
        <v>3.1415936535897933</v>
      </c>
      <c r="S25" s="48">
        <f t="shared" ref="S25:S48" si="36">ASIN((SIN($BM$8)*SIN(AH$5))+COS($BM$8)*COS(AH$5)*COS($R25))</f>
        <v>-1.1995739768932083</v>
      </c>
      <c r="T25" s="48">
        <f t="shared" ref="T25:T48" si="37">ASIN((SIN($BM$8)*SIN(AI$5))+COS($BM$8)*COS(AI$5)*COS($R25))</f>
        <v>-1.3388567965522951</v>
      </c>
      <c r="U25" s="48">
        <f t="shared" ref="U25:U48" si="38">ASIN((SIN($BM$8)*SIN(AJ$5))+COS($BM$8)*COS(AJ$5)*COS($R25))</f>
        <v>-1.5215976130776299</v>
      </c>
      <c r="V25" s="48">
        <f t="shared" ref="V25:V48" si="39">ASIN((SIN($BM$8)*SIN(AK$5))+COS($BM$8)*COS(AK$5)*COS($R25))</f>
        <v>-1.4064754391647145</v>
      </c>
      <c r="W25" s="48">
        <f t="shared" ref="W25:W48" si="40">ASIN((SIN($BM$8)*SIN(AL$5))+COS($BM$8)*COS(AL$5)*COS($R25))</f>
        <v>-1.242815493346429</v>
      </c>
      <c r="X25" s="48">
        <f t="shared" ref="X25:X48" si="41">ASIN((SIN($BM$8)*SIN(AM$5))+COS($BM$8)*COS(AM$5)*COS($R25))</f>
        <v>-1.1638831105883476</v>
      </c>
      <c r="Y25" s="48">
        <f t="shared" ref="Y25:Y48" si="42">ASIN((SIN($BM$8)*SIN(AN$5))+COS($BM$8)*COS(AN$5)*COS($R25))</f>
        <v>-1.1952479667930498</v>
      </c>
      <c r="Z25" s="48">
        <f t="shared" ref="Z25:Z48" si="43">ASIN((SIN($BM$8)*SIN(AO$5))+COS($BM$8)*COS(AO$5)*COS($R25))</f>
        <v>-1.33022774943174</v>
      </c>
      <c r="AA25" s="48">
        <f t="shared" ref="AA25:AA48" si="44">ASIN((SIN($BM$8)*SIN(AP$5))+COS($BM$8)*COS(AP$5)*COS($R25))</f>
        <v>-1.5321043532709611</v>
      </c>
      <c r="AB25" s="48">
        <f t="shared" ref="AB25:AB48" si="45">ASIN((SIN($BM$8)*SIN(AQ$5))+COS($BM$8)*COS(AQ$5)*COS($R25))</f>
        <v>-1.4032552388478527</v>
      </c>
      <c r="AC25" s="48">
        <f t="shared" ref="AC25:AC48" si="46">ASIN((SIN($BM$8)*SIN(AR$5))+COS($BM$8)*COS(AR$5)*COS($R25))</f>
        <v>-1.2366038702263069</v>
      </c>
      <c r="AD25" s="48">
        <f t="shared" ref="AD25:AD48" si="47">ASIN((SIN($BM$8)*SIN(AS$5))+COS($BM$8)*COS(AS$5)*COS($R25))</f>
        <v>-1.1628840609208435</v>
      </c>
      <c r="AE25" s="2"/>
      <c r="AF25" s="4">
        <v>0.5</v>
      </c>
      <c r="AG25" s="4">
        <f t="shared" ref="AG25:AG48" si="48">180-15*AF25</f>
        <v>172.5</v>
      </c>
      <c r="AH25" s="17">
        <f t="shared" ref="AH25:AH48" si="49">IF(D25=0,0,IF(AW25*(1+COS($BR$9))/2&lt;0,0,(AW25*(1+COS($BR$9))/2)/0.0036))</f>
        <v>0</v>
      </c>
      <c r="AI25" s="17">
        <f t="shared" ref="AI25:AI48" si="50">IF(E25=0,0,IF(AX25*(1+COS($BR$9))/2&lt;0,0,(AX25*(1+COS($BR$9))/2)/0.0036))</f>
        <v>0</v>
      </c>
      <c r="AJ25" s="17">
        <f t="shared" ref="AJ25:AJ48" si="51">IF(F25=0,0,IF(AY25*(1+COS($BR$9))/2&lt;0,0,(AY25*(1+COS($BR$9))/2)/0.0036))</f>
        <v>0</v>
      </c>
      <c r="AK25" s="17">
        <f t="shared" ref="AK25:AK48" si="52">IF(G25=0,0,IF(AZ25*(1+COS($BR$9))/2&lt;0,0,(AZ25*(1+COS($BR$9))/2)/0.0036))</f>
        <v>0</v>
      </c>
      <c r="AL25" s="17">
        <f t="shared" ref="AL25:AL48" si="53">IF(H25=0,0,IF(BA25*(1+COS($BR$9))/2&lt;0,0,(BA25*(1+COS($BR$9))/2)/0.0036))</f>
        <v>0</v>
      </c>
      <c r="AM25" s="17">
        <f t="shared" ref="AM25:AM48" si="54">IF(I25=0,0,IF(BB25*(1+COS($BR$9))/2&lt;0,0,(BB25*(1+COS($BR$9))/2)/0.0036))</f>
        <v>0</v>
      </c>
      <c r="AN25" s="17">
        <f t="shared" ref="AN25:AN48" si="55">IF(J25=0,0,IF(BC25*(1+COS($BR$9))/2&lt;0,0,(BC25*(1+COS($BR$9))/2)/0.0036))</f>
        <v>0</v>
      </c>
      <c r="AO25" s="17">
        <f t="shared" ref="AO25:AO48" si="56">IF(K25=0,0,IF(BD25*(1+COS($BR$9))/2&lt;0,0,(BD25*(1+COS($BR$9))/2)/0.0036))</f>
        <v>0</v>
      </c>
      <c r="AP25" s="17">
        <f t="shared" ref="AP25:AP48" si="57">IF(L25=0,0,IF(BE25*(1+COS($BR$9))/2&lt;0,0,(BE25*(1+COS($BR$9))/2)/0.0036))</f>
        <v>0</v>
      </c>
      <c r="AQ25" s="17">
        <f t="shared" ref="AQ25:AQ48" si="58">IF(M25=0,0,IF(BF25*(1+COS($BR$9))/2&lt;0,0,(BF25*(1+COS($BR$9))/2)/0.0036))</f>
        <v>0</v>
      </c>
      <c r="AR25" s="17">
        <f t="shared" ref="AR25:AR48" si="59">IF(N25=0,0,IF(BG25*(1+COS($BR$9))/2&lt;0,0,(BG25*(1+COS($BR$9))/2)/0.0036))</f>
        <v>0</v>
      </c>
      <c r="AS25" s="17">
        <f t="shared" ref="AS25:AS48" si="60">IF(O25=0,0,IF(BH25*(1+COS($BR$9))/2&lt;0,0,(BH25*(1+COS($BR$9))/2)/0.0036))</f>
        <v>0</v>
      </c>
      <c r="AT25" s="2"/>
      <c r="AU25" s="4">
        <v>0</v>
      </c>
      <c r="AV25" s="4">
        <f t="shared" ref="AV25:AV48" si="61">180-15*AU25</f>
        <v>180</v>
      </c>
      <c r="AW25" s="40">
        <f t="shared" ref="AW25:AW48" si="62">(PI()*(COS($C81)-COS(AH$8)))/(24*(SIN(AH$8)-AH$8*COS(AH$8)))*AW$14</f>
        <v>32374.475280701063</v>
      </c>
      <c r="AX25" s="40">
        <f t="shared" ref="AX25:AX48" si="63">(PI()*(COS($C81)-COS(AI$8)))/(24*(SIN(AI$8)-AI$8*COS(AI$8)))*AX$14</f>
        <v>33524.788291136305</v>
      </c>
      <c r="AY25" s="40">
        <f t="shared" ref="AY25:AY48" si="64">(PI()*(COS($C81)-COS(AJ$8)))/(24*(SIN(AJ$8)-AJ$8*COS(AJ$8)))*AY$14</f>
        <v>33950.641985381524</v>
      </c>
      <c r="AZ25" s="40">
        <f t="shared" ref="AZ25:AZ48" si="65">(PI()*(COS($C81)-COS(AK$8)))/(24*(SIN(AK$8)-AK$8*COS(AK$8)))*AZ$14</f>
        <v>32956.181036926086</v>
      </c>
      <c r="BA25" s="40">
        <f t="shared" ref="BA25:BA48" si="66">(PI()*(COS($C81)-COS(AL$8)))/(24*(SIN(AL$8)-AL$8*COS(AL$8)))*BA$14</f>
        <v>31152.748582002132</v>
      </c>
      <c r="BB25" s="40">
        <f t="shared" ref="BB25:BB48" si="67">(PI()*(COS($C81)-COS(AM$8)))/(24*(SIN(AM$8)-AM$8*COS(AM$8)))*BB$14</f>
        <v>29938.298294289787</v>
      </c>
      <c r="BC25" s="40">
        <f t="shared" ref="BC25:BC48" si="68">(PI()*(COS($C81)-COS(AN$8)))/(24*(SIN(AN$8)-AN$8*COS(AN$8)))*BC$14</f>
        <v>30314.560651947595</v>
      </c>
      <c r="BD25" s="40">
        <f t="shared" ref="BD25:BD48" si="69">(PI()*(COS($C81)-COS(AO$8)))/(24*(SIN(AO$8)-AO$8*COS(AO$8)))*BD$14</f>
        <v>31919.577295508658</v>
      </c>
      <c r="BE25" s="40">
        <f t="shared" ref="BE25:BE48" si="70">(PI()*(COS($C81)-COS(AP$8)))/(24*(SIN(AP$8)-AP$8*COS(AP$8)))*BE$14</f>
        <v>33344.176459787806</v>
      </c>
      <c r="BF25" s="40">
        <f t="shared" ref="BF25:BF48" si="71">(PI()*(COS($C81)-COS(AQ$8)))/(24*(SIN(AQ$8)-AQ$8*COS(AQ$8)))*BF$14</f>
        <v>-0.6466190320973203</v>
      </c>
      <c r="BG25" s="40">
        <f t="shared" ref="BG25:BG48" si="72">(PI()*(COS($C81)-COS(AR$8)))/(24*(SIN(AR$8)-AR$8*COS(AR$8)))*BG$14</f>
        <v>32541.427547684936</v>
      </c>
      <c r="BH25" s="40">
        <f t="shared" ref="BH25:BH48" si="73">(PI()*(COS($C81)-COS(AS$8)))/(24*(SIN(AS$8)-AS$8*COS(AS$8)))*BH$14</f>
        <v>31890.409491726365</v>
      </c>
      <c r="BJ25" s="4">
        <v>0</v>
      </c>
      <c r="BK25" s="4">
        <f t="shared" ref="BK25:BK48" si="74">180-15*BJ25</f>
        <v>180</v>
      </c>
      <c r="BL25" s="4">
        <f>IF(D25&gt;10,1,0)</f>
        <v>0</v>
      </c>
      <c r="BM25" s="4">
        <f t="shared" ref="BM25:BW25" si="75">IF(E25&gt;10,1,0)</f>
        <v>0</v>
      </c>
      <c r="BN25" s="4">
        <f t="shared" si="75"/>
        <v>0</v>
      </c>
      <c r="BO25" s="4">
        <f t="shared" si="75"/>
        <v>0</v>
      </c>
      <c r="BP25" s="4">
        <f t="shared" si="75"/>
        <v>0</v>
      </c>
      <c r="BQ25" s="4">
        <f t="shared" si="75"/>
        <v>0</v>
      </c>
      <c r="BR25" s="4">
        <f t="shared" si="75"/>
        <v>0</v>
      </c>
      <c r="BS25" s="4">
        <f t="shared" si="75"/>
        <v>0</v>
      </c>
      <c r="BT25" s="4">
        <f t="shared" si="75"/>
        <v>0</v>
      </c>
      <c r="BU25" s="4">
        <f t="shared" si="75"/>
        <v>0</v>
      </c>
      <c r="BV25" s="4">
        <f t="shared" si="75"/>
        <v>0</v>
      </c>
      <c r="BW25" s="4">
        <f t="shared" si="75"/>
        <v>0</v>
      </c>
      <c r="BX25" s="4">
        <f>SUM(BL25:BW25)</f>
        <v>0</v>
      </c>
    </row>
    <row r="26" spans="2:76">
      <c r="B26" s="4">
        <v>1</v>
      </c>
      <c r="C26" s="4">
        <f t="shared" si="22"/>
        <v>165</v>
      </c>
      <c r="D26" s="14">
        <f t="shared" si="23"/>
        <v>0</v>
      </c>
      <c r="E26" s="14">
        <f t="shared" si="24"/>
        <v>0</v>
      </c>
      <c r="F26" s="14">
        <f t="shared" si="25"/>
        <v>0</v>
      </c>
      <c r="G26" s="14">
        <f t="shared" si="26"/>
        <v>0</v>
      </c>
      <c r="H26" s="14">
        <f t="shared" si="27"/>
        <v>0</v>
      </c>
      <c r="I26" s="14">
        <f t="shared" si="28"/>
        <v>0</v>
      </c>
      <c r="J26" s="14">
        <f t="shared" si="29"/>
        <v>0</v>
      </c>
      <c r="K26" s="14">
        <f t="shared" si="30"/>
        <v>0</v>
      </c>
      <c r="L26" s="14">
        <f t="shared" si="31"/>
        <v>0</v>
      </c>
      <c r="M26" s="14">
        <f t="shared" si="32"/>
        <v>0</v>
      </c>
      <c r="N26" s="14">
        <f t="shared" si="33"/>
        <v>0</v>
      </c>
      <c r="O26" s="14">
        <f t="shared" si="34"/>
        <v>0</v>
      </c>
      <c r="P26" s="2"/>
      <c r="Q26" s="4">
        <v>1</v>
      </c>
      <c r="R26" s="29">
        <f t="shared" si="35"/>
        <v>2.8797942657906437</v>
      </c>
      <c r="S26" s="48">
        <f t="shared" si="36"/>
        <v>-1.1200716834633166</v>
      </c>
      <c r="T26" s="48">
        <f t="shared" si="37"/>
        <v>-1.2228088433974971</v>
      </c>
      <c r="U26" s="48">
        <f t="shared" si="38"/>
        <v>-1.304519503221117</v>
      </c>
      <c r="V26" s="48">
        <f t="shared" si="39"/>
        <v>-1.2627071548565891</v>
      </c>
      <c r="W26" s="48">
        <f t="shared" si="40"/>
        <v>-1.1541149581255761</v>
      </c>
      <c r="X26" s="48">
        <f t="shared" si="41"/>
        <v>-1.0909268740768316</v>
      </c>
      <c r="Y26" s="48">
        <f t="shared" si="42"/>
        <v>-1.116585234422945</v>
      </c>
      <c r="Z26" s="48">
        <f t="shared" si="43"/>
        <v>-1.2171321995875988</v>
      </c>
      <c r="AA26" s="48">
        <f t="shared" si="44"/>
        <v>-1.3062191135598105</v>
      </c>
      <c r="AB26" s="48">
        <f t="shared" si="45"/>
        <v>-1.2610173991149451</v>
      </c>
      <c r="AC26" s="48">
        <f t="shared" si="46"/>
        <v>-1.1493218253697595</v>
      </c>
      <c r="AD26" s="48">
        <f t="shared" si="47"/>
        <v>-1.0900992874960678</v>
      </c>
      <c r="AE26" s="2"/>
      <c r="AF26" s="4">
        <v>1.5</v>
      </c>
      <c r="AG26" s="4">
        <f t="shared" si="48"/>
        <v>157.5</v>
      </c>
      <c r="AH26" s="17">
        <f t="shared" si="49"/>
        <v>0</v>
      </c>
      <c r="AI26" s="17">
        <f t="shared" si="50"/>
        <v>0</v>
      </c>
      <c r="AJ26" s="17">
        <f t="shared" si="51"/>
        <v>0</v>
      </c>
      <c r="AK26" s="17">
        <f t="shared" si="52"/>
        <v>0</v>
      </c>
      <c r="AL26" s="17">
        <f t="shared" si="53"/>
        <v>0</v>
      </c>
      <c r="AM26" s="17">
        <f t="shared" si="54"/>
        <v>0</v>
      </c>
      <c r="AN26" s="17">
        <f t="shared" si="55"/>
        <v>0</v>
      </c>
      <c r="AO26" s="17">
        <f t="shared" si="56"/>
        <v>0</v>
      </c>
      <c r="AP26" s="17">
        <f t="shared" si="57"/>
        <v>0</v>
      </c>
      <c r="AQ26" s="17">
        <f t="shared" si="58"/>
        <v>0</v>
      </c>
      <c r="AR26" s="17">
        <f t="shared" si="59"/>
        <v>0</v>
      </c>
      <c r="AS26" s="17">
        <f t="shared" si="60"/>
        <v>0</v>
      </c>
      <c r="AT26" s="2"/>
      <c r="AU26" s="4">
        <v>1</v>
      </c>
      <c r="AV26" s="4">
        <f t="shared" si="61"/>
        <v>165</v>
      </c>
      <c r="AW26" s="40">
        <f t="shared" si="62"/>
        <v>31271.35016531697</v>
      </c>
      <c r="AX26" s="40">
        <f t="shared" si="63"/>
        <v>32382.467508135614</v>
      </c>
      <c r="AY26" s="40">
        <f t="shared" si="64"/>
        <v>32793.810699846719</v>
      </c>
      <c r="AZ26" s="40">
        <f t="shared" si="65"/>
        <v>31833.234929112259</v>
      </c>
      <c r="BA26" s="40">
        <f t="shared" si="66"/>
        <v>30091.252478170652</v>
      </c>
      <c r="BB26" s="40">
        <f t="shared" si="67"/>
        <v>28918.183266202246</v>
      </c>
      <c r="BC26" s="40">
        <f t="shared" si="68"/>
        <v>29281.624892308202</v>
      </c>
      <c r="BD26" s="40">
        <f t="shared" si="69"/>
        <v>30831.952335356502</v>
      </c>
      <c r="BE26" s="40">
        <f t="shared" si="70"/>
        <v>32208.009828956947</v>
      </c>
      <c r="BF26" s="40">
        <f t="shared" si="71"/>
        <v>-0.62458619023016215</v>
      </c>
      <c r="BG26" s="40">
        <f t="shared" si="72"/>
        <v>31432.613714964624</v>
      </c>
      <c r="BH26" s="40">
        <f t="shared" si="73"/>
        <v>30803.778392837867</v>
      </c>
      <c r="BJ26" s="4">
        <v>1</v>
      </c>
      <c r="BK26" s="4">
        <f t="shared" si="74"/>
        <v>165</v>
      </c>
      <c r="BL26" s="4">
        <f t="shared" ref="BL26:BL48" si="76">IF(D26&gt;10,1,0)</f>
        <v>0</v>
      </c>
      <c r="BM26" s="4">
        <f t="shared" ref="BM26:BM48" si="77">IF(E26&gt;10,1,0)</f>
        <v>0</v>
      </c>
      <c r="BN26" s="4">
        <f t="shared" ref="BN26:BN48" si="78">IF(F26&gt;10,1,0)</f>
        <v>0</v>
      </c>
      <c r="BO26" s="4">
        <f t="shared" ref="BO26:BO48" si="79">IF(G26&gt;10,1,0)</f>
        <v>0</v>
      </c>
      <c r="BP26" s="4">
        <f t="shared" ref="BP26:BP48" si="80">IF(H26&gt;10,1,0)</f>
        <v>0</v>
      </c>
      <c r="BQ26" s="4">
        <f t="shared" ref="BQ26:BQ48" si="81">IF(I26&gt;10,1,0)</f>
        <v>0</v>
      </c>
      <c r="BR26" s="4">
        <f t="shared" ref="BR26:BR48" si="82">IF(J26&gt;10,1,0)</f>
        <v>0</v>
      </c>
      <c r="BS26" s="4">
        <f t="shared" ref="BS26:BS48" si="83">IF(K26&gt;10,1,0)</f>
        <v>0</v>
      </c>
      <c r="BT26" s="4">
        <f t="shared" ref="BT26:BT48" si="84">IF(L26&gt;10,1,0)</f>
        <v>0</v>
      </c>
      <c r="BU26" s="4">
        <f t="shared" ref="BU26:BU48" si="85">IF(M26&gt;10,1,0)</f>
        <v>0</v>
      </c>
      <c r="BV26" s="4">
        <f t="shared" ref="BV26:BV48" si="86">IF(N26&gt;10,1,0)</f>
        <v>0</v>
      </c>
      <c r="BW26" s="4">
        <f t="shared" ref="BW26:BW48" si="87">IF(O26&gt;10,1,0)</f>
        <v>0</v>
      </c>
      <c r="BX26" s="4">
        <f t="shared" ref="BX26:BX49" si="88">SUM(BL26:BW26)</f>
        <v>0</v>
      </c>
    </row>
    <row r="27" spans="2:76">
      <c r="B27" s="4">
        <v>2</v>
      </c>
      <c r="C27" s="4">
        <f t="shared" si="22"/>
        <v>150</v>
      </c>
      <c r="D27" s="14">
        <f t="shared" si="23"/>
        <v>0</v>
      </c>
      <c r="E27" s="14">
        <f t="shared" si="24"/>
        <v>0</v>
      </c>
      <c r="F27" s="14">
        <f t="shared" si="25"/>
        <v>0</v>
      </c>
      <c r="G27" s="14">
        <f t="shared" si="26"/>
        <v>0</v>
      </c>
      <c r="H27" s="14">
        <f t="shared" si="27"/>
        <v>0</v>
      </c>
      <c r="I27" s="14">
        <f t="shared" si="28"/>
        <v>0</v>
      </c>
      <c r="J27" s="14">
        <f t="shared" si="29"/>
        <v>0</v>
      </c>
      <c r="K27" s="14">
        <f t="shared" si="30"/>
        <v>0</v>
      </c>
      <c r="L27" s="14">
        <f t="shared" si="31"/>
        <v>0</v>
      </c>
      <c r="M27" s="14">
        <f t="shared" si="32"/>
        <v>0</v>
      </c>
      <c r="N27" s="14">
        <f t="shared" si="33"/>
        <v>0</v>
      </c>
      <c r="O27" s="14">
        <f t="shared" si="34"/>
        <v>0</v>
      </c>
      <c r="P27" s="2"/>
      <c r="Q27" s="4">
        <v>2</v>
      </c>
      <c r="R27" s="29">
        <f t="shared" si="35"/>
        <v>2.6179948779914946</v>
      </c>
      <c r="S27" s="48">
        <f t="shared" si="36"/>
        <v>-0.93911568737742268</v>
      </c>
      <c r="T27" s="48">
        <f t="shared" si="37"/>
        <v>-1.0025310197274209</v>
      </c>
      <c r="U27" s="48">
        <f t="shared" si="38"/>
        <v>-1.0451065317110999</v>
      </c>
      <c r="V27" s="48">
        <f t="shared" si="39"/>
        <v>-1.0243185521789286</v>
      </c>
      <c r="W27" s="48">
        <f t="shared" si="40"/>
        <v>-0.96117020472374215</v>
      </c>
      <c r="X27" s="48">
        <f t="shared" si="41"/>
        <v>-0.91952238443392098</v>
      </c>
      <c r="Y27" s="48">
        <f t="shared" si="42"/>
        <v>-0.93680505637327138</v>
      </c>
      <c r="Z27" s="48">
        <f t="shared" si="43"/>
        <v>-0.99928909050517445</v>
      </c>
      <c r="AA27" s="48">
        <f t="shared" si="44"/>
        <v>-1.0459036620551221</v>
      </c>
      <c r="AB27" s="48">
        <f t="shared" si="45"/>
        <v>-1.0234328385995171</v>
      </c>
      <c r="AC27" s="48">
        <f t="shared" si="46"/>
        <v>-0.95812269090841262</v>
      </c>
      <c r="AD27" s="48">
        <f t="shared" si="47"/>
        <v>-0.91895706492502116</v>
      </c>
      <c r="AE27" s="2"/>
      <c r="AF27" s="4">
        <v>2.5</v>
      </c>
      <c r="AG27" s="4">
        <f t="shared" si="48"/>
        <v>142.5</v>
      </c>
      <c r="AH27" s="17">
        <f t="shared" si="49"/>
        <v>0</v>
      </c>
      <c r="AI27" s="17">
        <f t="shared" si="50"/>
        <v>0</v>
      </c>
      <c r="AJ27" s="17">
        <f t="shared" si="51"/>
        <v>0</v>
      </c>
      <c r="AK27" s="17">
        <f t="shared" si="52"/>
        <v>0</v>
      </c>
      <c r="AL27" s="17">
        <f t="shared" si="53"/>
        <v>0</v>
      </c>
      <c r="AM27" s="17">
        <f t="shared" si="54"/>
        <v>0</v>
      </c>
      <c r="AN27" s="17">
        <f t="shared" si="55"/>
        <v>0</v>
      </c>
      <c r="AO27" s="17">
        <f t="shared" si="56"/>
        <v>0</v>
      </c>
      <c r="AP27" s="17">
        <f t="shared" si="57"/>
        <v>0</v>
      </c>
      <c r="AQ27" s="17">
        <f t="shared" si="58"/>
        <v>0</v>
      </c>
      <c r="AR27" s="17">
        <f t="shared" si="59"/>
        <v>0</v>
      </c>
      <c r="AS27" s="17">
        <f t="shared" si="60"/>
        <v>0</v>
      </c>
      <c r="AT27" s="2"/>
      <c r="AU27" s="4">
        <v>2</v>
      </c>
      <c r="AV27" s="4">
        <f t="shared" si="61"/>
        <v>150</v>
      </c>
      <c r="AW27" s="40">
        <f t="shared" si="62"/>
        <v>28037.134214516111</v>
      </c>
      <c r="AX27" s="40">
        <f t="shared" si="63"/>
        <v>29033.33507901329</v>
      </c>
      <c r="AY27" s="40">
        <f t="shared" si="64"/>
        <v>29402.135409451945</v>
      </c>
      <c r="AZ27" s="40">
        <f t="shared" si="65"/>
        <v>28540.906467787492</v>
      </c>
      <c r="BA27" s="40">
        <f t="shared" si="66"/>
        <v>26979.087246097788</v>
      </c>
      <c r="BB27" s="40">
        <f t="shared" si="67"/>
        <v>25927.341838080436</v>
      </c>
      <c r="BC27" s="40">
        <f t="shared" si="68"/>
        <v>26253.194786431101</v>
      </c>
      <c r="BD27" s="40">
        <f t="shared" si="69"/>
        <v>27643.180775760138</v>
      </c>
      <c r="BE27" s="40">
        <f t="shared" si="70"/>
        <v>28876.92055453554</v>
      </c>
      <c r="BF27" s="40">
        <f t="shared" si="71"/>
        <v>-0.55998883167630087</v>
      </c>
      <c r="BG27" s="40">
        <f t="shared" si="72"/>
        <v>28181.719202419677</v>
      </c>
      <c r="BH27" s="40">
        <f t="shared" si="73"/>
        <v>27617.920702128169</v>
      </c>
      <c r="BJ27" s="4">
        <v>2</v>
      </c>
      <c r="BK27" s="4">
        <f t="shared" si="74"/>
        <v>150</v>
      </c>
      <c r="BL27" s="4">
        <f t="shared" si="76"/>
        <v>0</v>
      </c>
      <c r="BM27" s="4">
        <f t="shared" si="77"/>
        <v>0</v>
      </c>
      <c r="BN27" s="4">
        <f t="shared" si="78"/>
        <v>0</v>
      </c>
      <c r="BO27" s="4">
        <f t="shared" si="79"/>
        <v>0</v>
      </c>
      <c r="BP27" s="4">
        <f t="shared" si="80"/>
        <v>0</v>
      </c>
      <c r="BQ27" s="4">
        <f t="shared" si="81"/>
        <v>0</v>
      </c>
      <c r="BR27" s="4">
        <f t="shared" si="82"/>
        <v>0</v>
      </c>
      <c r="BS27" s="4">
        <f t="shared" si="83"/>
        <v>0</v>
      </c>
      <c r="BT27" s="4">
        <f t="shared" si="84"/>
        <v>0</v>
      </c>
      <c r="BU27" s="4">
        <f t="shared" si="85"/>
        <v>0</v>
      </c>
      <c r="BV27" s="4">
        <f t="shared" si="86"/>
        <v>0</v>
      </c>
      <c r="BW27" s="4">
        <f t="shared" si="87"/>
        <v>0</v>
      </c>
      <c r="BX27" s="4">
        <f t="shared" si="88"/>
        <v>0</v>
      </c>
    </row>
    <row r="28" spans="2:76">
      <c r="B28" s="4">
        <v>3</v>
      </c>
      <c r="C28" s="4">
        <f t="shared" si="22"/>
        <v>135</v>
      </c>
      <c r="D28" s="14">
        <f t="shared" si="23"/>
        <v>0</v>
      </c>
      <c r="E28" s="14">
        <f t="shared" si="24"/>
        <v>0</v>
      </c>
      <c r="F28" s="14">
        <f t="shared" si="25"/>
        <v>0</v>
      </c>
      <c r="G28" s="14">
        <f t="shared" si="26"/>
        <v>0</v>
      </c>
      <c r="H28" s="14">
        <f t="shared" si="27"/>
        <v>0</v>
      </c>
      <c r="I28" s="14">
        <f t="shared" si="28"/>
        <v>0</v>
      </c>
      <c r="J28" s="14">
        <f t="shared" si="29"/>
        <v>0</v>
      </c>
      <c r="K28" s="14">
        <f t="shared" si="30"/>
        <v>0</v>
      </c>
      <c r="L28" s="14">
        <f t="shared" si="31"/>
        <v>0</v>
      </c>
      <c r="M28" s="14">
        <f t="shared" si="32"/>
        <v>0</v>
      </c>
      <c r="N28" s="14">
        <f t="shared" si="33"/>
        <v>0</v>
      </c>
      <c r="O28" s="14">
        <f t="shared" si="34"/>
        <v>0</v>
      </c>
      <c r="P28" s="2"/>
      <c r="Q28" s="4">
        <v>3</v>
      </c>
      <c r="R28" s="29">
        <f t="shared" si="35"/>
        <v>2.356195490192345</v>
      </c>
      <c r="S28" s="48">
        <f t="shared" si="36"/>
        <v>-0.71941213677344618</v>
      </c>
      <c r="T28" s="48">
        <f t="shared" si="37"/>
        <v>-0.75896771799424889</v>
      </c>
      <c r="U28" s="48">
        <f t="shared" si="38"/>
        <v>-0.78418987925343475</v>
      </c>
      <c r="V28" s="48">
        <f t="shared" si="39"/>
        <v>-0.77201793822606701</v>
      </c>
      <c r="W28" s="48">
        <f t="shared" si="40"/>
        <v>-0.73342093291724308</v>
      </c>
      <c r="X28" s="48">
        <f t="shared" si="41"/>
        <v>-0.70675564589820594</v>
      </c>
      <c r="Y28" s="48">
        <f t="shared" si="42"/>
        <v>-0.717929686588474</v>
      </c>
      <c r="Z28" s="48">
        <f t="shared" si="43"/>
        <v>-0.75700115180141958</v>
      </c>
      <c r="AA28" s="48">
        <f t="shared" si="44"/>
        <v>-0.7846510006772538</v>
      </c>
      <c r="AB28" s="48">
        <f t="shared" si="45"/>
        <v>-0.77149316570017823</v>
      </c>
      <c r="AC28" s="48">
        <f t="shared" si="46"/>
        <v>-0.73150063427637013</v>
      </c>
      <c r="AD28" s="48">
        <f t="shared" si="47"/>
        <v>-0.70638762397864074</v>
      </c>
      <c r="AE28" s="2"/>
      <c r="AF28" s="4">
        <v>3.5</v>
      </c>
      <c r="AG28" s="4">
        <f t="shared" si="48"/>
        <v>127.5</v>
      </c>
      <c r="AH28" s="17">
        <f t="shared" si="49"/>
        <v>0</v>
      </c>
      <c r="AI28" s="17">
        <f t="shared" si="50"/>
        <v>0</v>
      </c>
      <c r="AJ28" s="17">
        <f t="shared" si="51"/>
        <v>0</v>
      </c>
      <c r="AK28" s="17">
        <f t="shared" si="52"/>
        <v>0</v>
      </c>
      <c r="AL28" s="17">
        <f t="shared" si="53"/>
        <v>0</v>
      </c>
      <c r="AM28" s="17">
        <f t="shared" si="54"/>
        <v>0</v>
      </c>
      <c r="AN28" s="17">
        <f t="shared" si="55"/>
        <v>0</v>
      </c>
      <c r="AO28" s="17">
        <f t="shared" si="56"/>
        <v>0</v>
      </c>
      <c r="AP28" s="17">
        <f t="shared" si="57"/>
        <v>0</v>
      </c>
      <c r="AQ28" s="17">
        <f t="shared" si="58"/>
        <v>0</v>
      </c>
      <c r="AR28" s="17">
        <f t="shared" si="59"/>
        <v>0</v>
      </c>
      <c r="AS28" s="17">
        <f t="shared" si="60"/>
        <v>0</v>
      </c>
      <c r="AT28" s="2"/>
      <c r="AU28" s="4">
        <v>3</v>
      </c>
      <c r="AV28" s="4">
        <f t="shared" si="61"/>
        <v>135</v>
      </c>
      <c r="AW28" s="40">
        <f t="shared" si="62"/>
        <v>22892.233900550989</v>
      </c>
      <c r="AX28" s="40">
        <f t="shared" si="63"/>
        <v>23705.628844110994</v>
      </c>
      <c r="AY28" s="40">
        <f t="shared" si="64"/>
        <v>24006.753180229163</v>
      </c>
      <c r="AZ28" s="40">
        <f t="shared" si="65"/>
        <v>23303.562396761037</v>
      </c>
      <c r="BA28" s="40">
        <f t="shared" si="66"/>
        <v>22028.34180325309</v>
      </c>
      <c r="BB28" s="40">
        <f t="shared" si="67"/>
        <v>21169.594910651704</v>
      </c>
      <c r="BC28" s="40">
        <f t="shared" si="68"/>
        <v>21435.652841314441</v>
      </c>
      <c r="BD28" s="40">
        <f t="shared" si="69"/>
        <v>22570.572128811891</v>
      </c>
      <c r="BE28" s="40">
        <f>(PI()*(COS($C84)-COS(AP$8)))/(24*(SIN(AP$8)-AP$8*COS(AP$8)))*BE$14</f>
        <v>23577.916865690095</v>
      </c>
      <c r="BF28" s="40">
        <f t="shared" si="71"/>
        <v>-0.45722915966899952</v>
      </c>
      <c r="BG28" s="40">
        <f t="shared" si="72"/>
        <v>23010.287098722831</v>
      </c>
      <c r="BH28" s="40">
        <f t="shared" si="73"/>
        <v>22549.947356340363</v>
      </c>
      <c r="BJ28" s="4">
        <v>3</v>
      </c>
      <c r="BK28" s="4">
        <f t="shared" si="74"/>
        <v>135</v>
      </c>
      <c r="BL28" s="4">
        <f t="shared" si="76"/>
        <v>0</v>
      </c>
      <c r="BM28" s="4">
        <f t="shared" si="77"/>
        <v>0</v>
      </c>
      <c r="BN28" s="4">
        <f t="shared" si="78"/>
        <v>0</v>
      </c>
      <c r="BO28" s="4">
        <f t="shared" si="79"/>
        <v>0</v>
      </c>
      <c r="BP28" s="4">
        <f t="shared" si="80"/>
        <v>0</v>
      </c>
      <c r="BQ28" s="4">
        <f t="shared" si="81"/>
        <v>0</v>
      </c>
      <c r="BR28" s="4">
        <f t="shared" si="82"/>
        <v>0</v>
      </c>
      <c r="BS28" s="4">
        <f t="shared" si="83"/>
        <v>0</v>
      </c>
      <c r="BT28" s="4">
        <f t="shared" si="84"/>
        <v>0</v>
      </c>
      <c r="BU28" s="4">
        <f t="shared" si="85"/>
        <v>0</v>
      </c>
      <c r="BV28" s="4">
        <f t="shared" si="86"/>
        <v>0</v>
      </c>
      <c r="BW28" s="4">
        <f t="shared" si="87"/>
        <v>0</v>
      </c>
      <c r="BX28" s="4">
        <f t="shared" si="88"/>
        <v>0</v>
      </c>
    </row>
    <row r="29" spans="2:76">
      <c r="B29" s="4">
        <v>4</v>
      </c>
      <c r="C29" s="4">
        <f t="shared" si="22"/>
        <v>120</v>
      </c>
      <c r="D29" s="14">
        <f t="shared" si="23"/>
        <v>0</v>
      </c>
      <c r="E29" s="14">
        <f t="shared" si="24"/>
        <v>0</v>
      </c>
      <c r="F29" s="14">
        <f t="shared" si="25"/>
        <v>0</v>
      </c>
      <c r="G29" s="14">
        <f t="shared" si="26"/>
        <v>0</v>
      </c>
      <c r="H29" s="14">
        <f t="shared" si="27"/>
        <v>0</v>
      </c>
      <c r="I29" s="14">
        <f t="shared" si="28"/>
        <v>0</v>
      </c>
      <c r="J29" s="14">
        <f t="shared" si="29"/>
        <v>0</v>
      </c>
      <c r="K29" s="14">
        <f t="shared" si="30"/>
        <v>0</v>
      </c>
      <c r="L29" s="14">
        <f t="shared" si="31"/>
        <v>0</v>
      </c>
      <c r="M29" s="14">
        <f t="shared" si="32"/>
        <v>0</v>
      </c>
      <c r="N29" s="14">
        <f t="shared" si="33"/>
        <v>0</v>
      </c>
      <c r="O29" s="14">
        <f t="shared" si="34"/>
        <v>0</v>
      </c>
      <c r="P29" s="2"/>
      <c r="Q29" s="4">
        <v>4</v>
      </c>
      <c r="R29" s="29">
        <f t="shared" si="35"/>
        <v>2.0943961023931954</v>
      </c>
      <c r="S29" s="48">
        <f t="shared" si="36"/>
        <v>-0.48470020948422948</v>
      </c>
      <c r="T29" s="48">
        <f t="shared" si="37"/>
        <v>-0.50820746706410758</v>
      </c>
      <c r="U29" s="48">
        <f t="shared" si="38"/>
        <v>-0.52290131364956327</v>
      </c>
      <c r="V29" s="48">
        <f t="shared" si="39"/>
        <v>-0.51583996565093415</v>
      </c>
      <c r="W29" s="48">
        <f t="shared" si="40"/>
        <v>-0.49308787709760599</v>
      </c>
      <c r="X29" s="48">
        <f t="shared" si="41"/>
        <v>-0.47706541793244445</v>
      </c>
      <c r="Y29" s="48">
        <f t="shared" si="42"/>
        <v>-0.48380870730513598</v>
      </c>
      <c r="Z29" s="48">
        <f t="shared" si="43"/>
        <v>-0.50705188028253745</v>
      </c>
      <c r="AA29" s="48">
        <f t="shared" si="44"/>
        <v>-0.52316771584680377</v>
      </c>
      <c r="AB29" s="48">
        <f t="shared" si="45"/>
        <v>-0.51553426956326509</v>
      </c>
      <c r="AC29" s="48">
        <f t="shared" si="46"/>
        <v>-0.49194208688608326</v>
      </c>
      <c r="AD29" s="48">
        <f t="shared" si="47"/>
        <v>-0.47684262389163629</v>
      </c>
      <c r="AE29" s="2"/>
      <c r="AF29" s="4">
        <v>4.5</v>
      </c>
      <c r="AG29" s="4">
        <f t="shared" si="48"/>
        <v>112.5</v>
      </c>
      <c r="AH29" s="17">
        <f t="shared" si="49"/>
        <v>0</v>
      </c>
      <c r="AI29" s="17">
        <f t="shared" si="50"/>
        <v>0</v>
      </c>
      <c r="AJ29" s="17">
        <f t="shared" si="51"/>
        <v>0</v>
      </c>
      <c r="AK29" s="17">
        <f t="shared" si="52"/>
        <v>0</v>
      </c>
      <c r="AL29" s="17">
        <f t="shared" si="53"/>
        <v>0</v>
      </c>
      <c r="AM29" s="17">
        <f t="shared" si="54"/>
        <v>0</v>
      </c>
      <c r="AN29" s="17">
        <f t="shared" si="55"/>
        <v>0</v>
      </c>
      <c r="AO29" s="17">
        <f t="shared" si="56"/>
        <v>0</v>
      </c>
      <c r="AP29" s="17">
        <f t="shared" si="57"/>
        <v>0</v>
      </c>
      <c r="AQ29" s="17">
        <f t="shared" si="58"/>
        <v>0</v>
      </c>
      <c r="AR29" s="17">
        <f t="shared" si="59"/>
        <v>0</v>
      </c>
      <c r="AS29" s="17">
        <f t="shared" si="60"/>
        <v>0</v>
      </c>
      <c r="AT29" s="2"/>
      <c r="AU29" s="4">
        <v>4</v>
      </c>
      <c r="AV29" s="4">
        <f t="shared" si="61"/>
        <v>120</v>
      </c>
      <c r="AW29" s="40">
        <f t="shared" si="62"/>
        <v>16187.265677468558</v>
      </c>
      <c r="AX29" s="40">
        <f t="shared" si="63"/>
        <v>16762.423178886471</v>
      </c>
      <c r="AY29" s="40">
        <f t="shared" si="64"/>
        <v>16975.350394809197</v>
      </c>
      <c r="AZ29" s="40">
        <f t="shared" si="65"/>
        <v>16478.119059353034</v>
      </c>
      <c r="BA29" s="40">
        <f t="shared" si="66"/>
        <v>15576.401270072736</v>
      </c>
      <c r="BB29" s="40">
        <f t="shared" si="67"/>
        <v>14969.175074471763</v>
      </c>
      <c r="BC29" s="40">
        <f t="shared" si="68"/>
        <v>15157.306579153428</v>
      </c>
      <c r="BD29" s="40">
        <f t="shared" si="69"/>
        <v>15959.816290919145</v>
      </c>
      <c r="BE29" s="40">
        <f t="shared" si="70"/>
        <v>16672.117106797785</v>
      </c>
      <c r="BF29" s="40">
        <f t="shared" si="71"/>
        <v>-0.32331007603716855</v>
      </c>
      <c r="BG29" s="40">
        <f t="shared" si="72"/>
        <v>16270.7419555454</v>
      </c>
      <c r="BH29" s="40">
        <f t="shared" si="73"/>
        <v>15945.232363767938</v>
      </c>
      <c r="BJ29" s="4">
        <v>4</v>
      </c>
      <c r="BK29" s="4">
        <f t="shared" si="74"/>
        <v>120</v>
      </c>
      <c r="BL29" s="4">
        <f t="shared" si="76"/>
        <v>0</v>
      </c>
      <c r="BM29" s="4">
        <f t="shared" si="77"/>
        <v>0</v>
      </c>
      <c r="BN29" s="4">
        <f t="shared" si="78"/>
        <v>0</v>
      </c>
      <c r="BO29" s="4">
        <f t="shared" si="79"/>
        <v>0</v>
      </c>
      <c r="BP29" s="4">
        <f t="shared" si="80"/>
        <v>0</v>
      </c>
      <c r="BQ29" s="4">
        <f t="shared" si="81"/>
        <v>0</v>
      </c>
      <c r="BR29" s="4">
        <f t="shared" si="82"/>
        <v>0</v>
      </c>
      <c r="BS29" s="4">
        <f t="shared" si="83"/>
        <v>0</v>
      </c>
      <c r="BT29" s="4">
        <f t="shared" si="84"/>
        <v>0</v>
      </c>
      <c r="BU29" s="4">
        <f t="shared" si="85"/>
        <v>0</v>
      </c>
      <c r="BV29" s="4">
        <f t="shared" si="86"/>
        <v>0</v>
      </c>
      <c r="BW29" s="4">
        <f t="shared" si="87"/>
        <v>0</v>
      </c>
      <c r="BX29" s="4">
        <f t="shared" si="88"/>
        <v>0</v>
      </c>
    </row>
    <row r="30" spans="2:76">
      <c r="B30" s="4">
        <v>5</v>
      </c>
      <c r="C30" s="4">
        <f t="shared" si="22"/>
        <v>105</v>
      </c>
      <c r="D30" s="14">
        <f t="shared" si="23"/>
        <v>0</v>
      </c>
      <c r="E30" s="14">
        <f t="shared" si="24"/>
        <v>0</v>
      </c>
      <c r="F30" s="14">
        <f t="shared" si="25"/>
        <v>0</v>
      </c>
      <c r="G30" s="14">
        <f t="shared" si="26"/>
        <v>0</v>
      </c>
      <c r="H30" s="14">
        <f t="shared" si="27"/>
        <v>0</v>
      </c>
      <c r="I30" s="14">
        <f t="shared" si="28"/>
        <v>0</v>
      </c>
      <c r="J30" s="14">
        <f t="shared" si="29"/>
        <v>0</v>
      </c>
      <c r="K30" s="14">
        <f t="shared" si="30"/>
        <v>0</v>
      </c>
      <c r="L30" s="14">
        <f t="shared" si="31"/>
        <v>0</v>
      </c>
      <c r="M30" s="14">
        <f t="shared" si="32"/>
        <v>0</v>
      </c>
      <c r="N30" s="14">
        <f t="shared" si="33"/>
        <v>0</v>
      </c>
      <c r="O30" s="14">
        <f t="shared" si="34"/>
        <v>0</v>
      </c>
      <c r="P30" s="2"/>
      <c r="Q30" s="4">
        <v>5</v>
      </c>
      <c r="R30" s="29">
        <f t="shared" si="35"/>
        <v>1.8325967145940461</v>
      </c>
      <c r="S30" s="48">
        <f t="shared" si="36"/>
        <v>-0.24359226625904304</v>
      </c>
      <c r="T30" s="48">
        <f t="shared" si="37"/>
        <v>-0.25463214408581025</v>
      </c>
      <c r="U30" s="48">
        <f t="shared" si="38"/>
        <v>-0.26147617867597761</v>
      </c>
      <c r="V30" s="48">
        <f t="shared" si="39"/>
        <v>-0.25819274616724236</v>
      </c>
      <c r="W30" s="48">
        <f t="shared" si="40"/>
        <v>-0.24754396809686874</v>
      </c>
      <c r="X30" s="48">
        <f t="shared" si="41"/>
        <v>-0.23998344680191117</v>
      </c>
      <c r="Y30" s="48">
        <f t="shared" si="42"/>
        <v>-0.24317144721681838</v>
      </c>
      <c r="Z30" s="48">
        <f t="shared" si="43"/>
        <v>-0.25409201870202125</v>
      </c>
      <c r="AA30" s="48">
        <f t="shared" si="44"/>
        <v>-0.26159984821461069</v>
      </c>
      <c r="AB30" s="48">
        <f t="shared" si="45"/>
        <v>-0.25805036757646926</v>
      </c>
      <c r="AC30" s="48">
        <f t="shared" si="46"/>
        <v>-0.24700496007200357</v>
      </c>
      <c r="AD30" s="48">
        <f t="shared" si="47"/>
        <v>-0.23987796921144072</v>
      </c>
      <c r="AE30" s="2"/>
      <c r="AF30" s="4">
        <v>5.5</v>
      </c>
      <c r="AG30" s="4">
        <f t="shared" si="48"/>
        <v>97.5</v>
      </c>
      <c r="AH30" s="17">
        <f t="shared" si="49"/>
        <v>0</v>
      </c>
      <c r="AI30" s="17">
        <f t="shared" si="50"/>
        <v>0</v>
      </c>
      <c r="AJ30" s="17">
        <f t="shared" si="51"/>
        <v>0</v>
      </c>
      <c r="AK30" s="17">
        <f t="shared" si="52"/>
        <v>0</v>
      </c>
      <c r="AL30" s="17">
        <f t="shared" si="53"/>
        <v>0</v>
      </c>
      <c r="AM30" s="17">
        <f t="shared" si="54"/>
        <v>0</v>
      </c>
      <c r="AN30" s="17">
        <f t="shared" si="55"/>
        <v>0</v>
      </c>
      <c r="AO30" s="17">
        <f t="shared" si="56"/>
        <v>0</v>
      </c>
      <c r="AP30" s="17">
        <f t="shared" si="57"/>
        <v>0</v>
      </c>
      <c r="AQ30" s="17">
        <f t="shared" si="58"/>
        <v>0</v>
      </c>
      <c r="AR30" s="17">
        <f t="shared" si="59"/>
        <v>0</v>
      </c>
      <c r="AS30" s="17">
        <f t="shared" si="60"/>
        <v>0</v>
      </c>
      <c r="AT30" s="2"/>
      <c r="AU30" s="4">
        <v>5</v>
      </c>
      <c r="AV30" s="4">
        <f t="shared" si="61"/>
        <v>105</v>
      </c>
      <c r="AW30" s="40">
        <f t="shared" si="62"/>
        <v>8379.1620491879985</v>
      </c>
      <c r="AX30" s="40">
        <f t="shared" si="63"/>
        <v>8676.886075234901</v>
      </c>
      <c r="AY30" s="40">
        <f t="shared" si="64"/>
        <v>8787.1055330759082</v>
      </c>
      <c r="AZ30" s="40">
        <f t="shared" si="65"/>
        <v>8529.7191394294114</v>
      </c>
      <c r="BA30" s="40">
        <f t="shared" si="66"/>
        <v>8062.9547315571153</v>
      </c>
      <c r="BB30" s="40">
        <f t="shared" si="67"/>
        <v>7748.6306946980276</v>
      </c>
      <c r="BC30" s="40">
        <f t="shared" si="68"/>
        <v>7846.0149222565733</v>
      </c>
      <c r="BD30" s="40">
        <f t="shared" si="69"/>
        <v>8261.4253476437279</v>
      </c>
      <c r="BE30" s="40">
        <f t="shared" si="70"/>
        <v>8630.1401190534307</v>
      </c>
      <c r="BF30" s="40">
        <f t="shared" si="71"/>
        <v>-0.16735794501856757</v>
      </c>
      <c r="BG30" s="40">
        <f t="shared" si="72"/>
        <v>8422.3726367699728</v>
      </c>
      <c r="BH30" s="40">
        <f t="shared" si="73"/>
        <v>8253.8761363471222</v>
      </c>
      <c r="BJ30" s="4">
        <v>5</v>
      </c>
      <c r="BK30" s="4">
        <f t="shared" si="74"/>
        <v>105</v>
      </c>
      <c r="BL30" s="4">
        <f t="shared" si="76"/>
        <v>0</v>
      </c>
      <c r="BM30" s="4">
        <f t="shared" si="77"/>
        <v>0</v>
      </c>
      <c r="BN30" s="4">
        <f t="shared" si="78"/>
        <v>0</v>
      </c>
      <c r="BO30" s="4">
        <f t="shared" si="79"/>
        <v>0</v>
      </c>
      <c r="BP30" s="4">
        <f t="shared" si="80"/>
        <v>0</v>
      </c>
      <c r="BQ30" s="4">
        <f t="shared" si="81"/>
        <v>0</v>
      </c>
      <c r="BR30" s="4">
        <f t="shared" si="82"/>
        <v>0</v>
      </c>
      <c r="BS30" s="4">
        <f t="shared" si="83"/>
        <v>0</v>
      </c>
      <c r="BT30" s="4">
        <f t="shared" si="84"/>
        <v>0</v>
      </c>
      <c r="BU30" s="4">
        <f t="shared" si="85"/>
        <v>0</v>
      </c>
      <c r="BV30" s="4">
        <f t="shared" si="86"/>
        <v>0</v>
      </c>
      <c r="BW30" s="4">
        <f t="shared" si="87"/>
        <v>0</v>
      </c>
      <c r="BX30" s="4">
        <f t="shared" si="88"/>
        <v>0</v>
      </c>
    </row>
    <row r="31" spans="2:76">
      <c r="B31" s="4">
        <v>6</v>
      </c>
      <c r="C31" s="4">
        <f t="shared" si="22"/>
        <v>90</v>
      </c>
      <c r="D31" s="14">
        <f t="shared" si="23"/>
        <v>0</v>
      </c>
      <c r="E31" s="14">
        <f t="shared" si="24"/>
        <v>0</v>
      </c>
      <c r="F31" s="14">
        <f t="shared" si="25"/>
        <v>0</v>
      </c>
      <c r="G31" s="14">
        <f t="shared" si="26"/>
        <v>0</v>
      </c>
      <c r="H31" s="14">
        <f t="shared" si="27"/>
        <v>0</v>
      </c>
      <c r="I31" s="14">
        <f t="shared" si="28"/>
        <v>0</v>
      </c>
      <c r="J31" s="14">
        <f t="shared" si="29"/>
        <v>0</v>
      </c>
      <c r="K31" s="14">
        <f t="shared" si="30"/>
        <v>0</v>
      </c>
      <c r="L31" s="14">
        <f t="shared" si="31"/>
        <v>0</v>
      </c>
      <c r="M31" s="14">
        <f t="shared" si="32"/>
        <v>0</v>
      </c>
      <c r="N31" s="14">
        <f t="shared" si="33"/>
        <v>0</v>
      </c>
      <c r="O31" s="14">
        <f t="shared" si="34"/>
        <v>0</v>
      </c>
      <c r="P31" s="2"/>
      <c r="Q31" s="4">
        <v>6</v>
      </c>
      <c r="R31" s="29">
        <f t="shared" si="35"/>
        <v>1.5707973267948965</v>
      </c>
      <c r="S31" s="48">
        <f t="shared" si="36"/>
        <v>-9.3188462848172549E-7</v>
      </c>
      <c r="T31" s="48">
        <f t="shared" si="37"/>
        <v>-9.7322239448424109E-7</v>
      </c>
      <c r="U31" s="48">
        <f t="shared" si="38"/>
        <v>-9.9878998724195588E-7</v>
      </c>
      <c r="V31" s="48">
        <f t="shared" si="39"/>
        <v>-9.8652967352150629E-7</v>
      </c>
      <c r="W31" s="48">
        <f t="shared" si="40"/>
        <v>-9.4669471127002654E-7</v>
      </c>
      <c r="X31" s="48">
        <f t="shared" si="41"/>
        <v>-9.1834687227730095E-7</v>
      </c>
      <c r="Y31" s="48">
        <f t="shared" si="42"/>
        <v>-9.3030663268336832E-7</v>
      </c>
      <c r="Z31" s="48">
        <f t="shared" si="43"/>
        <v>-9.7120266538067603E-7</v>
      </c>
      <c r="AA31" s="48">
        <f t="shared" si="44"/>
        <v>-9.9925155882879415E-7</v>
      </c>
      <c r="AB31" s="48">
        <f t="shared" si="45"/>
        <v>-9.8599779132289181E-7</v>
      </c>
      <c r="AC31" s="48">
        <f t="shared" si="46"/>
        <v>-9.4467549691481272E-7</v>
      </c>
      <c r="AD31" s="48">
        <f t="shared" si="47"/>
        <v>-9.1795101368153669E-7</v>
      </c>
      <c r="AE31" s="2"/>
      <c r="AF31" s="4">
        <v>6.5</v>
      </c>
      <c r="AG31" s="4">
        <f t="shared" si="48"/>
        <v>82.5</v>
      </c>
      <c r="AH31" s="17">
        <f t="shared" si="49"/>
        <v>0</v>
      </c>
      <c r="AI31" s="17">
        <f t="shared" si="50"/>
        <v>0</v>
      </c>
      <c r="AJ31" s="17">
        <f t="shared" si="51"/>
        <v>0</v>
      </c>
      <c r="AK31" s="17">
        <f t="shared" si="52"/>
        <v>0</v>
      </c>
      <c r="AL31" s="17">
        <f t="shared" si="53"/>
        <v>0</v>
      </c>
      <c r="AM31" s="17">
        <f t="shared" si="54"/>
        <v>0</v>
      </c>
      <c r="AN31" s="17">
        <f t="shared" si="55"/>
        <v>0</v>
      </c>
      <c r="AO31" s="17">
        <f t="shared" si="56"/>
        <v>0</v>
      </c>
      <c r="AP31" s="17">
        <f t="shared" si="57"/>
        <v>0</v>
      </c>
      <c r="AQ31" s="17">
        <f t="shared" si="58"/>
        <v>0</v>
      </c>
      <c r="AR31" s="17">
        <f t="shared" si="59"/>
        <v>0</v>
      </c>
      <c r="AS31" s="17">
        <f t="shared" si="60"/>
        <v>0</v>
      </c>
      <c r="AT31" s="2"/>
      <c r="AU31" s="4">
        <v>6</v>
      </c>
      <c r="AV31" s="4">
        <f t="shared" si="61"/>
        <v>90</v>
      </c>
      <c r="AW31" s="40">
        <f t="shared" si="62"/>
        <v>3.2374475278048515E-2</v>
      </c>
      <c r="AX31" s="40">
        <f t="shared" si="63"/>
        <v>3.3524788288389513E-2</v>
      </c>
      <c r="AY31" s="40">
        <f t="shared" si="64"/>
        <v>3.3950641982599838E-2</v>
      </c>
      <c r="AZ31" s="40">
        <f t="shared" si="65"/>
        <v>3.295618103422588E-2</v>
      </c>
      <c r="BA31" s="40">
        <f t="shared" si="66"/>
        <v>3.1152748579449687E-2</v>
      </c>
      <c r="BB31" s="40">
        <f t="shared" si="67"/>
        <v>2.9938298291836845E-2</v>
      </c>
      <c r="BC31" s="40">
        <f t="shared" si="68"/>
        <v>3.0314560649463827E-2</v>
      </c>
      <c r="BD31" s="40">
        <f t="shared" si="69"/>
        <v>3.1919577292893381E-2</v>
      </c>
      <c r="BE31" s="40">
        <f t="shared" si="70"/>
        <v>3.3344176457055806E-2</v>
      </c>
      <c r="BF31" s="40">
        <f t="shared" si="71"/>
        <v>-6.4661903204434068E-7</v>
      </c>
      <c r="BG31" s="40">
        <f t="shared" si="72"/>
        <v>3.2541427545018708E-2</v>
      </c>
      <c r="BH31" s="40">
        <f t="shared" si="73"/>
        <v>3.189040948911348E-2</v>
      </c>
      <c r="BJ31" s="4">
        <v>6</v>
      </c>
      <c r="BK31" s="4">
        <f t="shared" si="74"/>
        <v>90</v>
      </c>
      <c r="BL31" s="4">
        <f t="shared" si="76"/>
        <v>0</v>
      </c>
      <c r="BM31" s="4">
        <f t="shared" si="77"/>
        <v>0</v>
      </c>
      <c r="BN31" s="4">
        <f t="shared" si="78"/>
        <v>0</v>
      </c>
      <c r="BO31" s="4">
        <f t="shared" si="79"/>
        <v>0</v>
      </c>
      <c r="BP31" s="4">
        <f t="shared" si="80"/>
        <v>0</v>
      </c>
      <c r="BQ31" s="4">
        <f t="shared" si="81"/>
        <v>0</v>
      </c>
      <c r="BR31" s="4">
        <f t="shared" si="82"/>
        <v>0</v>
      </c>
      <c r="BS31" s="4">
        <f t="shared" si="83"/>
        <v>0</v>
      </c>
      <c r="BT31" s="4">
        <f t="shared" si="84"/>
        <v>0</v>
      </c>
      <c r="BU31" s="4">
        <f t="shared" si="85"/>
        <v>0</v>
      </c>
      <c r="BV31" s="4">
        <f t="shared" si="86"/>
        <v>0</v>
      </c>
      <c r="BW31" s="4">
        <f t="shared" si="87"/>
        <v>0</v>
      </c>
      <c r="BX31" s="4">
        <f t="shared" si="88"/>
        <v>0</v>
      </c>
    </row>
    <row r="32" spans="2:76">
      <c r="B32" s="4">
        <v>7</v>
      </c>
      <c r="C32" s="4">
        <f t="shared" si="22"/>
        <v>75</v>
      </c>
      <c r="D32" s="14">
        <f t="shared" si="23"/>
        <v>13.956702493458749</v>
      </c>
      <c r="E32" s="14">
        <f t="shared" si="24"/>
        <v>14.589235872350066</v>
      </c>
      <c r="F32" s="14">
        <f t="shared" si="25"/>
        <v>14.981367038376133</v>
      </c>
      <c r="G32" s="14">
        <f t="shared" si="26"/>
        <v>14.793241716741257</v>
      </c>
      <c r="H32" s="14">
        <f t="shared" si="27"/>
        <v>14.183116534520245</v>
      </c>
      <c r="I32" s="14">
        <f t="shared" si="28"/>
        <v>13.749934006751692</v>
      </c>
      <c r="J32" s="14">
        <f t="shared" si="29"/>
        <v>13.932591529463728</v>
      </c>
      <c r="K32" s="14">
        <f t="shared" si="30"/>
        <v>14.558289214055034</v>
      </c>
      <c r="L32" s="14">
        <f t="shared" si="31"/>
        <v>14.988452724316385</v>
      </c>
      <c r="M32" s="14">
        <f t="shared" si="32"/>
        <v>14.785084089530628</v>
      </c>
      <c r="N32" s="14">
        <f t="shared" si="33"/>
        <v>14.152233894773435</v>
      </c>
      <c r="O32" s="14">
        <f t="shared" si="34"/>
        <v>13.743890633792798</v>
      </c>
      <c r="P32" s="2"/>
      <c r="Q32" s="4">
        <v>7</v>
      </c>
      <c r="R32" s="29">
        <f t="shared" si="35"/>
        <v>1.3089979389957471</v>
      </c>
      <c r="S32" s="48">
        <f t="shared" si="36"/>
        <v>0.24359041123215752</v>
      </c>
      <c r="T32" s="48">
        <f t="shared" si="37"/>
        <v>0.2546302013225758</v>
      </c>
      <c r="U32" s="48">
        <f t="shared" si="38"/>
        <v>0.26147418126941518</v>
      </c>
      <c r="V32" s="48">
        <f t="shared" si="39"/>
        <v>0.2581907750005133</v>
      </c>
      <c r="W32" s="48">
        <f t="shared" si="40"/>
        <v>0.24754208172142628</v>
      </c>
      <c r="X32" s="48">
        <f t="shared" si="41"/>
        <v>0.23998162034975326</v>
      </c>
      <c r="Y32" s="48">
        <f t="shared" si="42"/>
        <v>0.24316959552461459</v>
      </c>
      <c r="Z32" s="48">
        <f t="shared" si="43"/>
        <v>0.25409008024283786</v>
      </c>
      <c r="AA32" s="48">
        <f t="shared" si="44"/>
        <v>0.26159784981883488</v>
      </c>
      <c r="AB32" s="48">
        <f t="shared" si="45"/>
        <v>0.25804839754653752</v>
      </c>
      <c r="AC32" s="48">
        <f t="shared" si="46"/>
        <v>0.24700307797613716</v>
      </c>
      <c r="AD32" s="48">
        <f t="shared" si="47"/>
        <v>0.23987614359369455</v>
      </c>
      <c r="AE32" s="2"/>
      <c r="AF32" s="4">
        <v>7.5</v>
      </c>
      <c r="AG32" s="4">
        <f t="shared" si="48"/>
        <v>67.5</v>
      </c>
      <c r="AH32" s="17">
        <f t="shared" si="49"/>
        <v>0</v>
      </c>
      <c r="AI32" s="17">
        <f t="shared" si="50"/>
        <v>0</v>
      </c>
      <c r="AJ32" s="17">
        <f t="shared" si="51"/>
        <v>0</v>
      </c>
      <c r="AK32" s="17">
        <f t="shared" si="52"/>
        <v>0</v>
      </c>
      <c r="AL32" s="17">
        <f t="shared" si="53"/>
        <v>0</v>
      </c>
      <c r="AM32" s="17">
        <f t="shared" si="54"/>
        <v>0</v>
      </c>
      <c r="AN32" s="17">
        <f t="shared" si="55"/>
        <v>0</v>
      </c>
      <c r="AO32" s="17">
        <f t="shared" si="56"/>
        <v>0</v>
      </c>
      <c r="AP32" s="17">
        <f t="shared" si="57"/>
        <v>0</v>
      </c>
      <c r="AQ32" s="17">
        <f t="shared" si="58"/>
        <v>23.24398553423914</v>
      </c>
      <c r="AR32" s="17">
        <f t="shared" si="59"/>
        <v>0</v>
      </c>
      <c r="AS32" s="17">
        <f t="shared" si="60"/>
        <v>0</v>
      </c>
      <c r="AT32" s="2"/>
      <c r="AU32" s="4">
        <v>7</v>
      </c>
      <c r="AV32" s="4">
        <f t="shared" si="61"/>
        <v>75</v>
      </c>
      <c r="AW32" s="40">
        <f t="shared" si="62"/>
        <v>-8379.0995065044262</v>
      </c>
      <c r="AX32" s="40">
        <f t="shared" si="63"/>
        <v>-8676.8213103172366</v>
      </c>
      <c r="AY32" s="40">
        <f t="shared" si="64"/>
        <v>-8787.0399454720828</v>
      </c>
      <c r="AZ32" s="40">
        <f t="shared" si="65"/>
        <v>-8529.6554729766121</v>
      </c>
      <c r="BA32" s="40">
        <f t="shared" si="66"/>
        <v>-8062.8945490682845</v>
      </c>
      <c r="BB32" s="40">
        <f t="shared" si="67"/>
        <v>-7748.5728583469918</v>
      </c>
      <c r="BC32" s="40">
        <f t="shared" si="68"/>
        <v>-7845.9563590224798</v>
      </c>
      <c r="BD32" s="40">
        <f t="shared" si="69"/>
        <v>-8261.3636837555787</v>
      </c>
      <c r="BE32" s="40">
        <f t="shared" si="70"/>
        <v>-8630.0757030510322</v>
      </c>
      <c r="BF32" s="40">
        <f t="shared" si="71"/>
        <v>0.1673566958465218</v>
      </c>
      <c r="BG32" s="40">
        <f t="shared" si="72"/>
        <v>-8422.3097715593867</v>
      </c>
      <c r="BH32" s="40">
        <f t="shared" si="73"/>
        <v>-8253.8145288068426</v>
      </c>
      <c r="BJ32" s="4">
        <v>7</v>
      </c>
      <c r="BK32" s="4">
        <f t="shared" si="74"/>
        <v>75</v>
      </c>
      <c r="BL32" s="4">
        <f t="shared" si="76"/>
        <v>1</v>
      </c>
      <c r="BM32" s="4">
        <f t="shared" si="77"/>
        <v>1</v>
      </c>
      <c r="BN32" s="4">
        <f t="shared" si="78"/>
        <v>1</v>
      </c>
      <c r="BO32" s="4">
        <f t="shared" si="79"/>
        <v>1</v>
      </c>
      <c r="BP32" s="4">
        <f t="shared" si="80"/>
        <v>1</v>
      </c>
      <c r="BQ32" s="4">
        <f t="shared" si="81"/>
        <v>1</v>
      </c>
      <c r="BR32" s="4">
        <f t="shared" si="82"/>
        <v>1</v>
      </c>
      <c r="BS32" s="4">
        <f t="shared" si="83"/>
        <v>1</v>
      </c>
      <c r="BT32" s="4">
        <f t="shared" si="84"/>
        <v>1</v>
      </c>
      <c r="BU32" s="4">
        <f t="shared" si="85"/>
        <v>1</v>
      </c>
      <c r="BV32" s="4">
        <f t="shared" si="86"/>
        <v>1</v>
      </c>
      <c r="BW32" s="4">
        <f t="shared" si="87"/>
        <v>1</v>
      </c>
      <c r="BX32" s="4">
        <f t="shared" si="88"/>
        <v>12</v>
      </c>
    </row>
    <row r="33" spans="2:76">
      <c r="B33" s="4">
        <v>8</v>
      </c>
      <c r="C33" s="4">
        <f t="shared" si="22"/>
        <v>60</v>
      </c>
      <c r="D33" s="14">
        <f t="shared" si="23"/>
        <v>27.771171814121967</v>
      </c>
      <c r="E33" s="14">
        <f t="shared" si="24"/>
        <v>29.118032426062467</v>
      </c>
      <c r="F33" s="14">
        <f t="shared" si="25"/>
        <v>29.959923967172056</v>
      </c>
      <c r="G33" s="14">
        <f t="shared" si="26"/>
        <v>29.555340388829535</v>
      </c>
      <c r="H33" s="14">
        <f t="shared" si="27"/>
        <v>28.251747632425726</v>
      </c>
      <c r="I33" s="14">
        <f t="shared" si="28"/>
        <v>27.333732408579383</v>
      </c>
      <c r="J33" s="14">
        <f t="shared" si="29"/>
        <v>27.720092727738244</v>
      </c>
      <c r="K33" s="14">
        <f t="shared" si="30"/>
        <v>29.051822480942597</v>
      </c>
      <c r="L33" s="14">
        <f t="shared" si="31"/>
        <v>29.975187618272969</v>
      </c>
      <c r="M33" s="14">
        <f t="shared" si="32"/>
        <v>29.537825373361905</v>
      </c>
      <c r="N33" s="14">
        <f t="shared" si="33"/>
        <v>28.186098981999077</v>
      </c>
      <c r="O33" s="14">
        <f t="shared" si="34"/>
        <v>27.320967306367866</v>
      </c>
      <c r="P33" s="2"/>
      <c r="Q33" s="4">
        <v>8</v>
      </c>
      <c r="R33" s="29">
        <f t="shared" si="35"/>
        <v>1.0471985511965975</v>
      </c>
      <c r="S33" s="48">
        <f t="shared" si="36"/>
        <v>0.48469838529347498</v>
      </c>
      <c r="T33" s="48">
        <f t="shared" si="37"/>
        <v>0.50820553753726239</v>
      </c>
      <c r="U33" s="48">
        <f t="shared" si="38"/>
        <v>0.5228993168743139</v>
      </c>
      <c r="V33" s="48">
        <f t="shared" si="39"/>
        <v>0.5158380013327365</v>
      </c>
      <c r="W33" s="48">
        <f t="shared" si="40"/>
        <v>0.49308601562834165</v>
      </c>
      <c r="X33" s="48">
        <f t="shared" si="41"/>
        <v>0.47706362738879016</v>
      </c>
      <c r="Y33" s="48">
        <f t="shared" si="42"/>
        <v>0.4838068870571684</v>
      </c>
      <c r="Z33" s="48">
        <f t="shared" si="43"/>
        <v>0.50704995599735592</v>
      </c>
      <c r="AA33" s="48">
        <f t="shared" si="44"/>
        <v>0.52316571784190047</v>
      </c>
      <c r="AB33" s="48">
        <f t="shared" si="45"/>
        <v>0.51553230664428862</v>
      </c>
      <c r="AC33" s="48">
        <f t="shared" si="46"/>
        <v>0.49194023052890584</v>
      </c>
      <c r="AD33" s="48">
        <f t="shared" si="47"/>
        <v>0.47684083432584556</v>
      </c>
      <c r="AE33" s="2"/>
      <c r="AF33" s="4">
        <v>8.5</v>
      </c>
      <c r="AG33" s="4">
        <f t="shared" si="48"/>
        <v>52.5</v>
      </c>
      <c r="AH33" s="17">
        <f t="shared" si="49"/>
        <v>0</v>
      </c>
      <c r="AI33" s="17">
        <f t="shared" si="50"/>
        <v>0</v>
      </c>
      <c r="AJ33" s="17">
        <f t="shared" si="51"/>
        <v>0</v>
      </c>
      <c r="AK33" s="17">
        <f t="shared" si="52"/>
        <v>0</v>
      </c>
      <c r="AL33" s="17">
        <f t="shared" si="53"/>
        <v>0</v>
      </c>
      <c r="AM33" s="17">
        <f t="shared" si="54"/>
        <v>0</v>
      </c>
      <c r="AN33" s="17">
        <f t="shared" si="55"/>
        <v>0</v>
      </c>
      <c r="AO33" s="17">
        <f t="shared" si="56"/>
        <v>0</v>
      </c>
      <c r="AP33" s="17">
        <f t="shared" si="57"/>
        <v>0</v>
      </c>
      <c r="AQ33" s="17">
        <f t="shared" si="58"/>
        <v>44.904021675021092</v>
      </c>
      <c r="AR33" s="17">
        <f t="shared" si="59"/>
        <v>0</v>
      </c>
      <c r="AS33" s="17">
        <f t="shared" si="60"/>
        <v>0</v>
      </c>
      <c r="AT33" s="2"/>
      <c r="AU33" s="4">
        <v>8</v>
      </c>
      <c r="AV33" s="4">
        <f t="shared" si="61"/>
        <v>60</v>
      </c>
      <c r="AW33" s="40">
        <f t="shared" si="62"/>
        <v>-16187.209603232508</v>
      </c>
      <c r="AX33" s="40">
        <f t="shared" si="63"/>
        <v>-16762.365112249841</v>
      </c>
      <c r="AY33" s="40">
        <f t="shared" si="64"/>
        <v>-16975.291590572331</v>
      </c>
      <c r="AZ33" s="40">
        <f t="shared" si="65"/>
        <v>-16478.061977573056</v>
      </c>
      <c r="BA33" s="40">
        <f t="shared" si="66"/>
        <v>-15576.347311929399</v>
      </c>
      <c r="BB33" s="40">
        <f t="shared" si="67"/>
        <v>-14969.123219818028</v>
      </c>
      <c r="BC33" s="40">
        <f t="shared" si="68"/>
        <v>-15157.254072794172</v>
      </c>
      <c r="BD33" s="40">
        <f t="shared" si="69"/>
        <v>-15959.761004589516</v>
      </c>
      <c r="BE33" s="40">
        <f t="shared" si="70"/>
        <v>-16672.059352990022</v>
      </c>
      <c r="BF33" s="40">
        <f t="shared" si="71"/>
        <v>0.32330895606015186</v>
      </c>
      <c r="BG33" s="40">
        <f t="shared" si="72"/>
        <v>-16270.685592139538</v>
      </c>
      <c r="BH33" s="40">
        <f t="shared" si="73"/>
        <v>-15945.177127958428</v>
      </c>
      <c r="BJ33" s="4">
        <v>8</v>
      </c>
      <c r="BK33" s="4">
        <f t="shared" si="74"/>
        <v>60</v>
      </c>
      <c r="BL33" s="4">
        <f t="shared" si="76"/>
        <v>1</v>
      </c>
      <c r="BM33" s="4">
        <f t="shared" si="77"/>
        <v>1</v>
      </c>
      <c r="BN33" s="4">
        <f t="shared" si="78"/>
        <v>1</v>
      </c>
      <c r="BO33" s="4">
        <f t="shared" si="79"/>
        <v>1</v>
      </c>
      <c r="BP33" s="4">
        <f t="shared" si="80"/>
        <v>1</v>
      </c>
      <c r="BQ33" s="4">
        <f t="shared" si="81"/>
        <v>1</v>
      </c>
      <c r="BR33" s="4">
        <f t="shared" si="82"/>
        <v>1</v>
      </c>
      <c r="BS33" s="4">
        <f t="shared" si="83"/>
        <v>1</v>
      </c>
      <c r="BT33" s="4">
        <f t="shared" si="84"/>
        <v>1</v>
      </c>
      <c r="BU33" s="4">
        <f t="shared" si="85"/>
        <v>1</v>
      </c>
      <c r="BV33" s="4">
        <f t="shared" si="86"/>
        <v>1</v>
      </c>
      <c r="BW33" s="4">
        <f t="shared" si="87"/>
        <v>1</v>
      </c>
      <c r="BX33" s="4">
        <f t="shared" si="88"/>
        <v>12</v>
      </c>
    </row>
    <row r="34" spans="2:76">
      <c r="B34" s="4">
        <v>9</v>
      </c>
      <c r="C34" s="4">
        <f t="shared" si="22"/>
        <v>45</v>
      </c>
      <c r="D34" s="14">
        <f t="shared" si="23"/>
        <v>41.219178782328704</v>
      </c>
      <c r="E34" s="14">
        <f t="shared" si="24"/>
        <v>43.485538339166688</v>
      </c>
      <c r="F34" s="14">
        <f t="shared" si="25"/>
        <v>44.930656103348767</v>
      </c>
      <c r="G34" s="14">
        <f t="shared" si="26"/>
        <v>44.23325800361436</v>
      </c>
      <c r="H34" s="14">
        <f t="shared" si="27"/>
        <v>42.021820804765049</v>
      </c>
      <c r="I34" s="14">
        <f t="shared" si="28"/>
        <v>40.494017807093222</v>
      </c>
      <c r="J34" s="14">
        <f t="shared" si="29"/>
        <v>41.134240943244933</v>
      </c>
      <c r="K34" s="14">
        <f t="shared" si="30"/>
        <v>43.372862823471763</v>
      </c>
      <c r="L34" s="14">
        <f t="shared" si="31"/>
        <v>44.957076309302082</v>
      </c>
      <c r="M34" s="14">
        <f t="shared" si="32"/>
        <v>44.203190869751062</v>
      </c>
      <c r="N34" s="14">
        <f t="shared" si="33"/>
        <v>41.91179619527405</v>
      </c>
      <c r="O34" s="14">
        <f t="shared" si="34"/>
        <v>40.472931777232773</v>
      </c>
      <c r="P34" s="2"/>
      <c r="Q34" s="4">
        <v>9</v>
      </c>
      <c r="R34" s="29">
        <f t="shared" si="35"/>
        <v>0.78539916339744831</v>
      </c>
      <c r="S34" s="48">
        <f t="shared" si="36"/>
        <v>0.71941038471982299</v>
      </c>
      <c r="T34" s="48">
        <f t="shared" si="37"/>
        <v>0.75896582102068533</v>
      </c>
      <c r="U34" s="48">
        <f t="shared" si="38"/>
        <v>0.78418788408472162</v>
      </c>
      <c r="V34" s="48">
        <f t="shared" si="39"/>
        <v>0.77201599104720442</v>
      </c>
      <c r="W34" s="48">
        <f t="shared" si="40"/>
        <v>0.73341913072620335</v>
      </c>
      <c r="X34" s="48">
        <f t="shared" si="41"/>
        <v>0.70675393809499076</v>
      </c>
      <c r="Y34" s="48">
        <f t="shared" si="42"/>
        <v>0.71792793976828206</v>
      </c>
      <c r="Z34" s="48">
        <f t="shared" si="43"/>
        <v>0.75699926228542636</v>
      </c>
      <c r="AA34" s="48">
        <f t="shared" si="44"/>
        <v>0.78464900366766188</v>
      </c>
      <c r="AB34" s="48">
        <f t="shared" si="45"/>
        <v>0.77149122056465202</v>
      </c>
      <c r="AC34" s="48">
        <f t="shared" si="46"/>
        <v>0.73149883903236446</v>
      </c>
      <c r="AD34" s="48">
        <f t="shared" si="47"/>
        <v>0.70638591744775203</v>
      </c>
      <c r="AE34" s="2"/>
      <c r="AF34" s="4">
        <v>9.5</v>
      </c>
      <c r="AG34" s="4">
        <f t="shared" si="48"/>
        <v>37.5</v>
      </c>
      <c r="AH34" s="17">
        <f t="shared" si="49"/>
        <v>0</v>
      </c>
      <c r="AI34" s="17">
        <f t="shared" si="50"/>
        <v>0</v>
      </c>
      <c r="AJ34" s="17">
        <f t="shared" si="51"/>
        <v>0</v>
      </c>
      <c r="AK34" s="17">
        <f t="shared" si="52"/>
        <v>0</v>
      </c>
      <c r="AL34" s="17">
        <f t="shared" si="53"/>
        <v>0</v>
      </c>
      <c r="AM34" s="17">
        <f t="shared" si="54"/>
        <v>0</v>
      </c>
      <c r="AN34" s="17">
        <f t="shared" si="55"/>
        <v>0</v>
      </c>
      <c r="AO34" s="17">
        <f t="shared" si="56"/>
        <v>0</v>
      </c>
      <c r="AP34" s="17">
        <f t="shared" si="57"/>
        <v>0</v>
      </c>
      <c r="AQ34" s="17">
        <f t="shared" si="58"/>
        <v>63.503922946054793</v>
      </c>
      <c r="AR34" s="17">
        <f t="shared" si="59"/>
        <v>0</v>
      </c>
      <c r="AS34" s="17">
        <f t="shared" si="60"/>
        <v>0</v>
      </c>
      <c r="AT34" s="2"/>
      <c r="AU34" s="4">
        <v>9</v>
      </c>
      <c r="AV34" s="4">
        <f t="shared" si="61"/>
        <v>45</v>
      </c>
      <c r="AW34" s="40">
        <f t="shared" si="62"/>
        <v>-22892.188116128964</v>
      </c>
      <c r="AX34" s="40">
        <f t="shared" si="63"/>
        <v>-23705.581432900708</v>
      </c>
      <c r="AY34" s="40">
        <f t="shared" si="64"/>
        <v>-24006.705166770807</v>
      </c>
      <c r="AZ34" s="40">
        <f t="shared" si="65"/>
        <v>-23303.515789682842</v>
      </c>
      <c r="BA34" s="40">
        <f t="shared" si="66"/>
        <v>-22028.297746613531</v>
      </c>
      <c r="BB34" s="40">
        <f t="shared" si="67"/>
        <v>-21169.552571504213</v>
      </c>
      <c r="BC34" s="40">
        <f t="shared" si="68"/>
        <v>-21435.609970051624</v>
      </c>
      <c r="BD34" s="40">
        <f t="shared" si="69"/>
        <v>-22570.526987712768</v>
      </c>
      <c r="BE34" s="40">
        <f t="shared" si="70"/>
        <v>-23577.869709903509</v>
      </c>
      <c r="BF34" s="40">
        <f t="shared" si="71"/>
        <v>0.4572282452115945</v>
      </c>
      <c r="BG34" s="40">
        <f t="shared" si="72"/>
        <v>-23010.241078194649</v>
      </c>
      <c r="BH34" s="40">
        <f t="shared" si="73"/>
        <v>-22549.902256490743</v>
      </c>
      <c r="BJ34" s="4">
        <v>9</v>
      </c>
      <c r="BK34" s="4">
        <f t="shared" si="74"/>
        <v>45</v>
      </c>
      <c r="BL34" s="4">
        <f t="shared" si="76"/>
        <v>1</v>
      </c>
      <c r="BM34" s="4">
        <f t="shared" si="77"/>
        <v>1</v>
      </c>
      <c r="BN34" s="4">
        <f t="shared" si="78"/>
        <v>1</v>
      </c>
      <c r="BO34" s="4">
        <f t="shared" si="79"/>
        <v>1</v>
      </c>
      <c r="BP34" s="4">
        <f t="shared" si="80"/>
        <v>1</v>
      </c>
      <c r="BQ34" s="4">
        <f t="shared" si="81"/>
        <v>1</v>
      </c>
      <c r="BR34" s="4">
        <f t="shared" si="82"/>
        <v>1</v>
      </c>
      <c r="BS34" s="4">
        <f t="shared" si="83"/>
        <v>1</v>
      </c>
      <c r="BT34" s="4">
        <f t="shared" si="84"/>
        <v>1</v>
      </c>
      <c r="BU34" s="4">
        <f t="shared" si="85"/>
        <v>1</v>
      </c>
      <c r="BV34" s="4">
        <f t="shared" si="86"/>
        <v>1</v>
      </c>
      <c r="BW34" s="4">
        <f t="shared" si="87"/>
        <v>1</v>
      </c>
      <c r="BX34" s="4">
        <f t="shared" si="88"/>
        <v>12</v>
      </c>
    </row>
    <row r="35" spans="2:76">
      <c r="B35" s="4">
        <v>10</v>
      </c>
      <c r="C35" s="4">
        <f t="shared" si="22"/>
        <v>30</v>
      </c>
      <c r="D35" s="14">
        <f t="shared" si="23"/>
        <v>53.807274941568039</v>
      </c>
      <c r="E35" s="14">
        <f t="shared" si="24"/>
        <v>57.440692648391249</v>
      </c>
      <c r="F35" s="14">
        <f t="shared" si="25"/>
        <v>59.880079368670621</v>
      </c>
      <c r="G35" s="14">
        <f t="shared" si="26"/>
        <v>58.689021150318609</v>
      </c>
      <c r="H35" s="14">
        <f t="shared" si="27"/>
        <v>55.070901389424399</v>
      </c>
      <c r="I35" s="14">
        <f t="shared" si="28"/>
        <v>52.684664997221105</v>
      </c>
      <c r="J35" s="14">
        <f t="shared" si="29"/>
        <v>53.674885974046617</v>
      </c>
      <c r="K35" s="14">
        <f t="shared" si="30"/>
        <v>57.254944523285999</v>
      </c>
      <c r="L35" s="14">
        <f t="shared" si="31"/>
        <v>59.925751363385871</v>
      </c>
      <c r="M35" s="14">
        <f t="shared" si="32"/>
        <v>58.63827371702012</v>
      </c>
      <c r="N35" s="14">
        <f t="shared" si="33"/>
        <v>54.896292322152405</v>
      </c>
      <c r="O35" s="14">
        <f t="shared" si="34"/>
        <v>52.652274676986984</v>
      </c>
      <c r="P35" s="2"/>
      <c r="Q35" s="4">
        <v>10</v>
      </c>
      <c r="R35" s="29">
        <f t="shared" si="35"/>
        <v>0.52359977559829884</v>
      </c>
      <c r="S35" s="48">
        <f t="shared" si="36"/>
        <v>0.93911410925620176</v>
      </c>
      <c r="T35" s="48">
        <f t="shared" si="37"/>
        <v>1.0025292113405289</v>
      </c>
      <c r="U35" s="48">
        <f t="shared" si="38"/>
        <v>1.0451045413388298</v>
      </c>
      <c r="V35" s="48">
        <f t="shared" si="39"/>
        <v>1.0243166538456496</v>
      </c>
      <c r="W35" s="48">
        <f t="shared" si="40"/>
        <v>0.96116855128657575</v>
      </c>
      <c r="X35" s="48">
        <f t="shared" si="41"/>
        <v>0.91952086951171752</v>
      </c>
      <c r="Y35" s="48">
        <f t="shared" si="42"/>
        <v>0.93680348587963713</v>
      </c>
      <c r="Z35" s="48">
        <f t="shared" si="43"/>
        <v>0.99928729497803581</v>
      </c>
      <c r="AA35" s="48">
        <f t="shared" si="44"/>
        <v>1.0459016680225643</v>
      </c>
      <c r="AB35" s="48">
        <f t="shared" si="45"/>
        <v>1.0234309440476548</v>
      </c>
      <c r="AC35" s="48">
        <f t="shared" si="46"/>
        <v>0.95812104815884314</v>
      </c>
      <c r="AD35" s="48">
        <f t="shared" si="47"/>
        <v>0.91895555177785671</v>
      </c>
      <c r="AE35" s="2"/>
      <c r="AF35" s="4">
        <v>10.5</v>
      </c>
      <c r="AG35" s="4">
        <f t="shared" si="48"/>
        <v>22.5</v>
      </c>
      <c r="AH35" s="17">
        <f t="shared" si="49"/>
        <v>0</v>
      </c>
      <c r="AI35" s="17">
        <f t="shared" si="50"/>
        <v>0</v>
      </c>
      <c r="AJ35" s="17">
        <f t="shared" si="51"/>
        <v>0</v>
      </c>
      <c r="AK35" s="17">
        <f t="shared" si="52"/>
        <v>0</v>
      </c>
      <c r="AL35" s="17">
        <f t="shared" si="53"/>
        <v>0</v>
      </c>
      <c r="AM35" s="17">
        <f t="shared" si="54"/>
        <v>0</v>
      </c>
      <c r="AN35" s="17">
        <f t="shared" si="55"/>
        <v>0</v>
      </c>
      <c r="AO35" s="17">
        <f t="shared" si="56"/>
        <v>0</v>
      </c>
      <c r="AP35" s="17">
        <f t="shared" si="57"/>
        <v>0</v>
      </c>
      <c r="AQ35" s="17">
        <f t="shared" si="58"/>
        <v>77.776136813509524</v>
      </c>
      <c r="AR35" s="17">
        <f t="shared" si="59"/>
        <v>0</v>
      </c>
      <c r="AS35" s="17">
        <f t="shared" si="60"/>
        <v>0</v>
      </c>
      <c r="AT35" s="2"/>
      <c r="AU35" s="4">
        <v>10</v>
      </c>
      <c r="AV35" s="4">
        <f t="shared" si="61"/>
        <v>30</v>
      </c>
      <c r="AW35" s="40">
        <f t="shared" si="62"/>
        <v>-28037.101840040821</v>
      </c>
      <c r="AX35" s="40">
        <f t="shared" si="63"/>
        <v>-29033.301554224992</v>
      </c>
      <c r="AY35" s="40">
        <f t="shared" si="64"/>
        <v>-29402.10145880995</v>
      </c>
      <c r="AZ35" s="40">
        <f t="shared" si="65"/>
        <v>-28540.873511606449</v>
      </c>
      <c r="BA35" s="40">
        <f t="shared" si="66"/>
        <v>-26979.056093349202</v>
      </c>
      <c r="BB35" s="40">
        <f t="shared" si="67"/>
        <v>-25927.311899782133</v>
      </c>
      <c r="BC35" s="40">
        <f t="shared" si="68"/>
        <v>-26253.164471870441</v>
      </c>
      <c r="BD35" s="40">
        <f t="shared" si="69"/>
        <v>-27643.148856182834</v>
      </c>
      <c r="BE35" s="40">
        <f t="shared" si="70"/>
        <v>-28876.887210359073</v>
      </c>
      <c r="BF35" s="40">
        <f t="shared" si="71"/>
        <v>0.55998818505726855</v>
      </c>
      <c r="BG35" s="40">
        <f t="shared" si="72"/>
        <v>-28181.686660992124</v>
      </c>
      <c r="BH35" s="40">
        <f t="shared" si="73"/>
        <v>-27617.888811718669</v>
      </c>
      <c r="BJ35" s="4">
        <v>10</v>
      </c>
      <c r="BK35" s="4">
        <f t="shared" si="74"/>
        <v>30</v>
      </c>
      <c r="BL35" s="4">
        <f t="shared" si="76"/>
        <v>1</v>
      </c>
      <c r="BM35" s="4">
        <f t="shared" si="77"/>
        <v>1</v>
      </c>
      <c r="BN35" s="4">
        <f t="shared" si="78"/>
        <v>1</v>
      </c>
      <c r="BO35" s="4">
        <f t="shared" si="79"/>
        <v>1</v>
      </c>
      <c r="BP35" s="4">
        <f t="shared" si="80"/>
        <v>1</v>
      </c>
      <c r="BQ35" s="4">
        <f t="shared" si="81"/>
        <v>1</v>
      </c>
      <c r="BR35" s="4">
        <f t="shared" si="82"/>
        <v>1</v>
      </c>
      <c r="BS35" s="4">
        <f t="shared" si="83"/>
        <v>1</v>
      </c>
      <c r="BT35" s="4">
        <f t="shared" si="84"/>
        <v>1</v>
      </c>
      <c r="BU35" s="4">
        <f t="shared" si="85"/>
        <v>1</v>
      </c>
      <c r="BV35" s="4">
        <f t="shared" si="86"/>
        <v>1</v>
      </c>
      <c r="BW35" s="4">
        <f t="shared" si="87"/>
        <v>1</v>
      </c>
      <c r="BX35" s="4">
        <f t="shared" si="88"/>
        <v>12</v>
      </c>
    </row>
    <row r="36" spans="2:76">
      <c r="B36" s="4">
        <v>11</v>
      </c>
      <c r="C36" s="4">
        <f t="shared" si="22"/>
        <v>15</v>
      </c>
      <c r="D36" s="14">
        <f t="shared" si="23"/>
        <v>64.175316768484706</v>
      </c>
      <c r="E36" s="14">
        <f t="shared" si="24"/>
        <v>70.061701233737608</v>
      </c>
      <c r="F36" s="14">
        <f t="shared" si="25"/>
        <v>74.743349254537634</v>
      </c>
      <c r="G36" s="14">
        <f t="shared" si="26"/>
        <v>72.347694246153623</v>
      </c>
      <c r="H36" s="14">
        <f t="shared" si="27"/>
        <v>66.125846799797486</v>
      </c>
      <c r="I36" s="14">
        <f t="shared" si="28"/>
        <v>62.505446645025614</v>
      </c>
      <c r="J36" s="14">
        <f t="shared" si="29"/>
        <v>63.975558513076201</v>
      </c>
      <c r="K36" s="14">
        <f t="shared" si="30"/>
        <v>69.736454977437731</v>
      </c>
      <c r="L36" s="14">
        <f t="shared" si="31"/>
        <v>74.840728995381937</v>
      </c>
      <c r="M36" s="14">
        <f t="shared" si="32"/>
        <v>72.250878935001126</v>
      </c>
      <c r="N36" s="14">
        <f t="shared" si="33"/>
        <v>65.851221411079067</v>
      </c>
      <c r="O36" s="14">
        <f t="shared" si="34"/>
        <v>62.458029545801644</v>
      </c>
      <c r="P36" s="2"/>
      <c r="Q36" s="4">
        <v>11</v>
      </c>
      <c r="R36" s="29">
        <f t="shared" si="35"/>
        <v>0.26180038779914938</v>
      </c>
      <c r="S36" s="48">
        <f t="shared" si="36"/>
        <v>1.1200705761203855</v>
      </c>
      <c r="T36" s="48">
        <f t="shared" si="37"/>
        <v>1.2228073660772945</v>
      </c>
      <c r="U36" s="48">
        <f t="shared" si="38"/>
        <v>1.304517538459731</v>
      </c>
      <c r="V36" s="48">
        <f t="shared" si="39"/>
        <v>1.2627054708215375</v>
      </c>
      <c r="W36" s="48">
        <f t="shared" si="40"/>
        <v>1.1541137473258218</v>
      </c>
      <c r="X36" s="48">
        <f t="shared" si="41"/>
        <v>1.0909258443853402</v>
      </c>
      <c r="Y36" s="48">
        <f t="shared" si="42"/>
        <v>1.1165841368554674</v>
      </c>
      <c r="Z36" s="48">
        <f t="shared" si="43"/>
        <v>1.2171307480250764</v>
      </c>
      <c r="AA36" s="48">
        <f t="shared" si="44"/>
        <v>1.3062171355622028</v>
      </c>
      <c r="AB36" s="48">
        <f t="shared" si="45"/>
        <v>1.2610157248755838</v>
      </c>
      <c r="AC36" s="48">
        <f t="shared" si="46"/>
        <v>1.149320630083116</v>
      </c>
      <c r="AD36" s="48">
        <f t="shared" si="47"/>
        <v>1.0900982598821372</v>
      </c>
      <c r="AE36" s="2"/>
      <c r="AF36" s="4">
        <v>11.5</v>
      </c>
      <c r="AG36" s="4">
        <f t="shared" si="48"/>
        <v>7.5</v>
      </c>
      <c r="AH36" s="17">
        <f t="shared" si="49"/>
        <v>0</v>
      </c>
      <c r="AI36" s="17">
        <f t="shared" si="50"/>
        <v>0</v>
      </c>
      <c r="AJ36" s="17">
        <f t="shared" si="51"/>
        <v>0</v>
      </c>
      <c r="AK36" s="17">
        <f t="shared" si="52"/>
        <v>0</v>
      </c>
      <c r="AL36" s="17">
        <f t="shared" si="53"/>
        <v>0</v>
      </c>
      <c r="AM36" s="17">
        <f t="shared" si="54"/>
        <v>0</v>
      </c>
      <c r="AN36" s="17">
        <f t="shared" si="55"/>
        <v>0</v>
      </c>
      <c r="AO36" s="17">
        <f t="shared" si="56"/>
        <v>0</v>
      </c>
      <c r="AP36" s="17">
        <f t="shared" si="57"/>
        <v>0</v>
      </c>
      <c r="AQ36" s="17">
        <f t="shared" si="58"/>
        <v>86.748035488266851</v>
      </c>
      <c r="AR36" s="17">
        <f t="shared" si="59"/>
        <v>0</v>
      </c>
      <c r="AS36" s="17">
        <f t="shared" si="60"/>
        <v>0</v>
      </c>
      <c r="AT36" s="2"/>
      <c r="AU36" s="4">
        <v>11</v>
      </c>
      <c r="AV36" s="4">
        <f t="shared" si="61"/>
        <v>15</v>
      </c>
      <c r="AW36" s="40">
        <f t="shared" si="62"/>
        <v>-31271.333407055412</v>
      </c>
      <c r="AX36" s="40">
        <f t="shared" si="63"/>
        <v>-32382.450154428228</v>
      </c>
      <c r="AY36" s="40">
        <f t="shared" si="64"/>
        <v>-32793.793125701239</v>
      </c>
      <c r="AZ36" s="40">
        <f t="shared" si="65"/>
        <v>-31833.217869737644</v>
      </c>
      <c r="BA36" s="40">
        <f t="shared" si="66"/>
        <v>-30091.236352321372</v>
      </c>
      <c r="BB36" s="40">
        <f t="shared" si="67"/>
        <v>-28918.16776899869</v>
      </c>
      <c r="BC36" s="40">
        <f t="shared" si="68"/>
        <v>-29281.609200336919</v>
      </c>
      <c r="BD36" s="40">
        <f t="shared" si="69"/>
        <v>-30831.93581256747</v>
      </c>
      <c r="BE36" s="40">
        <f t="shared" si="70"/>
        <v>-32207.992568741123</v>
      </c>
      <c r="BF36" s="40">
        <f t="shared" si="71"/>
        <v>0.62458585551552126</v>
      </c>
      <c r="BG36" s="40">
        <f t="shared" si="72"/>
        <v>-31432.596870282214</v>
      </c>
      <c r="BH36" s="40">
        <f t="shared" si="73"/>
        <v>-30803.7618851472</v>
      </c>
      <c r="BJ36" s="4">
        <v>11</v>
      </c>
      <c r="BK36" s="4">
        <f t="shared" si="74"/>
        <v>15</v>
      </c>
      <c r="BL36" s="4">
        <f t="shared" si="76"/>
        <v>1</v>
      </c>
      <c r="BM36" s="4">
        <f t="shared" si="77"/>
        <v>1</v>
      </c>
      <c r="BN36" s="4">
        <f t="shared" si="78"/>
        <v>1</v>
      </c>
      <c r="BO36" s="4">
        <f t="shared" si="79"/>
        <v>1</v>
      </c>
      <c r="BP36" s="4">
        <f t="shared" si="80"/>
        <v>1</v>
      </c>
      <c r="BQ36" s="4">
        <f t="shared" si="81"/>
        <v>1</v>
      </c>
      <c r="BR36" s="4">
        <f t="shared" si="82"/>
        <v>1</v>
      </c>
      <c r="BS36" s="4">
        <f t="shared" si="83"/>
        <v>1</v>
      </c>
      <c r="BT36" s="4">
        <f t="shared" si="84"/>
        <v>1</v>
      </c>
      <c r="BU36" s="4">
        <f t="shared" si="85"/>
        <v>1</v>
      </c>
      <c r="BV36" s="4">
        <f t="shared" si="86"/>
        <v>1</v>
      </c>
      <c r="BW36" s="4">
        <f t="shared" si="87"/>
        <v>1</v>
      </c>
      <c r="BX36" s="4">
        <f t="shared" si="88"/>
        <v>12</v>
      </c>
    </row>
    <row r="37" spans="2:76">
      <c r="B37" s="4">
        <v>12</v>
      </c>
      <c r="C37" s="4">
        <f t="shared" si="22"/>
        <v>0</v>
      </c>
      <c r="D37" s="14">
        <f t="shared" si="23"/>
        <v>68.730526089704597</v>
      </c>
      <c r="E37" s="14">
        <f t="shared" si="24"/>
        <v>76.710843814851984</v>
      </c>
      <c r="F37" s="14">
        <f t="shared" si="25"/>
        <v>87.181121346528229</v>
      </c>
      <c r="G37" s="14">
        <f t="shared" si="26"/>
        <v>80.585106652947147</v>
      </c>
      <c r="H37" s="14">
        <f t="shared" si="27"/>
        <v>71.208082482219652</v>
      </c>
      <c r="I37" s="14">
        <f t="shared" si="28"/>
        <v>66.685590083270355</v>
      </c>
      <c r="J37" s="14">
        <f t="shared" si="29"/>
        <v>68.48266396883453</v>
      </c>
      <c r="K37" s="14">
        <f t="shared" si="30"/>
        <v>76.216435833624729</v>
      </c>
      <c r="L37" s="14">
        <f t="shared" si="31"/>
        <v>87.783113216046573</v>
      </c>
      <c r="M37" s="14">
        <f t="shared" si="32"/>
        <v>80.400602765604262</v>
      </c>
      <c r="N37" s="14">
        <f t="shared" si="33"/>
        <v>70.852182693510741</v>
      </c>
      <c r="O37" s="14">
        <f t="shared" si="34"/>
        <v>66.62834875379842</v>
      </c>
      <c r="P37" s="2"/>
      <c r="Q37" s="4">
        <v>12</v>
      </c>
      <c r="R37" s="29">
        <f t="shared" si="35"/>
        <v>9.9999999999999995E-7</v>
      </c>
      <c r="S37" s="48">
        <f t="shared" si="36"/>
        <v>1.1995739768932088</v>
      </c>
      <c r="T37" s="48">
        <f t="shared" si="37"/>
        <v>1.3388567965522946</v>
      </c>
      <c r="U37" s="48">
        <f t="shared" si="38"/>
        <v>1.5215976130776299</v>
      </c>
      <c r="V37" s="48">
        <f t="shared" si="39"/>
        <v>1.4064754391647152</v>
      </c>
      <c r="W37" s="48">
        <f t="shared" si="40"/>
        <v>1.2428154933464295</v>
      </c>
      <c r="X37" s="48">
        <f t="shared" si="41"/>
        <v>1.1638831105883474</v>
      </c>
      <c r="Y37" s="48">
        <f t="shared" si="42"/>
        <v>1.19524796679305</v>
      </c>
      <c r="Z37" s="48">
        <f t="shared" si="43"/>
        <v>1.3302277494317405</v>
      </c>
      <c r="AA37" s="48">
        <f t="shared" si="44"/>
        <v>1.5321043532709611</v>
      </c>
      <c r="AB37" s="48">
        <f t="shared" si="45"/>
        <v>1.4032552388478532</v>
      </c>
      <c r="AC37" s="48">
        <f t="shared" si="46"/>
        <v>1.2366038702263069</v>
      </c>
      <c r="AD37" s="48">
        <f t="shared" si="47"/>
        <v>1.1628840609208431</v>
      </c>
      <c r="AE37" s="2"/>
      <c r="AF37" s="4">
        <v>12.5</v>
      </c>
      <c r="AG37" s="4">
        <f t="shared" si="48"/>
        <v>-7.5</v>
      </c>
      <c r="AH37" s="17">
        <f t="shared" si="49"/>
        <v>0</v>
      </c>
      <c r="AI37" s="17">
        <f t="shared" si="50"/>
        <v>0</v>
      </c>
      <c r="AJ37" s="17">
        <f t="shared" si="51"/>
        <v>0</v>
      </c>
      <c r="AK37" s="17">
        <f t="shared" si="52"/>
        <v>0</v>
      </c>
      <c r="AL37" s="17">
        <f t="shared" si="53"/>
        <v>0</v>
      </c>
      <c r="AM37" s="17">
        <f t="shared" si="54"/>
        <v>0</v>
      </c>
      <c r="AN37" s="17">
        <f t="shared" si="55"/>
        <v>0</v>
      </c>
      <c r="AO37" s="17">
        <f t="shared" si="56"/>
        <v>0</v>
      </c>
      <c r="AP37" s="17">
        <f t="shared" si="57"/>
        <v>0</v>
      </c>
      <c r="AQ37" s="17">
        <f t="shared" si="58"/>
        <v>89.808198902405579</v>
      </c>
      <c r="AR37" s="17">
        <f t="shared" si="59"/>
        <v>0</v>
      </c>
      <c r="AS37" s="17">
        <f t="shared" si="60"/>
        <v>0</v>
      </c>
      <c r="AT37" s="2"/>
      <c r="AU37" s="4">
        <v>12</v>
      </c>
      <c r="AV37" s="4">
        <f t="shared" si="61"/>
        <v>0</v>
      </c>
      <c r="AW37" s="40">
        <f t="shared" si="62"/>
        <v>-32374.475280701055</v>
      </c>
      <c r="AX37" s="40">
        <f t="shared" si="63"/>
        <v>-33524.788291136298</v>
      </c>
      <c r="AY37" s="40">
        <f t="shared" si="64"/>
        <v>-33950.641985381517</v>
      </c>
      <c r="AZ37" s="40">
        <f t="shared" si="65"/>
        <v>-32956.181036926078</v>
      </c>
      <c r="BA37" s="40">
        <f t="shared" si="66"/>
        <v>-31152.748582002125</v>
      </c>
      <c r="BB37" s="40">
        <f t="shared" si="67"/>
        <v>-29938.298294289783</v>
      </c>
      <c r="BC37" s="40">
        <f t="shared" si="68"/>
        <v>-30314.560651947591</v>
      </c>
      <c r="BD37" s="40">
        <f t="shared" si="69"/>
        <v>-31919.57729550865</v>
      </c>
      <c r="BE37" s="40">
        <f t="shared" si="70"/>
        <v>-33344.176459787799</v>
      </c>
      <c r="BF37" s="40">
        <f t="shared" si="71"/>
        <v>0.64661903209732019</v>
      </c>
      <c r="BG37" s="40">
        <f t="shared" si="72"/>
        <v>-32541.427547684929</v>
      </c>
      <c r="BH37" s="40">
        <f t="shared" si="73"/>
        <v>-31890.409491726357</v>
      </c>
      <c r="BJ37" s="4">
        <v>12</v>
      </c>
      <c r="BK37" s="4">
        <f t="shared" si="74"/>
        <v>0</v>
      </c>
      <c r="BL37" s="4">
        <f t="shared" si="76"/>
        <v>1</v>
      </c>
      <c r="BM37" s="4">
        <f t="shared" si="77"/>
        <v>1</v>
      </c>
      <c r="BN37" s="4">
        <f t="shared" si="78"/>
        <v>1</v>
      </c>
      <c r="BO37" s="4">
        <f t="shared" si="79"/>
        <v>1</v>
      </c>
      <c r="BP37" s="4">
        <f t="shared" si="80"/>
        <v>1</v>
      </c>
      <c r="BQ37" s="4">
        <f t="shared" si="81"/>
        <v>1</v>
      </c>
      <c r="BR37" s="4">
        <f t="shared" si="82"/>
        <v>1</v>
      </c>
      <c r="BS37" s="4">
        <f t="shared" si="83"/>
        <v>1</v>
      </c>
      <c r="BT37" s="4">
        <f t="shared" si="84"/>
        <v>1</v>
      </c>
      <c r="BU37" s="4">
        <f t="shared" si="85"/>
        <v>1</v>
      </c>
      <c r="BV37" s="4">
        <f t="shared" si="86"/>
        <v>1</v>
      </c>
      <c r="BW37" s="4">
        <f t="shared" si="87"/>
        <v>1</v>
      </c>
      <c r="BX37" s="4">
        <f t="shared" si="88"/>
        <v>12</v>
      </c>
    </row>
    <row r="38" spans="2:76">
      <c r="B38" s="4">
        <v>13</v>
      </c>
      <c r="C38" s="4">
        <f t="shared" si="22"/>
        <v>-15</v>
      </c>
      <c r="D38" s="14">
        <f t="shared" si="23"/>
        <v>64.17538021456113</v>
      </c>
      <c r="E38" s="14">
        <f t="shared" si="24"/>
        <v>70.0617858779502</v>
      </c>
      <c r="F38" s="14">
        <f t="shared" si="25"/>
        <v>74.743461827072807</v>
      </c>
      <c r="G38" s="14">
        <f t="shared" si="26"/>
        <v>72.347790734254616</v>
      </c>
      <c r="H38" s="14">
        <f t="shared" si="27"/>
        <v>66.125916173513232</v>
      </c>
      <c r="I38" s="14">
        <f t="shared" si="28"/>
        <v>62.505505642002255</v>
      </c>
      <c r="J38" s="14">
        <f t="shared" si="29"/>
        <v>63.975621399060394</v>
      </c>
      <c r="K38" s="14">
        <f t="shared" si="30"/>
        <v>69.736538145843966</v>
      </c>
      <c r="L38" s="14">
        <f t="shared" si="31"/>
        <v>74.840842326296737</v>
      </c>
      <c r="M38" s="14">
        <f t="shared" si="32"/>
        <v>72.250974861850423</v>
      </c>
      <c r="N38" s="14">
        <f t="shared" si="33"/>
        <v>65.851289895959056</v>
      </c>
      <c r="O38" s="14">
        <f t="shared" si="34"/>
        <v>62.458088423742836</v>
      </c>
      <c r="P38" s="2"/>
      <c r="Q38" s="4">
        <v>13</v>
      </c>
      <c r="R38" s="29">
        <f t="shared" si="35"/>
        <v>-0.26179838779914943</v>
      </c>
      <c r="S38" s="48">
        <f t="shared" si="36"/>
        <v>1.1200716834633166</v>
      </c>
      <c r="T38" s="48">
        <f t="shared" si="37"/>
        <v>1.2228088433974971</v>
      </c>
      <c r="U38" s="48">
        <f t="shared" si="38"/>
        <v>1.304519503221117</v>
      </c>
      <c r="V38" s="48">
        <f t="shared" si="39"/>
        <v>1.2627071548565889</v>
      </c>
      <c r="W38" s="48">
        <f t="shared" si="40"/>
        <v>1.1541149581255759</v>
      </c>
      <c r="X38" s="48">
        <f t="shared" si="41"/>
        <v>1.0909268740768314</v>
      </c>
      <c r="Y38" s="48">
        <f t="shared" si="42"/>
        <v>1.116585234422945</v>
      </c>
      <c r="Z38" s="48">
        <f t="shared" si="43"/>
        <v>1.2171321995875988</v>
      </c>
      <c r="AA38" s="48">
        <f t="shared" si="44"/>
        <v>1.3062191135598105</v>
      </c>
      <c r="AB38" s="48">
        <f t="shared" si="45"/>
        <v>1.2610173991149451</v>
      </c>
      <c r="AC38" s="48">
        <f t="shared" si="46"/>
        <v>1.1493218253697597</v>
      </c>
      <c r="AD38" s="48">
        <f t="shared" si="47"/>
        <v>1.0900992874960678</v>
      </c>
      <c r="AE38" s="2"/>
      <c r="AF38" s="4">
        <v>13.5</v>
      </c>
      <c r="AG38" s="4">
        <f t="shared" si="48"/>
        <v>-22.5</v>
      </c>
      <c r="AH38" s="17">
        <f t="shared" si="49"/>
        <v>0</v>
      </c>
      <c r="AI38" s="17">
        <f t="shared" si="50"/>
        <v>0</v>
      </c>
      <c r="AJ38" s="17">
        <f t="shared" si="51"/>
        <v>0</v>
      </c>
      <c r="AK38" s="17">
        <f t="shared" si="52"/>
        <v>0</v>
      </c>
      <c r="AL38" s="17">
        <f t="shared" si="53"/>
        <v>0</v>
      </c>
      <c r="AM38" s="17">
        <f t="shared" si="54"/>
        <v>0</v>
      </c>
      <c r="AN38" s="17">
        <f t="shared" si="55"/>
        <v>0</v>
      </c>
      <c r="AO38" s="17">
        <f t="shared" si="56"/>
        <v>0</v>
      </c>
      <c r="AP38" s="17">
        <f t="shared" si="57"/>
        <v>0</v>
      </c>
      <c r="AQ38" s="17">
        <f t="shared" si="58"/>
        <v>86.748081976411399</v>
      </c>
      <c r="AR38" s="17">
        <f t="shared" si="59"/>
        <v>0</v>
      </c>
      <c r="AS38" s="17">
        <f t="shared" si="60"/>
        <v>0</v>
      </c>
      <c r="AT38" s="2"/>
      <c r="AU38" s="4">
        <v>13</v>
      </c>
      <c r="AV38" s="4">
        <f t="shared" si="61"/>
        <v>-15</v>
      </c>
      <c r="AW38" s="40">
        <f t="shared" si="62"/>
        <v>-31271.350165316962</v>
      </c>
      <c r="AX38" s="40">
        <f t="shared" si="63"/>
        <v>-32382.467508135607</v>
      </c>
      <c r="AY38" s="40">
        <f t="shared" si="64"/>
        <v>-32793.810699846712</v>
      </c>
      <c r="AZ38" s="40">
        <f t="shared" si="65"/>
        <v>-31833.234929112252</v>
      </c>
      <c r="BA38" s="40">
        <f t="shared" si="66"/>
        <v>-30091.252478170645</v>
      </c>
      <c r="BB38" s="40">
        <f t="shared" si="67"/>
        <v>-28918.183266202239</v>
      </c>
      <c r="BC38" s="40">
        <f t="shared" si="68"/>
        <v>-29281.624892308195</v>
      </c>
      <c r="BD38" s="40">
        <f t="shared" si="69"/>
        <v>-30831.952335356495</v>
      </c>
      <c r="BE38" s="40">
        <f t="shared" si="70"/>
        <v>-32208.00982895694</v>
      </c>
      <c r="BF38" s="40">
        <f t="shared" si="71"/>
        <v>0.62458619023016204</v>
      </c>
      <c r="BG38" s="40">
        <f t="shared" si="72"/>
        <v>-31432.613714964617</v>
      </c>
      <c r="BH38" s="40">
        <f t="shared" si="73"/>
        <v>-30803.778392837859</v>
      </c>
      <c r="BJ38" s="4">
        <v>13</v>
      </c>
      <c r="BK38" s="4">
        <f t="shared" si="74"/>
        <v>-15</v>
      </c>
      <c r="BL38" s="4">
        <f t="shared" si="76"/>
        <v>1</v>
      </c>
      <c r="BM38" s="4">
        <f t="shared" si="77"/>
        <v>1</v>
      </c>
      <c r="BN38" s="4">
        <f t="shared" si="78"/>
        <v>1</v>
      </c>
      <c r="BO38" s="4">
        <f t="shared" si="79"/>
        <v>1</v>
      </c>
      <c r="BP38" s="4">
        <f t="shared" si="80"/>
        <v>1</v>
      </c>
      <c r="BQ38" s="4">
        <f t="shared" si="81"/>
        <v>1</v>
      </c>
      <c r="BR38" s="4">
        <f t="shared" si="82"/>
        <v>1</v>
      </c>
      <c r="BS38" s="4">
        <f t="shared" si="83"/>
        <v>1</v>
      </c>
      <c r="BT38" s="4">
        <f t="shared" si="84"/>
        <v>1</v>
      </c>
      <c r="BU38" s="4">
        <f t="shared" si="85"/>
        <v>1</v>
      </c>
      <c r="BV38" s="4">
        <f t="shared" si="86"/>
        <v>1</v>
      </c>
      <c r="BW38" s="4">
        <f t="shared" si="87"/>
        <v>1</v>
      </c>
      <c r="BX38" s="4">
        <f t="shared" si="88"/>
        <v>12</v>
      </c>
    </row>
    <row r="39" spans="2:76">
      <c r="B39" s="4">
        <v>14</v>
      </c>
      <c r="C39" s="4">
        <f t="shared" si="22"/>
        <v>-30</v>
      </c>
      <c r="D39" s="14">
        <f t="shared" si="23"/>
        <v>53.807365361253545</v>
      </c>
      <c r="E39" s="14">
        <f t="shared" si="24"/>
        <v>57.44079626132789</v>
      </c>
      <c r="F39" s="14">
        <f t="shared" si="25"/>
        <v>59.880193408601372</v>
      </c>
      <c r="G39" s="14">
        <f t="shared" si="26"/>
        <v>58.689129916803616</v>
      </c>
      <c r="H39" s="14">
        <f t="shared" si="27"/>
        <v>55.070996124395727</v>
      </c>
      <c r="I39" s="14">
        <f t="shared" si="28"/>
        <v>52.684751795869659</v>
      </c>
      <c r="J39" s="14">
        <f t="shared" si="29"/>
        <v>53.674975956703612</v>
      </c>
      <c r="K39" s="14">
        <f t="shared" si="30"/>
        <v>57.255047399413044</v>
      </c>
      <c r="L39" s="14">
        <f t="shared" si="31"/>
        <v>59.925865613035626</v>
      </c>
      <c r="M39" s="14">
        <f t="shared" si="32"/>
        <v>58.638382266845895</v>
      </c>
      <c r="N39" s="14">
        <f t="shared" si="33"/>
        <v>54.896386444769519</v>
      </c>
      <c r="O39" s="14">
        <f t="shared" si="34"/>
        <v>52.652361373933296</v>
      </c>
      <c r="P39" s="2"/>
      <c r="Q39" s="4">
        <v>14</v>
      </c>
      <c r="R39" s="29">
        <f t="shared" si="35"/>
        <v>-0.52359777559829879</v>
      </c>
      <c r="S39" s="48">
        <f t="shared" si="36"/>
        <v>0.93911568737742246</v>
      </c>
      <c r="T39" s="48">
        <f t="shared" si="37"/>
        <v>1.0025310197274209</v>
      </c>
      <c r="U39" s="48">
        <f t="shared" si="38"/>
        <v>1.0451065317111001</v>
      </c>
      <c r="V39" s="48">
        <f t="shared" si="39"/>
        <v>1.0243185521789289</v>
      </c>
      <c r="W39" s="48">
        <f t="shared" si="40"/>
        <v>0.96117020472374215</v>
      </c>
      <c r="X39" s="48">
        <f t="shared" si="41"/>
        <v>0.91952238443392098</v>
      </c>
      <c r="Y39" s="48">
        <f t="shared" si="42"/>
        <v>0.93680505637327138</v>
      </c>
      <c r="Z39" s="48">
        <f t="shared" si="43"/>
        <v>0.99928909050517445</v>
      </c>
      <c r="AA39" s="48">
        <f t="shared" si="44"/>
        <v>1.0459036620551219</v>
      </c>
      <c r="AB39" s="48">
        <f t="shared" si="45"/>
        <v>1.0234328385995171</v>
      </c>
      <c r="AC39" s="48">
        <f t="shared" si="46"/>
        <v>0.9581226909084124</v>
      </c>
      <c r="AD39" s="48">
        <f t="shared" si="47"/>
        <v>0.91895706492502127</v>
      </c>
      <c r="AE39" s="2"/>
      <c r="AF39" s="4">
        <v>14.5</v>
      </c>
      <c r="AG39" s="4">
        <f t="shared" si="48"/>
        <v>-37.5</v>
      </c>
      <c r="AH39" s="17">
        <f t="shared" si="49"/>
        <v>0</v>
      </c>
      <c r="AI39" s="17">
        <f t="shared" si="50"/>
        <v>0</v>
      </c>
      <c r="AJ39" s="17">
        <f t="shared" si="51"/>
        <v>0</v>
      </c>
      <c r="AK39" s="17">
        <f t="shared" si="52"/>
        <v>0</v>
      </c>
      <c r="AL39" s="17">
        <f t="shared" si="53"/>
        <v>0</v>
      </c>
      <c r="AM39" s="17">
        <f t="shared" si="54"/>
        <v>0</v>
      </c>
      <c r="AN39" s="17">
        <f t="shared" si="55"/>
        <v>0</v>
      </c>
      <c r="AO39" s="17">
        <f t="shared" si="56"/>
        <v>0</v>
      </c>
      <c r="AP39" s="17">
        <f t="shared" si="57"/>
        <v>0</v>
      </c>
      <c r="AQ39" s="17">
        <f t="shared" si="58"/>
        <v>77.776226621708446</v>
      </c>
      <c r="AR39" s="17">
        <f t="shared" si="59"/>
        <v>0</v>
      </c>
      <c r="AS39" s="17">
        <f t="shared" si="60"/>
        <v>0</v>
      </c>
      <c r="AT39" s="2"/>
      <c r="AU39" s="4">
        <v>14</v>
      </c>
      <c r="AV39" s="4">
        <f t="shared" si="61"/>
        <v>-30</v>
      </c>
      <c r="AW39" s="40">
        <f t="shared" si="62"/>
        <v>-28037.134214516107</v>
      </c>
      <c r="AX39" s="40">
        <f t="shared" si="63"/>
        <v>-29033.335079013286</v>
      </c>
      <c r="AY39" s="40">
        <f t="shared" si="64"/>
        <v>-29402.135409451941</v>
      </c>
      <c r="AZ39" s="40">
        <f t="shared" si="65"/>
        <v>-28540.906467787489</v>
      </c>
      <c r="BA39" s="40">
        <f t="shared" si="66"/>
        <v>-26979.087246097788</v>
      </c>
      <c r="BB39" s="40">
        <f t="shared" si="67"/>
        <v>-25927.341838080432</v>
      </c>
      <c r="BC39" s="40">
        <f t="shared" si="68"/>
        <v>-26253.194786431101</v>
      </c>
      <c r="BD39" s="40">
        <f t="shared" si="69"/>
        <v>-27643.180775760135</v>
      </c>
      <c r="BE39" s="40">
        <f t="shared" si="70"/>
        <v>-28876.920554535536</v>
      </c>
      <c r="BF39" s="40">
        <f t="shared" si="71"/>
        <v>0.55998883167630076</v>
      </c>
      <c r="BG39" s="40">
        <f t="shared" si="72"/>
        <v>-28181.719202419674</v>
      </c>
      <c r="BH39" s="40">
        <f t="shared" si="73"/>
        <v>-27617.920702128165</v>
      </c>
      <c r="BJ39" s="4">
        <v>14</v>
      </c>
      <c r="BK39" s="4">
        <f t="shared" si="74"/>
        <v>-30</v>
      </c>
      <c r="BL39" s="4">
        <f t="shared" si="76"/>
        <v>1</v>
      </c>
      <c r="BM39" s="4">
        <f t="shared" si="77"/>
        <v>1</v>
      </c>
      <c r="BN39" s="4">
        <f t="shared" si="78"/>
        <v>1</v>
      </c>
      <c r="BO39" s="4">
        <f t="shared" si="79"/>
        <v>1</v>
      </c>
      <c r="BP39" s="4">
        <f t="shared" si="80"/>
        <v>1</v>
      </c>
      <c r="BQ39" s="4">
        <f t="shared" si="81"/>
        <v>1</v>
      </c>
      <c r="BR39" s="4">
        <f t="shared" si="82"/>
        <v>1</v>
      </c>
      <c r="BS39" s="4">
        <f t="shared" si="83"/>
        <v>1</v>
      </c>
      <c r="BT39" s="4">
        <f t="shared" si="84"/>
        <v>1</v>
      </c>
      <c r="BU39" s="4">
        <f t="shared" si="85"/>
        <v>1</v>
      </c>
      <c r="BV39" s="4">
        <f t="shared" si="86"/>
        <v>1</v>
      </c>
      <c r="BW39" s="4">
        <f t="shared" si="87"/>
        <v>1</v>
      </c>
      <c r="BX39" s="4">
        <f t="shared" si="88"/>
        <v>12</v>
      </c>
    </row>
    <row r="40" spans="2:76">
      <c r="B40" s="4">
        <v>15</v>
      </c>
      <c r="C40" s="4">
        <f t="shared" si="22"/>
        <v>-45</v>
      </c>
      <c r="D40" s="14">
        <f t="shared" si="23"/>
        <v>41.219279167606786</v>
      </c>
      <c r="E40" s="14">
        <f t="shared" si="24"/>
        <v>43.485647027745713</v>
      </c>
      <c r="F40" s="14">
        <f t="shared" si="25"/>
        <v>44.930770418095449</v>
      </c>
      <c r="G40" s="14">
        <f t="shared" si="26"/>
        <v>44.233369568745132</v>
      </c>
      <c r="H40" s="14">
        <f t="shared" si="27"/>
        <v>42.021924062705502</v>
      </c>
      <c r="I40" s="14">
        <f t="shared" si="28"/>
        <v>40.494115657009694</v>
      </c>
      <c r="J40" s="14">
        <f t="shared" si="29"/>
        <v>41.134341028669503</v>
      </c>
      <c r="K40" s="14">
        <f t="shared" si="30"/>
        <v>43.372971084763499</v>
      </c>
      <c r="L40" s="14">
        <f t="shared" si="31"/>
        <v>44.957190729523326</v>
      </c>
      <c r="M40" s="14">
        <f t="shared" si="32"/>
        <v>44.203302317807299</v>
      </c>
      <c r="N40" s="14">
        <f t="shared" si="33"/>
        <v>41.911899055178779</v>
      </c>
      <c r="O40" s="14">
        <f t="shared" si="34"/>
        <v>40.473029554250303</v>
      </c>
      <c r="P40" s="2"/>
      <c r="Q40" s="4">
        <v>15</v>
      </c>
      <c r="R40" s="29">
        <f t="shared" si="35"/>
        <v>-0.78539716339744825</v>
      </c>
      <c r="S40" s="48">
        <f t="shared" si="36"/>
        <v>0.71941213677344595</v>
      </c>
      <c r="T40" s="48">
        <f t="shared" si="37"/>
        <v>0.75896771799424867</v>
      </c>
      <c r="U40" s="48">
        <f t="shared" si="38"/>
        <v>0.78418987925343475</v>
      </c>
      <c r="V40" s="48">
        <f t="shared" si="39"/>
        <v>0.77201793822606679</v>
      </c>
      <c r="W40" s="48">
        <f t="shared" si="40"/>
        <v>0.73342093291724308</v>
      </c>
      <c r="X40" s="48">
        <f t="shared" si="41"/>
        <v>0.70675564589820594</v>
      </c>
      <c r="Y40" s="48">
        <f t="shared" si="42"/>
        <v>0.717929686588474</v>
      </c>
      <c r="Z40" s="48">
        <f t="shared" si="43"/>
        <v>0.75700115180141958</v>
      </c>
      <c r="AA40" s="48">
        <f t="shared" si="44"/>
        <v>0.78465100067725357</v>
      </c>
      <c r="AB40" s="48">
        <f t="shared" si="45"/>
        <v>0.77149316570017823</v>
      </c>
      <c r="AC40" s="48">
        <f t="shared" si="46"/>
        <v>0.73150063427637024</v>
      </c>
      <c r="AD40" s="48">
        <f t="shared" si="47"/>
        <v>0.70638762397864074</v>
      </c>
      <c r="AE40" s="2"/>
      <c r="AF40" s="4">
        <v>15.5</v>
      </c>
      <c r="AG40" s="4">
        <f t="shared" si="48"/>
        <v>-52.5</v>
      </c>
      <c r="AH40" s="17">
        <f t="shared" si="49"/>
        <v>0</v>
      </c>
      <c r="AI40" s="17">
        <f t="shared" si="50"/>
        <v>0</v>
      </c>
      <c r="AJ40" s="17">
        <f t="shared" si="51"/>
        <v>0</v>
      </c>
      <c r="AK40" s="17">
        <f t="shared" si="52"/>
        <v>0</v>
      </c>
      <c r="AL40" s="17">
        <f t="shared" si="53"/>
        <v>0</v>
      </c>
      <c r="AM40" s="17">
        <f t="shared" si="54"/>
        <v>0</v>
      </c>
      <c r="AN40" s="17">
        <f t="shared" si="55"/>
        <v>0</v>
      </c>
      <c r="AO40" s="17">
        <f t="shared" si="56"/>
        <v>0</v>
      </c>
      <c r="AP40" s="17">
        <f t="shared" si="57"/>
        <v>0</v>
      </c>
      <c r="AQ40" s="17">
        <f t="shared" si="58"/>
        <v>63.504049954027707</v>
      </c>
      <c r="AR40" s="17">
        <f t="shared" si="59"/>
        <v>0</v>
      </c>
      <c r="AS40" s="17">
        <f t="shared" si="60"/>
        <v>0</v>
      </c>
      <c r="AT40" s="2"/>
      <c r="AU40" s="4">
        <v>15</v>
      </c>
      <c r="AV40" s="4">
        <f t="shared" si="61"/>
        <v>-45</v>
      </c>
      <c r="AW40" s="40">
        <f t="shared" si="62"/>
        <v>-22892.233900550986</v>
      </c>
      <c r="AX40" s="40">
        <f t="shared" si="63"/>
        <v>-23705.62884411099</v>
      </c>
      <c r="AY40" s="40">
        <f t="shared" si="64"/>
        <v>-24006.75318022916</v>
      </c>
      <c r="AZ40" s="40">
        <f t="shared" si="65"/>
        <v>-23303.562396761034</v>
      </c>
      <c r="BA40" s="40">
        <f t="shared" si="66"/>
        <v>-22028.341803253086</v>
      </c>
      <c r="BB40" s="40">
        <f t="shared" si="67"/>
        <v>-21169.5949106517</v>
      </c>
      <c r="BC40" s="40">
        <f t="shared" si="68"/>
        <v>-21435.652841314437</v>
      </c>
      <c r="BD40" s="40">
        <f t="shared" si="69"/>
        <v>-22570.572128811891</v>
      </c>
      <c r="BE40" s="40">
        <f t="shared" si="70"/>
        <v>-23577.916865690091</v>
      </c>
      <c r="BF40" s="40">
        <f t="shared" si="71"/>
        <v>0.45722915966899946</v>
      </c>
      <c r="BG40" s="40">
        <f t="shared" si="72"/>
        <v>-23010.287098722831</v>
      </c>
      <c r="BH40" s="40">
        <f t="shared" si="73"/>
        <v>-22549.947356340359</v>
      </c>
      <c r="BJ40" s="4">
        <v>15</v>
      </c>
      <c r="BK40" s="4">
        <f t="shared" si="74"/>
        <v>-45</v>
      </c>
      <c r="BL40" s="4">
        <f t="shared" si="76"/>
        <v>1</v>
      </c>
      <c r="BM40" s="4">
        <f t="shared" si="77"/>
        <v>1</v>
      </c>
      <c r="BN40" s="4">
        <f t="shared" si="78"/>
        <v>1</v>
      </c>
      <c r="BO40" s="4">
        <f t="shared" si="79"/>
        <v>1</v>
      </c>
      <c r="BP40" s="4">
        <f t="shared" si="80"/>
        <v>1</v>
      </c>
      <c r="BQ40" s="4">
        <f t="shared" si="81"/>
        <v>1</v>
      </c>
      <c r="BR40" s="4">
        <f t="shared" si="82"/>
        <v>1</v>
      </c>
      <c r="BS40" s="4">
        <f t="shared" si="83"/>
        <v>1</v>
      </c>
      <c r="BT40" s="4">
        <f t="shared" si="84"/>
        <v>1</v>
      </c>
      <c r="BU40" s="4">
        <f t="shared" si="85"/>
        <v>1</v>
      </c>
      <c r="BV40" s="4">
        <f t="shared" si="86"/>
        <v>1</v>
      </c>
      <c r="BW40" s="4">
        <f t="shared" si="87"/>
        <v>1</v>
      </c>
      <c r="BX40" s="4">
        <f t="shared" si="88"/>
        <v>12</v>
      </c>
    </row>
    <row r="41" spans="2:76">
      <c r="B41" s="4">
        <v>16</v>
      </c>
      <c r="C41" s="4">
        <f t="shared" si="22"/>
        <v>-60</v>
      </c>
      <c r="D41" s="14">
        <f t="shared" si="23"/>
        <v>27.771276332553228</v>
      </c>
      <c r="E41" s="14">
        <f t="shared" si="24"/>
        <v>29.118142979807168</v>
      </c>
      <c r="F41" s="14">
        <f t="shared" si="25"/>
        <v>29.960038373966494</v>
      </c>
      <c r="G41" s="14">
        <f t="shared" si="26"/>
        <v>29.555452935971882</v>
      </c>
      <c r="H41" s="14">
        <f t="shared" si="27"/>
        <v>28.251854286758277</v>
      </c>
      <c r="I41" s="14">
        <f t="shared" si="28"/>
        <v>27.333834999173821</v>
      </c>
      <c r="J41" s="14">
        <f t="shared" si="29"/>
        <v>27.720197020264457</v>
      </c>
      <c r="K41" s="14">
        <f t="shared" si="30"/>
        <v>29.051932734362087</v>
      </c>
      <c r="L41" s="14">
        <f t="shared" si="31"/>
        <v>29.975302095521378</v>
      </c>
      <c r="M41" s="14">
        <f t="shared" si="32"/>
        <v>29.537937840334791</v>
      </c>
      <c r="N41" s="14">
        <f t="shared" si="33"/>
        <v>28.186205343430622</v>
      </c>
      <c r="O41" s="14">
        <f t="shared" si="34"/>
        <v>27.32106984093484</v>
      </c>
      <c r="P41" s="2"/>
      <c r="Q41" s="4">
        <v>16</v>
      </c>
      <c r="R41" s="29">
        <f t="shared" si="35"/>
        <v>-1.0471965511965977</v>
      </c>
      <c r="S41" s="48">
        <f t="shared" si="36"/>
        <v>0.48470020948422954</v>
      </c>
      <c r="T41" s="48">
        <f t="shared" si="37"/>
        <v>0.5082074670641078</v>
      </c>
      <c r="U41" s="48">
        <f t="shared" si="38"/>
        <v>0.52290131364956349</v>
      </c>
      <c r="V41" s="48">
        <f t="shared" si="39"/>
        <v>0.51583996565093415</v>
      </c>
      <c r="W41" s="48">
        <f t="shared" si="40"/>
        <v>0.49308787709760615</v>
      </c>
      <c r="X41" s="48">
        <f t="shared" si="41"/>
        <v>0.47706541793244467</v>
      </c>
      <c r="Y41" s="48">
        <f t="shared" si="42"/>
        <v>0.48380870730513609</v>
      </c>
      <c r="Z41" s="48">
        <f t="shared" si="43"/>
        <v>0.50705188028253756</v>
      </c>
      <c r="AA41" s="48">
        <f t="shared" si="44"/>
        <v>0.52316771584680388</v>
      </c>
      <c r="AB41" s="48">
        <f t="shared" si="45"/>
        <v>0.5155342695632652</v>
      </c>
      <c r="AC41" s="48">
        <f t="shared" si="46"/>
        <v>0.49194208688608343</v>
      </c>
      <c r="AD41" s="48">
        <f t="shared" si="47"/>
        <v>0.4768426238916364</v>
      </c>
      <c r="AE41" s="2"/>
      <c r="AF41" s="4">
        <v>16.5</v>
      </c>
      <c r="AG41" s="4">
        <f t="shared" si="48"/>
        <v>-67.5</v>
      </c>
      <c r="AH41" s="17">
        <f t="shared" si="49"/>
        <v>0</v>
      </c>
      <c r="AI41" s="17">
        <f t="shared" si="50"/>
        <v>0</v>
      </c>
      <c r="AJ41" s="17">
        <f t="shared" si="51"/>
        <v>0</v>
      </c>
      <c r="AK41" s="17">
        <f t="shared" si="52"/>
        <v>0</v>
      </c>
      <c r="AL41" s="17">
        <f t="shared" si="53"/>
        <v>0</v>
      </c>
      <c r="AM41" s="17">
        <f t="shared" si="54"/>
        <v>0</v>
      </c>
      <c r="AN41" s="17">
        <f t="shared" si="55"/>
        <v>0</v>
      </c>
      <c r="AO41" s="17">
        <f t="shared" si="56"/>
        <v>0</v>
      </c>
      <c r="AP41" s="17">
        <f t="shared" si="57"/>
        <v>0</v>
      </c>
      <c r="AQ41" s="17">
        <f t="shared" si="58"/>
        <v>44.904177227384515</v>
      </c>
      <c r="AR41" s="17">
        <f t="shared" si="59"/>
        <v>0</v>
      </c>
      <c r="AS41" s="17">
        <f t="shared" si="60"/>
        <v>0</v>
      </c>
      <c r="AT41" s="2"/>
      <c r="AU41" s="4">
        <v>16</v>
      </c>
      <c r="AV41" s="4">
        <f t="shared" si="61"/>
        <v>-60</v>
      </c>
      <c r="AW41" s="40">
        <f t="shared" si="62"/>
        <v>-16187.265677468555</v>
      </c>
      <c r="AX41" s="40">
        <f t="shared" si="63"/>
        <v>-16762.423178886467</v>
      </c>
      <c r="AY41" s="40">
        <f t="shared" si="64"/>
        <v>-16975.350394809193</v>
      </c>
      <c r="AZ41" s="40">
        <f t="shared" si="65"/>
        <v>-16478.11905935303</v>
      </c>
      <c r="BA41" s="40">
        <f t="shared" si="66"/>
        <v>-15576.401270072733</v>
      </c>
      <c r="BB41" s="40">
        <f t="shared" si="67"/>
        <v>-14969.175074471761</v>
      </c>
      <c r="BC41" s="40">
        <f t="shared" si="68"/>
        <v>-15157.306579153425</v>
      </c>
      <c r="BD41" s="40">
        <f t="shared" si="69"/>
        <v>-15959.816290919141</v>
      </c>
      <c r="BE41" s="40">
        <f t="shared" si="70"/>
        <v>-16672.117106797781</v>
      </c>
      <c r="BF41" s="40">
        <f t="shared" si="71"/>
        <v>0.32331007603716849</v>
      </c>
      <c r="BG41" s="40">
        <f t="shared" si="72"/>
        <v>-16270.741955545396</v>
      </c>
      <c r="BH41" s="40">
        <f t="shared" si="73"/>
        <v>-15945.232363767935</v>
      </c>
      <c r="BJ41" s="4">
        <v>16</v>
      </c>
      <c r="BK41" s="4">
        <f t="shared" si="74"/>
        <v>-60</v>
      </c>
      <c r="BL41" s="4">
        <f t="shared" si="76"/>
        <v>1</v>
      </c>
      <c r="BM41" s="4">
        <f t="shared" si="77"/>
        <v>1</v>
      </c>
      <c r="BN41" s="4">
        <f t="shared" si="78"/>
        <v>1</v>
      </c>
      <c r="BO41" s="4">
        <f t="shared" si="79"/>
        <v>1</v>
      </c>
      <c r="BP41" s="4">
        <f t="shared" si="80"/>
        <v>1</v>
      </c>
      <c r="BQ41" s="4">
        <f t="shared" si="81"/>
        <v>1</v>
      </c>
      <c r="BR41" s="4">
        <f t="shared" si="82"/>
        <v>1</v>
      </c>
      <c r="BS41" s="4">
        <f t="shared" si="83"/>
        <v>1</v>
      </c>
      <c r="BT41" s="4">
        <f t="shared" si="84"/>
        <v>1</v>
      </c>
      <c r="BU41" s="4">
        <f t="shared" si="85"/>
        <v>1</v>
      </c>
      <c r="BV41" s="4">
        <f t="shared" si="86"/>
        <v>1</v>
      </c>
      <c r="BW41" s="4">
        <f t="shared" si="87"/>
        <v>1</v>
      </c>
      <c r="BX41" s="4">
        <f t="shared" si="88"/>
        <v>12</v>
      </c>
    </row>
    <row r="42" spans="2:76">
      <c r="B42" s="4">
        <v>17</v>
      </c>
      <c r="C42" s="4">
        <f t="shared" si="22"/>
        <v>-75</v>
      </c>
      <c r="D42" s="14">
        <f t="shared" si="23"/>
        <v>13.956808778670169</v>
      </c>
      <c r="E42" s="14">
        <f t="shared" si="24"/>
        <v>14.589347184483991</v>
      </c>
      <c r="F42" s="14">
        <f t="shared" si="25"/>
        <v>14.981481481342128</v>
      </c>
      <c r="G42" s="14">
        <f t="shared" si="26"/>
        <v>14.793354656275547</v>
      </c>
      <c r="H42" s="14">
        <f t="shared" si="27"/>
        <v>14.183224615871673</v>
      </c>
      <c r="I42" s="14">
        <f t="shared" si="28"/>
        <v>13.750038654751821</v>
      </c>
      <c r="J42" s="14">
        <f t="shared" si="29"/>
        <v>13.932697623611958</v>
      </c>
      <c r="K42" s="14">
        <f t="shared" si="30"/>
        <v>14.558400279584996</v>
      </c>
      <c r="L42" s="14">
        <f t="shared" si="31"/>
        <v>14.988567223960134</v>
      </c>
      <c r="M42" s="14">
        <f t="shared" si="32"/>
        <v>14.785196963931227</v>
      </c>
      <c r="N42" s="14">
        <f t="shared" si="33"/>
        <v>14.152341730923215</v>
      </c>
      <c r="O42" s="14">
        <f t="shared" si="34"/>
        <v>13.743995233984654</v>
      </c>
      <c r="P42" s="2"/>
      <c r="Q42" s="4">
        <v>17</v>
      </c>
      <c r="R42" s="29">
        <f t="shared" si="35"/>
        <v>-1.3089959389957473</v>
      </c>
      <c r="S42" s="48">
        <f t="shared" si="36"/>
        <v>0.24359226625904298</v>
      </c>
      <c r="T42" s="48">
        <f t="shared" si="37"/>
        <v>0.2546321440858102</v>
      </c>
      <c r="U42" s="48">
        <f t="shared" si="38"/>
        <v>0.26147617867597756</v>
      </c>
      <c r="V42" s="48">
        <f t="shared" si="39"/>
        <v>0.2581927461672423</v>
      </c>
      <c r="W42" s="48">
        <f t="shared" si="40"/>
        <v>0.24754396809686868</v>
      </c>
      <c r="X42" s="48">
        <f t="shared" si="41"/>
        <v>0.23998344680191111</v>
      </c>
      <c r="Y42" s="48">
        <f t="shared" si="42"/>
        <v>0.2431714472168183</v>
      </c>
      <c r="Z42" s="48">
        <f t="shared" si="43"/>
        <v>0.25409201870202119</v>
      </c>
      <c r="AA42" s="48">
        <f t="shared" si="44"/>
        <v>0.26159984821461063</v>
      </c>
      <c r="AB42" s="48">
        <f t="shared" si="45"/>
        <v>0.25805036757646921</v>
      </c>
      <c r="AC42" s="48">
        <f t="shared" si="46"/>
        <v>0.24700496007200351</v>
      </c>
      <c r="AD42" s="48">
        <f t="shared" si="47"/>
        <v>0.23987796921144067</v>
      </c>
      <c r="AE42" s="2"/>
      <c r="AF42" s="4">
        <v>17.5</v>
      </c>
      <c r="AG42" s="4">
        <f t="shared" si="48"/>
        <v>-82.5</v>
      </c>
      <c r="AH42" s="17">
        <f t="shared" si="49"/>
        <v>0</v>
      </c>
      <c r="AI42" s="17">
        <f t="shared" si="50"/>
        <v>0</v>
      </c>
      <c r="AJ42" s="17">
        <f t="shared" si="51"/>
        <v>0</v>
      </c>
      <c r="AK42" s="17">
        <f t="shared" si="52"/>
        <v>0</v>
      </c>
      <c r="AL42" s="17">
        <f t="shared" si="53"/>
        <v>0</v>
      </c>
      <c r="AM42" s="17">
        <f t="shared" si="54"/>
        <v>0</v>
      </c>
      <c r="AN42" s="17">
        <f t="shared" si="55"/>
        <v>0</v>
      </c>
      <c r="AO42" s="17">
        <f t="shared" si="56"/>
        <v>0</v>
      </c>
      <c r="AP42" s="17">
        <f t="shared" si="57"/>
        <v>0</v>
      </c>
      <c r="AQ42" s="17">
        <f t="shared" si="58"/>
        <v>23.244159030356592</v>
      </c>
      <c r="AR42" s="17">
        <f t="shared" si="59"/>
        <v>0</v>
      </c>
      <c r="AS42" s="17">
        <f t="shared" si="60"/>
        <v>0</v>
      </c>
      <c r="AT42" s="2"/>
      <c r="AU42" s="4">
        <v>17</v>
      </c>
      <c r="AV42" s="4">
        <f t="shared" si="61"/>
        <v>-75</v>
      </c>
      <c r="AW42" s="40">
        <f t="shared" si="62"/>
        <v>-8379.162049187993</v>
      </c>
      <c r="AX42" s="40">
        <f t="shared" si="63"/>
        <v>-8676.8860752348955</v>
      </c>
      <c r="AY42" s="40">
        <f t="shared" si="64"/>
        <v>-8787.1055330759027</v>
      </c>
      <c r="AZ42" s="40">
        <f t="shared" si="65"/>
        <v>-8529.7191394294059</v>
      </c>
      <c r="BA42" s="40">
        <f t="shared" si="66"/>
        <v>-8062.9547315571108</v>
      </c>
      <c r="BB42" s="40">
        <f t="shared" si="67"/>
        <v>-7748.630694698023</v>
      </c>
      <c r="BC42" s="40">
        <f t="shared" si="68"/>
        <v>-7846.0149222565688</v>
      </c>
      <c r="BD42" s="40">
        <f t="shared" si="69"/>
        <v>-8261.4253476437225</v>
      </c>
      <c r="BE42" s="40">
        <f t="shared" si="70"/>
        <v>-8630.1401190534252</v>
      </c>
      <c r="BF42" s="40">
        <f t="shared" si="71"/>
        <v>0.16735794501856746</v>
      </c>
      <c r="BG42" s="40">
        <f t="shared" si="72"/>
        <v>-8422.3726367699674</v>
      </c>
      <c r="BH42" s="40">
        <f t="shared" si="73"/>
        <v>-8253.8761363471167</v>
      </c>
      <c r="BJ42" s="4">
        <v>17</v>
      </c>
      <c r="BK42" s="4">
        <f t="shared" si="74"/>
        <v>-75</v>
      </c>
      <c r="BL42" s="4">
        <f t="shared" si="76"/>
        <v>1</v>
      </c>
      <c r="BM42" s="4">
        <f t="shared" si="77"/>
        <v>1</v>
      </c>
      <c r="BN42" s="4">
        <f t="shared" si="78"/>
        <v>1</v>
      </c>
      <c r="BO42" s="4">
        <f t="shared" si="79"/>
        <v>1</v>
      </c>
      <c r="BP42" s="4">
        <f t="shared" si="80"/>
        <v>1</v>
      </c>
      <c r="BQ42" s="4">
        <f t="shared" si="81"/>
        <v>1</v>
      </c>
      <c r="BR42" s="4">
        <f t="shared" si="82"/>
        <v>1</v>
      </c>
      <c r="BS42" s="4">
        <f t="shared" si="83"/>
        <v>1</v>
      </c>
      <c r="BT42" s="4">
        <f t="shared" si="84"/>
        <v>1</v>
      </c>
      <c r="BU42" s="4">
        <f t="shared" si="85"/>
        <v>1</v>
      </c>
      <c r="BV42" s="4">
        <f t="shared" si="86"/>
        <v>1</v>
      </c>
      <c r="BW42" s="4">
        <f t="shared" si="87"/>
        <v>1</v>
      </c>
      <c r="BX42" s="4">
        <f t="shared" si="88"/>
        <v>12</v>
      </c>
    </row>
    <row r="43" spans="2:76">
      <c r="B43" s="4">
        <v>18</v>
      </c>
      <c r="C43" s="4">
        <f t="shared" si="22"/>
        <v>-90</v>
      </c>
      <c r="D43" s="14">
        <f t="shared" si="23"/>
        <v>5.3393056211661026E-5</v>
      </c>
      <c r="E43" s="14">
        <f t="shared" si="24"/>
        <v>5.5761535738394711E-5</v>
      </c>
      <c r="F43" s="14">
        <f t="shared" si="25"/>
        <v>5.7226450895900502E-5</v>
      </c>
      <c r="G43" s="14">
        <f t="shared" si="26"/>
        <v>5.6523986664126345E-5</v>
      </c>
      <c r="H43" s="14">
        <f t="shared" si="27"/>
        <v>5.4241611449773969E-5</v>
      </c>
      <c r="I43" s="14">
        <f t="shared" si="28"/>
        <v>5.2617399916975425E-5</v>
      </c>
      <c r="J43" s="14">
        <f t="shared" si="29"/>
        <v>5.3302643712314706E-5</v>
      </c>
      <c r="K43" s="14">
        <f t="shared" si="30"/>
        <v>5.5645813784986521E-5</v>
      </c>
      <c r="L43" s="14">
        <f t="shared" si="31"/>
        <v>5.7252896999772731E-5</v>
      </c>
      <c r="M43" s="14">
        <f t="shared" si="32"/>
        <v>5.6493512058943861E-5</v>
      </c>
      <c r="N43" s="14">
        <f t="shared" si="33"/>
        <v>5.4125918989273827E-5</v>
      </c>
      <c r="O43" s="14">
        <f t="shared" si="34"/>
        <v>5.2594718890151372E-5</v>
      </c>
      <c r="P43" s="2"/>
      <c r="Q43" s="4">
        <v>18</v>
      </c>
      <c r="R43" s="29">
        <f t="shared" si="35"/>
        <v>-1.5707953267948966</v>
      </c>
      <c r="S43" s="48">
        <f t="shared" si="36"/>
        <v>9.3188462859589526E-7</v>
      </c>
      <c r="T43" s="48">
        <f t="shared" si="37"/>
        <v>9.7322239460347517E-7</v>
      </c>
      <c r="U43" s="48">
        <f t="shared" si="38"/>
        <v>9.9878998736432249E-7</v>
      </c>
      <c r="V43" s="48">
        <f t="shared" si="39"/>
        <v>9.865296736423709E-7</v>
      </c>
      <c r="W43" s="48">
        <f t="shared" si="40"/>
        <v>9.4669471138601065E-7</v>
      </c>
      <c r="X43" s="48">
        <f t="shared" si="41"/>
        <v>9.1834687238981213E-7</v>
      </c>
      <c r="Y43" s="48">
        <f t="shared" si="42"/>
        <v>9.3030663279734476E-7</v>
      </c>
      <c r="Z43" s="48">
        <f t="shared" si="43"/>
        <v>9.7120266549966277E-7</v>
      </c>
      <c r="AA43" s="48">
        <f t="shared" si="44"/>
        <v>9.992515589512173E-7</v>
      </c>
      <c r="AB43" s="48">
        <f t="shared" si="45"/>
        <v>9.8599779144369121E-7</v>
      </c>
      <c r="AC43" s="48">
        <f t="shared" si="46"/>
        <v>9.446754970305496E-7</v>
      </c>
      <c r="AD43" s="48">
        <f t="shared" si="47"/>
        <v>9.1795101379399927E-7</v>
      </c>
      <c r="AE43" s="2"/>
      <c r="AF43" s="4">
        <v>18.5</v>
      </c>
      <c r="AG43" s="4">
        <f t="shared" si="48"/>
        <v>-97.5</v>
      </c>
      <c r="AH43" s="17">
        <f t="shared" si="49"/>
        <v>0</v>
      </c>
      <c r="AI43" s="17">
        <f t="shared" si="50"/>
        <v>0</v>
      </c>
      <c r="AJ43" s="17">
        <f t="shared" si="51"/>
        <v>0</v>
      </c>
      <c r="AK43" s="17">
        <f t="shared" si="52"/>
        <v>0</v>
      </c>
      <c r="AL43" s="17">
        <f t="shared" si="53"/>
        <v>0</v>
      </c>
      <c r="AM43" s="17">
        <f t="shared" si="54"/>
        <v>0</v>
      </c>
      <c r="AN43" s="17">
        <f t="shared" si="55"/>
        <v>0</v>
      </c>
      <c r="AO43" s="17">
        <f t="shared" si="56"/>
        <v>0</v>
      </c>
      <c r="AP43" s="17">
        <f t="shared" si="57"/>
        <v>0</v>
      </c>
      <c r="AQ43" s="17">
        <f t="shared" si="58"/>
        <v>8.9808198895047314E-5</v>
      </c>
      <c r="AR43" s="17">
        <f t="shared" si="59"/>
        <v>0</v>
      </c>
      <c r="AS43" s="17">
        <f t="shared" si="60"/>
        <v>0</v>
      </c>
      <c r="AT43" s="2"/>
      <c r="AU43" s="4">
        <v>18</v>
      </c>
      <c r="AV43" s="4">
        <f t="shared" si="61"/>
        <v>-90</v>
      </c>
      <c r="AW43" s="40">
        <f t="shared" si="62"/>
        <v>-3.2374475278048515E-2</v>
      </c>
      <c r="AX43" s="40">
        <f t="shared" si="63"/>
        <v>-3.3524788288389513E-2</v>
      </c>
      <c r="AY43" s="40">
        <f t="shared" si="64"/>
        <v>-3.3950641982599838E-2</v>
      </c>
      <c r="AZ43" s="40">
        <f t="shared" si="65"/>
        <v>-3.295618103422588E-2</v>
      </c>
      <c r="BA43" s="40">
        <f t="shared" si="66"/>
        <v>-3.1152748579449687E-2</v>
      </c>
      <c r="BB43" s="40">
        <f t="shared" si="67"/>
        <v>-2.9938298291836845E-2</v>
      </c>
      <c r="BC43" s="40">
        <f t="shared" si="68"/>
        <v>-3.0314560649463827E-2</v>
      </c>
      <c r="BD43" s="40">
        <f t="shared" si="69"/>
        <v>-3.1919577292893381E-2</v>
      </c>
      <c r="BE43" s="40">
        <f t="shared" si="70"/>
        <v>-3.3344176457055806E-2</v>
      </c>
      <c r="BF43" s="40">
        <f t="shared" si="71"/>
        <v>6.4661903204434068E-7</v>
      </c>
      <c r="BG43" s="40">
        <f t="shared" si="72"/>
        <v>-3.2541427545018708E-2</v>
      </c>
      <c r="BH43" s="40">
        <f t="shared" si="73"/>
        <v>-3.189040948911348E-2</v>
      </c>
      <c r="BJ43" s="4">
        <v>18</v>
      </c>
      <c r="BK43" s="4">
        <f t="shared" si="74"/>
        <v>-90</v>
      </c>
      <c r="BL43" s="4">
        <f t="shared" si="76"/>
        <v>0</v>
      </c>
      <c r="BM43" s="4">
        <f t="shared" si="77"/>
        <v>0</v>
      </c>
      <c r="BN43" s="4">
        <f t="shared" si="78"/>
        <v>0</v>
      </c>
      <c r="BO43" s="4">
        <f t="shared" si="79"/>
        <v>0</v>
      </c>
      <c r="BP43" s="4">
        <f t="shared" si="80"/>
        <v>0</v>
      </c>
      <c r="BQ43" s="4">
        <f t="shared" si="81"/>
        <v>0</v>
      </c>
      <c r="BR43" s="4">
        <f t="shared" si="82"/>
        <v>0</v>
      </c>
      <c r="BS43" s="4">
        <f t="shared" si="83"/>
        <v>0</v>
      </c>
      <c r="BT43" s="4">
        <f t="shared" si="84"/>
        <v>0</v>
      </c>
      <c r="BU43" s="4">
        <f t="shared" si="85"/>
        <v>0</v>
      </c>
      <c r="BV43" s="4">
        <f t="shared" si="86"/>
        <v>0</v>
      </c>
      <c r="BW43" s="4">
        <f t="shared" si="87"/>
        <v>0</v>
      </c>
      <c r="BX43" s="4">
        <f t="shared" si="88"/>
        <v>0</v>
      </c>
    </row>
    <row r="44" spans="2:76">
      <c r="B44" s="4">
        <v>19</v>
      </c>
      <c r="C44" s="4">
        <f t="shared" si="22"/>
        <v>-105</v>
      </c>
      <c r="D44" s="14">
        <f t="shared" si="23"/>
        <v>0</v>
      </c>
      <c r="E44" s="14">
        <f t="shared" si="24"/>
        <v>0</v>
      </c>
      <c r="F44" s="14">
        <f t="shared" si="25"/>
        <v>0</v>
      </c>
      <c r="G44" s="14">
        <f t="shared" si="26"/>
        <v>0</v>
      </c>
      <c r="H44" s="14">
        <f t="shared" si="27"/>
        <v>0</v>
      </c>
      <c r="I44" s="14">
        <f t="shared" si="28"/>
        <v>0</v>
      </c>
      <c r="J44" s="14">
        <f t="shared" si="29"/>
        <v>0</v>
      </c>
      <c r="K44" s="14">
        <f t="shared" si="30"/>
        <v>0</v>
      </c>
      <c r="L44" s="14">
        <f t="shared" si="31"/>
        <v>0</v>
      </c>
      <c r="M44" s="14">
        <f t="shared" si="32"/>
        <v>0</v>
      </c>
      <c r="N44" s="14">
        <f t="shared" si="33"/>
        <v>0</v>
      </c>
      <c r="O44" s="14">
        <f t="shared" si="34"/>
        <v>0</v>
      </c>
      <c r="P44" s="2"/>
      <c r="Q44" s="4">
        <v>19</v>
      </c>
      <c r="R44" s="29">
        <f t="shared" si="35"/>
        <v>-1.8325947145940462</v>
      </c>
      <c r="S44" s="48">
        <f t="shared" si="36"/>
        <v>-0.24359041123215763</v>
      </c>
      <c r="T44" s="48">
        <f t="shared" si="37"/>
        <v>-0.25463020132257586</v>
      </c>
      <c r="U44" s="48">
        <f t="shared" si="38"/>
        <v>-0.2614741812694153</v>
      </c>
      <c r="V44" s="48">
        <f t="shared" si="39"/>
        <v>-0.25819077500051341</v>
      </c>
      <c r="W44" s="48">
        <f t="shared" si="40"/>
        <v>-0.24754208172142633</v>
      </c>
      <c r="X44" s="48">
        <f t="shared" si="41"/>
        <v>-0.23998162034975337</v>
      </c>
      <c r="Y44" s="48">
        <f t="shared" si="42"/>
        <v>-0.24316959552461467</v>
      </c>
      <c r="Z44" s="48">
        <f t="shared" si="43"/>
        <v>-0.25409008024283791</v>
      </c>
      <c r="AA44" s="48">
        <f t="shared" si="44"/>
        <v>-0.26159784981883499</v>
      </c>
      <c r="AB44" s="48">
        <f t="shared" si="45"/>
        <v>-0.25804839754653769</v>
      </c>
      <c r="AC44" s="48">
        <f t="shared" si="46"/>
        <v>-0.24700307797613733</v>
      </c>
      <c r="AD44" s="48">
        <f t="shared" si="47"/>
        <v>-0.23987614359369466</v>
      </c>
      <c r="AE44" s="2"/>
      <c r="AF44" s="4">
        <v>19.5</v>
      </c>
      <c r="AG44" s="4">
        <f t="shared" si="48"/>
        <v>-112.5</v>
      </c>
      <c r="AH44" s="17">
        <f t="shared" si="49"/>
        <v>0</v>
      </c>
      <c r="AI44" s="17">
        <f t="shared" si="50"/>
        <v>0</v>
      </c>
      <c r="AJ44" s="17">
        <f t="shared" si="51"/>
        <v>0</v>
      </c>
      <c r="AK44" s="17">
        <f t="shared" si="52"/>
        <v>0</v>
      </c>
      <c r="AL44" s="17">
        <f t="shared" si="53"/>
        <v>0</v>
      </c>
      <c r="AM44" s="17">
        <f t="shared" si="54"/>
        <v>0</v>
      </c>
      <c r="AN44" s="17">
        <f t="shared" si="55"/>
        <v>0</v>
      </c>
      <c r="AO44" s="17">
        <f t="shared" si="56"/>
        <v>0</v>
      </c>
      <c r="AP44" s="17">
        <f t="shared" si="57"/>
        <v>0</v>
      </c>
      <c r="AQ44" s="17">
        <f t="shared" si="58"/>
        <v>0</v>
      </c>
      <c r="AR44" s="17">
        <f t="shared" si="59"/>
        <v>0</v>
      </c>
      <c r="AS44" s="17">
        <f t="shared" si="60"/>
        <v>0</v>
      </c>
      <c r="AT44" s="2"/>
      <c r="AU44" s="4">
        <v>19</v>
      </c>
      <c r="AV44" s="4">
        <f t="shared" si="61"/>
        <v>-105</v>
      </c>
      <c r="AW44" s="40">
        <f t="shared" si="62"/>
        <v>8379.0995065044335</v>
      </c>
      <c r="AX44" s="40">
        <f t="shared" si="63"/>
        <v>8676.8213103172438</v>
      </c>
      <c r="AY44" s="40">
        <f t="shared" si="64"/>
        <v>8787.03994547209</v>
      </c>
      <c r="AZ44" s="40">
        <f t="shared" si="65"/>
        <v>8529.6554729766194</v>
      </c>
      <c r="BA44" s="40">
        <f t="shared" si="66"/>
        <v>8062.8945490682909</v>
      </c>
      <c r="BB44" s="40">
        <f t="shared" si="67"/>
        <v>7748.5728583469981</v>
      </c>
      <c r="BC44" s="40">
        <f t="shared" si="68"/>
        <v>7845.9563590224861</v>
      </c>
      <c r="BD44" s="40">
        <f t="shared" si="69"/>
        <v>8261.363683755586</v>
      </c>
      <c r="BE44" s="40">
        <f t="shared" si="70"/>
        <v>8630.0757030510395</v>
      </c>
      <c r="BF44" s="40">
        <f t="shared" si="71"/>
        <v>-0.16735669584652194</v>
      </c>
      <c r="BG44" s="40">
        <f t="shared" si="72"/>
        <v>8422.3097715593922</v>
      </c>
      <c r="BH44" s="40">
        <f t="shared" si="73"/>
        <v>8253.8145288068499</v>
      </c>
      <c r="BJ44" s="4">
        <v>19</v>
      </c>
      <c r="BK44" s="4">
        <f t="shared" si="74"/>
        <v>-105</v>
      </c>
      <c r="BL44" s="4">
        <f t="shared" si="76"/>
        <v>0</v>
      </c>
      <c r="BM44" s="4">
        <f t="shared" si="77"/>
        <v>0</v>
      </c>
      <c r="BN44" s="4">
        <f t="shared" si="78"/>
        <v>0</v>
      </c>
      <c r="BO44" s="4">
        <f t="shared" si="79"/>
        <v>0</v>
      </c>
      <c r="BP44" s="4">
        <f t="shared" si="80"/>
        <v>0</v>
      </c>
      <c r="BQ44" s="4">
        <f t="shared" si="81"/>
        <v>0</v>
      </c>
      <c r="BR44" s="4">
        <f t="shared" si="82"/>
        <v>0</v>
      </c>
      <c r="BS44" s="4">
        <f t="shared" si="83"/>
        <v>0</v>
      </c>
      <c r="BT44" s="4">
        <f t="shared" si="84"/>
        <v>0</v>
      </c>
      <c r="BU44" s="4">
        <f t="shared" si="85"/>
        <v>0</v>
      </c>
      <c r="BV44" s="4">
        <f t="shared" si="86"/>
        <v>0</v>
      </c>
      <c r="BW44" s="4">
        <f t="shared" si="87"/>
        <v>0</v>
      </c>
      <c r="BX44" s="4">
        <f t="shared" si="88"/>
        <v>0</v>
      </c>
    </row>
    <row r="45" spans="2:76">
      <c r="B45" s="4">
        <v>20</v>
      </c>
      <c r="C45" s="4">
        <f t="shared" si="22"/>
        <v>-120</v>
      </c>
      <c r="D45" s="14">
        <f t="shared" si="23"/>
        <v>0</v>
      </c>
      <c r="E45" s="14">
        <f t="shared" si="24"/>
        <v>0</v>
      </c>
      <c r="F45" s="14">
        <f t="shared" si="25"/>
        <v>0</v>
      </c>
      <c r="G45" s="14">
        <f t="shared" si="26"/>
        <v>0</v>
      </c>
      <c r="H45" s="14">
        <f t="shared" si="27"/>
        <v>0</v>
      </c>
      <c r="I45" s="14">
        <f t="shared" si="28"/>
        <v>0</v>
      </c>
      <c r="J45" s="14">
        <f t="shared" si="29"/>
        <v>0</v>
      </c>
      <c r="K45" s="14">
        <f t="shared" si="30"/>
        <v>0</v>
      </c>
      <c r="L45" s="14">
        <f t="shared" si="31"/>
        <v>0</v>
      </c>
      <c r="M45" s="14">
        <f t="shared" si="32"/>
        <v>0</v>
      </c>
      <c r="N45" s="14">
        <f t="shared" si="33"/>
        <v>0</v>
      </c>
      <c r="O45" s="14">
        <f t="shared" si="34"/>
        <v>0</v>
      </c>
      <c r="P45" s="2"/>
      <c r="Q45" s="4">
        <v>20</v>
      </c>
      <c r="R45" s="29">
        <f t="shared" si="35"/>
        <v>-2.0943941023931951</v>
      </c>
      <c r="S45" s="48">
        <f t="shared" si="36"/>
        <v>-0.48469838529347442</v>
      </c>
      <c r="T45" s="48">
        <f t="shared" si="37"/>
        <v>-0.50820553753726205</v>
      </c>
      <c r="U45" s="48">
        <f t="shared" si="38"/>
        <v>-0.52289931687431335</v>
      </c>
      <c r="V45" s="48">
        <f t="shared" si="39"/>
        <v>-0.51583800133273583</v>
      </c>
      <c r="W45" s="48">
        <f t="shared" si="40"/>
        <v>-0.4930860156283412</v>
      </c>
      <c r="X45" s="48">
        <f t="shared" si="41"/>
        <v>-0.47706362738878971</v>
      </c>
      <c r="Y45" s="48">
        <f t="shared" si="42"/>
        <v>-0.4838068870571679</v>
      </c>
      <c r="Z45" s="48">
        <f t="shared" si="43"/>
        <v>-0.50704995599735547</v>
      </c>
      <c r="AA45" s="48">
        <f t="shared" si="44"/>
        <v>-0.5231657178418998</v>
      </c>
      <c r="AB45" s="48">
        <f t="shared" si="45"/>
        <v>-0.51553230664428806</v>
      </c>
      <c r="AC45" s="48">
        <f t="shared" si="46"/>
        <v>-0.49194023052890529</v>
      </c>
      <c r="AD45" s="48">
        <f t="shared" si="47"/>
        <v>-0.47684083432584512</v>
      </c>
      <c r="AE45" s="2"/>
      <c r="AF45" s="4">
        <v>20.5</v>
      </c>
      <c r="AG45" s="4">
        <f t="shared" si="48"/>
        <v>-127.5</v>
      </c>
      <c r="AH45" s="17">
        <f t="shared" si="49"/>
        <v>0</v>
      </c>
      <c r="AI45" s="17">
        <f t="shared" si="50"/>
        <v>0</v>
      </c>
      <c r="AJ45" s="17">
        <f t="shared" si="51"/>
        <v>0</v>
      </c>
      <c r="AK45" s="17">
        <f t="shared" si="52"/>
        <v>0</v>
      </c>
      <c r="AL45" s="17">
        <f t="shared" si="53"/>
        <v>0</v>
      </c>
      <c r="AM45" s="17">
        <f t="shared" si="54"/>
        <v>0</v>
      </c>
      <c r="AN45" s="17">
        <f t="shared" si="55"/>
        <v>0</v>
      </c>
      <c r="AO45" s="17">
        <f t="shared" si="56"/>
        <v>0</v>
      </c>
      <c r="AP45" s="17">
        <f t="shared" si="57"/>
        <v>0</v>
      </c>
      <c r="AQ45" s="17">
        <f t="shared" si="58"/>
        <v>0</v>
      </c>
      <c r="AR45" s="17">
        <f t="shared" si="59"/>
        <v>0</v>
      </c>
      <c r="AS45" s="17">
        <f t="shared" si="60"/>
        <v>0</v>
      </c>
      <c r="AT45" s="2"/>
      <c r="AU45" s="4">
        <v>20</v>
      </c>
      <c r="AV45" s="4">
        <f t="shared" si="61"/>
        <v>-120</v>
      </c>
      <c r="AW45" s="40">
        <f t="shared" si="62"/>
        <v>16187.209603232497</v>
      </c>
      <c r="AX45" s="40">
        <f t="shared" si="63"/>
        <v>16762.36511224983</v>
      </c>
      <c r="AY45" s="40">
        <f t="shared" si="64"/>
        <v>16975.29159057232</v>
      </c>
      <c r="AZ45" s="40">
        <f t="shared" si="65"/>
        <v>16478.061977573045</v>
      </c>
      <c r="BA45" s="40">
        <f t="shared" si="66"/>
        <v>15576.34731192939</v>
      </c>
      <c r="BB45" s="40">
        <f t="shared" si="67"/>
        <v>14969.123219818019</v>
      </c>
      <c r="BC45" s="40">
        <f t="shared" si="68"/>
        <v>15157.254072794163</v>
      </c>
      <c r="BD45" s="40">
        <f t="shared" si="69"/>
        <v>15959.761004589505</v>
      </c>
      <c r="BE45" s="40">
        <f t="shared" si="70"/>
        <v>16672.059352990011</v>
      </c>
      <c r="BF45" s="40">
        <f t="shared" si="71"/>
        <v>-0.32330895606015164</v>
      </c>
      <c r="BG45" s="40">
        <f t="shared" si="72"/>
        <v>16270.685592139529</v>
      </c>
      <c r="BH45" s="40">
        <f t="shared" si="73"/>
        <v>15945.177127958417</v>
      </c>
      <c r="BJ45" s="4">
        <v>20</v>
      </c>
      <c r="BK45" s="4">
        <f t="shared" si="74"/>
        <v>-120</v>
      </c>
      <c r="BL45" s="4">
        <f t="shared" si="76"/>
        <v>0</v>
      </c>
      <c r="BM45" s="4">
        <f t="shared" si="77"/>
        <v>0</v>
      </c>
      <c r="BN45" s="4">
        <f t="shared" si="78"/>
        <v>0</v>
      </c>
      <c r="BO45" s="4">
        <f t="shared" si="79"/>
        <v>0</v>
      </c>
      <c r="BP45" s="4">
        <f t="shared" si="80"/>
        <v>0</v>
      </c>
      <c r="BQ45" s="4">
        <f t="shared" si="81"/>
        <v>0</v>
      </c>
      <c r="BR45" s="4">
        <f t="shared" si="82"/>
        <v>0</v>
      </c>
      <c r="BS45" s="4">
        <f t="shared" si="83"/>
        <v>0</v>
      </c>
      <c r="BT45" s="4">
        <f t="shared" si="84"/>
        <v>0</v>
      </c>
      <c r="BU45" s="4">
        <f t="shared" si="85"/>
        <v>0</v>
      </c>
      <c r="BV45" s="4">
        <f t="shared" si="86"/>
        <v>0</v>
      </c>
      <c r="BW45" s="4">
        <f t="shared" si="87"/>
        <v>0</v>
      </c>
      <c r="BX45" s="4">
        <f t="shared" si="88"/>
        <v>0</v>
      </c>
    </row>
    <row r="46" spans="2:76">
      <c r="B46" s="4">
        <v>21</v>
      </c>
      <c r="C46" s="4">
        <f t="shared" si="22"/>
        <v>-135</v>
      </c>
      <c r="D46" s="14">
        <f t="shared" si="23"/>
        <v>0</v>
      </c>
      <c r="E46" s="14">
        <f t="shared" si="24"/>
        <v>0</v>
      </c>
      <c r="F46" s="14">
        <f t="shared" si="25"/>
        <v>0</v>
      </c>
      <c r="G46" s="14">
        <f t="shared" si="26"/>
        <v>0</v>
      </c>
      <c r="H46" s="14">
        <f t="shared" si="27"/>
        <v>0</v>
      </c>
      <c r="I46" s="14">
        <f t="shared" si="28"/>
        <v>0</v>
      </c>
      <c r="J46" s="14">
        <f t="shared" si="29"/>
        <v>0</v>
      </c>
      <c r="K46" s="14">
        <f t="shared" si="30"/>
        <v>0</v>
      </c>
      <c r="L46" s="14">
        <f t="shared" si="31"/>
        <v>0</v>
      </c>
      <c r="M46" s="14">
        <f t="shared" si="32"/>
        <v>0</v>
      </c>
      <c r="N46" s="14">
        <f t="shared" si="33"/>
        <v>0</v>
      </c>
      <c r="O46" s="14">
        <f t="shared" si="34"/>
        <v>0</v>
      </c>
      <c r="P46" s="2"/>
      <c r="Q46" s="4">
        <v>21</v>
      </c>
      <c r="R46" s="29">
        <f t="shared" si="35"/>
        <v>-2.3561934901923447</v>
      </c>
      <c r="S46" s="48">
        <f t="shared" si="36"/>
        <v>-0.71941038471982266</v>
      </c>
      <c r="T46" s="48">
        <f t="shared" si="37"/>
        <v>-0.75896582102068488</v>
      </c>
      <c r="U46" s="48">
        <f t="shared" si="38"/>
        <v>-0.78418788408472129</v>
      </c>
      <c r="V46" s="48">
        <f t="shared" si="39"/>
        <v>-0.77201599104720409</v>
      </c>
      <c r="W46" s="48">
        <f t="shared" si="40"/>
        <v>-0.73341913072620291</v>
      </c>
      <c r="X46" s="48">
        <f t="shared" si="41"/>
        <v>-0.70675393809499054</v>
      </c>
      <c r="Y46" s="48">
        <f t="shared" si="42"/>
        <v>-0.71792793976828173</v>
      </c>
      <c r="Z46" s="48">
        <f t="shared" si="43"/>
        <v>-0.75699926228542602</v>
      </c>
      <c r="AA46" s="48">
        <f t="shared" si="44"/>
        <v>-0.78464900366766166</v>
      </c>
      <c r="AB46" s="48">
        <f t="shared" si="45"/>
        <v>-0.77149122056465169</v>
      </c>
      <c r="AC46" s="48">
        <f t="shared" si="46"/>
        <v>-0.73149883903236412</v>
      </c>
      <c r="AD46" s="48">
        <f t="shared" si="47"/>
        <v>-0.70638591744775192</v>
      </c>
      <c r="AE46" s="2"/>
      <c r="AF46" s="4">
        <v>21.5</v>
      </c>
      <c r="AG46" s="4">
        <f t="shared" si="48"/>
        <v>-142.5</v>
      </c>
      <c r="AH46" s="17">
        <f t="shared" si="49"/>
        <v>0</v>
      </c>
      <c r="AI46" s="17">
        <f t="shared" si="50"/>
        <v>0</v>
      </c>
      <c r="AJ46" s="17">
        <f t="shared" si="51"/>
        <v>0</v>
      </c>
      <c r="AK46" s="17">
        <f t="shared" si="52"/>
        <v>0</v>
      </c>
      <c r="AL46" s="17">
        <f t="shared" si="53"/>
        <v>0</v>
      </c>
      <c r="AM46" s="17">
        <f t="shared" si="54"/>
        <v>0</v>
      </c>
      <c r="AN46" s="17">
        <f t="shared" si="55"/>
        <v>0</v>
      </c>
      <c r="AO46" s="17">
        <f t="shared" si="56"/>
        <v>0</v>
      </c>
      <c r="AP46" s="17">
        <f t="shared" si="57"/>
        <v>0</v>
      </c>
      <c r="AQ46" s="17">
        <f t="shared" si="58"/>
        <v>0</v>
      </c>
      <c r="AR46" s="17">
        <f t="shared" si="59"/>
        <v>0</v>
      </c>
      <c r="AS46" s="17">
        <f t="shared" si="60"/>
        <v>0</v>
      </c>
      <c r="AT46" s="2"/>
      <c r="AU46" s="4">
        <v>21</v>
      </c>
      <c r="AV46" s="4">
        <f t="shared" si="61"/>
        <v>-135</v>
      </c>
      <c r="AW46" s="40">
        <f t="shared" si="62"/>
        <v>22892.188116128964</v>
      </c>
      <c r="AX46" s="40">
        <f t="shared" si="63"/>
        <v>23705.581432900708</v>
      </c>
      <c r="AY46" s="40">
        <f t="shared" si="64"/>
        <v>24006.705166770807</v>
      </c>
      <c r="AZ46" s="40">
        <f t="shared" si="65"/>
        <v>23303.515789682842</v>
      </c>
      <c r="BA46" s="40">
        <f t="shared" si="66"/>
        <v>22028.297746613531</v>
      </c>
      <c r="BB46" s="40">
        <f t="shared" si="67"/>
        <v>21169.552571504213</v>
      </c>
      <c r="BC46" s="40">
        <f t="shared" si="68"/>
        <v>21435.609970051624</v>
      </c>
      <c r="BD46" s="40">
        <f t="shared" si="69"/>
        <v>22570.526987712768</v>
      </c>
      <c r="BE46" s="40">
        <f t="shared" si="70"/>
        <v>23577.869709903509</v>
      </c>
      <c r="BF46" s="40">
        <f t="shared" si="71"/>
        <v>-0.4572282452115945</v>
      </c>
      <c r="BG46" s="40">
        <f t="shared" si="72"/>
        <v>23010.241078194649</v>
      </c>
      <c r="BH46" s="40">
        <f t="shared" si="73"/>
        <v>22549.902256490743</v>
      </c>
      <c r="BJ46" s="4">
        <v>21</v>
      </c>
      <c r="BK46" s="4">
        <f t="shared" si="74"/>
        <v>-135</v>
      </c>
      <c r="BL46" s="4">
        <f t="shared" si="76"/>
        <v>0</v>
      </c>
      <c r="BM46" s="4">
        <f t="shared" si="77"/>
        <v>0</v>
      </c>
      <c r="BN46" s="4">
        <f t="shared" si="78"/>
        <v>0</v>
      </c>
      <c r="BO46" s="4">
        <f t="shared" si="79"/>
        <v>0</v>
      </c>
      <c r="BP46" s="4">
        <f t="shared" si="80"/>
        <v>0</v>
      </c>
      <c r="BQ46" s="4">
        <f t="shared" si="81"/>
        <v>0</v>
      </c>
      <c r="BR46" s="4">
        <f t="shared" si="82"/>
        <v>0</v>
      </c>
      <c r="BS46" s="4">
        <f t="shared" si="83"/>
        <v>0</v>
      </c>
      <c r="BT46" s="4">
        <f t="shared" si="84"/>
        <v>0</v>
      </c>
      <c r="BU46" s="4">
        <f t="shared" si="85"/>
        <v>0</v>
      </c>
      <c r="BV46" s="4">
        <f t="shared" si="86"/>
        <v>0</v>
      </c>
      <c r="BW46" s="4">
        <f t="shared" si="87"/>
        <v>0</v>
      </c>
      <c r="BX46" s="4">
        <f t="shared" si="88"/>
        <v>0</v>
      </c>
    </row>
    <row r="47" spans="2:76">
      <c r="B47" s="4">
        <v>22</v>
      </c>
      <c r="C47" s="4">
        <f t="shared" si="22"/>
        <v>-150</v>
      </c>
      <c r="D47" s="14">
        <f t="shared" si="23"/>
        <v>0</v>
      </c>
      <c r="E47" s="14">
        <f t="shared" si="24"/>
        <v>0</v>
      </c>
      <c r="F47" s="14">
        <f t="shared" si="25"/>
        <v>0</v>
      </c>
      <c r="G47" s="14">
        <f t="shared" si="26"/>
        <v>0</v>
      </c>
      <c r="H47" s="14">
        <f t="shared" si="27"/>
        <v>0</v>
      </c>
      <c r="I47" s="14">
        <f t="shared" si="28"/>
        <v>0</v>
      </c>
      <c r="J47" s="14">
        <f t="shared" si="29"/>
        <v>0</v>
      </c>
      <c r="K47" s="14">
        <f t="shared" si="30"/>
        <v>0</v>
      </c>
      <c r="L47" s="14">
        <f t="shared" si="31"/>
        <v>0</v>
      </c>
      <c r="M47" s="14">
        <f t="shared" si="32"/>
        <v>0</v>
      </c>
      <c r="N47" s="14">
        <f t="shared" si="33"/>
        <v>0</v>
      </c>
      <c r="O47" s="14">
        <f t="shared" si="34"/>
        <v>0</v>
      </c>
      <c r="P47" s="2"/>
      <c r="Q47" s="4">
        <v>22</v>
      </c>
      <c r="R47" s="29">
        <f t="shared" si="35"/>
        <v>-2.6179928779914943</v>
      </c>
      <c r="S47" s="48">
        <f t="shared" si="36"/>
        <v>-0.93911410925620153</v>
      </c>
      <c r="T47" s="48">
        <f t="shared" si="37"/>
        <v>-1.0025292113405289</v>
      </c>
      <c r="U47" s="48">
        <f t="shared" si="38"/>
        <v>-1.0451045413388296</v>
      </c>
      <c r="V47" s="48">
        <f t="shared" si="39"/>
        <v>-1.0243166538456494</v>
      </c>
      <c r="W47" s="48">
        <f t="shared" si="40"/>
        <v>-0.96116855128657563</v>
      </c>
      <c r="X47" s="48">
        <f t="shared" si="41"/>
        <v>-0.91952086951171741</v>
      </c>
      <c r="Y47" s="48">
        <f t="shared" si="42"/>
        <v>-0.93680348587963702</v>
      </c>
      <c r="Z47" s="48">
        <f t="shared" si="43"/>
        <v>-0.99928729497803537</v>
      </c>
      <c r="AA47" s="48">
        <f t="shared" si="44"/>
        <v>-1.0459016680225641</v>
      </c>
      <c r="AB47" s="48">
        <f t="shared" si="45"/>
        <v>-1.0234309440476548</v>
      </c>
      <c r="AC47" s="48">
        <f t="shared" si="46"/>
        <v>-0.95812104815884291</v>
      </c>
      <c r="AD47" s="48">
        <f t="shared" si="47"/>
        <v>-0.91895555177785637</v>
      </c>
      <c r="AE47" s="2"/>
      <c r="AF47" s="4">
        <v>22.5</v>
      </c>
      <c r="AG47" s="4">
        <f t="shared" si="48"/>
        <v>-157.5</v>
      </c>
      <c r="AH47" s="17">
        <f t="shared" si="49"/>
        <v>0</v>
      </c>
      <c r="AI47" s="17">
        <f t="shared" si="50"/>
        <v>0</v>
      </c>
      <c r="AJ47" s="17">
        <f t="shared" si="51"/>
        <v>0</v>
      </c>
      <c r="AK47" s="17">
        <f t="shared" si="52"/>
        <v>0</v>
      </c>
      <c r="AL47" s="17">
        <f t="shared" si="53"/>
        <v>0</v>
      </c>
      <c r="AM47" s="17">
        <f t="shared" si="54"/>
        <v>0</v>
      </c>
      <c r="AN47" s="17">
        <f t="shared" si="55"/>
        <v>0</v>
      </c>
      <c r="AO47" s="17">
        <f t="shared" si="56"/>
        <v>0</v>
      </c>
      <c r="AP47" s="17">
        <f t="shared" si="57"/>
        <v>0</v>
      </c>
      <c r="AQ47" s="17">
        <f t="shared" si="58"/>
        <v>0</v>
      </c>
      <c r="AR47" s="17">
        <f t="shared" si="59"/>
        <v>0</v>
      </c>
      <c r="AS47" s="17">
        <f t="shared" si="60"/>
        <v>0</v>
      </c>
      <c r="AT47" s="2"/>
      <c r="AU47" s="4">
        <v>22</v>
      </c>
      <c r="AV47" s="4">
        <f t="shared" si="61"/>
        <v>-150</v>
      </c>
      <c r="AW47" s="40">
        <f t="shared" si="62"/>
        <v>28037.101840040825</v>
      </c>
      <c r="AX47" s="40">
        <f t="shared" si="63"/>
        <v>29033.301554224996</v>
      </c>
      <c r="AY47" s="40">
        <f t="shared" si="64"/>
        <v>29402.101458809953</v>
      </c>
      <c r="AZ47" s="40">
        <f t="shared" si="65"/>
        <v>28540.873511606453</v>
      </c>
      <c r="BA47" s="40">
        <f t="shared" si="66"/>
        <v>26979.056093349205</v>
      </c>
      <c r="BB47" s="40">
        <f t="shared" si="67"/>
        <v>25927.311899782137</v>
      </c>
      <c r="BC47" s="40">
        <f t="shared" si="68"/>
        <v>26253.164471870445</v>
      </c>
      <c r="BD47" s="40">
        <f t="shared" si="69"/>
        <v>27643.148856182837</v>
      </c>
      <c r="BE47" s="40">
        <f t="shared" si="70"/>
        <v>28876.887210359073</v>
      </c>
      <c r="BF47" s="40">
        <f t="shared" si="71"/>
        <v>-0.55998818505726866</v>
      </c>
      <c r="BG47" s="40">
        <f t="shared" si="72"/>
        <v>28181.686660992127</v>
      </c>
      <c r="BH47" s="40">
        <f t="shared" si="73"/>
        <v>27617.888811718673</v>
      </c>
      <c r="BJ47" s="4">
        <v>22</v>
      </c>
      <c r="BK47" s="4">
        <f t="shared" si="74"/>
        <v>-150</v>
      </c>
      <c r="BL47" s="4">
        <f t="shared" si="76"/>
        <v>0</v>
      </c>
      <c r="BM47" s="4">
        <f t="shared" si="77"/>
        <v>0</v>
      </c>
      <c r="BN47" s="4">
        <f t="shared" si="78"/>
        <v>0</v>
      </c>
      <c r="BO47" s="4">
        <f t="shared" si="79"/>
        <v>0</v>
      </c>
      <c r="BP47" s="4">
        <f t="shared" si="80"/>
        <v>0</v>
      </c>
      <c r="BQ47" s="4">
        <f t="shared" si="81"/>
        <v>0</v>
      </c>
      <c r="BR47" s="4">
        <f t="shared" si="82"/>
        <v>0</v>
      </c>
      <c r="BS47" s="4">
        <f t="shared" si="83"/>
        <v>0</v>
      </c>
      <c r="BT47" s="4">
        <f t="shared" si="84"/>
        <v>0</v>
      </c>
      <c r="BU47" s="4">
        <f t="shared" si="85"/>
        <v>0</v>
      </c>
      <c r="BV47" s="4">
        <f t="shared" si="86"/>
        <v>0</v>
      </c>
      <c r="BW47" s="4">
        <f t="shared" si="87"/>
        <v>0</v>
      </c>
      <c r="BX47" s="4">
        <f t="shared" si="88"/>
        <v>0</v>
      </c>
    </row>
    <row r="48" spans="2:76">
      <c r="B48" s="4">
        <v>23</v>
      </c>
      <c r="C48" s="4">
        <f t="shared" si="22"/>
        <v>-165</v>
      </c>
      <c r="D48" s="14">
        <f t="shared" si="23"/>
        <v>0</v>
      </c>
      <c r="E48" s="14">
        <f t="shared" si="24"/>
        <v>0</v>
      </c>
      <c r="F48" s="14">
        <f t="shared" si="25"/>
        <v>0</v>
      </c>
      <c r="G48" s="14">
        <f t="shared" si="26"/>
        <v>0</v>
      </c>
      <c r="H48" s="14">
        <f t="shared" si="27"/>
        <v>0</v>
      </c>
      <c r="I48" s="14">
        <f t="shared" si="28"/>
        <v>0</v>
      </c>
      <c r="J48" s="14">
        <f t="shared" si="29"/>
        <v>0</v>
      </c>
      <c r="K48" s="14">
        <f t="shared" si="30"/>
        <v>0</v>
      </c>
      <c r="L48" s="14">
        <f t="shared" si="31"/>
        <v>0</v>
      </c>
      <c r="M48" s="14">
        <f t="shared" si="32"/>
        <v>0</v>
      </c>
      <c r="N48" s="14">
        <f t="shared" si="33"/>
        <v>0</v>
      </c>
      <c r="O48" s="14">
        <f t="shared" si="34"/>
        <v>0</v>
      </c>
      <c r="P48" s="2"/>
      <c r="Q48" s="4">
        <v>23</v>
      </c>
      <c r="R48" s="29">
        <f t="shared" si="35"/>
        <v>-2.8797922657906434</v>
      </c>
      <c r="S48" s="48">
        <f t="shared" si="36"/>
        <v>-1.1200705761203849</v>
      </c>
      <c r="T48" s="48">
        <f t="shared" si="37"/>
        <v>-1.2228073660772945</v>
      </c>
      <c r="U48" s="48">
        <f t="shared" si="38"/>
        <v>-1.3045175384597305</v>
      </c>
      <c r="V48" s="48">
        <f t="shared" si="39"/>
        <v>-1.2627054708215375</v>
      </c>
      <c r="W48" s="48">
        <f t="shared" si="40"/>
        <v>-1.1541137473258216</v>
      </c>
      <c r="X48" s="48">
        <f t="shared" si="41"/>
        <v>-1.09092584438534</v>
      </c>
      <c r="Y48" s="48">
        <f t="shared" si="42"/>
        <v>-1.1165841368554674</v>
      </c>
      <c r="Z48" s="48">
        <f t="shared" si="43"/>
        <v>-1.2171307480250761</v>
      </c>
      <c r="AA48" s="48">
        <f t="shared" si="44"/>
        <v>-1.3062171355622025</v>
      </c>
      <c r="AB48" s="48">
        <f t="shared" si="45"/>
        <v>-1.2610157248755833</v>
      </c>
      <c r="AC48" s="48">
        <f t="shared" si="46"/>
        <v>-1.1493206300831158</v>
      </c>
      <c r="AD48" s="48">
        <f t="shared" si="47"/>
        <v>-1.0900982598821369</v>
      </c>
      <c r="AE48" s="2"/>
      <c r="AF48" s="4">
        <v>23.5</v>
      </c>
      <c r="AG48" s="4">
        <f t="shared" si="48"/>
        <v>-172.5</v>
      </c>
      <c r="AH48" s="17">
        <f t="shared" si="49"/>
        <v>0</v>
      </c>
      <c r="AI48" s="17">
        <f t="shared" si="50"/>
        <v>0</v>
      </c>
      <c r="AJ48" s="17">
        <f t="shared" si="51"/>
        <v>0</v>
      </c>
      <c r="AK48" s="17">
        <f t="shared" si="52"/>
        <v>0</v>
      </c>
      <c r="AL48" s="17">
        <f t="shared" si="53"/>
        <v>0</v>
      </c>
      <c r="AM48" s="17">
        <f t="shared" si="54"/>
        <v>0</v>
      </c>
      <c r="AN48" s="17">
        <f t="shared" si="55"/>
        <v>0</v>
      </c>
      <c r="AO48" s="17">
        <f t="shared" si="56"/>
        <v>0</v>
      </c>
      <c r="AP48" s="17">
        <f t="shared" si="57"/>
        <v>0</v>
      </c>
      <c r="AQ48" s="17">
        <f t="shared" si="58"/>
        <v>0</v>
      </c>
      <c r="AR48" s="17">
        <f t="shared" si="59"/>
        <v>0</v>
      </c>
      <c r="AS48" s="17">
        <f t="shared" si="60"/>
        <v>0</v>
      </c>
      <c r="AT48" s="2"/>
      <c r="AU48" s="4">
        <v>23</v>
      </c>
      <c r="AV48" s="4">
        <f t="shared" si="61"/>
        <v>-165</v>
      </c>
      <c r="AW48" s="40">
        <f t="shared" si="62"/>
        <v>31271.333407055412</v>
      </c>
      <c r="AX48" s="40">
        <f t="shared" si="63"/>
        <v>32382.450154428228</v>
      </c>
      <c r="AY48" s="40">
        <f t="shared" si="64"/>
        <v>32793.793125701239</v>
      </c>
      <c r="AZ48" s="40">
        <f t="shared" si="65"/>
        <v>31833.217869737644</v>
      </c>
      <c r="BA48" s="40">
        <f t="shared" si="66"/>
        <v>30091.236352321372</v>
      </c>
      <c r="BB48" s="40">
        <f t="shared" si="67"/>
        <v>28918.16776899869</v>
      </c>
      <c r="BC48" s="40">
        <f t="shared" si="68"/>
        <v>29281.609200336919</v>
      </c>
      <c r="BD48" s="40">
        <f t="shared" si="69"/>
        <v>30831.93581256747</v>
      </c>
      <c r="BE48" s="40">
        <f t="shared" si="70"/>
        <v>32207.992568741123</v>
      </c>
      <c r="BF48" s="40">
        <f t="shared" si="71"/>
        <v>-0.62458585551552126</v>
      </c>
      <c r="BG48" s="40">
        <f t="shared" si="72"/>
        <v>31432.596870282214</v>
      </c>
      <c r="BH48" s="40">
        <f t="shared" si="73"/>
        <v>30803.7618851472</v>
      </c>
      <c r="BJ48" s="4">
        <v>23</v>
      </c>
      <c r="BK48" s="4">
        <f t="shared" si="74"/>
        <v>-165</v>
      </c>
      <c r="BL48" s="4">
        <f t="shared" si="76"/>
        <v>0</v>
      </c>
      <c r="BM48" s="4">
        <f t="shared" si="77"/>
        <v>0</v>
      </c>
      <c r="BN48" s="4">
        <f t="shared" si="78"/>
        <v>0</v>
      </c>
      <c r="BO48" s="4">
        <f t="shared" si="79"/>
        <v>0</v>
      </c>
      <c r="BP48" s="4">
        <f t="shared" si="80"/>
        <v>0</v>
      </c>
      <c r="BQ48" s="4">
        <f t="shared" si="81"/>
        <v>0</v>
      </c>
      <c r="BR48" s="4">
        <f t="shared" si="82"/>
        <v>0</v>
      </c>
      <c r="BS48" s="4">
        <f t="shared" si="83"/>
        <v>0</v>
      </c>
      <c r="BT48" s="4">
        <f t="shared" si="84"/>
        <v>0</v>
      </c>
      <c r="BU48" s="4">
        <f t="shared" si="85"/>
        <v>0</v>
      </c>
      <c r="BV48" s="4">
        <f t="shared" si="86"/>
        <v>0</v>
      </c>
      <c r="BW48" s="4">
        <f t="shared" si="87"/>
        <v>0</v>
      </c>
      <c r="BX48" s="4">
        <f t="shared" si="88"/>
        <v>0</v>
      </c>
    </row>
    <row r="49" spans="2:76">
      <c r="B49" s="2"/>
      <c r="C49" s="2"/>
      <c r="D49" s="14"/>
      <c r="E49" s="14"/>
      <c r="F49" s="14"/>
      <c r="G49" s="14"/>
      <c r="H49" s="14"/>
      <c r="I49" s="14"/>
      <c r="J49" s="14"/>
      <c r="K49" s="14"/>
      <c r="L49" s="14"/>
      <c r="M49" s="14"/>
      <c r="N49" s="14"/>
      <c r="O49" s="14"/>
      <c r="P49" s="2"/>
      <c r="Q49" s="2"/>
      <c r="R49" s="2"/>
      <c r="S49" s="2"/>
      <c r="T49" s="2"/>
      <c r="U49" s="2"/>
      <c r="V49" s="2"/>
      <c r="W49" s="2"/>
      <c r="X49" s="2"/>
      <c r="Y49" s="2"/>
      <c r="Z49" s="2"/>
      <c r="AA49" s="2"/>
      <c r="AB49" s="2"/>
      <c r="AC49" s="2"/>
      <c r="AD49" s="2"/>
      <c r="AE49" s="2"/>
      <c r="AF49" s="2"/>
      <c r="AG49" s="2"/>
      <c r="AH49" s="19"/>
      <c r="AI49" s="19"/>
      <c r="AJ49" s="19"/>
      <c r="AK49" s="19"/>
      <c r="AL49" s="19"/>
      <c r="AM49" s="19"/>
      <c r="AN49" s="19"/>
      <c r="AO49" s="19"/>
      <c r="AP49" s="19"/>
      <c r="AQ49" s="19"/>
      <c r="AR49" s="19"/>
      <c r="AS49" s="19"/>
      <c r="AT49" s="2"/>
      <c r="AU49" s="2"/>
      <c r="AV49" s="2"/>
      <c r="AW49" s="2"/>
      <c r="AX49" s="2"/>
      <c r="AY49" s="2"/>
      <c r="AZ49" s="2"/>
      <c r="BA49" s="2"/>
      <c r="BB49" s="2"/>
      <c r="BC49" s="2"/>
      <c r="BD49" s="2"/>
      <c r="BE49" s="2"/>
      <c r="BF49" s="2"/>
      <c r="BG49" s="2"/>
      <c r="BH49" s="2"/>
      <c r="BJ49" s="1244" t="s">
        <v>1299</v>
      </c>
      <c r="BK49" s="1244"/>
      <c r="BL49" s="4">
        <f>(SUM(BL25:BL48))*ENERGÍA!AJ76</f>
        <v>341</v>
      </c>
      <c r="BM49" s="4">
        <f>(SUM(BM25:BM48))*ENERGÍA!AK76</f>
        <v>308</v>
      </c>
      <c r="BN49" s="4">
        <f>(SUM(BN25:BN48))*ENERGÍA!AL76</f>
        <v>341</v>
      </c>
      <c r="BO49" s="4">
        <f>(SUM(BO25:BO48))*ENERGÍA!AM76</f>
        <v>330</v>
      </c>
      <c r="BP49" s="4">
        <f>(SUM(BP25:BP48))*ENERGÍA!AN76</f>
        <v>341</v>
      </c>
      <c r="BQ49" s="4">
        <f>(SUM(BQ25:BQ48))*ENERGÍA!AO76</f>
        <v>330</v>
      </c>
      <c r="BR49" s="4">
        <f>(SUM(BR25:BR48))*ENERGÍA!AP76</f>
        <v>341</v>
      </c>
      <c r="BS49" s="4">
        <f>(SUM(BS25:BS48))*ENERGÍA!AQ76</f>
        <v>341</v>
      </c>
      <c r="BT49" s="4">
        <f>(SUM(BT25:BT48))*ENERGÍA!AR76</f>
        <v>330</v>
      </c>
      <c r="BU49" s="4">
        <f>(SUM(BU25:BU48))*ENERGÍA!AS76</f>
        <v>341</v>
      </c>
      <c r="BV49" s="4">
        <f>(SUM(BV25:BV48))*ENERGÍA!AT76</f>
        <v>330</v>
      </c>
      <c r="BW49" s="4">
        <f>(SUM(BW25:BW48))*ENERGÍA!AU76</f>
        <v>341</v>
      </c>
      <c r="BX49" s="4">
        <f t="shared" si="88"/>
        <v>4015</v>
      </c>
    </row>
    <row r="50" spans="2:76">
      <c r="B50" s="5"/>
      <c r="C50" s="6"/>
      <c r="D50" s="49"/>
      <c r="E50" s="50"/>
      <c r="F50" s="50"/>
      <c r="G50" s="50"/>
      <c r="H50" s="50"/>
      <c r="I50" s="50"/>
      <c r="J50" s="50"/>
      <c r="K50" s="50"/>
      <c r="L50" s="50"/>
      <c r="M50" s="50"/>
      <c r="N50" s="50"/>
      <c r="O50" s="51"/>
      <c r="P50" s="2"/>
      <c r="Q50" s="5"/>
      <c r="R50" s="6"/>
      <c r="S50" s="2"/>
      <c r="T50" s="2"/>
      <c r="U50" s="2"/>
      <c r="V50" s="2"/>
      <c r="W50" s="2"/>
      <c r="X50" s="2"/>
      <c r="Y50" s="2"/>
      <c r="Z50" s="2"/>
      <c r="AA50" s="2"/>
      <c r="AB50" s="2"/>
      <c r="AC50" s="2"/>
      <c r="AD50" s="2"/>
      <c r="AE50" s="2"/>
      <c r="AF50" s="5"/>
      <c r="AG50" s="6"/>
      <c r="AH50" s="52"/>
      <c r="AI50" s="53"/>
      <c r="AJ50" s="53"/>
      <c r="AK50" s="53"/>
      <c r="AL50" s="53"/>
      <c r="AM50" s="53"/>
      <c r="AN50" s="53"/>
      <c r="AO50" s="53"/>
      <c r="AP50" s="53"/>
      <c r="AQ50" s="54"/>
      <c r="AR50" s="19"/>
      <c r="AS50" s="19"/>
      <c r="AT50" s="2"/>
      <c r="AU50" s="5"/>
      <c r="AV50" s="6"/>
      <c r="AW50" s="2"/>
      <c r="AX50" s="2"/>
      <c r="AY50" s="2"/>
      <c r="AZ50" s="2"/>
      <c r="BA50" s="2"/>
      <c r="BB50" s="2"/>
      <c r="BC50" s="2"/>
      <c r="BD50" s="2"/>
      <c r="BE50" s="2"/>
      <c r="BF50" s="2"/>
      <c r="BG50" s="2"/>
      <c r="BH50" s="2"/>
    </row>
    <row r="51" spans="2:76">
      <c r="B51" s="1233" t="s">
        <v>924</v>
      </c>
      <c r="C51" s="1234"/>
      <c r="D51" s="1227" t="s">
        <v>930</v>
      </c>
      <c r="E51" s="1249"/>
      <c r="F51" s="1249"/>
      <c r="G51" s="1249"/>
      <c r="H51" s="1249"/>
      <c r="I51" s="1249"/>
      <c r="J51" s="1249"/>
      <c r="K51" s="1249"/>
      <c r="L51" s="1249"/>
      <c r="M51" s="1249"/>
      <c r="N51" s="1249"/>
      <c r="O51" s="1228"/>
      <c r="P51" s="2"/>
      <c r="Q51" s="1233" t="s">
        <v>926</v>
      </c>
      <c r="R51" s="1234"/>
      <c r="S51" s="1232" t="s">
        <v>931</v>
      </c>
      <c r="T51" s="1232"/>
      <c r="U51" s="1232"/>
      <c r="V51" s="1232"/>
      <c r="W51" s="1232"/>
      <c r="X51" s="1232"/>
      <c r="Y51" s="1232"/>
      <c r="Z51" s="1232"/>
      <c r="AA51" s="1232"/>
      <c r="AB51" s="1232"/>
      <c r="AC51" s="1232"/>
      <c r="AD51" s="1232"/>
      <c r="AE51" s="2"/>
      <c r="AF51" s="1233" t="s">
        <v>924</v>
      </c>
      <c r="AG51" s="1234"/>
      <c r="AH51" s="1222" t="s">
        <v>932</v>
      </c>
      <c r="AI51" s="1223"/>
      <c r="AJ51" s="1223"/>
      <c r="AK51" s="1223"/>
      <c r="AL51" s="1223"/>
      <c r="AM51" s="1223"/>
      <c r="AN51" s="1223"/>
      <c r="AO51" s="1223"/>
      <c r="AP51" s="1223"/>
      <c r="AQ51" s="1224"/>
      <c r="AR51" s="48" t="s">
        <v>929</v>
      </c>
      <c r="AS51" s="48" t="str">
        <f>D11</f>
        <v>Claro</v>
      </c>
      <c r="AT51" s="2"/>
      <c r="AU51" s="1227" t="s">
        <v>926</v>
      </c>
      <c r="AV51" s="1228"/>
      <c r="AW51" s="1229" t="s">
        <v>1087</v>
      </c>
      <c r="AX51" s="1229"/>
      <c r="AY51" s="1229"/>
      <c r="AZ51" s="1229"/>
      <c r="BA51" s="1229"/>
      <c r="BB51" s="1229"/>
      <c r="BC51" s="1229"/>
      <c r="BD51" s="1229"/>
      <c r="BE51" s="1229"/>
      <c r="BF51" s="1229"/>
      <c r="BG51" s="1229"/>
      <c r="BH51" s="1229"/>
      <c r="BJ51" s="1233" t="s">
        <v>924</v>
      </c>
      <c r="BK51" s="1234"/>
      <c r="BL51" s="1229" t="s">
        <v>933</v>
      </c>
      <c r="BM51" s="1229"/>
      <c r="BN51" s="1229"/>
      <c r="BO51" s="1229"/>
      <c r="BP51" s="1229"/>
      <c r="BQ51" s="1229"/>
      <c r="BR51" s="1229"/>
      <c r="BS51" s="1229"/>
      <c r="BT51" s="1229"/>
      <c r="BU51" s="1229"/>
      <c r="BV51" s="1229"/>
      <c r="BW51" s="1229"/>
    </row>
    <row r="52" spans="2:76">
      <c r="B52" s="4">
        <v>0</v>
      </c>
      <c r="C52" s="4">
        <f t="shared" ref="C52:C75" si="89">180-15*B52</f>
        <v>180</v>
      </c>
      <c r="D52" s="14">
        <f t="shared" ref="D52:D75" si="90">IF(D25=0,0,S52*$BX$9)</f>
        <v>0</v>
      </c>
      <c r="E52" s="14">
        <f t="shared" ref="E52:E75" si="91">IF(E25=0,0,T52*$BX$9)</f>
        <v>0</v>
      </c>
      <c r="F52" s="14">
        <f t="shared" ref="F52:F75" si="92">IF(F25=0,0,U52*$BX$9)</f>
        <v>0</v>
      </c>
      <c r="G52" s="14">
        <f t="shared" ref="G52:G75" si="93">IF(G25=0,0,V52*$BX$9)</f>
        <v>0</v>
      </c>
      <c r="H52" s="14">
        <f t="shared" ref="H52:H75" si="94">IF(H25=0,0,W52*$BX$9)</f>
        <v>0</v>
      </c>
      <c r="I52" s="14">
        <f t="shared" ref="I52:I75" si="95">IF(I25=0,0,X52*$BX$9)</f>
        <v>0</v>
      </c>
      <c r="J52" s="14">
        <f t="shared" ref="J52:J75" si="96">IF(J25=0,0,Y52*$BX$9)</f>
        <v>0</v>
      </c>
      <c r="K52" s="14">
        <f t="shared" ref="K52:K75" si="97">IF(K25=0,0,Z52*$BX$9)</f>
        <v>0</v>
      </c>
      <c r="L52" s="14">
        <f t="shared" ref="L52:L75" si="98">IF(L25=0,0,AA52*$BX$9)</f>
        <v>0</v>
      </c>
      <c r="M52" s="14">
        <f t="shared" ref="M52:M75" si="99">IF(M25=0,0,AB52*$BX$9)</f>
        <v>0</v>
      </c>
      <c r="N52" s="14">
        <f t="shared" ref="N52:N75" si="100">IF(N25=0,0,AC52*$BX$9)</f>
        <v>0</v>
      </c>
      <c r="O52" s="14">
        <f t="shared" ref="O52:O75" si="101">IF(O25=0,0,AD52*$BX$9)</f>
        <v>0</v>
      </c>
      <c r="P52" s="2"/>
      <c r="Q52" s="4">
        <v>0</v>
      </c>
      <c r="R52" s="29">
        <f t="shared" ref="R52:R75" si="102">C52*$BX$8+0.000001</f>
        <v>3.1415936535897933</v>
      </c>
      <c r="S52" s="40">
        <f t="shared" ref="S52:S75" si="103">PI()-ACOS((SIN(S25)*SIN($BM$8)-SIN(AH$5))/(COS(S25)*COS($BM$8)))</f>
        <v>3.1415900843599447</v>
      </c>
      <c r="T52" s="40">
        <f t="shared" ref="T52:T75" si="104">PI()-ACOS((SIN(T25)*SIN($BM$8)-SIN(AI$5))/(COS(T25)*COS($BM$8)))</f>
        <v>3.1415884202435915</v>
      </c>
      <c r="U52" s="40">
        <f t="shared" ref="U52:U75" si="105">PI()-ACOS((SIN(U25)*SIN($BM$8)-SIN(AJ$5))/(COS(U25)*COS($BM$8)))</f>
        <v>3.1415723419296224</v>
      </c>
      <c r="V52" s="40">
        <f t="shared" ref="V52:V75" si="106">PI()-ACOS((SIN(V25)*SIN($BM$8)-SIN(AK$5))/(COS(V25)*COS($BM$8)))</f>
        <v>6.031602785228074E-6</v>
      </c>
      <c r="W52" s="40">
        <f t="shared" ref="W52:W75" si="107">PI()-ACOS((SIN(W25)*SIN($BM$8)-SIN(AL$5))/(COS(W25)*COS($BM$8)))</f>
        <v>2.9392705709341271E-6</v>
      </c>
      <c r="X52" s="40">
        <f t="shared" ref="X52:X75" si="108">PI()-ACOS((SIN(X25)*SIN($BM$8)-SIN(AM$5))/(COS(X25)*COS($BM$8)))</f>
        <v>2.3200873502382535E-6</v>
      </c>
      <c r="Y52" s="40">
        <f t="shared" ref="Y52:Y75" si="109">PI()-ACOS((SIN(Y25)*SIN($BM$8)-SIN(AN$5))/(COS(Y25)*COS($BM$8)))</f>
        <v>2.5367011353694124E-6</v>
      </c>
      <c r="Z52" s="40">
        <f t="shared" ref="Z52:Z75" si="110">PI()-ACOS((SIN(Z25)*SIN($BM$8)-SIN(AO$5))/(COS(Z25)*COS($BM$8)))</f>
        <v>4.0768226314824574E-6</v>
      </c>
      <c r="AA52" s="40">
        <f t="shared" ref="AA52:AA75" si="111">PI()-ACOS((SIN(AA25)*SIN($BM$8)-SIN(AP$5))/(COS(AA25)*COS($BM$8)))</f>
        <v>2.5833044310807907E-5</v>
      </c>
      <c r="AB52" s="40">
        <f t="shared" ref="AB52:AB75" si="112">PI()-ACOS((SIN(AB25)*SIN($BM$8)-SIN(AQ$5))/(COS(AB25)*COS($BM$8)))</f>
        <v>3.1415867402690392</v>
      </c>
      <c r="AC52" s="40">
        <f t="shared" ref="AC52:AC75" si="113">PI()-ACOS((SIN(AC25)*SIN($BM$8)-SIN(AR$5))/(COS(AC25)*COS($BM$8)))</f>
        <v>3.1415897732296392</v>
      </c>
      <c r="AD52" s="40">
        <f t="shared" ref="AD52:AD75" si="114">PI()-ACOS((SIN(AD25)*SIN($BM$8)-SIN(AS$5))/(COS(AD25)*COS($BM$8)))</f>
        <v>3.1415903398755973</v>
      </c>
      <c r="AE52" s="2"/>
      <c r="AF52" s="4">
        <v>0.5</v>
      </c>
      <c r="AG52" s="4">
        <f t="shared" ref="AG52:AG75" si="115">180-15*AF52</f>
        <v>172.5</v>
      </c>
      <c r="AH52" s="17">
        <f t="shared" ref="AH52:AH75" si="116">IF(D25=0,0,IF(AW52*$D$10*(1-COS($BR$9))/2&lt;0,0,(AW52*$D$10*(1-COS($BR$9))/2)/0.0036))</f>
        <v>0</v>
      </c>
      <c r="AI52" s="17">
        <f t="shared" ref="AI52:AI75" si="117">IF(E25=0,0,IF(AX52*$D$10*(1-COS($BR$9))/2&lt;0,0,(AX52*$D$10*(1-COS($BR$9))/2)/0.0036))</f>
        <v>0</v>
      </c>
      <c r="AJ52" s="17">
        <f t="shared" ref="AJ52:AJ75" si="118">IF(F25=0,0,IF(AY52*$D$10*(1-COS($BR$9))/2&lt;0,0,(AY52*$D$10*(1-COS($BR$9))/2)/0.0036))</f>
        <v>0</v>
      </c>
      <c r="AK52" s="17">
        <f t="shared" ref="AK52:AK75" si="119">IF(G25=0,0,IF(AZ52*$D$10*(1-COS($BR$9))/2&lt;0,0,(AZ52*$D$10*(1-COS($BR$9))/2)/0.0036))</f>
        <v>0</v>
      </c>
      <c r="AL52" s="17">
        <f t="shared" ref="AL52:AL75" si="120">IF(H25=0,0,IF(BA52*$D$10*(1-COS($BR$9))/2&lt;0,0,(BA52*$D$10*(1-COS($BR$9))/2)/0.0036))</f>
        <v>0</v>
      </c>
      <c r="AM52" s="17">
        <f t="shared" ref="AM52:AM75" si="121">IF(I25=0,0,IF(BB52*$D$10*(1-COS($BR$9))/2&lt;0,0,(BB52*$D$10*(1-COS($BR$9))/2)/0.0036))</f>
        <v>0</v>
      </c>
      <c r="AN52" s="17">
        <f t="shared" ref="AN52:AN75" si="122">IF(J25=0,0,IF(BC52*$D$10*(1-COS($BR$9))/2&lt;0,0,(BC52*$D$10*(1-COS($BR$9))/2)/0.0036))</f>
        <v>0</v>
      </c>
      <c r="AO52" s="17">
        <f t="shared" ref="AO52:AO75" si="123">IF(K25=0,0,IF(BD52*$D$10*(1-COS($BR$9))/2&lt;0,0,(BD52*$D$10*(1-COS($BR$9))/2)/0.0036))</f>
        <v>0</v>
      </c>
      <c r="AP52" s="17">
        <f t="shared" ref="AP52:AP75" si="124">IF(L25=0,0,IF(BE52*$D$10*(1-COS($BR$9))/2&lt;0,0,(BE52*$D$10*(1-COS($BR$9))/2)/0.0036))</f>
        <v>0</v>
      </c>
      <c r="AQ52" s="17">
        <f t="shared" ref="AQ52:AQ75" si="125">IF(M25=0,0,IF(BF52*$D$10*(1-COS($BR$9))/2&lt;0,0,(BF52*$D$10*(1-COS($BR$9))/2)/0.0036))</f>
        <v>0</v>
      </c>
      <c r="AR52" s="17">
        <f t="shared" ref="AR52:AR75" si="126">IF(N25=0,0,IF(BG52*$D$10*(1-COS($BR$9))/2&lt;0,0,(BG52*$D$10*(1-COS($BR$9))/2)/0.0036))</f>
        <v>0</v>
      </c>
      <c r="AS52" s="17">
        <f t="shared" ref="AS52:AS75" si="127">IF(O25=0,0,IF(BH52*$D$10*(1-COS($BR$9))/2&lt;0,0,(BH52*$D$10*(1-COS($BR$9))/2)/0.0036))</f>
        <v>0</v>
      </c>
      <c r="AT52" s="2"/>
      <c r="AU52" s="4">
        <v>0</v>
      </c>
      <c r="AV52" s="4">
        <f t="shared" ref="AV52:AV75" si="128">180-15*AU52</f>
        <v>180</v>
      </c>
      <c r="AW52" s="48">
        <f t="shared" ref="AW52:AW75" si="129" xml:space="preserve"> (((PI()/24)*(BL$82+BL$83*COS($C81))*(COS($C81)-COS(AH$8)))/(SIN(AH$8)-(AH$8)*COS(AH$8)))*AW$12</f>
        <v>3.2596768016006656</v>
      </c>
      <c r="AX52" s="48">
        <f t="shared" ref="AX52:AX75" si="130" xml:space="preserve"> (((PI()/24)*(BM$82+BM$83*COS($C81))*(COS($C81)-COS(AI$8)))/(SIN(AI$8)-(AI$8)*COS(AI$8)))*AX$12</f>
        <v>3.3754979416248383</v>
      </c>
      <c r="AY52" s="48">
        <f t="shared" ref="AY52:AY75" si="131" xml:space="preserve"> (((PI()/24)*(BN$82+BN$83*COS($C81))*(COS($C81)-COS(AJ$8)))/(SIN(AJ$8)-(AJ$8)*COS(AJ$8)))*AY$12</f>
        <v>3.4183757148079166</v>
      </c>
      <c r="AZ52" s="48">
        <f t="shared" ref="AZ52:AZ75" si="132" xml:space="preserve"> (((PI()/24)*(BO$82+BO$83*COS($C81))*(COS($C81)-COS(AK$8)))/(SIN(AK$8)-(AK$8)*COS(AK$8)))*AZ$12</f>
        <v>3.3182467936231963</v>
      </c>
      <c r="BA52" s="48">
        <f t="shared" ref="BA52:BA75" si="133" xml:space="preserve"> (((PI()/24)*(BP$82+BP$83*COS($C81))*(COS($C81)-COS(AL$8)))/(SIN(AL$8)-(AL$8)*COS(AL$8)))*BA$12</f>
        <v>3.136665257996774</v>
      </c>
      <c r="BB52" s="48">
        <f t="shared" ref="BB52:BB75" si="134" xml:space="preserve"> (((PI()/24)*(BQ$82+BQ$83*COS($C81))*(COS($C81)-COS(AM$8)))/(SIN(AM$8)-(AM$8)*COS(AM$8)))*BB$12</f>
        <v>3.0143863516908227</v>
      </c>
      <c r="BC52" s="48">
        <f t="shared" ref="BC52:BC75" si="135" xml:space="preserve"> (((PI()/24)*(BR$82+BR$83*COS($C81))*(COS($C81)-COS(AN$8)))/(SIN(AN$8)-(AN$8)*COS(AN$8)))*BC$12</f>
        <v>3.0522709403347617</v>
      </c>
      <c r="BD52" s="48">
        <f t="shared" ref="BD52:BD75" si="136" xml:space="preserve"> (((PI()/24)*(BS$82+BS$83*COS($C81))*(COS($C81)-COS(AO$8)))/(SIN(AO$8)-(AO$8)*COS(AO$8)))*BD$12</f>
        <v>3.2138746566525285</v>
      </c>
      <c r="BE52" s="48">
        <f t="shared" ref="BE52:BE75" si="137" xml:space="preserve"> (((PI()/24)*(BT$82+BT$83*COS($C81))*(COS($C81)-COS(AP$8)))/(SIN(AP$8)-(AP$8)*COS(AP$8)))*BE$12</f>
        <v>3.3573127450575817</v>
      </c>
      <c r="BF52" s="48">
        <f t="shared" ref="BF52:BF75" si="138" xml:space="preserve"> (((PI()/24)*(BU$82+BU$83*COS($C81))*(COS($C81)-COS(AQ$8)))/(SIN(AQ$8)-(AQ$8)*COS(AQ$8)))*BF$12</f>
        <v>-0.80329645222108637</v>
      </c>
      <c r="BG52" s="48">
        <f t="shared" ref="BG52:BG75" si="139" xml:space="preserve"> (((PI()/24)*(BV$82+BV$83*COS($C81))*(COS($C81)-COS(AR$8)))/(SIN(AR$8)-(AR$8)*COS(AR$8)))*BG$12</f>
        <v>3.2764866626700244</v>
      </c>
      <c r="BH52" s="48">
        <f t="shared" ref="BH52:BH75" si="140" xml:space="preserve"> (((PI()/24)*(BW$82+BW$83*COS($C81))*(COS($C81)-COS(AS$8)))/(SIN(AS$8)-(AS$8)*COS(AS$8)))*BH$12</f>
        <v>3.2109378487963878</v>
      </c>
      <c r="BJ52" s="4">
        <v>0</v>
      </c>
      <c r="BK52" s="4">
        <f t="shared" ref="BK52:BK75" si="141">180-15*BJ52</f>
        <v>180</v>
      </c>
      <c r="BL52" s="14" t="str">
        <f t="shared" ref="BL52:BL75" si="142">IF(D25=0,"Noche",IF(D81&lt;0,0,ACOS(D81)*($BX$9)))</f>
        <v>Noche</v>
      </c>
      <c r="BM52" s="14" t="str">
        <f t="shared" ref="BM52:BM75" si="143">IF(E25=0,"Noche",IF(E81&lt;0,0,ACOS(E81)*($BX$9)))</f>
        <v>Noche</v>
      </c>
      <c r="BN52" s="14" t="str">
        <f t="shared" ref="BN52:BN75" si="144">IF(F25=0,"Noche",IF(F81&lt;0,0,ACOS(F81)*($BX$9)))</f>
        <v>Noche</v>
      </c>
      <c r="BO52" s="14" t="str">
        <f t="shared" ref="BO52:BO75" si="145">IF(G25=0,"Noche",IF(G81&lt;0,0,ACOS(G81)*($BX$9)))</f>
        <v>Noche</v>
      </c>
      <c r="BP52" s="14" t="str">
        <f t="shared" ref="BP52:BP75" si="146">IF(H25=0,"Noche",IF(H81&lt;0,0,ACOS(H81)*($BX$9)))</f>
        <v>Noche</v>
      </c>
      <c r="BQ52" s="14" t="str">
        <f t="shared" ref="BQ52:BQ75" si="147">IF(I25=0,"Noche",IF(I81&lt;0,0,ACOS(I81)*($BX$9)))</f>
        <v>Noche</v>
      </c>
      <c r="BR52" s="14" t="str">
        <f t="shared" ref="BR52:BR75" si="148">IF(J25=0,"Noche",IF(J81&lt;0,0,ACOS(J81)*($BX$9)))</f>
        <v>Noche</v>
      </c>
      <c r="BS52" s="14" t="str">
        <f t="shared" ref="BS52:BS75" si="149">IF(K25=0,"Noche",IF(K81&lt;0,0,ACOS(K81)*($BX$9)))</f>
        <v>Noche</v>
      </c>
      <c r="BT52" s="14" t="str">
        <f t="shared" ref="BT52:BT75" si="150">IF(L25=0,"Noche",IF(L81&lt;0,0,ACOS(L81)*($BX$9)))</f>
        <v>Noche</v>
      </c>
      <c r="BU52" s="14" t="str">
        <f t="shared" ref="BU52:BU75" si="151">IF(M25=0,"Noche",IF(M81&lt;0,0,ACOS(M81)*($BX$9)))</f>
        <v>Noche</v>
      </c>
      <c r="BV52" s="14" t="str">
        <f t="shared" ref="BV52:BV75" si="152">IF(N25=0,"Noche",IF(N81&lt;0,0,ACOS(N81)*($BX$9)))</f>
        <v>Noche</v>
      </c>
      <c r="BW52" s="14" t="str">
        <f t="shared" ref="BW52:BW75" si="153">IF(O25=0,"Noche",IF(O81&lt;0,0,ACOS(O81)*($BX$9)))</f>
        <v>Noche</v>
      </c>
    </row>
    <row r="53" spans="2:76">
      <c r="B53" s="4">
        <v>1</v>
      </c>
      <c r="C53" s="4">
        <f t="shared" si="89"/>
        <v>165</v>
      </c>
      <c r="D53" s="14">
        <f t="shared" si="90"/>
        <v>0</v>
      </c>
      <c r="E53" s="14">
        <f t="shared" si="91"/>
        <v>0</v>
      </c>
      <c r="F53" s="14">
        <f t="shared" si="92"/>
        <v>0</v>
      </c>
      <c r="G53" s="14">
        <f t="shared" si="93"/>
        <v>0</v>
      </c>
      <c r="H53" s="14">
        <f t="shared" si="94"/>
        <v>0</v>
      </c>
      <c r="I53" s="14">
        <f t="shared" si="95"/>
        <v>0</v>
      </c>
      <c r="J53" s="14">
        <f t="shared" si="96"/>
        <v>0</v>
      </c>
      <c r="K53" s="14">
        <f t="shared" si="97"/>
        <v>0</v>
      </c>
      <c r="L53" s="14">
        <f t="shared" si="98"/>
        <v>0</v>
      </c>
      <c r="M53" s="14">
        <f t="shared" si="99"/>
        <v>0</v>
      </c>
      <c r="N53" s="14">
        <f t="shared" si="100"/>
        <v>0</v>
      </c>
      <c r="O53" s="14">
        <f t="shared" si="101"/>
        <v>0</v>
      </c>
      <c r="P53" s="2"/>
      <c r="Q53" s="4">
        <v>1</v>
      </c>
      <c r="R53" s="29">
        <f t="shared" si="102"/>
        <v>2.8797942657906437</v>
      </c>
      <c r="S53" s="40">
        <f t="shared" si="103"/>
        <v>2.5548276422601499</v>
      </c>
      <c r="T53" s="40">
        <f t="shared" si="104"/>
        <v>2.3105140743807944</v>
      </c>
      <c r="U53" s="40">
        <f t="shared" si="105"/>
        <v>1.7587932426213129</v>
      </c>
      <c r="V53" s="40">
        <f t="shared" si="106"/>
        <v>1.0010106496698254</v>
      </c>
      <c r="W53" s="40">
        <f t="shared" si="107"/>
        <v>0.65026638080800314</v>
      </c>
      <c r="X53" s="40">
        <f t="shared" si="108"/>
        <v>0.54082605823532237</v>
      </c>
      <c r="Y53" s="40">
        <f t="shared" si="109"/>
        <v>0.58090690968863745</v>
      </c>
      <c r="Z53" s="40">
        <f t="shared" si="110"/>
        <v>0.8121675286068335</v>
      </c>
      <c r="AA53" s="40">
        <f t="shared" si="111"/>
        <v>1.4223274229371492</v>
      </c>
      <c r="AB53" s="40">
        <f t="shared" si="112"/>
        <v>2.1495980275984858</v>
      </c>
      <c r="AC53" s="40">
        <f t="shared" si="113"/>
        <v>2.5010359378258529</v>
      </c>
      <c r="AD53" s="40">
        <f t="shared" si="114"/>
        <v>2.6019778654027563</v>
      </c>
      <c r="AE53" s="2"/>
      <c r="AF53" s="4">
        <v>1.5</v>
      </c>
      <c r="AG53" s="4">
        <f t="shared" si="115"/>
        <v>157.5</v>
      </c>
      <c r="AH53" s="17">
        <f t="shared" si="116"/>
        <v>0</v>
      </c>
      <c r="AI53" s="17">
        <f t="shared" si="117"/>
        <v>0</v>
      </c>
      <c r="AJ53" s="17">
        <f t="shared" si="118"/>
        <v>0</v>
      </c>
      <c r="AK53" s="17">
        <f t="shared" si="119"/>
        <v>0</v>
      </c>
      <c r="AL53" s="17">
        <f t="shared" si="120"/>
        <v>0</v>
      </c>
      <c r="AM53" s="17">
        <f t="shared" si="121"/>
        <v>0</v>
      </c>
      <c r="AN53" s="17">
        <f t="shared" si="122"/>
        <v>0</v>
      </c>
      <c r="AO53" s="17">
        <f t="shared" si="123"/>
        <v>0</v>
      </c>
      <c r="AP53" s="17">
        <f t="shared" si="124"/>
        <v>0</v>
      </c>
      <c r="AQ53" s="17">
        <f t="shared" si="125"/>
        <v>0</v>
      </c>
      <c r="AR53" s="17">
        <f t="shared" si="126"/>
        <v>0</v>
      </c>
      <c r="AS53" s="17">
        <f t="shared" si="127"/>
        <v>0</v>
      </c>
      <c r="AT53" s="2"/>
      <c r="AU53" s="4">
        <v>1</v>
      </c>
      <c r="AV53" s="4">
        <f t="shared" si="128"/>
        <v>165</v>
      </c>
      <c r="AW53" s="48">
        <f t="shared" si="129"/>
        <v>3.3396855857977963</v>
      </c>
      <c r="AX53" s="48">
        <f t="shared" si="130"/>
        <v>3.4583495563115161</v>
      </c>
      <c r="AY53" s="48">
        <f t="shared" si="131"/>
        <v>3.5022797646623305</v>
      </c>
      <c r="AZ53" s="48">
        <f t="shared" si="132"/>
        <v>3.3996931785818063</v>
      </c>
      <c r="BA53" s="48">
        <f t="shared" si="133"/>
        <v>3.2136547232107691</v>
      </c>
      <c r="BB53" s="48">
        <f t="shared" si="134"/>
        <v>3.088374480508004</v>
      </c>
      <c r="BC53" s="48">
        <f t="shared" si="135"/>
        <v>3.1271889465789693</v>
      </c>
      <c r="BD53" s="48">
        <f t="shared" si="136"/>
        <v>3.2927592269616066</v>
      </c>
      <c r="BE53" s="48">
        <f t="shared" si="137"/>
        <v>3.4397180039991078</v>
      </c>
      <c r="BF53" s="48">
        <f t="shared" si="138"/>
        <v>-0.82301336785533497</v>
      </c>
      <c r="BG53" s="48">
        <f t="shared" si="139"/>
        <v>3.3569080449952948</v>
      </c>
      <c r="BH53" s="48">
        <f t="shared" si="140"/>
        <v>3.2897503351412292</v>
      </c>
      <c r="BJ53" s="4">
        <v>1</v>
      </c>
      <c r="BK53" s="4">
        <f t="shared" si="141"/>
        <v>165</v>
      </c>
      <c r="BL53" s="14" t="str">
        <f t="shared" si="142"/>
        <v>Noche</v>
      </c>
      <c r="BM53" s="14" t="str">
        <f t="shared" si="143"/>
        <v>Noche</v>
      </c>
      <c r="BN53" s="14" t="str">
        <f t="shared" si="144"/>
        <v>Noche</v>
      </c>
      <c r="BO53" s="14" t="str">
        <f t="shared" si="145"/>
        <v>Noche</v>
      </c>
      <c r="BP53" s="14" t="str">
        <f t="shared" si="146"/>
        <v>Noche</v>
      </c>
      <c r="BQ53" s="14" t="str">
        <f t="shared" si="147"/>
        <v>Noche</v>
      </c>
      <c r="BR53" s="14" t="str">
        <f t="shared" si="148"/>
        <v>Noche</v>
      </c>
      <c r="BS53" s="14" t="str">
        <f t="shared" si="149"/>
        <v>Noche</v>
      </c>
      <c r="BT53" s="14" t="str">
        <f t="shared" si="150"/>
        <v>Noche</v>
      </c>
      <c r="BU53" s="14" t="str">
        <f t="shared" si="151"/>
        <v>Noche</v>
      </c>
      <c r="BV53" s="14" t="str">
        <f t="shared" si="152"/>
        <v>Noche</v>
      </c>
      <c r="BW53" s="14" t="str">
        <f t="shared" si="153"/>
        <v>Noche</v>
      </c>
    </row>
    <row r="54" spans="2:76">
      <c r="B54" s="4">
        <v>2</v>
      </c>
      <c r="C54" s="4">
        <f t="shared" si="89"/>
        <v>150</v>
      </c>
      <c r="D54" s="14">
        <f t="shared" si="90"/>
        <v>0</v>
      </c>
      <c r="E54" s="14">
        <f t="shared" si="91"/>
        <v>0</v>
      </c>
      <c r="F54" s="14">
        <f t="shared" si="92"/>
        <v>0</v>
      </c>
      <c r="G54" s="14">
        <f t="shared" si="93"/>
        <v>0</v>
      </c>
      <c r="H54" s="14">
        <f t="shared" si="94"/>
        <v>0</v>
      </c>
      <c r="I54" s="14">
        <f t="shared" si="95"/>
        <v>0</v>
      </c>
      <c r="J54" s="14">
        <f t="shared" si="96"/>
        <v>0</v>
      </c>
      <c r="K54" s="14">
        <f t="shared" si="97"/>
        <v>0</v>
      </c>
      <c r="L54" s="14">
        <f t="shared" si="98"/>
        <v>0</v>
      </c>
      <c r="M54" s="14">
        <f t="shared" si="99"/>
        <v>0</v>
      </c>
      <c r="N54" s="14">
        <f t="shared" si="100"/>
        <v>0</v>
      </c>
      <c r="O54" s="14">
        <f t="shared" si="101"/>
        <v>0</v>
      </c>
      <c r="P54" s="2"/>
      <c r="Q54" s="4">
        <v>2</v>
      </c>
      <c r="R54" s="29">
        <f t="shared" si="102"/>
        <v>2.6179948779914946</v>
      </c>
      <c r="S54" s="40">
        <f t="shared" si="103"/>
        <v>2.2323151662677274</v>
      </c>
      <c r="T54" s="40">
        <f t="shared" si="104"/>
        <v>2.012105732412711</v>
      </c>
      <c r="U54" s="40">
        <f t="shared" si="105"/>
        <v>1.6689568972780537</v>
      </c>
      <c r="V54" s="40">
        <f t="shared" si="106"/>
        <v>1.2505772358371108</v>
      </c>
      <c r="W54" s="40">
        <f t="shared" si="107"/>
        <v>0.97324920507069823</v>
      </c>
      <c r="X54" s="40">
        <f t="shared" si="108"/>
        <v>0.8594146709673085</v>
      </c>
      <c r="Y54" s="40">
        <f t="shared" si="109"/>
        <v>0.9030938017114023</v>
      </c>
      <c r="Z54" s="40">
        <f t="shared" si="110"/>
        <v>1.1146649764078309</v>
      </c>
      <c r="AA54" s="40">
        <f t="shared" si="111"/>
        <v>1.493527749921703</v>
      </c>
      <c r="AB54" s="40">
        <f t="shared" si="112"/>
        <v>1.8969685862160683</v>
      </c>
      <c r="AC54" s="40">
        <f t="shared" si="113"/>
        <v>2.1777763538317165</v>
      </c>
      <c r="AD54" s="40">
        <f t="shared" si="114"/>
        <v>2.2835363038798477</v>
      </c>
      <c r="AE54" s="2"/>
      <c r="AF54" s="4">
        <v>2.5</v>
      </c>
      <c r="AG54" s="4">
        <f t="shared" si="115"/>
        <v>142.5</v>
      </c>
      <c r="AH54" s="17">
        <f t="shared" si="116"/>
        <v>0</v>
      </c>
      <c r="AI54" s="17">
        <f t="shared" si="117"/>
        <v>0</v>
      </c>
      <c r="AJ54" s="17">
        <f t="shared" si="118"/>
        <v>0</v>
      </c>
      <c r="AK54" s="17">
        <f t="shared" si="119"/>
        <v>0</v>
      </c>
      <c r="AL54" s="17">
        <f t="shared" si="120"/>
        <v>0</v>
      </c>
      <c r="AM54" s="17">
        <f t="shared" si="121"/>
        <v>0</v>
      </c>
      <c r="AN54" s="17">
        <f t="shared" si="122"/>
        <v>0</v>
      </c>
      <c r="AO54" s="17">
        <f t="shared" si="123"/>
        <v>0</v>
      </c>
      <c r="AP54" s="17">
        <f t="shared" si="124"/>
        <v>0</v>
      </c>
      <c r="AQ54" s="17">
        <f t="shared" si="125"/>
        <v>0</v>
      </c>
      <c r="AR54" s="17">
        <f t="shared" si="126"/>
        <v>0</v>
      </c>
      <c r="AS54" s="17">
        <f t="shared" si="127"/>
        <v>0</v>
      </c>
      <c r="AT54" s="2"/>
      <c r="AU54" s="4">
        <v>2</v>
      </c>
      <c r="AV54" s="4">
        <f t="shared" si="128"/>
        <v>150</v>
      </c>
      <c r="AW54" s="48">
        <f t="shared" si="129"/>
        <v>3.4965584473739311</v>
      </c>
      <c r="AX54" s="48">
        <f t="shared" si="130"/>
        <v>3.620796342780352</v>
      </c>
      <c r="AY54" s="48">
        <f t="shared" si="131"/>
        <v>3.6667900560080726</v>
      </c>
      <c r="AZ54" s="48">
        <f t="shared" si="132"/>
        <v>3.5593847374737466</v>
      </c>
      <c r="BA54" s="48">
        <f t="shared" si="133"/>
        <v>3.3646076197024621</v>
      </c>
      <c r="BB54" s="48">
        <f t="shared" si="134"/>
        <v>3.2334426702909842</v>
      </c>
      <c r="BC54" s="48">
        <f t="shared" si="135"/>
        <v>3.2740803428305454</v>
      </c>
      <c r="BD54" s="48">
        <f t="shared" si="136"/>
        <v>3.4474278474483144</v>
      </c>
      <c r="BE54" s="48">
        <f t="shared" si="137"/>
        <v>3.6012896227757265</v>
      </c>
      <c r="BF54" s="48">
        <f t="shared" si="138"/>
        <v>-0.86167223522893432</v>
      </c>
      <c r="BG54" s="48">
        <f t="shared" si="139"/>
        <v>3.5145898858565392</v>
      </c>
      <c r="BH54" s="48">
        <f t="shared" si="140"/>
        <v>3.4442776209250408</v>
      </c>
      <c r="BJ54" s="4">
        <v>2</v>
      </c>
      <c r="BK54" s="4">
        <f t="shared" si="141"/>
        <v>150</v>
      </c>
      <c r="BL54" s="14" t="str">
        <f t="shared" si="142"/>
        <v>Noche</v>
      </c>
      <c r="BM54" s="14" t="str">
        <f t="shared" si="143"/>
        <v>Noche</v>
      </c>
      <c r="BN54" s="14" t="str">
        <f t="shared" si="144"/>
        <v>Noche</v>
      </c>
      <c r="BO54" s="14" t="str">
        <f t="shared" si="145"/>
        <v>Noche</v>
      </c>
      <c r="BP54" s="14" t="str">
        <f t="shared" si="146"/>
        <v>Noche</v>
      </c>
      <c r="BQ54" s="14" t="str">
        <f t="shared" si="147"/>
        <v>Noche</v>
      </c>
      <c r="BR54" s="14" t="str">
        <f t="shared" si="148"/>
        <v>Noche</v>
      </c>
      <c r="BS54" s="14" t="str">
        <f t="shared" si="149"/>
        <v>Noche</v>
      </c>
      <c r="BT54" s="14" t="str">
        <f t="shared" si="150"/>
        <v>Noche</v>
      </c>
      <c r="BU54" s="14" t="str">
        <f t="shared" si="151"/>
        <v>Noche</v>
      </c>
      <c r="BV54" s="14" t="str">
        <f t="shared" si="152"/>
        <v>Noche</v>
      </c>
      <c r="BW54" s="14" t="str">
        <f t="shared" si="153"/>
        <v>Noche</v>
      </c>
    </row>
    <row r="55" spans="2:76">
      <c r="B55" s="4">
        <v>3</v>
      </c>
      <c r="C55" s="4">
        <f t="shared" si="89"/>
        <v>135</v>
      </c>
      <c r="D55" s="14">
        <f t="shared" si="90"/>
        <v>0</v>
      </c>
      <c r="E55" s="14">
        <f t="shared" si="91"/>
        <v>0</v>
      </c>
      <c r="F55" s="14">
        <f t="shared" si="92"/>
        <v>0</v>
      </c>
      <c r="G55" s="14">
        <f t="shared" si="93"/>
        <v>0</v>
      </c>
      <c r="H55" s="14">
        <f t="shared" si="94"/>
        <v>0</v>
      </c>
      <c r="I55" s="14">
        <f t="shared" si="95"/>
        <v>0</v>
      </c>
      <c r="J55" s="14">
        <f t="shared" si="96"/>
        <v>0</v>
      </c>
      <c r="K55" s="14">
        <f t="shared" si="97"/>
        <v>0</v>
      </c>
      <c r="L55" s="14">
        <f t="shared" si="98"/>
        <v>0</v>
      </c>
      <c r="M55" s="14">
        <f t="shared" si="99"/>
        <v>0</v>
      </c>
      <c r="N55" s="14">
        <f t="shared" si="100"/>
        <v>0</v>
      </c>
      <c r="O55" s="14">
        <f t="shared" si="101"/>
        <v>0</v>
      </c>
      <c r="P55" s="2"/>
      <c r="Q55" s="4">
        <v>3</v>
      </c>
      <c r="R55" s="29">
        <f t="shared" si="102"/>
        <v>2.356195490192345</v>
      </c>
      <c r="S55" s="40">
        <f t="shared" si="103"/>
        <v>2.0740322042158503</v>
      </c>
      <c r="T55" s="40">
        <f t="shared" si="104"/>
        <v>1.8931680425006396</v>
      </c>
      <c r="U55" s="40">
        <f t="shared" si="105"/>
        <v>1.6403178549855022</v>
      </c>
      <c r="V55" s="40">
        <f t="shared" si="106"/>
        <v>1.340458753716905</v>
      </c>
      <c r="W55" s="40">
        <f t="shared" si="107"/>
        <v>1.122288977238401</v>
      </c>
      <c r="X55" s="40">
        <f t="shared" si="108"/>
        <v>1.0234361970170549</v>
      </c>
      <c r="Y55" s="40">
        <f t="shared" si="109"/>
        <v>1.062160982844107</v>
      </c>
      <c r="Z55" s="40">
        <f t="shared" si="110"/>
        <v>1.2368551699392989</v>
      </c>
      <c r="AA55" s="40">
        <f t="shared" si="111"/>
        <v>1.5161048317531516</v>
      </c>
      <c r="AB55" s="40">
        <f t="shared" si="112"/>
        <v>1.8055670105323893</v>
      </c>
      <c r="AC55" s="40">
        <f t="shared" si="113"/>
        <v>2.0272486755616992</v>
      </c>
      <c r="AD55" s="40">
        <f t="shared" si="114"/>
        <v>2.1193776038447751</v>
      </c>
      <c r="AE55" s="2"/>
      <c r="AF55" s="4">
        <v>3.5</v>
      </c>
      <c r="AG55" s="4">
        <f t="shared" si="115"/>
        <v>127.5</v>
      </c>
      <c r="AH55" s="17">
        <f t="shared" si="116"/>
        <v>0</v>
      </c>
      <c r="AI55" s="17">
        <f t="shared" si="117"/>
        <v>0</v>
      </c>
      <c r="AJ55" s="17">
        <f t="shared" si="118"/>
        <v>0</v>
      </c>
      <c r="AK55" s="17">
        <f t="shared" si="119"/>
        <v>0</v>
      </c>
      <c r="AL55" s="17">
        <f t="shared" si="120"/>
        <v>0</v>
      </c>
      <c r="AM55" s="17">
        <f t="shared" si="121"/>
        <v>0</v>
      </c>
      <c r="AN55" s="17">
        <f t="shared" si="122"/>
        <v>0</v>
      </c>
      <c r="AO55" s="17">
        <f t="shared" si="123"/>
        <v>0</v>
      </c>
      <c r="AP55" s="17">
        <f t="shared" si="124"/>
        <v>0</v>
      </c>
      <c r="AQ55" s="17">
        <f t="shared" si="125"/>
        <v>0</v>
      </c>
      <c r="AR55" s="17">
        <f t="shared" si="126"/>
        <v>0</v>
      </c>
      <c r="AS55" s="17">
        <f t="shared" si="127"/>
        <v>0</v>
      </c>
      <c r="AT55" s="2"/>
      <c r="AU55" s="4">
        <v>3</v>
      </c>
      <c r="AV55" s="4">
        <f t="shared" si="128"/>
        <v>135</v>
      </c>
      <c r="AW55" s="48">
        <f t="shared" si="129"/>
        <v>3.5073174121624264</v>
      </c>
      <c r="AX55" s="48">
        <f t="shared" si="130"/>
        <v>3.6319375895075572</v>
      </c>
      <c r="AY55" s="48">
        <f t="shared" si="131"/>
        <v>3.6780728261070612</v>
      </c>
      <c r="AZ55" s="48">
        <f t="shared" si="132"/>
        <v>3.5703370197351658</v>
      </c>
      <c r="BA55" s="48">
        <f t="shared" si="133"/>
        <v>3.3749605697395682</v>
      </c>
      <c r="BB55" s="48">
        <f t="shared" si="134"/>
        <v>3.2433920237363436</v>
      </c>
      <c r="BC55" s="48">
        <f t="shared" si="135"/>
        <v>3.2841547390270898</v>
      </c>
      <c r="BD55" s="48">
        <f t="shared" si="136"/>
        <v>3.4580356366158123</v>
      </c>
      <c r="BE55" s="48">
        <f t="shared" si="137"/>
        <v>3.6123708470217331</v>
      </c>
      <c r="BF55" s="48">
        <f t="shared" si="138"/>
        <v>-0.86432361411408209</v>
      </c>
      <c r="BG55" s="48">
        <f t="shared" si="139"/>
        <v>3.5254043336620184</v>
      </c>
      <c r="BH55" s="48">
        <f t="shared" si="140"/>
        <v>3.4548757167964732</v>
      </c>
      <c r="BJ55" s="4">
        <v>3</v>
      </c>
      <c r="BK55" s="4">
        <f t="shared" si="141"/>
        <v>135</v>
      </c>
      <c r="BL55" s="14" t="str">
        <f t="shared" si="142"/>
        <v>Noche</v>
      </c>
      <c r="BM55" s="14" t="str">
        <f t="shared" si="143"/>
        <v>Noche</v>
      </c>
      <c r="BN55" s="14" t="str">
        <f t="shared" si="144"/>
        <v>Noche</v>
      </c>
      <c r="BO55" s="14" t="str">
        <f t="shared" si="145"/>
        <v>Noche</v>
      </c>
      <c r="BP55" s="14" t="str">
        <f t="shared" si="146"/>
        <v>Noche</v>
      </c>
      <c r="BQ55" s="14" t="str">
        <f t="shared" si="147"/>
        <v>Noche</v>
      </c>
      <c r="BR55" s="14" t="str">
        <f t="shared" si="148"/>
        <v>Noche</v>
      </c>
      <c r="BS55" s="14" t="str">
        <f t="shared" si="149"/>
        <v>Noche</v>
      </c>
      <c r="BT55" s="14" t="str">
        <f t="shared" si="150"/>
        <v>Noche</v>
      </c>
      <c r="BU55" s="14" t="str">
        <f t="shared" si="151"/>
        <v>Noche</v>
      </c>
      <c r="BV55" s="14" t="str">
        <f t="shared" si="152"/>
        <v>Noche</v>
      </c>
      <c r="BW55" s="14" t="str">
        <f t="shared" si="153"/>
        <v>Noche</v>
      </c>
    </row>
    <row r="56" spans="2:76">
      <c r="B56" s="4">
        <v>4</v>
      </c>
      <c r="C56" s="4">
        <f t="shared" si="89"/>
        <v>120</v>
      </c>
      <c r="D56" s="14">
        <f t="shared" si="90"/>
        <v>0</v>
      </c>
      <c r="E56" s="14">
        <f t="shared" si="91"/>
        <v>0</v>
      </c>
      <c r="F56" s="14">
        <f t="shared" si="92"/>
        <v>0</v>
      </c>
      <c r="G56" s="14">
        <f t="shared" si="93"/>
        <v>0</v>
      </c>
      <c r="H56" s="14">
        <f t="shared" si="94"/>
        <v>0</v>
      </c>
      <c r="I56" s="14">
        <f t="shared" si="95"/>
        <v>0</v>
      </c>
      <c r="J56" s="14">
        <f t="shared" si="96"/>
        <v>0</v>
      </c>
      <c r="K56" s="14">
        <f t="shared" si="97"/>
        <v>0</v>
      </c>
      <c r="L56" s="14">
        <f t="shared" si="98"/>
        <v>0</v>
      </c>
      <c r="M56" s="14">
        <f t="shared" si="99"/>
        <v>0</v>
      </c>
      <c r="N56" s="14">
        <f t="shared" si="100"/>
        <v>0</v>
      </c>
      <c r="O56" s="14">
        <f t="shared" si="101"/>
        <v>0</v>
      </c>
      <c r="P56" s="2"/>
      <c r="Q56" s="4">
        <v>4</v>
      </c>
      <c r="R56" s="29">
        <f t="shared" si="102"/>
        <v>2.0943961023931954</v>
      </c>
      <c r="S56" s="40">
        <f t="shared" si="103"/>
        <v>1.993226567525364</v>
      </c>
      <c r="T56" s="40">
        <f t="shared" si="104"/>
        <v>1.8370500371266658</v>
      </c>
      <c r="U56" s="40">
        <f t="shared" si="105"/>
        <v>1.6275908767386518</v>
      </c>
      <c r="V56" s="40">
        <f t="shared" si="106"/>
        <v>1.3816179737022427</v>
      </c>
      <c r="W56" s="40">
        <f t="shared" si="107"/>
        <v>1.1964164044472734</v>
      </c>
      <c r="X56" s="40">
        <f t="shared" si="108"/>
        <v>1.1090407333430519</v>
      </c>
      <c r="Y56" s="40">
        <f t="shared" si="109"/>
        <v>1.1435829810868521</v>
      </c>
      <c r="Z56" s="40">
        <f t="shared" si="110"/>
        <v>1.2947573586027592</v>
      </c>
      <c r="AA56" s="40">
        <f t="shared" si="111"/>
        <v>1.5261260856698717</v>
      </c>
      <c r="AB56" s="40">
        <f t="shared" si="112"/>
        <v>1.7636595386723879</v>
      </c>
      <c r="AC56" s="40">
        <f t="shared" si="113"/>
        <v>1.9521047639377409</v>
      </c>
      <c r="AD56" s="40">
        <f t="shared" si="114"/>
        <v>2.0336481534405002</v>
      </c>
      <c r="AE56" s="2"/>
      <c r="AF56" s="4">
        <v>4.5</v>
      </c>
      <c r="AG56" s="4">
        <f t="shared" si="115"/>
        <v>112.5</v>
      </c>
      <c r="AH56" s="17">
        <f t="shared" si="116"/>
        <v>0</v>
      </c>
      <c r="AI56" s="17">
        <f t="shared" si="117"/>
        <v>0</v>
      </c>
      <c r="AJ56" s="17">
        <f t="shared" si="118"/>
        <v>0</v>
      </c>
      <c r="AK56" s="17">
        <f t="shared" si="119"/>
        <v>0</v>
      </c>
      <c r="AL56" s="17">
        <f t="shared" si="120"/>
        <v>0</v>
      </c>
      <c r="AM56" s="17">
        <f t="shared" si="121"/>
        <v>0</v>
      </c>
      <c r="AN56" s="17">
        <f t="shared" si="122"/>
        <v>0</v>
      </c>
      <c r="AO56" s="17">
        <f t="shared" si="123"/>
        <v>0</v>
      </c>
      <c r="AP56" s="17">
        <f t="shared" si="124"/>
        <v>0</v>
      </c>
      <c r="AQ56" s="17">
        <f t="shared" si="125"/>
        <v>0</v>
      </c>
      <c r="AR56" s="17">
        <f t="shared" si="126"/>
        <v>0</v>
      </c>
      <c r="AS56" s="17">
        <f t="shared" si="127"/>
        <v>0</v>
      </c>
      <c r="AT56" s="2"/>
      <c r="AU56" s="4">
        <v>4</v>
      </c>
      <c r="AV56" s="4">
        <f t="shared" si="128"/>
        <v>120</v>
      </c>
      <c r="AW56" s="48">
        <f t="shared" si="129"/>
        <v>3.0812389397909796</v>
      </c>
      <c r="AX56" s="48">
        <f t="shared" si="130"/>
        <v>3.1907199185549548</v>
      </c>
      <c r="AY56" s="48">
        <f t="shared" si="131"/>
        <v>3.2312505209503675</v>
      </c>
      <c r="AZ56" s="48">
        <f t="shared" si="132"/>
        <v>3.1366027537845786</v>
      </c>
      <c r="BA56" s="48">
        <f t="shared" si="133"/>
        <v>2.9649611670958511</v>
      </c>
      <c r="BB56" s="48">
        <f t="shared" si="134"/>
        <v>2.8493759264241572</v>
      </c>
      <c r="BC56" s="48">
        <f t="shared" si="135"/>
        <v>2.8851866760329363</v>
      </c>
      <c r="BD56" s="48">
        <f t="shared" si="136"/>
        <v>3.0379440485702149</v>
      </c>
      <c r="BE56" s="48">
        <f t="shared" si="137"/>
        <v>3.1735301972417038</v>
      </c>
      <c r="BF56" s="48">
        <f t="shared" si="138"/>
        <v>-0.75932322724882817</v>
      </c>
      <c r="BG56" s="48">
        <f t="shared" si="139"/>
        <v>3.0971286128021047</v>
      </c>
      <c r="BH56" s="48">
        <f t="shared" si="140"/>
        <v>3.0351680044174385</v>
      </c>
      <c r="BJ56" s="4">
        <v>4</v>
      </c>
      <c r="BK56" s="4">
        <f t="shared" si="141"/>
        <v>120</v>
      </c>
      <c r="BL56" s="14" t="str">
        <f t="shared" si="142"/>
        <v>Noche</v>
      </c>
      <c r="BM56" s="14" t="str">
        <f t="shared" si="143"/>
        <v>Noche</v>
      </c>
      <c r="BN56" s="14" t="str">
        <f t="shared" si="144"/>
        <v>Noche</v>
      </c>
      <c r="BO56" s="14" t="str">
        <f t="shared" si="145"/>
        <v>Noche</v>
      </c>
      <c r="BP56" s="14" t="str">
        <f t="shared" si="146"/>
        <v>Noche</v>
      </c>
      <c r="BQ56" s="14" t="str">
        <f t="shared" si="147"/>
        <v>Noche</v>
      </c>
      <c r="BR56" s="14" t="str">
        <f t="shared" si="148"/>
        <v>Noche</v>
      </c>
      <c r="BS56" s="14" t="str">
        <f t="shared" si="149"/>
        <v>Noche</v>
      </c>
      <c r="BT56" s="14" t="str">
        <f t="shared" si="150"/>
        <v>Noche</v>
      </c>
      <c r="BU56" s="14" t="str">
        <f t="shared" si="151"/>
        <v>Noche</v>
      </c>
      <c r="BV56" s="14" t="str">
        <f t="shared" si="152"/>
        <v>Noche</v>
      </c>
      <c r="BW56" s="14" t="str">
        <f t="shared" si="153"/>
        <v>Noche</v>
      </c>
    </row>
    <row r="57" spans="2:76">
      <c r="B57" s="4">
        <v>5</v>
      </c>
      <c r="C57" s="4">
        <f t="shared" si="89"/>
        <v>105</v>
      </c>
      <c r="D57" s="14">
        <f t="shared" si="90"/>
        <v>0</v>
      </c>
      <c r="E57" s="14">
        <f t="shared" si="91"/>
        <v>0</v>
      </c>
      <c r="F57" s="14">
        <f t="shared" si="92"/>
        <v>0</v>
      </c>
      <c r="G57" s="14">
        <f t="shared" si="93"/>
        <v>0</v>
      </c>
      <c r="H57" s="14">
        <f t="shared" si="94"/>
        <v>0</v>
      </c>
      <c r="I57" s="14">
        <f t="shared" si="95"/>
        <v>0</v>
      </c>
      <c r="J57" s="14">
        <f t="shared" si="96"/>
        <v>0</v>
      </c>
      <c r="K57" s="14">
        <f t="shared" si="97"/>
        <v>0</v>
      </c>
      <c r="L57" s="14">
        <f t="shared" si="98"/>
        <v>0</v>
      </c>
      <c r="M57" s="14">
        <f t="shared" si="99"/>
        <v>0</v>
      </c>
      <c r="N57" s="14">
        <f t="shared" si="100"/>
        <v>0</v>
      </c>
      <c r="O57" s="14">
        <f t="shared" si="101"/>
        <v>0</v>
      </c>
      <c r="P57" s="2"/>
      <c r="Q57" s="4">
        <v>5</v>
      </c>
      <c r="R57" s="29">
        <f t="shared" si="102"/>
        <v>1.8325967145940461</v>
      </c>
      <c r="S57" s="40">
        <f t="shared" si="103"/>
        <v>1.953888070030696</v>
      </c>
      <c r="T57" s="40">
        <f t="shared" si="104"/>
        <v>1.8106127187563856</v>
      </c>
      <c r="U57" s="40">
        <f t="shared" si="105"/>
        <v>1.6217276480240694</v>
      </c>
      <c r="V57" s="40">
        <f t="shared" si="106"/>
        <v>1.4007879935153513</v>
      </c>
      <c r="W57" s="40">
        <f t="shared" si="107"/>
        <v>1.2320972037987528</v>
      </c>
      <c r="X57" s="40">
        <f t="shared" si="108"/>
        <v>1.1511326754940909</v>
      </c>
      <c r="Y57" s="40">
        <f t="shared" si="109"/>
        <v>1.1832683474343739</v>
      </c>
      <c r="Z57" s="40">
        <f t="shared" si="110"/>
        <v>1.3220814903928573</v>
      </c>
      <c r="AA57" s="40">
        <f t="shared" si="111"/>
        <v>1.5307408721696381</v>
      </c>
      <c r="AB57" s="40">
        <f t="shared" si="112"/>
        <v>1.7441319402252418</v>
      </c>
      <c r="AC57" s="40">
        <f t="shared" si="113"/>
        <v>1.9158777737880157</v>
      </c>
      <c r="AD57" s="40">
        <f t="shared" si="114"/>
        <v>1.9914827417441874</v>
      </c>
      <c r="AE57" s="2"/>
      <c r="AF57" s="4">
        <v>5.5</v>
      </c>
      <c r="AG57" s="4">
        <f t="shared" si="115"/>
        <v>97.5</v>
      </c>
      <c r="AH57" s="17">
        <f t="shared" si="116"/>
        <v>0</v>
      </c>
      <c r="AI57" s="17">
        <f t="shared" si="117"/>
        <v>0</v>
      </c>
      <c r="AJ57" s="17">
        <f t="shared" si="118"/>
        <v>0</v>
      </c>
      <c r="AK57" s="17">
        <f t="shared" si="119"/>
        <v>0</v>
      </c>
      <c r="AL57" s="17">
        <f t="shared" si="120"/>
        <v>0</v>
      </c>
      <c r="AM57" s="17">
        <f t="shared" si="121"/>
        <v>0</v>
      </c>
      <c r="AN57" s="17">
        <f t="shared" si="122"/>
        <v>0</v>
      </c>
      <c r="AO57" s="17">
        <f t="shared" si="123"/>
        <v>0</v>
      </c>
      <c r="AP57" s="17">
        <f t="shared" si="124"/>
        <v>0</v>
      </c>
      <c r="AQ57" s="17">
        <f t="shared" si="125"/>
        <v>0</v>
      </c>
      <c r="AR57" s="17">
        <f t="shared" si="126"/>
        <v>0</v>
      </c>
      <c r="AS57" s="17">
        <f t="shared" si="127"/>
        <v>0</v>
      </c>
      <c r="AT57" s="2"/>
      <c r="AU57" s="4">
        <v>5</v>
      </c>
      <c r="AV57" s="4">
        <f t="shared" si="128"/>
        <v>105</v>
      </c>
      <c r="AW57" s="48">
        <f t="shared" si="129"/>
        <v>1.9573689285108757</v>
      </c>
      <c r="AX57" s="48">
        <f t="shared" si="130"/>
        <v>2.0269171428113548</v>
      </c>
      <c r="AY57" s="48">
        <f t="shared" si="131"/>
        <v>2.0526643644104658</v>
      </c>
      <c r="AZ57" s="48">
        <f t="shared" si="132"/>
        <v>1.9925390050263561</v>
      </c>
      <c r="BA57" s="48">
        <f t="shared" si="133"/>
        <v>1.8835030246334781</v>
      </c>
      <c r="BB57" s="48">
        <f t="shared" si="134"/>
        <v>1.8100770543967872</v>
      </c>
      <c r="BC57" s="48">
        <f t="shared" si="135"/>
        <v>1.8328259712969686</v>
      </c>
      <c r="BD57" s="48">
        <f t="shared" si="136"/>
        <v>1.9298656817667164</v>
      </c>
      <c r="BE57" s="48">
        <f t="shared" si="137"/>
        <v>2.015997306003567</v>
      </c>
      <c r="BF57" s="48">
        <f t="shared" si="138"/>
        <v>-0.48236301070967341</v>
      </c>
      <c r="BG57" s="48">
        <f t="shared" si="139"/>
        <v>1.9674629046172156</v>
      </c>
      <c r="BH57" s="48">
        <f t="shared" si="140"/>
        <v>1.9281021890045527</v>
      </c>
      <c r="BJ57" s="4">
        <v>5</v>
      </c>
      <c r="BK57" s="4">
        <f t="shared" si="141"/>
        <v>105</v>
      </c>
      <c r="BL57" s="14" t="str">
        <f t="shared" si="142"/>
        <v>Noche</v>
      </c>
      <c r="BM57" s="14" t="str">
        <f t="shared" si="143"/>
        <v>Noche</v>
      </c>
      <c r="BN57" s="14" t="str">
        <f t="shared" si="144"/>
        <v>Noche</v>
      </c>
      <c r="BO57" s="14" t="str">
        <f t="shared" si="145"/>
        <v>Noche</v>
      </c>
      <c r="BP57" s="14" t="str">
        <f t="shared" si="146"/>
        <v>Noche</v>
      </c>
      <c r="BQ57" s="14" t="str">
        <f t="shared" si="147"/>
        <v>Noche</v>
      </c>
      <c r="BR57" s="14" t="str">
        <f t="shared" si="148"/>
        <v>Noche</v>
      </c>
      <c r="BS57" s="14" t="str">
        <f t="shared" si="149"/>
        <v>Noche</v>
      </c>
      <c r="BT57" s="14" t="str">
        <f t="shared" si="150"/>
        <v>Noche</v>
      </c>
      <c r="BU57" s="14" t="str">
        <f t="shared" si="151"/>
        <v>Noche</v>
      </c>
      <c r="BV57" s="14" t="str">
        <f t="shared" si="152"/>
        <v>Noche</v>
      </c>
      <c r="BW57" s="14" t="str">
        <f t="shared" si="153"/>
        <v>Noche</v>
      </c>
    </row>
    <row r="58" spans="2:76">
      <c r="B58" s="4">
        <v>6</v>
      </c>
      <c r="C58" s="4">
        <f t="shared" si="89"/>
        <v>90</v>
      </c>
      <c r="D58" s="14">
        <f t="shared" si="90"/>
        <v>0</v>
      </c>
      <c r="E58" s="14">
        <f t="shared" si="91"/>
        <v>0</v>
      </c>
      <c r="F58" s="14">
        <f t="shared" si="92"/>
        <v>0</v>
      </c>
      <c r="G58" s="14">
        <f t="shared" si="93"/>
        <v>0</v>
      </c>
      <c r="H58" s="14">
        <f t="shared" si="94"/>
        <v>0</v>
      </c>
      <c r="I58" s="14">
        <f t="shared" si="95"/>
        <v>0</v>
      </c>
      <c r="J58" s="14">
        <f t="shared" si="96"/>
        <v>0</v>
      </c>
      <c r="K58" s="14">
        <f t="shared" si="97"/>
        <v>0</v>
      </c>
      <c r="L58" s="14">
        <f t="shared" si="98"/>
        <v>0</v>
      </c>
      <c r="M58" s="14">
        <f t="shared" si="99"/>
        <v>0</v>
      </c>
      <c r="N58" s="14">
        <f t="shared" si="100"/>
        <v>0</v>
      </c>
      <c r="O58" s="14">
        <f t="shared" si="101"/>
        <v>0</v>
      </c>
      <c r="P58" s="2"/>
      <c r="Q58" s="4">
        <v>6</v>
      </c>
      <c r="R58" s="29">
        <f t="shared" si="102"/>
        <v>1.5707973267948965</v>
      </c>
      <c r="S58" s="40">
        <f t="shared" si="103"/>
        <v>1.942018676695469</v>
      </c>
      <c r="T58" s="40">
        <f t="shared" si="104"/>
        <v>1.8027358570354937</v>
      </c>
      <c r="U58" s="40">
        <f t="shared" si="105"/>
        <v>1.6199950405020309</v>
      </c>
      <c r="V58" s="40">
        <f t="shared" si="106"/>
        <v>1.4064754391676499</v>
      </c>
      <c r="W58" s="40">
        <f t="shared" si="107"/>
        <v>1.2428154933477464</v>
      </c>
      <c r="X58" s="40">
        <f t="shared" si="108"/>
        <v>1.1638831105893257</v>
      </c>
      <c r="Y58" s="40">
        <f t="shared" si="109"/>
        <v>1.1952479667941476</v>
      </c>
      <c r="Z58" s="40">
        <f t="shared" si="110"/>
        <v>1.330227749433663</v>
      </c>
      <c r="AA58" s="40">
        <f t="shared" si="111"/>
        <v>1.5321043532838585</v>
      </c>
      <c r="AB58" s="40">
        <f t="shared" si="112"/>
        <v>1.7383374147390658</v>
      </c>
      <c r="AC58" s="40">
        <f t="shared" si="113"/>
        <v>1.9049887833622008</v>
      </c>
      <c r="AD58" s="40">
        <f t="shared" si="114"/>
        <v>1.9787085926679751</v>
      </c>
      <c r="AE58" s="2"/>
      <c r="AF58" s="4">
        <v>6.5</v>
      </c>
      <c r="AG58" s="4">
        <f t="shared" si="115"/>
        <v>82.5</v>
      </c>
      <c r="AH58" s="17">
        <f t="shared" si="116"/>
        <v>0</v>
      </c>
      <c r="AI58" s="17">
        <f t="shared" si="117"/>
        <v>0</v>
      </c>
      <c r="AJ58" s="17">
        <f t="shared" si="118"/>
        <v>0</v>
      </c>
      <c r="AK58" s="17">
        <f t="shared" si="119"/>
        <v>0</v>
      </c>
      <c r="AL58" s="17">
        <f t="shared" si="120"/>
        <v>0</v>
      </c>
      <c r="AM58" s="17">
        <f t="shared" si="121"/>
        <v>0</v>
      </c>
      <c r="AN58" s="17">
        <f t="shared" si="122"/>
        <v>0</v>
      </c>
      <c r="AO58" s="17">
        <f t="shared" si="123"/>
        <v>0</v>
      </c>
      <c r="AP58" s="17">
        <f t="shared" si="124"/>
        <v>0</v>
      </c>
      <c r="AQ58" s="17">
        <f t="shared" si="125"/>
        <v>0</v>
      </c>
      <c r="AR58" s="17">
        <f t="shared" si="126"/>
        <v>0</v>
      </c>
      <c r="AS58" s="17">
        <f t="shared" si="127"/>
        <v>0</v>
      </c>
      <c r="AT58" s="2"/>
      <c r="AU58" s="4">
        <v>6</v>
      </c>
      <c r="AV58" s="4">
        <f t="shared" si="128"/>
        <v>90</v>
      </c>
      <c r="AW58" s="48">
        <f t="shared" si="129"/>
        <v>9.0652618593953857E-6</v>
      </c>
      <c r="AX58" s="48">
        <f t="shared" si="130"/>
        <v>9.3873640269039102E-6</v>
      </c>
      <c r="AY58" s="48">
        <f t="shared" si="131"/>
        <v>9.5066084383932622E-6</v>
      </c>
      <c r="AZ58" s="48">
        <f t="shared" si="132"/>
        <v>9.2281468161267443E-6</v>
      </c>
      <c r="BA58" s="48">
        <f t="shared" si="133"/>
        <v>8.723162957458199E-6</v>
      </c>
      <c r="BB58" s="48">
        <f t="shared" si="134"/>
        <v>8.3831015424738676E-6</v>
      </c>
      <c r="BC58" s="48">
        <f t="shared" si="135"/>
        <v>8.4884597535468607E-6</v>
      </c>
      <c r="BD58" s="48">
        <f t="shared" si="136"/>
        <v>8.9378846797090568E-6</v>
      </c>
      <c r="BE58" s="48">
        <f t="shared" si="137"/>
        <v>9.3367904336060076E-6</v>
      </c>
      <c r="BF58" s="48">
        <f t="shared" si="138"/>
        <v>-2.2339922431977208E-6</v>
      </c>
      <c r="BG58" s="48">
        <f t="shared" si="139"/>
        <v>9.1120106021968076E-6</v>
      </c>
      <c r="BH58" s="48">
        <f t="shared" si="140"/>
        <v>8.9297173263586962E-6</v>
      </c>
      <c r="BJ58" s="4">
        <v>6</v>
      </c>
      <c r="BK58" s="4">
        <f t="shared" si="141"/>
        <v>90</v>
      </c>
      <c r="BL58" s="14" t="str">
        <f t="shared" si="142"/>
        <v>Noche</v>
      </c>
      <c r="BM58" s="14" t="str">
        <f t="shared" si="143"/>
        <v>Noche</v>
      </c>
      <c r="BN58" s="14" t="str">
        <f t="shared" si="144"/>
        <v>Noche</v>
      </c>
      <c r="BO58" s="14" t="str">
        <f t="shared" si="145"/>
        <v>Noche</v>
      </c>
      <c r="BP58" s="14" t="str">
        <f t="shared" si="146"/>
        <v>Noche</v>
      </c>
      <c r="BQ58" s="14" t="str">
        <f t="shared" si="147"/>
        <v>Noche</v>
      </c>
      <c r="BR58" s="14" t="str">
        <f t="shared" si="148"/>
        <v>Noche</v>
      </c>
      <c r="BS58" s="14" t="str">
        <f t="shared" si="149"/>
        <v>Noche</v>
      </c>
      <c r="BT58" s="14" t="str">
        <f t="shared" si="150"/>
        <v>Noche</v>
      </c>
      <c r="BU58" s="14" t="str">
        <f t="shared" si="151"/>
        <v>Noche</v>
      </c>
      <c r="BV58" s="14" t="str">
        <f t="shared" si="152"/>
        <v>Noche</v>
      </c>
      <c r="BW58" s="14" t="str">
        <f t="shared" si="153"/>
        <v>Noche</v>
      </c>
    </row>
    <row r="59" spans="2:76">
      <c r="B59" s="4">
        <v>7</v>
      </c>
      <c r="C59" s="4">
        <f t="shared" si="89"/>
        <v>75</v>
      </c>
      <c r="D59" s="14">
        <f t="shared" si="90"/>
        <v>111.94952940854736</v>
      </c>
      <c r="E59" s="14">
        <f t="shared" si="91"/>
        <v>103.74046003305197</v>
      </c>
      <c r="F59" s="14">
        <f t="shared" si="92"/>
        <v>92.91814819032831</v>
      </c>
      <c r="G59" s="14">
        <f t="shared" si="93"/>
        <v>80.259245141081664</v>
      </c>
      <c r="H59" s="14">
        <f t="shared" si="94"/>
        <v>70.593979349900835</v>
      </c>
      <c r="I59" s="14">
        <f t="shared" si="95"/>
        <v>65.955055390543777</v>
      </c>
      <c r="J59" s="14">
        <f t="shared" si="96"/>
        <v>67.796293082312459</v>
      </c>
      <c r="K59" s="14">
        <f t="shared" si="97"/>
        <v>75.749696897532928</v>
      </c>
      <c r="L59" s="14">
        <f t="shared" si="98"/>
        <v>87.704992732070821</v>
      </c>
      <c r="M59" s="14">
        <f t="shared" si="99"/>
        <v>99.931393872616653</v>
      </c>
      <c r="N59" s="14">
        <f t="shared" si="100"/>
        <v>109.77170072669996</v>
      </c>
      <c r="O59" s="14">
        <f t="shared" si="101"/>
        <v>114.10354462900122</v>
      </c>
      <c r="P59" s="2"/>
      <c r="Q59" s="4">
        <v>7</v>
      </c>
      <c r="R59" s="29">
        <f t="shared" si="102"/>
        <v>1.3089979389957471</v>
      </c>
      <c r="S59" s="40">
        <f t="shared" si="103"/>
        <v>1.9538878842373717</v>
      </c>
      <c r="T59" s="40">
        <f t="shared" si="104"/>
        <v>1.8106125951103424</v>
      </c>
      <c r="U59" s="40">
        <f t="shared" si="105"/>
        <v>1.6217276207772398</v>
      </c>
      <c r="V59" s="40">
        <f t="shared" si="106"/>
        <v>1.4007880828771357</v>
      </c>
      <c r="W59" s="40">
        <f t="shared" si="107"/>
        <v>1.2320973717406556</v>
      </c>
      <c r="X59" s="40">
        <f t="shared" si="108"/>
        <v>1.1511328749002234</v>
      </c>
      <c r="Y59" s="40">
        <f t="shared" si="109"/>
        <v>1.1832685349334073</v>
      </c>
      <c r="Z59" s="40">
        <f t="shared" si="110"/>
        <v>1.3220816182496833</v>
      </c>
      <c r="AA59" s="40">
        <f t="shared" si="111"/>
        <v>1.5307408936123328</v>
      </c>
      <c r="AB59" s="40">
        <f t="shared" si="112"/>
        <v>1.7441318491844475</v>
      </c>
      <c r="AC59" s="40">
        <f t="shared" si="113"/>
        <v>1.9158776031947664</v>
      </c>
      <c r="AD59" s="40">
        <f t="shared" si="114"/>
        <v>1.991482541972363</v>
      </c>
      <c r="AE59" s="2"/>
      <c r="AF59" s="4">
        <v>7.5</v>
      </c>
      <c r="AG59" s="4">
        <f t="shared" si="115"/>
        <v>67.5</v>
      </c>
      <c r="AH59" s="17">
        <f t="shared" si="116"/>
        <v>0</v>
      </c>
      <c r="AI59" s="17">
        <f t="shared" si="117"/>
        <v>0</v>
      </c>
      <c r="AJ59" s="17">
        <f t="shared" si="118"/>
        <v>0</v>
      </c>
      <c r="AK59" s="17">
        <f t="shared" si="119"/>
        <v>0</v>
      </c>
      <c r="AL59" s="17">
        <f t="shared" si="120"/>
        <v>0</v>
      </c>
      <c r="AM59" s="17">
        <f t="shared" si="121"/>
        <v>0</v>
      </c>
      <c r="AN59" s="17">
        <f t="shared" si="122"/>
        <v>0</v>
      </c>
      <c r="AO59" s="17">
        <f t="shared" si="123"/>
        <v>0</v>
      </c>
      <c r="AP59" s="17">
        <f t="shared" si="124"/>
        <v>0</v>
      </c>
      <c r="AQ59" s="17">
        <f t="shared" si="125"/>
        <v>23.404020054617174</v>
      </c>
      <c r="AR59" s="17">
        <f t="shared" si="126"/>
        <v>0</v>
      </c>
      <c r="AS59" s="17">
        <f t="shared" si="127"/>
        <v>0</v>
      </c>
      <c r="AT59" s="2"/>
      <c r="AU59" s="4">
        <v>7</v>
      </c>
      <c r="AV59" s="4">
        <f t="shared" si="128"/>
        <v>75</v>
      </c>
      <c r="AW59" s="48">
        <f t="shared" si="129"/>
        <v>-2.735153107583733</v>
      </c>
      <c r="AX59" s="48">
        <f t="shared" si="130"/>
        <v>-2.8323371446347214</v>
      </c>
      <c r="AY59" s="48">
        <f t="shared" si="131"/>
        <v>-2.8683153356352458</v>
      </c>
      <c r="AZ59" s="48">
        <f t="shared" si="132"/>
        <v>-2.7842984386830962</v>
      </c>
      <c r="BA59" s="48">
        <f t="shared" si="133"/>
        <v>-2.6319356948661166</v>
      </c>
      <c r="BB59" s="48">
        <f t="shared" si="134"/>
        <v>-2.5293330287335629</v>
      </c>
      <c r="BC59" s="48">
        <f t="shared" si="135"/>
        <v>-2.5611215024583562</v>
      </c>
      <c r="BD59" s="48">
        <f t="shared" si="136"/>
        <v>-2.696721113642683</v>
      </c>
      <c r="BE59" s="48">
        <f t="shared" si="137"/>
        <v>-2.8170781788137762</v>
      </c>
      <c r="BF59" s="48">
        <f t="shared" si="138"/>
        <v>0.67403577757297473</v>
      </c>
      <c r="BG59" s="48">
        <f t="shared" si="139"/>
        <v>-2.7492580469812</v>
      </c>
      <c r="BH59" s="48">
        <f t="shared" si="140"/>
        <v>-2.6942568757372087</v>
      </c>
      <c r="BJ59" s="4">
        <v>7</v>
      </c>
      <c r="BK59" s="4">
        <f t="shared" si="141"/>
        <v>75</v>
      </c>
      <c r="BL59" s="14" t="e">
        <f t="shared" si="142"/>
        <v>#N/A</v>
      </c>
      <c r="BM59" s="14" t="e">
        <f t="shared" si="143"/>
        <v>#N/A</v>
      </c>
      <c r="BN59" s="14" t="e">
        <f t="shared" si="144"/>
        <v>#N/A</v>
      </c>
      <c r="BO59" s="14" t="e">
        <f t="shared" si="145"/>
        <v>#N/A</v>
      </c>
      <c r="BP59" s="14" t="e">
        <f t="shared" si="146"/>
        <v>#N/A</v>
      </c>
      <c r="BQ59" s="14" t="e">
        <f t="shared" si="147"/>
        <v>#N/A</v>
      </c>
      <c r="BR59" s="14" t="e">
        <f t="shared" si="148"/>
        <v>#N/A</v>
      </c>
      <c r="BS59" s="14" t="e">
        <f t="shared" si="149"/>
        <v>#N/A</v>
      </c>
      <c r="BT59" s="14" t="e">
        <f t="shared" si="150"/>
        <v>#N/A</v>
      </c>
      <c r="BU59" s="14" t="e">
        <f t="shared" si="151"/>
        <v>#N/A</v>
      </c>
      <c r="BV59" s="14" t="e">
        <f t="shared" si="152"/>
        <v>#N/A</v>
      </c>
      <c r="BW59" s="14" t="e">
        <f t="shared" si="153"/>
        <v>#N/A</v>
      </c>
    </row>
    <row r="60" spans="2:76">
      <c r="B60" s="4">
        <v>8</v>
      </c>
      <c r="C60" s="4">
        <f t="shared" si="89"/>
        <v>60</v>
      </c>
      <c r="D60" s="14">
        <f t="shared" si="90"/>
        <v>114.20344519293891</v>
      </c>
      <c r="E60" s="14">
        <f t="shared" si="91"/>
        <v>105.25519708729647</v>
      </c>
      <c r="F60" s="14">
        <f t="shared" si="92"/>
        <v>93.254084261702076</v>
      </c>
      <c r="G60" s="14">
        <f t="shared" si="93"/>
        <v>79.160891012000576</v>
      </c>
      <c r="H60" s="14">
        <f t="shared" si="94"/>
        <v>68.549633033430709</v>
      </c>
      <c r="I60" s="14">
        <f t="shared" si="95"/>
        <v>63.543379717134286</v>
      </c>
      <c r="J60" s="14">
        <f t="shared" si="96"/>
        <v>65.522503287811972</v>
      </c>
      <c r="K60" s="14">
        <f t="shared" si="97"/>
        <v>74.184149490353477</v>
      </c>
      <c r="L60" s="14">
        <f t="shared" si="98"/>
        <v>87.440586665132116</v>
      </c>
      <c r="M60" s="14">
        <f t="shared" si="99"/>
        <v>101.05023561826044</v>
      </c>
      <c r="N60" s="14">
        <f t="shared" si="100"/>
        <v>111.84734128901832</v>
      </c>
      <c r="O60" s="14">
        <f t="shared" si="101"/>
        <v>116.51942977455873</v>
      </c>
      <c r="P60" s="2"/>
      <c r="Q60" s="4">
        <v>8</v>
      </c>
      <c r="R60" s="29">
        <f t="shared" si="102"/>
        <v>1.0471985511965975</v>
      </c>
      <c r="S60" s="40">
        <f t="shared" si="103"/>
        <v>1.9932261357376748</v>
      </c>
      <c r="T60" s="40">
        <f t="shared" si="104"/>
        <v>1.8370497440088687</v>
      </c>
      <c r="U60" s="40">
        <f t="shared" si="105"/>
        <v>1.6275908112989266</v>
      </c>
      <c r="V60" s="40">
        <f t="shared" si="106"/>
        <v>1.3816181869717961</v>
      </c>
      <c r="W60" s="40">
        <f t="shared" si="107"/>
        <v>1.196416797467234</v>
      </c>
      <c r="X60" s="40">
        <f t="shared" si="108"/>
        <v>1.1090411939089764</v>
      </c>
      <c r="Y60" s="40">
        <f t="shared" si="109"/>
        <v>1.1435834165211287</v>
      </c>
      <c r="Z60" s="40">
        <f t="shared" si="110"/>
        <v>1.2947576613983416</v>
      </c>
      <c r="AA60" s="40">
        <f t="shared" si="111"/>
        <v>1.5261261371820039</v>
      </c>
      <c r="AB60" s="40">
        <f t="shared" si="112"/>
        <v>1.7636593214546925</v>
      </c>
      <c r="AC60" s="40">
        <f t="shared" si="113"/>
        <v>1.9521043650951682</v>
      </c>
      <c r="AD60" s="40">
        <f t="shared" si="114"/>
        <v>2.0336476921123641</v>
      </c>
      <c r="AE60" s="2"/>
      <c r="AF60" s="4">
        <v>8.5</v>
      </c>
      <c r="AG60" s="4">
        <f t="shared" si="115"/>
        <v>52.5</v>
      </c>
      <c r="AH60" s="17">
        <f t="shared" si="116"/>
        <v>0</v>
      </c>
      <c r="AI60" s="17">
        <f t="shared" si="117"/>
        <v>0</v>
      </c>
      <c r="AJ60" s="17">
        <f t="shared" si="118"/>
        <v>0</v>
      </c>
      <c r="AK60" s="17">
        <f t="shared" si="119"/>
        <v>0</v>
      </c>
      <c r="AL60" s="17">
        <f t="shared" si="120"/>
        <v>0</v>
      </c>
      <c r="AM60" s="17">
        <f t="shared" si="121"/>
        <v>0</v>
      </c>
      <c r="AN60" s="17">
        <f t="shared" si="122"/>
        <v>0</v>
      </c>
      <c r="AO60" s="17">
        <f t="shared" si="123"/>
        <v>0</v>
      </c>
      <c r="AP60" s="17">
        <f t="shared" si="124"/>
        <v>0</v>
      </c>
      <c r="AQ60" s="17">
        <f t="shared" si="125"/>
        <v>51.203748916280361</v>
      </c>
      <c r="AR60" s="17">
        <f t="shared" si="126"/>
        <v>0</v>
      </c>
      <c r="AS60" s="17">
        <f t="shared" si="127"/>
        <v>0</v>
      </c>
      <c r="AT60" s="2"/>
      <c r="AU60" s="4">
        <v>8</v>
      </c>
      <c r="AV60" s="4">
        <f t="shared" si="128"/>
        <v>60</v>
      </c>
      <c r="AW60" s="48">
        <f t="shared" si="129"/>
        <v>-5.9840186703596752</v>
      </c>
      <c r="AX60" s="48">
        <f t="shared" si="130"/>
        <v>-6.1966397081222704</v>
      </c>
      <c r="AY60" s="48">
        <f t="shared" si="131"/>
        <v>-6.2753534613216653</v>
      </c>
      <c r="AZ60" s="48">
        <f t="shared" si="132"/>
        <v>-6.0915397367468502</v>
      </c>
      <c r="BA60" s="48">
        <f t="shared" si="133"/>
        <v>-5.7581977014728247</v>
      </c>
      <c r="BB60" s="48">
        <f t="shared" si="134"/>
        <v>-5.5337216865603454</v>
      </c>
      <c r="BC60" s="48">
        <f t="shared" si="135"/>
        <v>-5.6032690986390232</v>
      </c>
      <c r="BD60" s="48">
        <f t="shared" si="136"/>
        <v>-5.8999364416008033</v>
      </c>
      <c r="BE60" s="48">
        <f t="shared" si="137"/>
        <v>-6.163255859843451</v>
      </c>
      <c r="BF60" s="48">
        <f t="shared" si="138"/>
        <v>1.4746679687888746</v>
      </c>
      <c r="BG60" s="48">
        <f t="shared" si="139"/>
        <v>-6.0148777182369981</v>
      </c>
      <c r="BH60" s="48">
        <f t="shared" si="140"/>
        <v>-5.8945451362315797</v>
      </c>
      <c r="BJ60" s="4">
        <v>8</v>
      </c>
      <c r="BK60" s="4">
        <f t="shared" si="141"/>
        <v>60</v>
      </c>
      <c r="BL60" s="14" t="e">
        <f t="shared" si="142"/>
        <v>#N/A</v>
      </c>
      <c r="BM60" s="14" t="e">
        <f t="shared" si="143"/>
        <v>#N/A</v>
      </c>
      <c r="BN60" s="14" t="e">
        <f t="shared" si="144"/>
        <v>#N/A</v>
      </c>
      <c r="BO60" s="14" t="e">
        <f t="shared" si="145"/>
        <v>#N/A</v>
      </c>
      <c r="BP60" s="14" t="e">
        <f t="shared" si="146"/>
        <v>#N/A</v>
      </c>
      <c r="BQ60" s="14" t="e">
        <f t="shared" si="147"/>
        <v>#N/A</v>
      </c>
      <c r="BR60" s="14" t="e">
        <f t="shared" si="148"/>
        <v>#N/A</v>
      </c>
      <c r="BS60" s="14" t="e">
        <f t="shared" si="149"/>
        <v>#N/A</v>
      </c>
      <c r="BT60" s="14" t="e">
        <f t="shared" si="150"/>
        <v>#N/A</v>
      </c>
      <c r="BU60" s="14" t="e">
        <f t="shared" si="151"/>
        <v>#N/A</v>
      </c>
      <c r="BV60" s="14" t="e">
        <f t="shared" si="152"/>
        <v>#N/A</v>
      </c>
      <c r="BW60" s="14" t="e">
        <f t="shared" si="153"/>
        <v>#N/A</v>
      </c>
    </row>
    <row r="61" spans="2:76">
      <c r="B61" s="4">
        <v>9</v>
      </c>
      <c r="C61" s="4">
        <f t="shared" si="89"/>
        <v>45</v>
      </c>
      <c r="D61" s="14">
        <f t="shared" si="90"/>
        <v>118.83324346373807</v>
      </c>
      <c r="E61" s="14">
        <f t="shared" si="91"/>
        <v>108.4705043099728</v>
      </c>
      <c r="F61" s="14">
        <f t="shared" si="92"/>
        <v>93.983282209693854</v>
      </c>
      <c r="G61" s="14">
        <f t="shared" si="93"/>
        <v>76.802654670331165</v>
      </c>
      <c r="H61" s="14">
        <f t="shared" si="94"/>
        <v>64.302466564588869</v>
      </c>
      <c r="I61" s="14">
        <f t="shared" si="95"/>
        <v>58.638625614466726</v>
      </c>
      <c r="J61" s="14">
        <f t="shared" si="96"/>
        <v>60.857390220577791</v>
      </c>
      <c r="K61" s="14">
        <f t="shared" si="97"/>
        <v>70.866616591122067</v>
      </c>
      <c r="L61" s="14">
        <f t="shared" si="98"/>
        <v>86.866414413534855</v>
      </c>
      <c r="M61" s="14">
        <f t="shared" si="99"/>
        <v>103.45134340654045</v>
      </c>
      <c r="N61" s="14">
        <f t="shared" si="100"/>
        <v>116.15274779601395</v>
      </c>
      <c r="O61" s="14">
        <f t="shared" si="101"/>
        <v>121.43134090640609</v>
      </c>
      <c r="P61" s="2"/>
      <c r="Q61" s="4">
        <v>9</v>
      </c>
      <c r="R61" s="29">
        <f t="shared" si="102"/>
        <v>0.78539916339744831</v>
      </c>
      <c r="S61" s="40">
        <f t="shared" si="103"/>
        <v>2.07403135926626</v>
      </c>
      <c r="T61" s="40">
        <f t="shared" si="104"/>
        <v>1.8931674415077251</v>
      </c>
      <c r="U61" s="40">
        <f t="shared" si="105"/>
        <v>1.6403177163901694</v>
      </c>
      <c r="V61" s="40">
        <f t="shared" si="106"/>
        <v>1.3404591982694789</v>
      </c>
      <c r="W61" s="40">
        <f t="shared" si="107"/>
        <v>1.1222897587056426</v>
      </c>
      <c r="X61" s="40">
        <f t="shared" si="108"/>
        <v>1.0234370858167274</v>
      </c>
      <c r="Y61" s="40">
        <f t="shared" si="109"/>
        <v>1.0621618335200806</v>
      </c>
      <c r="Z61" s="40">
        <f t="shared" si="110"/>
        <v>1.2368557892635201</v>
      </c>
      <c r="AA61" s="40">
        <f t="shared" si="111"/>
        <v>1.5161049409180423</v>
      </c>
      <c r="AB61" s="40">
        <f t="shared" si="112"/>
        <v>1.8055665580554574</v>
      </c>
      <c r="AC61" s="40">
        <f t="shared" si="113"/>
        <v>2.0272478842790305</v>
      </c>
      <c r="AD61" s="40">
        <f t="shared" si="114"/>
        <v>2.1193767139284616</v>
      </c>
      <c r="AE61" s="2"/>
      <c r="AF61" s="4">
        <v>9.5</v>
      </c>
      <c r="AG61" s="4">
        <f t="shared" si="115"/>
        <v>37.5</v>
      </c>
      <c r="AH61" s="17">
        <f t="shared" si="116"/>
        <v>0</v>
      </c>
      <c r="AI61" s="17">
        <f t="shared" si="117"/>
        <v>0</v>
      </c>
      <c r="AJ61" s="17">
        <f t="shared" si="118"/>
        <v>0</v>
      </c>
      <c r="AK61" s="17">
        <f t="shared" si="119"/>
        <v>0</v>
      </c>
      <c r="AL61" s="17">
        <f t="shared" si="120"/>
        <v>0</v>
      </c>
      <c r="AM61" s="17">
        <f t="shared" si="121"/>
        <v>0</v>
      </c>
      <c r="AN61" s="17">
        <f t="shared" si="122"/>
        <v>0</v>
      </c>
      <c r="AO61" s="17">
        <f t="shared" si="123"/>
        <v>0</v>
      </c>
      <c r="AP61" s="17">
        <f t="shared" si="124"/>
        <v>0</v>
      </c>
      <c r="AQ61" s="17">
        <f t="shared" si="125"/>
        <v>79.688113771814386</v>
      </c>
      <c r="AR61" s="17">
        <f t="shared" si="126"/>
        <v>0</v>
      </c>
      <c r="AS61" s="17">
        <f t="shared" si="127"/>
        <v>0</v>
      </c>
      <c r="AT61" s="2"/>
      <c r="AU61" s="4">
        <v>9</v>
      </c>
      <c r="AV61" s="4">
        <f t="shared" si="128"/>
        <v>45</v>
      </c>
      <c r="AW61" s="48">
        <f t="shared" si="129"/>
        <v>-9.3128954560720825</v>
      </c>
      <c r="AX61" s="48">
        <f t="shared" si="130"/>
        <v>-9.6437964116878501</v>
      </c>
      <c r="AY61" s="48">
        <f t="shared" si="131"/>
        <v>-9.7662981943330163</v>
      </c>
      <c r="AZ61" s="48">
        <f t="shared" si="132"/>
        <v>-9.480229902327908</v>
      </c>
      <c r="BA61" s="48">
        <f t="shared" si="133"/>
        <v>-8.9614515200013205</v>
      </c>
      <c r="BB61" s="48">
        <f t="shared" si="134"/>
        <v>-8.6121007284286808</v>
      </c>
      <c r="BC61" s="48">
        <f t="shared" si="135"/>
        <v>-8.720336984631766</v>
      </c>
      <c r="BD61" s="48">
        <f t="shared" si="136"/>
        <v>-9.1820387443402929</v>
      </c>
      <c r="BE61" s="48">
        <f t="shared" si="137"/>
        <v>-9.5918413116006818</v>
      </c>
      <c r="BF61" s="48">
        <f t="shared" si="138"/>
        <v>2.2950176766282548</v>
      </c>
      <c r="BG61" s="48">
        <f t="shared" si="139"/>
        <v>-9.3609212231337615</v>
      </c>
      <c r="BH61" s="48">
        <f t="shared" si="140"/>
        <v>-9.173648285345898</v>
      </c>
      <c r="BJ61" s="4">
        <v>9</v>
      </c>
      <c r="BK61" s="4">
        <f t="shared" si="141"/>
        <v>45</v>
      </c>
      <c r="BL61" s="14" t="e">
        <f t="shared" si="142"/>
        <v>#N/A</v>
      </c>
      <c r="BM61" s="14" t="e">
        <f t="shared" si="143"/>
        <v>#N/A</v>
      </c>
      <c r="BN61" s="14" t="e">
        <f t="shared" si="144"/>
        <v>#N/A</v>
      </c>
      <c r="BO61" s="14" t="e">
        <f t="shared" si="145"/>
        <v>#N/A</v>
      </c>
      <c r="BP61" s="14" t="e">
        <f t="shared" si="146"/>
        <v>#N/A</v>
      </c>
      <c r="BQ61" s="14" t="e">
        <f t="shared" si="147"/>
        <v>#N/A</v>
      </c>
      <c r="BR61" s="14" t="e">
        <f t="shared" si="148"/>
        <v>#N/A</v>
      </c>
      <c r="BS61" s="14" t="e">
        <f t="shared" si="149"/>
        <v>#N/A</v>
      </c>
      <c r="BT61" s="14" t="e">
        <f t="shared" si="150"/>
        <v>#N/A</v>
      </c>
      <c r="BU61" s="14" t="e">
        <f t="shared" si="151"/>
        <v>#N/A</v>
      </c>
      <c r="BV61" s="14" t="e">
        <f t="shared" si="152"/>
        <v>#N/A</v>
      </c>
      <c r="BW61" s="14" t="e">
        <f t="shared" si="153"/>
        <v>#N/A</v>
      </c>
    </row>
    <row r="62" spans="2:76">
      <c r="B62" s="4">
        <v>10</v>
      </c>
      <c r="C62" s="4">
        <f t="shared" si="89"/>
        <v>30</v>
      </c>
      <c r="D62" s="14">
        <f t="shared" si="90"/>
        <v>127.90214136134303</v>
      </c>
      <c r="E62" s="14">
        <f t="shared" si="91"/>
        <v>115.28508974857546</v>
      </c>
      <c r="F62" s="14">
        <f t="shared" si="92"/>
        <v>95.624167045470756</v>
      </c>
      <c r="G62" s="14">
        <f t="shared" si="93"/>
        <v>71.652856868592536</v>
      </c>
      <c r="H62" s="14">
        <f t="shared" si="94"/>
        <v>55.763164182245283</v>
      </c>
      <c r="I62" s="14">
        <f t="shared" si="95"/>
        <v>49.240931651858709</v>
      </c>
      <c r="J62" s="14">
        <f t="shared" si="96"/>
        <v>51.743559844946503</v>
      </c>
      <c r="K62" s="14">
        <f t="shared" si="97"/>
        <v>63.865677206470544</v>
      </c>
      <c r="L62" s="14">
        <f t="shared" si="98"/>
        <v>85.572851931331968</v>
      </c>
      <c r="M62" s="14">
        <f t="shared" si="99"/>
        <v>108.68823361588866</v>
      </c>
      <c r="N62" s="14">
        <f t="shared" si="100"/>
        <v>124.7773008102124</v>
      </c>
      <c r="O62" s="14">
        <f t="shared" si="101"/>
        <v>130.83689438400916</v>
      </c>
      <c r="P62" s="2"/>
      <c r="Q62" s="4">
        <v>10</v>
      </c>
      <c r="R62" s="29">
        <f t="shared" si="102"/>
        <v>0.52359977559829884</v>
      </c>
      <c r="S62" s="40">
        <f t="shared" si="103"/>
        <v>2.2323134871066581</v>
      </c>
      <c r="T62" s="40">
        <f t="shared" si="104"/>
        <v>2.0121043945698034</v>
      </c>
      <c r="U62" s="40">
        <f t="shared" si="105"/>
        <v>1.6689565594205229</v>
      </c>
      <c r="V62" s="40">
        <f t="shared" si="106"/>
        <v>1.2505782708171738</v>
      </c>
      <c r="W62" s="40">
        <f t="shared" si="107"/>
        <v>0.97325081631035149</v>
      </c>
      <c r="X62" s="40">
        <f t="shared" si="108"/>
        <v>0.85941638407442467</v>
      </c>
      <c r="Y62" s="40">
        <f t="shared" si="109"/>
        <v>0.90309548599704303</v>
      </c>
      <c r="Z62" s="40">
        <f t="shared" si="110"/>
        <v>1.1146663462688053</v>
      </c>
      <c r="AA62" s="40">
        <f t="shared" si="111"/>
        <v>1.4935280165233313</v>
      </c>
      <c r="AB62" s="40">
        <f t="shared" si="112"/>
        <v>1.8969675347740389</v>
      </c>
      <c r="AC62" s="40">
        <f t="shared" si="113"/>
        <v>2.1777747308895945</v>
      </c>
      <c r="AD62" s="40">
        <f t="shared" si="114"/>
        <v>2.2835345900850381</v>
      </c>
      <c r="AE62" s="2"/>
      <c r="AF62" s="4">
        <v>10.5</v>
      </c>
      <c r="AG62" s="4">
        <f t="shared" si="115"/>
        <v>22.5</v>
      </c>
      <c r="AH62" s="17">
        <f t="shared" si="116"/>
        <v>0</v>
      </c>
      <c r="AI62" s="17">
        <f t="shared" si="117"/>
        <v>0</v>
      </c>
      <c r="AJ62" s="17">
        <f t="shared" si="118"/>
        <v>0</v>
      </c>
      <c r="AK62" s="17">
        <f t="shared" si="119"/>
        <v>0</v>
      </c>
      <c r="AL62" s="17">
        <f t="shared" si="120"/>
        <v>0</v>
      </c>
      <c r="AM62" s="17">
        <f t="shared" si="121"/>
        <v>0</v>
      </c>
      <c r="AN62" s="17">
        <f t="shared" si="122"/>
        <v>0</v>
      </c>
      <c r="AO62" s="17">
        <f t="shared" si="123"/>
        <v>0</v>
      </c>
      <c r="AP62" s="17">
        <f t="shared" si="124"/>
        <v>0</v>
      </c>
      <c r="AQ62" s="17">
        <f t="shared" si="125"/>
        <v>104.43457757018459</v>
      </c>
      <c r="AR62" s="17">
        <f t="shared" si="126"/>
        <v>0</v>
      </c>
      <c r="AS62" s="17">
        <f t="shared" si="127"/>
        <v>0</v>
      </c>
      <c r="AT62" s="2"/>
      <c r="AU62" s="4">
        <v>10</v>
      </c>
      <c r="AV62" s="4">
        <f t="shared" si="128"/>
        <v>30</v>
      </c>
      <c r="AW62" s="48">
        <f t="shared" si="129"/>
        <v>-12.204935678301663</v>
      </c>
      <c r="AX62" s="48">
        <f t="shared" si="130"/>
        <v>-12.638595102293776</v>
      </c>
      <c r="AY62" s="48">
        <f t="shared" si="131"/>
        <v>-12.799138768301185</v>
      </c>
      <c r="AZ62" s="48">
        <f t="shared" si="132"/>
        <v>-12.424234409072334</v>
      </c>
      <c r="BA62" s="48">
        <f t="shared" si="133"/>
        <v>-11.744353826555852</v>
      </c>
      <c r="BB62" s="48">
        <f t="shared" si="134"/>
        <v>-11.286515127472445</v>
      </c>
      <c r="BC62" s="48">
        <f t="shared" si="135"/>
        <v>-11.428363229520826</v>
      </c>
      <c r="BD62" s="48">
        <f t="shared" si="136"/>
        <v>-12.033442531267649</v>
      </c>
      <c r="BE62" s="48">
        <f t="shared" si="137"/>
        <v>-12.570505789177933</v>
      </c>
      <c r="BF62" s="48">
        <f t="shared" si="138"/>
        <v>3.0077158340213166</v>
      </c>
      <c r="BG62" s="48">
        <f t="shared" si="139"/>
        <v>-12.267875437547721</v>
      </c>
      <c r="BH62" s="48">
        <f t="shared" si="140"/>
        <v>-12.022446486823572</v>
      </c>
      <c r="BJ62" s="4">
        <v>10</v>
      </c>
      <c r="BK62" s="4">
        <f t="shared" si="141"/>
        <v>30</v>
      </c>
      <c r="BL62" s="14" t="e">
        <f t="shared" si="142"/>
        <v>#N/A</v>
      </c>
      <c r="BM62" s="14" t="e">
        <f t="shared" si="143"/>
        <v>#N/A</v>
      </c>
      <c r="BN62" s="14" t="e">
        <f t="shared" si="144"/>
        <v>#N/A</v>
      </c>
      <c r="BO62" s="14" t="e">
        <f t="shared" si="145"/>
        <v>#N/A</v>
      </c>
      <c r="BP62" s="14" t="e">
        <f t="shared" si="146"/>
        <v>#N/A</v>
      </c>
      <c r="BQ62" s="14" t="e">
        <f t="shared" si="147"/>
        <v>#N/A</v>
      </c>
      <c r="BR62" s="14" t="e">
        <f t="shared" si="148"/>
        <v>#N/A</v>
      </c>
      <c r="BS62" s="14" t="e">
        <f t="shared" si="149"/>
        <v>#N/A</v>
      </c>
      <c r="BT62" s="14" t="e">
        <f t="shared" si="150"/>
        <v>#N/A</v>
      </c>
      <c r="BU62" s="14" t="e">
        <f t="shared" si="151"/>
        <v>#N/A</v>
      </c>
      <c r="BV62" s="14" t="e">
        <f t="shared" si="152"/>
        <v>#N/A</v>
      </c>
      <c r="BW62" s="14" t="e">
        <f t="shared" si="153"/>
        <v>#N/A</v>
      </c>
    </row>
    <row r="63" spans="2:76">
      <c r="B63" s="4">
        <v>11</v>
      </c>
      <c r="C63" s="4">
        <f t="shared" si="89"/>
        <v>15</v>
      </c>
      <c r="D63" s="14">
        <f t="shared" si="90"/>
        <v>146.38064410651066</v>
      </c>
      <c r="E63" s="14">
        <f t="shared" si="91"/>
        <v>132.38249202868869</v>
      </c>
      <c r="F63" s="14">
        <f t="shared" si="92"/>
        <v>100.77135132056397</v>
      </c>
      <c r="G63" s="14">
        <f t="shared" si="93"/>
        <v>57.353879728924241</v>
      </c>
      <c r="H63" s="14">
        <f t="shared" si="94"/>
        <v>37.257725248574481</v>
      </c>
      <c r="I63" s="14">
        <f t="shared" si="95"/>
        <v>30.987239343870076</v>
      </c>
      <c r="J63" s="14">
        <f t="shared" si="96"/>
        <v>33.283710410704572</v>
      </c>
      <c r="K63" s="14">
        <f t="shared" si="97"/>
        <v>46.53398517107108</v>
      </c>
      <c r="L63" s="14">
        <f t="shared" si="98"/>
        <v>81.493420985263725</v>
      </c>
      <c r="M63" s="14">
        <f t="shared" si="99"/>
        <v>123.1626987958382</v>
      </c>
      <c r="N63" s="14">
        <f t="shared" si="100"/>
        <v>143.2985987263512</v>
      </c>
      <c r="O63" s="14">
        <f t="shared" si="101"/>
        <v>149.08216156169928</v>
      </c>
      <c r="P63" s="2"/>
      <c r="Q63" s="4">
        <v>11</v>
      </c>
      <c r="R63" s="29">
        <f t="shared" si="102"/>
        <v>0.26180038779914938</v>
      </c>
      <c r="S63" s="40">
        <f t="shared" si="103"/>
        <v>2.5548242008486439</v>
      </c>
      <c r="T63" s="40">
        <f t="shared" si="104"/>
        <v>2.3105103578957653</v>
      </c>
      <c r="U63" s="40">
        <f t="shared" si="105"/>
        <v>1.7587918722277769</v>
      </c>
      <c r="V63" s="40">
        <f t="shared" si="106"/>
        <v>1.0010140400625609</v>
      </c>
      <c r="W63" s="40">
        <f t="shared" si="107"/>
        <v>0.65026997739104742</v>
      </c>
      <c r="X63" s="40">
        <f t="shared" si="108"/>
        <v>0.54082935265406018</v>
      </c>
      <c r="Y63" s="40">
        <f t="shared" si="109"/>
        <v>0.58091033394710889</v>
      </c>
      <c r="Z63" s="40">
        <f t="shared" si="110"/>
        <v>0.81217125530940715</v>
      </c>
      <c r="AA63" s="40">
        <f t="shared" si="111"/>
        <v>1.4223285149066933</v>
      </c>
      <c r="AB63" s="40">
        <f t="shared" si="112"/>
        <v>2.1495946096294318</v>
      </c>
      <c r="AC63" s="40">
        <f t="shared" si="113"/>
        <v>2.5010323612689813</v>
      </c>
      <c r="AD63" s="40">
        <f t="shared" si="114"/>
        <v>2.6019745752417838</v>
      </c>
      <c r="AE63" s="2"/>
      <c r="AF63" s="4">
        <v>11.5</v>
      </c>
      <c r="AG63" s="4">
        <f t="shared" si="115"/>
        <v>7.5</v>
      </c>
      <c r="AH63" s="17">
        <f t="shared" si="116"/>
        <v>0</v>
      </c>
      <c r="AI63" s="17">
        <f t="shared" si="117"/>
        <v>0</v>
      </c>
      <c r="AJ63" s="17">
        <f t="shared" si="118"/>
        <v>0</v>
      </c>
      <c r="AK63" s="17">
        <f t="shared" si="119"/>
        <v>0</v>
      </c>
      <c r="AL63" s="17">
        <f t="shared" si="120"/>
        <v>0</v>
      </c>
      <c r="AM63" s="17">
        <f t="shared" si="121"/>
        <v>0</v>
      </c>
      <c r="AN63" s="17">
        <f t="shared" si="122"/>
        <v>0</v>
      </c>
      <c r="AO63" s="17">
        <f t="shared" si="123"/>
        <v>0</v>
      </c>
      <c r="AP63" s="17">
        <f t="shared" si="124"/>
        <v>0</v>
      </c>
      <c r="AQ63" s="17">
        <f t="shared" si="125"/>
        <v>121.27533238069772</v>
      </c>
      <c r="AR63" s="17">
        <f t="shared" si="126"/>
        <v>0</v>
      </c>
      <c r="AS63" s="17">
        <f t="shared" si="127"/>
        <v>0</v>
      </c>
      <c r="AT63" s="2"/>
      <c r="AU63" s="4">
        <v>11</v>
      </c>
      <c r="AV63" s="4">
        <f t="shared" si="128"/>
        <v>15</v>
      </c>
      <c r="AW63" s="48">
        <f t="shared" si="129"/>
        <v>-14.173060929713053</v>
      </c>
      <c r="AX63" s="48">
        <f t="shared" si="130"/>
        <v>-14.676650756074165</v>
      </c>
      <c r="AY63" s="48">
        <f t="shared" si="131"/>
        <v>-14.863083132301087</v>
      </c>
      <c r="AZ63" s="48">
        <f t="shared" si="132"/>
        <v>-14.427723007002587</v>
      </c>
      <c r="BA63" s="48">
        <f t="shared" si="133"/>
        <v>-13.638207259036289</v>
      </c>
      <c r="BB63" s="48">
        <f t="shared" si="134"/>
        <v>-13.106539092228493</v>
      </c>
      <c r="BC63" s="48">
        <f t="shared" si="135"/>
        <v>-13.271261123223713</v>
      </c>
      <c r="BD63" s="48">
        <f t="shared" si="136"/>
        <v>-13.973913397435394</v>
      </c>
      <c r="BE63" s="48">
        <f t="shared" si="137"/>
        <v>-14.59758159840799</v>
      </c>
      <c r="BF63" s="48">
        <f t="shared" si="138"/>
        <v>3.4927295725640946</v>
      </c>
      <c r="BG63" s="48">
        <f t="shared" si="139"/>
        <v>-14.246150134458455</v>
      </c>
      <c r="BH63" s="48">
        <f t="shared" si="140"/>
        <v>-13.9611441693133</v>
      </c>
      <c r="BJ63" s="4">
        <v>11</v>
      </c>
      <c r="BK63" s="4">
        <f t="shared" si="141"/>
        <v>15</v>
      </c>
      <c r="BL63" s="14" t="e">
        <f t="shared" si="142"/>
        <v>#N/A</v>
      </c>
      <c r="BM63" s="14" t="e">
        <f t="shared" si="143"/>
        <v>#N/A</v>
      </c>
      <c r="BN63" s="14" t="e">
        <f t="shared" si="144"/>
        <v>#N/A</v>
      </c>
      <c r="BO63" s="14" t="e">
        <f t="shared" si="145"/>
        <v>#N/A</v>
      </c>
      <c r="BP63" s="14" t="e">
        <f t="shared" si="146"/>
        <v>#N/A</v>
      </c>
      <c r="BQ63" s="14" t="e">
        <f t="shared" si="147"/>
        <v>#N/A</v>
      </c>
      <c r="BR63" s="14" t="e">
        <f t="shared" si="148"/>
        <v>#N/A</v>
      </c>
      <c r="BS63" s="14" t="e">
        <f t="shared" si="149"/>
        <v>#N/A</v>
      </c>
      <c r="BT63" s="14" t="e">
        <f t="shared" si="150"/>
        <v>#N/A</v>
      </c>
      <c r="BU63" s="14" t="e">
        <f t="shared" si="151"/>
        <v>#N/A</v>
      </c>
      <c r="BV63" s="14" t="e">
        <f t="shared" si="152"/>
        <v>#N/A</v>
      </c>
      <c r="BW63" s="14" t="e">
        <f t="shared" si="153"/>
        <v>#N/A</v>
      </c>
    </row>
    <row r="64" spans="2:76">
      <c r="B64" s="4">
        <v>12</v>
      </c>
      <c r="C64" s="4">
        <f t="shared" si="89"/>
        <v>0</v>
      </c>
      <c r="D64" s="14">
        <f t="shared" si="90"/>
        <v>179.99985282121028</v>
      </c>
      <c r="E64" s="14">
        <f t="shared" si="91"/>
        <v>179.99975742158625</v>
      </c>
      <c r="F64" s="14">
        <f t="shared" si="92"/>
        <v>179.99883622759731</v>
      </c>
      <c r="G64" s="14">
        <f t="shared" si="93"/>
        <v>3.4554741454357788E-4</v>
      </c>
      <c r="H64" s="14">
        <f t="shared" si="94"/>
        <v>1.6839048423251396E-4</v>
      </c>
      <c r="I64" s="14">
        <f t="shared" si="95"/>
        <v>1.3294217984832849E-4</v>
      </c>
      <c r="J64" s="14">
        <f t="shared" si="96"/>
        <v>1.4533223808391261E-4</v>
      </c>
      <c r="K64" s="14">
        <f t="shared" si="97"/>
        <v>2.33556643307082E-4</v>
      </c>
      <c r="L64" s="14">
        <f t="shared" si="98"/>
        <v>1.4801244109837355E-3</v>
      </c>
      <c r="M64" s="14">
        <f t="shared" si="99"/>
        <v>179.99966121534467</v>
      </c>
      <c r="N64" s="14">
        <f t="shared" si="100"/>
        <v>179.99983496751969</v>
      </c>
      <c r="O64" s="14">
        <f t="shared" si="101"/>
        <v>179.99986740920014</v>
      </c>
      <c r="P64" s="2"/>
      <c r="Q64" s="4">
        <v>12</v>
      </c>
      <c r="R64" s="29">
        <f t="shared" si="102"/>
        <v>9.9999999999999995E-7</v>
      </c>
      <c r="S64" s="40">
        <f t="shared" si="103"/>
        <v>3.1415900848353235</v>
      </c>
      <c r="T64" s="40">
        <f t="shared" si="104"/>
        <v>3.1415884197977788</v>
      </c>
      <c r="U64" s="40">
        <f t="shared" si="105"/>
        <v>3.1415723419296224</v>
      </c>
      <c r="V64" s="40">
        <f t="shared" si="106"/>
        <v>6.0309401055391731E-6</v>
      </c>
      <c r="W64" s="40">
        <f t="shared" si="107"/>
        <v>2.9389683788849652E-6</v>
      </c>
      <c r="X64" s="40">
        <f t="shared" si="108"/>
        <v>2.3202787531317881E-6</v>
      </c>
      <c r="Y64" s="40">
        <f t="shared" si="109"/>
        <v>2.5365260638565701E-6</v>
      </c>
      <c r="Z64" s="40">
        <f t="shared" si="110"/>
        <v>4.0763324156145586E-6</v>
      </c>
      <c r="AA64" s="40">
        <f t="shared" si="111"/>
        <v>2.5833044310807907E-5</v>
      </c>
      <c r="AB64" s="40">
        <f t="shared" si="112"/>
        <v>3.1415867406821025</v>
      </c>
      <c r="AC64" s="40">
        <f t="shared" si="113"/>
        <v>3.1415897732296392</v>
      </c>
      <c r="AD64" s="40">
        <f t="shared" si="114"/>
        <v>3.1415903394437779</v>
      </c>
      <c r="AE64" s="2"/>
      <c r="AF64" s="4">
        <v>12.5</v>
      </c>
      <c r="AG64" s="4">
        <f t="shared" si="115"/>
        <v>-7.5</v>
      </c>
      <c r="AH64" s="17">
        <f t="shared" si="116"/>
        <v>0</v>
      </c>
      <c r="AI64" s="17">
        <f t="shared" si="117"/>
        <v>0</v>
      </c>
      <c r="AJ64" s="17">
        <f t="shared" si="118"/>
        <v>0</v>
      </c>
      <c r="AK64" s="17">
        <f t="shared" si="119"/>
        <v>0</v>
      </c>
      <c r="AL64" s="17">
        <f t="shared" si="120"/>
        <v>0</v>
      </c>
      <c r="AM64" s="17">
        <f t="shared" si="121"/>
        <v>0</v>
      </c>
      <c r="AN64" s="17">
        <f t="shared" si="122"/>
        <v>0</v>
      </c>
      <c r="AO64" s="17">
        <f t="shared" si="123"/>
        <v>0</v>
      </c>
      <c r="AP64" s="17">
        <f t="shared" si="124"/>
        <v>0</v>
      </c>
      <c r="AQ64" s="17">
        <f t="shared" si="125"/>
        <v>127.24621166440537</v>
      </c>
      <c r="AR64" s="17">
        <f t="shared" si="126"/>
        <v>0</v>
      </c>
      <c r="AS64" s="17">
        <f t="shared" si="127"/>
        <v>0</v>
      </c>
      <c r="AT64" s="2"/>
      <c r="AU64" s="4">
        <v>12</v>
      </c>
      <c r="AV64" s="4">
        <f t="shared" si="128"/>
        <v>0</v>
      </c>
      <c r="AW64" s="48">
        <f t="shared" si="129"/>
        <v>-14.870858529857328</v>
      </c>
      <c r="AX64" s="48">
        <f t="shared" si="130"/>
        <v>-15.399242137465452</v>
      </c>
      <c r="AY64" s="48">
        <f t="shared" si="131"/>
        <v>-15.594853340014046</v>
      </c>
      <c r="AZ64" s="48">
        <f t="shared" si="132"/>
        <v>-15.138058659954345</v>
      </c>
      <c r="BA64" s="48">
        <f t="shared" si="133"/>
        <v>-14.309671831355631</v>
      </c>
      <c r="BB64" s="48">
        <f t="shared" si="134"/>
        <v>-13.75182747207174</v>
      </c>
      <c r="BC64" s="48">
        <f t="shared" si="135"/>
        <v>-13.924659440538434</v>
      </c>
      <c r="BD64" s="48">
        <f t="shared" si="136"/>
        <v>-14.6619061522617</v>
      </c>
      <c r="BE64" s="48">
        <f t="shared" si="137"/>
        <v>-15.316280082651756</v>
      </c>
      <c r="BF64" s="48">
        <f t="shared" si="138"/>
        <v>3.664690895934875</v>
      </c>
      <c r="BG64" s="48">
        <f t="shared" si="139"/>
        <v>-14.947546214276297</v>
      </c>
      <c r="BH64" s="48">
        <f t="shared" si="140"/>
        <v>-14.64850824295468</v>
      </c>
      <c r="BJ64" s="4">
        <v>12</v>
      </c>
      <c r="BK64" s="4">
        <f t="shared" si="141"/>
        <v>0</v>
      </c>
      <c r="BL64" s="14" t="e">
        <f t="shared" si="142"/>
        <v>#N/A</v>
      </c>
      <c r="BM64" s="14" t="e">
        <f t="shared" si="143"/>
        <v>#N/A</v>
      </c>
      <c r="BN64" s="14" t="e">
        <f t="shared" si="144"/>
        <v>#N/A</v>
      </c>
      <c r="BO64" s="14" t="e">
        <f t="shared" si="145"/>
        <v>#N/A</v>
      </c>
      <c r="BP64" s="14" t="e">
        <f t="shared" si="146"/>
        <v>#N/A</v>
      </c>
      <c r="BQ64" s="14" t="e">
        <f t="shared" si="147"/>
        <v>#N/A</v>
      </c>
      <c r="BR64" s="14" t="e">
        <f t="shared" si="148"/>
        <v>#N/A</v>
      </c>
      <c r="BS64" s="14" t="e">
        <f t="shared" si="149"/>
        <v>#N/A</v>
      </c>
      <c r="BT64" s="14" t="e">
        <f t="shared" si="150"/>
        <v>#N/A</v>
      </c>
      <c r="BU64" s="14" t="e">
        <f t="shared" si="151"/>
        <v>#N/A</v>
      </c>
      <c r="BV64" s="14" t="e">
        <f t="shared" si="152"/>
        <v>#N/A</v>
      </c>
      <c r="BW64" s="14" t="e">
        <f t="shared" si="153"/>
        <v>#N/A</v>
      </c>
    </row>
    <row r="65" spans="2:75">
      <c r="B65" s="4">
        <v>13</v>
      </c>
      <c r="C65" s="4">
        <f t="shared" si="89"/>
        <v>-15</v>
      </c>
      <c r="D65" s="14">
        <f t="shared" si="90"/>
        <v>146.38084128486551</v>
      </c>
      <c r="E65" s="14">
        <f t="shared" si="91"/>
        <v>132.38270496759549</v>
      </c>
      <c r="F65" s="14">
        <f t="shared" si="92"/>
        <v>100.77142983832985</v>
      </c>
      <c r="G65" s="14">
        <f t="shared" si="93"/>
        <v>57.353685473729662</v>
      </c>
      <c r="H65" s="14">
        <f t="shared" si="94"/>
        <v>37.257519179545426</v>
      </c>
      <c r="I65" s="14">
        <f t="shared" si="95"/>
        <v>30.987050587580477</v>
      </c>
      <c r="J65" s="14">
        <f t="shared" si="96"/>
        <v>33.283514215146198</v>
      </c>
      <c r="K65" s="14">
        <f t="shared" si="97"/>
        <v>46.53377164674211</v>
      </c>
      <c r="L65" s="14">
        <f t="shared" si="98"/>
        <v>81.493358420017486</v>
      </c>
      <c r="M65" s="14">
        <f t="shared" si="99"/>
        <v>123.16289463103949</v>
      </c>
      <c r="N65" s="14">
        <f t="shared" si="100"/>
        <v>143.29880364796517</v>
      </c>
      <c r="O65" s="14">
        <f t="shared" si="101"/>
        <v>149.08235007403692</v>
      </c>
      <c r="P65" s="2"/>
      <c r="Q65" s="4">
        <v>13</v>
      </c>
      <c r="R65" s="29">
        <f t="shared" si="102"/>
        <v>-0.26179838779914943</v>
      </c>
      <c r="S65" s="40">
        <f t="shared" si="103"/>
        <v>2.5548276422601499</v>
      </c>
      <c r="T65" s="40">
        <f t="shared" si="104"/>
        <v>2.3105140743807944</v>
      </c>
      <c r="U65" s="40">
        <f t="shared" si="105"/>
        <v>1.7587932426213129</v>
      </c>
      <c r="V65" s="40">
        <f t="shared" si="106"/>
        <v>1.0010106496698263</v>
      </c>
      <c r="W65" s="40">
        <f t="shared" si="107"/>
        <v>0.65026638080800403</v>
      </c>
      <c r="X65" s="40">
        <f t="shared" si="108"/>
        <v>0.54082605823532282</v>
      </c>
      <c r="Y65" s="40">
        <f t="shared" si="109"/>
        <v>0.58090690968863745</v>
      </c>
      <c r="Z65" s="40">
        <f t="shared" si="110"/>
        <v>0.8121675286068335</v>
      </c>
      <c r="AA65" s="40">
        <f t="shared" si="111"/>
        <v>1.4223274229371492</v>
      </c>
      <c r="AB65" s="40">
        <f t="shared" si="112"/>
        <v>2.1495980275984858</v>
      </c>
      <c r="AC65" s="40">
        <f t="shared" si="113"/>
        <v>2.5010359378258538</v>
      </c>
      <c r="AD65" s="40">
        <f t="shared" si="114"/>
        <v>2.6019778654027563</v>
      </c>
      <c r="AE65" s="2"/>
      <c r="AF65" s="4">
        <v>13.5</v>
      </c>
      <c r="AG65" s="4">
        <f t="shared" si="115"/>
        <v>-22.5</v>
      </c>
      <c r="AH65" s="17">
        <f t="shared" si="116"/>
        <v>0</v>
      </c>
      <c r="AI65" s="17">
        <f t="shared" si="117"/>
        <v>0</v>
      </c>
      <c r="AJ65" s="17">
        <f t="shared" si="118"/>
        <v>0</v>
      </c>
      <c r="AK65" s="17">
        <f t="shared" si="119"/>
        <v>0</v>
      </c>
      <c r="AL65" s="17">
        <f t="shared" si="120"/>
        <v>0</v>
      </c>
      <c r="AM65" s="17">
        <f t="shared" si="121"/>
        <v>0</v>
      </c>
      <c r="AN65" s="17">
        <f t="shared" si="122"/>
        <v>0</v>
      </c>
      <c r="AO65" s="17">
        <f t="shared" si="123"/>
        <v>0</v>
      </c>
      <c r="AP65" s="17">
        <f t="shared" si="124"/>
        <v>0</v>
      </c>
      <c r="AQ65" s="17">
        <f t="shared" si="125"/>
        <v>121.27542221046991</v>
      </c>
      <c r="AR65" s="17">
        <f t="shared" si="126"/>
        <v>0</v>
      </c>
      <c r="AS65" s="17">
        <f t="shared" si="127"/>
        <v>0</v>
      </c>
      <c r="AT65" s="2"/>
      <c r="AU65" s="4">
        <v>13</v>
      </c>
      <c r="AV65" s="4">
        <f t="shared" si="128"/>
        <v>-15</v>
      </c>
      <c r="AW65" s="48">
        <f t="shared" si="129"/>
        <v>-14.173071427831752</v>
      </c>
      <c r="AX65" s="48">
        <f t="shared" si="130"/>
        <v>-14.676661627206558</v>
      </c>
      <c r="AY65" s="48">
        <f t="shared" si="131"/>
        <v>-14.863094141525682</v>
      </c>
      <c r="AZ65" s="48">
        <f t="shared" si="132"/>
        <v>-14.42773369375187</v>
      </c>
      <c r="BA65" s="48">
        <f t="shared" si="133"/>
        <v>-13.638217360983877</v>
      </c>
      <c r="BB65" s="48">
        <f t="shared" si="134"/>
        <v>-13.106548800364502</v>
      </c>
      <c r="BC65" s="48">
        <f t="shared" si="135"/>
        <v>-13.271270953370868</v>
      </c>
      <c r="BD65" s="48">
        <f t="shared" si="136"/>
        <v>-13.973923748043656</v>
      </c>
      <c r="BE65" s="48">
        <f t="shared" si="137"/>
        <v>-14.597592410973117</v>
      </c>
      <c r="BF65" s="48">
        <f t="shared" si="138"/>
        <v>3.4927321596615339</v>
      </c>
      <c r="BG65" s="48">
        <f t="shared" si="139"/>
        <v>-14.246160686715013</v>
      </c>
      <c r="BH65" s="48">
        <f t="shared" si="140"/>
        <v>-13.961154510463276</v>
      </c>
      <c r="BJ65" s="4">
        <v>13</v>
      </c>
      <c r="BK65" s="4">
        <f t="shared" si="141"/>
        <v>-15</v>
      </c>
      <c r="BL65" s="14" t="e">
        <f t="shared" si="142"/>
        <v>#N/A</v>
      </c>
      <c r="BM65" s="14" t="e">
        <f t="shared" si="143"/>
        <v>#N/A</v>
      </c>
      <c r="BN65" s="14" t="e">
        <f t="shared" si="144"/>
        <v>#N/A</v>
      </c>
      <c r="BO65" s="14" t="e">
        <f t="shared" si="145"/>
        <v>#N/A</v>
      </c>
      <c r="BP65" s="14" t="e">
        <f t="shared" si="146"/>
        <v>#N/A</v>
      </c>
      <c r="BQ65" s="14" t="e">
        <f t="shared" si="147"/>
        <v>#N/A</v>
      </c>
      <c r="BR65" s="14" t="e">
        <f t="shared" si="148"/>
        <v>#N/A</v>
      </c>
      <c r="BS65" s="14" t="e">
        <f t="shared" si="149"/>
        <v>#N/A</v>
      </c>
      <c r="BT65" s="14" t="e">
        <f t="shared" si="150"/>
        <v>#N/A</v>
      </c>
      <c r="BU65" s="14" t="e">
        <f t="shared" si="151"/>
        <v>#N/A</v>
      </c>
      <c r="BV65" s="14" t="e">
        <f t="shared" si="152"/>
        <v>#N/A</v>
      </c>
      <c r="BW65" s="14" t="e">
        <f t="shared" si="153"/>
        <v>#N/A</v>
      </c>
    </row>
    <row r="66" spans="2:75">
      <c r="B66" s="4">
        <v>14</v>
      </c>
      <c r="C66" s="4">
        <f t="shared" si="89"/>
        <v>-30</v>
      </c>
      <c r="D66" s="14">
        <f t="shared" si="90"/>
        <v>127.90223757018539</v>
      </c>
      <c r="E66" s="14">
        <f t="shared" si="91"/>
        <v>115.2851664013277</v>
      </c>
      <c r="F66" s="14">
        <f t="shared" si="92"/>
        <v>95.624186403281357</v>
      </c>
      <c r="G66" s="14">
        <f t="shared" si="93"/>
        <v>71.652797568603035</v>
      </c>
      <c r="H66" s="14">
        <f t="shared" si="94"/>
        <v>55.763071865013366</v>
      </c>
      <c r="I66" s="14">
        <f t="shared" si="95"/>
        <v>49.240833498051103</v>
      </c>
      <c r="J66" s="14">
        <f t="shared" si="96"/>
        <v>51.743463342487793</v>
      </c>
      <c r="K66" s="14">
        <f t="shared" si="97"/>
        <v>63.865598719218191</v>
      </c>
      <c r="L66" s="14">
        <f t="shared" si="98"/>
        <v>85.572836656183853</v>
      </c>
      <c r="M66" s="14">
        <f t="shared" si="99"/>
        <v>108.68829385907935</v>
      </c>
      <c r="N66" s="14">
        <f t="shared" si="100"/>
        <v>124.77739379794636</v>
      </c>
      <c r="O66" s="14">
        <f t="shared" si="101"/>
        <v>130.83699257721872</v>
      </c>
      <c r="P66" s="2"/>
      <c r="Q66" s="4">
        <v>14</v>
      </c>
      <c r="R66" s="29">
        <f t="shared" si="102"/>
        <v>-0.52359777559829879</v>
      </c>
      <c r="S66" s="40">
        <f t="shared" si="103"/>
        <v>2.232315166267727</v>
      </c>
      <c r="T66" s="40">
        <f t="shared" si="104"/>
        <v>2.012105732412711</v>
      </c>
      <c r="U66" s="40">
        <f t="shared" si="105"/>
        <v>1.6689568972780537</v>
      </c>
      <c r="V66" s="40">
        <f t="shared" si="106"/>
        <v>1.2505772358371106</v>
      </c>
      <c r="W66" s="40">
        <f t="shared" si="107"/>
        <v>0.97324920507069823</v>
      </c>
      <c r="X66" s="40">
        <f t="shared" si="108"/>
        <v>0.8594146709673085</v>
      </c>
      <c r="Y66" s="40">
        <f t="shared" si="109"/>
        <v>0.9030938017114023</v>
      </c>
      <c r="Z66" s="40">
        <f t="shared" si="110"/>
        <v>1.1146649764078309</v>
      </c>
      <c r="AA66" s="40">
        <f t="shared" si="111"/>
        <v>1.493527749921703</v>
      </c>
      <c r="AB66" s="40">
        <f t="shared" si="112"/>
        <v>1.8969685862160683</v>
      </c>
      <c r="AC66" s="40">
        <f t="shared" si="113"/>
        <v>2.1777763538317161</v>
      </c>
      <c r="AD66" s="40">
        <f t="shared" si="114"/>
        <v>2.2835363038798482</v>
      </c>
      <c r="AE66" s="2"/>
      <c r="AF66" s="4">
        <v>14.5</v>
      </c>
      <c r="AG66" s="4">
        <f t="shared" si="115"/>
        <v>-37.5</v>
      </c>
      <c r="AH66" s="17">
        <f t="shared" si="116"/>
        <v>0</v>
      </c>
      <c r="AI66" s="17">
        <f t="shared" si="117"/>
        <v>0</v>
      </c>
      <c r="AJ66" s="17">
        <f t="shared" si="118"/>
        <v>0</v>
      </c>
      <c r="AK66" s="17">
        <f t="shared" si="119"/>
        <v>0</v>
      </c>
      <c r="AL66" s="17">
        <f t="shared" si="120"/>
        <v>0</v>
      </c>
      <c r="AM66" s="17">
        <f t="shared" si="121"/>
        <v>0</v>
      </c>
      <c r="AN66" s="17">
        <f t="shared" si="122"/>
        <v>0</v>
      </c>
      <c r="AO66" s="17">
        <f t="shared" si="123"/>
        <v>0</v>
      </c>
      <c r="AP66" s="17">
        <f t="shared" si="124"/>
        <v>0</v>
      </c>
      <c r="AQ66" s="17">
        <f t="shared" si="125"/>
        <v>104.43474118247462</v>
      </c>
      <c r="AR66" s="17">
        <f t="shared" si="126"/>
        <v>0</v>
      </c>
      <c r="AS66" s="17">
        <f t="shared" si="127"/>
        <v>0</v>
      </c>
      <c r="AT66" s="2"/>
      <c r="AU66" s="4">
        <v>14</v>
      </c>
      <c r="AV66" s="4">
        <f t="shared" si="128"/>
        <v>-30</v>
      </c>
      <c r="AW66" s="48">
        <f t="shared" si="129"/>
        <v>-12.204954799147675</v>
      </c>
      <c r="AX66" s="48">
        <f t="shared" si="130"/>
        <v>-12.638614902531739</v>
      </c>
      <c r="AY66" s="48">
        <f t="shared" si="131"/>
        <v>-12.799158820054666</v>
      </c>
      <c r="AZ66" s="48">
        <f t="shared" si="132"/>
        <v>-12.424253873482407</v>
      </c>
      <c r="BA66" s="48">
        <f t="shared" si="133"/>
        <v>-11.744372225831928</v>
      </c>
      <c r="BB66" s="48">
        <f t="shared" si="134"/>
        <v>-11.286532809476139</v>
      </c>
      <c r="BC66" s="48">
        <f t="shared" si="135"/>
        <v>-11.428381133750658</v>
      </c>
      <c r="BD66" s="48">
        <f t="shared" si="136"/>
        <v>-12.033461383444154</v>
      </c>
      <c r="BE66" s="48">
        <f t="shared" si="137"/>
        <v>-12.570525482743864</v>
      </c>
      <c r="BF66" s="48">
        <f t="shared" si="138"/>
        <v>3.0077205460552694</v>
      </c>
      <c r="BG66" s="48">
        <f t="shared" si="139"/>
        <v>-12.267894656998223</v>
      </c>
      <c r="BH66" s="48">
        <f t="shared" si="140"/>
        <v>-12.022465321773138</v>
      </c>
      <c r="BJ66" s="4">
        <v>14</v>
      </c>
      <c r="BK66" s="4">
        <f t="shared" si="141"/>
        <v>-30</v>
      </c>
      <c r="BL66" s="14" t="e">
        <f t="shared" si="142"/>
        <v>#N/A</v>
      </c>
      <c r="BM66" s="14" t="e">
        <f t="shared" si="143"/>
        <v>#N/A</v>
      </c>
      <c r="BN66" s="14" t="e">
        <f t="shared" si="144"/>
        <v>#N/A</v>
      </c>
      <c r="BO66" s="14" t="e">
        <f t="shared" si="145"/>
        <v>#N/A</v>
      </c>
      <c r="BP66" s="14" t="e">
        <f t="shared" si="146"/>
        <v>#N/A</v>
      </c>
      <c r="BQ66" s="14" t="e">
        <f t="shared" si="147"/>
        <v>#N/A</v>
      </c>
      <c r="BR66" s="14" t="e">
        <f t="shared" si="148"/>
        <v>#N/A</v>
      </c>
      <c r="BS66" s="14" t="e">
        <f t="shared" si="149"/>
        <v>#N/A</v>
      </c>
      <c r="BT66" s="14" t="e">
        <f t="shared" si="150"/>
        <v>#N/A</v>
      </c>
      <c r="BU66" s="14" t="e">
        <f t="shared" si="151"/>
        <v>#N/A</v>
      </c>
      <c r="BV66" s="14" t="e">
        <f t="shared" si="152"/>
        <v>#N/A</v>
      </c>
      <c r="BW66" s="14" t="e">
        <f t="shared" si="153"/>
        <v>#N/A</v>
      </c>
    </row>
    <row r="67" spans="2:75">
      <c r="B67" s="4">
        <v>15</v>
      </c>
      <c r="C67" s="4">
        <f t="shared" si="89"/>
        <v>-45</v>
      </c>
      <c r="D67" s="14">
        <f t="shared" si="90"/>
        <v>118.83329187578349</v>
      </c>
      <c r="E67" s="14">
        <f t="shared" si="91"/>
        <v>108.4705387443303</v>
      </c>
      <c r="F67" s="14">
        <f t="shared" si="92"/>
        <v>93.983290150621471</v>
      </c>
      <c r="G67" s="14">
        <f t="shared" si="93"/>
        <v>76.802629199344906</v>
      </c>
      <c r="H67" s="14">
        <f t="shared" si="94"/>
        <v>64.30242178981409</v>
      </c>
      <c r="I67" s="14">
        <f t="shared" si="95"/>
        <v>58.638574689996659</v>
      </c>
      <c r="J67" s="14">
        <f t="shared" si="96"/>
        <v>60.857341480434769</v>
      </c>
      <c r="K67" s="14">
        <f t="shared" si="97"/>
        <v>70.866581106458042</v>
      </c>
      <c r="L67" s="14">
        <f t="shared" si="98"/>
        <v>86.866408158847349</v>
      </c>
      <c r="M67" s="14">
        <f t="shared" si="99"/>
        <v>103.45136933155896</v>
      </c>
      <c r="N67" s="14">
        <f t="shared" si="100"/>
        <v>116.15279313317127</v>
      </c>
      <c r="O67" s="14">
        <f t="shared" si="101"/>
        <v>121.43139189485497</v>
      </c>
      <c r="P67" s="2"/>
      <c r="Q67" s="4">
        <v>15</v>
      </c>
      <c r="R67" s="29">
        <f t="shared" si="102"/>
        <v>-0.78539716339744825</v>
      </c>
      <c r="S67" s="40">
        <f t="shared" si="103"/>
        <v>2.0740322042158503</v>
      </c>
      <c r="T67" s="40">
        <f t="shared" si="104"/>
        <v>1.8931680425006394</v>
      </c>
      <c r="U67" s="40">
        <f t="shared" si="105"/>
        <v>1.6403178549855022</v>
      </c>
      <c r="V67" s="40">
        <f t="shared" si="106"/>
        <v>1.340458753716905</v>
      </c>
      <c r="W67" s="40">
        <f t="shared" si="107"/>
        <v>1.122288977238401</v>
      </c>
      <c r="X67" s="40">
        <f t="shared" si="108"/>
        <v>1.0234361970170549</v>
      </c>
      <c r="Y67" s="40">
        <f t="shared" si="109"/>
        <v>1.062160982844107</v>
      </c>
      <c r="Z67" s="40">
        <f t="shared" si="110"/>
        <v>1.2368551699392989</v>
      </c>
      <c r="AA67" s="40">
        <f t="shared" si="111"/>
        <v>1.5161048317531516</v>
      </c>
      <c r="AB67" s="40">
        <f t="shared" si="112"/>
        <v>1.8055670105323893</v>
      </c>
      <c r="AC67" s="40">
        <f t="shared" si="113"/>
        <v>2.0272486755616992</v>
      </c>
      <c r="AD67" s="40">
        <f t="shared" si="114"/>
        <v>2.1193776038447751</v>
      </c>
      <c r="AE67" s="2"/>
      <c r="AF67" s="4">
        <v>15.5</v>
      </c>
      <c r="AG67" s="4">
        <f t="shared" si="115"/>
        <v>-52.5</v>
      </c>
      <c r="AH67" s="17">
        <f t="shared" si="116"/>
        <v>0</v>
      </c>
      <c r="AI67" s="17">
        <f t="shared" si="117"/>
        <v>0</v>
      </c>
      <c r="AJ67" s="17">
        <f t="shared" si="118"/>
        <v>0</v>
      </c>
      <c r="AK67" s="17">
        <f t="shared" si="119"/>
        <v>0</v>
      </c>
      <c r="AL67" s="17">
        <f t="shared" si="120"/>
        <v>0</v>
      </c>
      <c r="AM67" s="17">
        <f t="shared" si="121"/>
        <v>0</v>
      </c>
      <c r="AN67" s="17">
        <f t="shared" si="122"/>
        <v>0</v>
      </c>
      <c r="AO67" s="17">
        <f t="shared" si="123"/>
        <v>0</v>
      </c>
      <c r="AP67" s="17">
        <f t="shared" si="124"/>
        <v>0</v>
      </c>
      <c r="AQ67" s="17">
        <f t="shared" si="125"/>
        <v>79.688322825237847</v>
      </c>
      <c r="AR67" s="17">
        <f t="shared" si="126"/>
        <v>0</v>
      </c>
      <c r="AS67" s="17">
        <f t="shared" si="127"/>
        <v>0</v>
      </c>
      <c r="AT67" s="2"/>
      <c r="AU67" s="4">
        <v>15</v>
      </c>
      <c r="AV67" s="4">
        <f t="shared" si="128"/>
        <v>-45</v>
      </c>
      <c r="AW67" s="48">
        <f t="shared" si="129"/>
        <v>-9.312919887478289</v>
      </c>
      <c r="AX67" s="48">
        <f t="shared" si="130"/>
        <v>-9.6438217111780702</v>
      </c>
      <c r="AY67" s="48">
        <f t="shared" si="131"/>
        <v>-9.7663238151938376</v>
      </c>
      <c r="AZ67" s="48">
        <f t="shared" si="132"/>
        <v>-9.4802547727185154</v>
      </c>
      <c r="BA67" s="48">
        <f t="shared" si="133"/>
        <v>-8.9614750294311545</v>
      </c>
      <c r="BB67" s="48">
        <f t="shared" si="134"/>
        <v>-8.6121233213732911</v>
      </c>
      <c r="BC67" s="48">
        <f t="shared" si="135"/>
        <v>-8.7203598615228604</v>
      </c>
      <c r="BD67" s="48">
        <f t="shared" si="136"/>
        <v>-9.1820628324576159</v>
      </c>
      <c r="BE67" s="48">
        <f t="shared" si="137"/>
        <v>-9.5918664747921358</v>
      </c>
      <c r="BF67" s="48">
        <f t="shared" si="138"/>
        <v>2.2950236973668505</v>
      </c>
      <c r="BG67" s="48">
        <f t="shared" si="139"/>
        <v>-9.3609457805305407</v>
      </c>
      <c r="BH67" s="48">
        <f t="shared" si="140"/>
        <v>-9.1736723514517315</v>
      </c>
      <c r="BJ67" s="4">
        <v>15</v>
      </c>
      <c r="BK67" s="4">
        <f t="shared" si="141"/>
        <v>-45</v>
      </c>
      <c r="BL67" s="14" t="e">
        <f t="shared" si="142"/>
        <v>#N/A</v>
      </c>
      <c r="BM67" s="14" t="e">
        <f t="shared" si="143"/>
        <v>#N/A</v>
      </c>
      <c r="BN67" s="14" t="e">
        <f t="shared" si="144"/>
        <v>#N/A</v>
      </c>
      <c r="BO67" s="14" t="e">
        <f t="shared" si="145"/>
        <v>#N/A</v>
      </c>
      <c r="BP67" s="14" t="e">
        <f t="shared" si="146"/>
        <v>#N/A</v>
      </c>
      <c r="BQ67" s="14" t="e">
        <f t="shared" si="147"/>
        <v>#N/A</v>
      </c>
      <c r="BR67" s="14" t="e">
        <f t="shared" si="148"/>
        <v>#N/A</v>
      </c>
      <c r="BS67" s="14" t="e">
        <f t="shared" si="149"/>
        <v>#N/A</v>
      </c>
      <c r="BT67" s="14" t="e">
        <f t="shared" si="150"/>
        <v>#N/A</v>
      </c>
      <c r="BU67" s="14" t="e">
        <f t="shared" si="151"/>
        <v>#N/A</v>
      </c>
      <c r="BV67" s="14" t="e">
        <f t="shared" si="152"/>
        <v>#N/A</v>
      </c>
      <c r="BW67" s="14" t="e">
        <f t="shared" si="153"/>
        <v>#N/A</v>
      </c>
    </row>
    <row r="68" spans="2:75">
      <c r="B68" s="4">
        <v>16</v>
      </c>
      <c r="C68" s="4">
        <f t="shared" si="89"/>
        <v>-60</v>
      </c>
      <c r="D68" s="14">
        <f t="shared" si="90"/>
        <v>114.20346993255114</v>
      </c>
      <c r="E68" s="14">
        <f t="shared" si="91"/>
        <v>105.25521388170914</v>
      </c>
      <c r="F68" s="14">
        <f t="shared" si="92"/>
        <v>93.254088011122136</v>
      </c>
      <c r="G68" s="14">
        <f t="shared" si="93"/>
        <v>79.160878792555266</v>
      </c>
      <c r="H68" s="14">
        <f t="shared" si="94"/>
        <v>68.549610515045686</v>
      </c>
      <c r="I68" s="14">
        <f t="shared" si="95"/>
        <v>63.543353328650625</v>
      </c>
      <c r="J68" s="14">
        <f t="shared" si="96"/>
        <v>65.522478339265675</v>
      </c>
      <c r="K68" s="14">
        <f t="shared" si="97"/>
        <v>74.18413214144455</v>
      </c>
      <c r="L68" s="14">
        <f t="shared" si="98"/>
        <v>87.440583713704356</v>
      </c>
      <c r="M68" s="14">
        <f t="shared" si="99"/>
        <v>101.05024806391762</v>
      </c>
      <c r="N68" s="14">
        <f t="shared" si="100"/>
        <v>111.84736414101442</v>
      </c>
      <c r="O68" s="14">
        <f t="shared" si="101"/>
        <v>116.51945620671391</v>
      </c>
      <c r="P68" s="2"/>
      <c r="Q68" s="4">
        <v>16</v>
      </c>
      <c r="R68" s="29">
        <f t="shared" si="102"/>
        <v>-1.0471965511965977</v>
      </c>
      <c r="S68" s="40">
        <f t="shared" si="103"/>
        <v>1.993226567525364</v>
      </c>
      <c r="T68" s="40">
        <f t="shared" si="104"/>
        <v>1.8370500371266658</v>
      </c>
      <c r="U68" s="40">
        <f t="shared" si="105"/>
        <v>1.6275908767386518</v>
      </c>
      <c r="V68" s="40">
        <f t="shared" si="106"/>
        <v>1.3816179737022427</v>
      </c>
      <c r="W68" s="40">
        <f t="shared" si="107"/>
        <v>1.1964164044472732</v>
      </c>
      <c r="X68" s="40">
        <f t="shared" si="108"/>
        <v>1.1090407333430519</v>
      </c>
      <c r="Y68" s="40">
        <f t="shared" si="109"/>
        <v>1.1435829810868521</v>
      </c>
      <c r="Z68" s="40">
        <f t="shared" si="110"/>
        <v>1.2947573586027592</v>
      </c>
      <c r="AA68" s="40">
        <f t="shared" si="111"/>
        <v>1.5261260856698717</v>
      </c>
      <c r="AB68" s="40">
        <f t="shared" si="112"/>
        <v>1.7636595386723879</v>
      </c>
      <c r="AC68" s="40">
        <f t="shared" si="113"/>
        <v>1.9521047639377409</v>
      </c>
      <c r="AD68" s="40">
        <f t="shared" si="114"/>
        <v>2.0336481534405002</v>
      </c>
      <c r="AE68" s="2"/>
      <c r="AF68" s="4">
        <v>16.5</v>
      </c>
      <c r="AG68" s="4">
        <f t="shared" si="115"/>
        <v>-67.5</v>
      </c>
      <c r="AH68" s="17">
        <f t="shared" si="116"/>
        <v>0</v>
      </c>
      <c r="AI68" s="17">
        <f t="shared" si="117"/>
        <v>0</v>
      </c>
      <c r="AJ68" s="17">
        <f t="shared" si="118"/>
        <v>0</v>
      </c>
      <c r="AK68" s="17">
        <f t="shared" si="119"/>
        <v>0</v>
      </c>
      <c r="AL68" s="17">
        <f t="shared" si="120"/>
        <v>0</v>
      </c>
      <c r="AM68" s="17">
        <f t="shared" si="121"/>
        <v>0</v>
      </c>
      <c r="AN68" s="17">
        <f t="shared" si="122"/>
        <v>0</v>
      </c>
      <c r="AO68" s="17">
        <f t="shared" si="123"/>
        <v>0</v>
      </c>
      <c r="AP68" s="17">
        <f t="shared" si="124"/>
        <v>0</v>
      </c>
      <c r="AQ68" s="17">
        <f t="shared" si="125"/>
        <v>51.203969313184011</v>
      </c>
      <c r="AR68" s="17">
        <f t="shared" si="126"/>
        <v>0</v>
      </c>
      <c r="AS68" s="17">
        <f t="shared" si="127"/>
        <v>0</v>
      </c>
      <c r="AT68" s="2"/>
      <c r="AU68" s="4">
        <v>16</v>
      </c>
      <c r="AV68" s="4">
        <f t="shared" si="128"/>
        <v>-60</v>
      </c>
      <c r="AW68" s="48">
        <f t="shared" si="129"/>
        <v>-5.9840444274421971</v>
      </c>
      <c r="AX68" s="48">
        <f t="shared" si="130"/>
        <v>-6.1966663803920472</v>
      </c>
      <c r="AY68" s="48">
        <f t="shared" si="131"/>
        <v>-6.2753804723999833</v>
      </c>
      <c r="AZ68" s="48">
        <f t="shared" si="132"/>
        <v>-6.0915659566335743</v>
      </c>
      <c r="BA68" s="48">
        <f t="shared" si="133"/>
        <v>-5.7582224865514737</v>
      </c>
      <c r="BB68" s="48">
        <f t="shared" si="134"/>
        <v>-5.5337455054242213</v>
      </c>
      <c r="BC68" s="48">
        <f t="shared" si="135"/>
        <v>-5.6032932168566489</v>
      </c>
      <c r="BD68" s="48">
        <f t="shared" si="136"/>
        <v>-5.8999618367671918</v>
      </c>
      <c r="BE68" s="48">
        <f t="shared" si="137"/>
        <v>-6.1632823884187333</v>
      </c>
      <c r="BF68" s="48">
        <f t="shared" si="138"/>
        <v>1.4746743162196998</v>
      </c>
      <c r="BG68" s="48">
        <f t="shared" si="139"/>
        <v>-6.0149036081464864</v>
      </c>
      <c r="BH68" s="48">
        <f t="shared" si="140"/>
        <v>-5.8945705081921078</v>
      </c>
      <c r="BJ68" s="4">
        <v>16</v>
      </c>
      <c r="BK68" s="4">
        <f t="shared" si="141"/>
        <v>-60</v>
      </c>
      <c r="BL68" s="14" t="e">
        <f t="shared" si="142"/>
        <v>#N/A</v>
      </c>
      <c r="BM68" s="14" t="e">
        <f t="shared" si="143"/>
        <v>#N/A</v>
      </c>
      <c r="BN68" s="14" t="e">
        <f t="shared" si="144"/>
        <v>#N/A</v>
      </c>
      <c r="BO68" s="14" t="e">
        <f t="shared" si="145"/>
        <v>#N/A</v>
      </c>
      <c r="BP68" s="14" t="e">
        <f t="shared" si="146"/>
        <v>#N/A</v>
      </c>
      <c r="BQ68" s="14" t="e">
        <f t="shared" si="147"/>
        <v>#N/A</v>
      </c>
      <c r="BR68" s="14" t="e">
        <f t="shared" si="148"/>
        <v>#N/A</v>
      </c>
      <c r="BS68" s="14" t="e">
        <f t="shared" si="149"/>
        <v>#N/A</v>
      </c>
      <c r="BT68" s="14" t="e">
        <f t="shared" si="150"/>
        <v>#N/A</v>
      </c>
      <c r="BU68" s="14" t="e">
        <f t="shared" si="151"/>
        <v>#N/A</v>
      </c>
      <c r="BV68" s="14" t="e">
        <f t="shared" si="152"/>
        <v>#N/A</v>
      </c>
      <c r="BW68" s="14" t="e">
        <f t="shared" si="153"/>
        <v>#N/A</v>
      </c>
    </row>
    <row r="69" spans="2:75">
      <c r="B69" s="4">
        <v>17</v>
      </c>
      <c r="C69" s="4">
        <f t="shared" si="89"/>
        <v>-75</v>
      </c>
      <c r="D69" s="14">
        <f t="shared" si="90"/>
        <v>111.94954005372071</v>
      </c>
      <c r="E69" s="14">
        <f t="shared" si="91"/>
        <v>103.7404671174484</v>
      </c>
      <c r="F69" s="14">
        <f t="shared" si="92"/>
        <v>92.918149751456653</v>
      </c>
      <c r="G69" s="14">
        <f t="shared" si="93"/>
        <v>80.25924002102856</v>
      </c>
      <c r="H69" s="14">
        <f t="shared" si="94"/>
        <v>70.593969727538592</v>
      </c>
      <c r="I69" s="14">
        <f t="shared" si="95"/>
        <v>65.955043965413978</v>
      </c>
      <c r="J69" s="14">
        <f t="shared" si="96"/>
        <v>67.796282339409174</v>
      </c>
      <c r="K69" s="14">
        <f t="shared" si="97"/>
        <v>75.749689571876416</v>
      </c>
      <c r="L69" s="14">
        <f t="shared" si="98"/>
        <v>87.704991503494909</v>
      </c>
      <c r="M69" s="14">
        <f t="shared" si="99"/>
        <v>99.931399088869924</v>
      </c>
      <c r="N69" s="14">
        <f t="shared" si="100"/>
        <v>109.77171050097316</v>
      </c>
      <c r="O69" s="14">
        <f t="shared" si="101"/>
        <v>114.10355607508363</v>
      </c>
      <c r="P69" s="2"/>
      <c r="Q69" s="4">
        <v>17</v>
      </c>
      <c r="R69" s="29">
        <f t="shared" si="102"/>
        <v>-1.3089959389957473</v>
      </c>
      <c r="S69" s="40">
        <f t="shared" si="103"/>
        <v>1.953888070030696</v>
      </c>
      <c r="T69" s="40">
        <f t="shared" si="104"/>
        <v>1.8106127187563856</v>
      </c>
      <c r="U69" s="40">
        <f t="shared" si="105"/>
        <v>1.6217276480240694</v>
      </c>
      <c r="V69" s="40">
        <f t="shared" si="106"/>
        <v>1.4007879935153513</v>
      </c>
      <c r="W69" s="40">
        <f t="shared" si="107"/>
        <v>1.2320972037987528</v>
      </c>
      <c r="X69" s="40">
        <f t="shared" si="108"/>
        <v>1.1511326754940909</v>
      </c>
      <c r="Y69" s="40">
        <f t="shared" si="109"/>
        <v>1.1832683474343739</v>
      </c>
      <c r="Z69" s="40">
        <f t="shared" si="110"/>
        <v>1.3220814903928573</v>
      </c>
      <c r="AA69" s="40">
        <f t="shared" si="111"/>
        <v>1.5307408721696381</v>
      </c>
      <c r="AB69" s="40">
        <f t="shared" si="112"/>
        <v>1.7441319402252418</v>
      </c>
      <c r="AC69" s="40">
        <f t="shared" si="113"/>
        <v>1.9158777737880157</v>
      </c>
      <c r="AD69" s="40">
        <f t="shared" si="114"/>
        <v>1.9914827417441874</v>
      </c>
      <c r="AE69" s="2"/>
      <c r="AF69" s="4">
        <v>17.5</v>
      </c>
      <c r="AG69" s="4">
        <f t="shared" si="115"/>
        <v>-82.5</v>
      </c>
      <c r="AH69" s="17">
        <f t="shared" si="116"/>
        <v>0</v>
      </c>
      <c r="AI69" s="17">
        <f t="shared" si="117"/>
        <v>0</v>
      </c>
      <c r="AJ69" s="17">
        <f t="shared" si="118"/>
        <v>0</v>
      </c>
      <c r="AK69" s="17">
        <f t="shared" si="119"/>
        <v>0</v>
      </c>
      <c r="AL69" s="17">
        <f t="shared" si="120"/>
        <v>0</v>
      </c>
      <c r="AM69" s="17">
        <f t="shared" si="121"/>
        <v>0</v>
      </c>
      <c r="AN69" s="17">
        <f t="shared" si="122"/>
        <v>0</v>
      </c>
      <c r="AO69" s="17">
        <f t="shared" si="123"/>
        <v>0</v>
      </c>
      <c r="AP69" s="17">
        <f t="shared" si="124"/>
        <v>0</v>
      </c>
      <c r="AQ69" s="17">
        <f t="shared" si="125"/>
        <v>23.404219583839144</v>
      </c>
      <c r="AR69" s="17">
        <f t="shared" si="126"/>
        <v>0</v>
      </c>
      <c r="AS69" s="17">
        <f t="shared" si="127"/>
        <v>0</v>
      </c>
      <c r="AT69" s="2"/>
      <c r="AU69" s="4">
        <v>17</v>
      </c>
      <c r="AV69" s="4">
        <f t="shared" si="128"/>
        <v>-75</v>
      </c>
      <c r="AW69" s="48">
        <f t="shared" si="129"/>
        <v>-2.7351764259269169</v>
      </c>
      <c r="AX69" s="48">
        <f t="shared" si="130"/>
        <v>-2.8323612915131422</v>
      </c>
      <c r="AY69" s="48">
        <f t="shared" si="131"/>
        <v>-2.8683397892430418</v>
      </c>
      <c r="AZ69" s="48">
        <f t="shared" si="132"/>
        <v>-2.7843221760111234</v>
      </c>
      <c r="BA69" s="48">
        <f t="shared" si="133"/>
        <v>-2.6319581332369704</v>
      </c>
      <c r="BB69" s="48">
        <f t="shared" si="134"/>
        <v>-2.5293545923730631</v>
      </c>
      <c r="BC69" s="48">
        <f t="shared" si="135"/>
        <v>-2.5611433371081112</v>
      </c>
      <c r="BD69" s="48">
        <f t="shared" si="136"/>
        <v>-2.6967441043367777</v>
      </c>
      <c r="BE69" s="48">
        <f t="shared" si="137"/>
        <v>-2.8171021956030251</v>
      </c>
      <c r="BF69" s="48">
        <f t="shared" si="138"/>
        <v>0.67404152401456741</v>
      </c>
      <c r="BG69" s="48">
        <f t="shared" si="139"/>
        <v>-2.7492814855749894</v>
      </c>
      <c r="BH69" s="48">
        <f t="shared" si="140"/>
        <v>-2.6942798454226273</v>
      </c>
      <c r="BJ69" s="4">
        <v>17</v>
      </c>
      <c r="BK69" s="4">
        <f t="shared" si="141"/>
        <v>-75</v>
      </c>
      <c r="BL69" s="14" t="e">
        <f t="shared" si="142"/>
        <v>#N/A</v>
      </c>
      <c r="BM69" s="14" t="e">
        <f t="shared" si="143"/>
        <v>#N/A</v>
      </c>
      <c r="BN69" s="14" t="e">
        <f t="shared" si="144"/>
        <v>#N/A</v>
      </c>
      <c r="BO69" s="14" t="e">
        <f t="shared" si="145"/>
        <v>#N/A</v>
      </c>
      <c r="BP69" s="14" t="e">
        <f t="shared" si="146"/>
        <v>#N/A</v>
      </c>
      <c r="BQ69" s="14" t="e">
        <f t="shared" si="147"/>
        <v>#N/A</v>
      </c>
      <c r="BR69" s="14" t="e">
        <f t="shared" si="148"/>
        <v>#N/A</v>
      </c>
      <c r="BS69" s="14" t="e">
        <f t="shared" si="149"/>
        <v>#N/A</v>
      </c>
      <c r="BT69" s="14" t="e">
        <f t="shared" si="150"/>
        <v>#N/A</v>
      </c>
      <c r="BU69" s="14" t="e">
        <f t="shared" si="151"/>
        <v>#N/A</v>
      </c>
      <c r="BV69" s="14" t="e">
        <f t="shared" si="152"/>
        <v>#N/A</v>
      </c>
      <c r="BW69" s="14" t="e">
        <f t="shared" si="153"/>
        <v>#N/A</v>
      </c>
    </row>
    <row r="70" spans="2:75">
      <c r="B70" s="4">
        <v>18</v>
      </c>
      <c r="C70" s="4">
        <f t="shared" si="89"/>
        <v>-90</v>
      </c>
      <c r="D70" s="14">
        <f t="shared" si="90"/>
        <v>111.2694739102315</v>
      </c>
      <c r="E70" s="14">
        <f t="shared" si="91"/>
        <v>103.28915618503314</v>
      </c>
      <c r="F70" s="14">
        <f t="shared" si="92"/>
        <v>92.818878652891229</v>
      </c>
      <c r="G70" s="14">
        <f t="shared" si="93"/>
        <v>80.585106653115304</v>
      </c>
      <c r="H70" s="14">
        <f t="shared" si="94"/>
        <v>71.208082482295112</v>
      </c>
      <c r="I70" s="14">
        <f t="shared" si="95"/>
        <v>66.685590083326417</v>
      </c>
      <c r="J70" s="14">
        <f t="shared" si="96"/>
        <v>68.482663968897427</v>
      </c>
      <c r="K70" s="14">
        <f t="shared" si="97"/>
        <v>76.216435833734877</v>
      </c>
      <c r="L70" s="14">
        <f t="shared" si="98"/>
        <v>87.783113216785537</v>
      </c>
      <c r="M70" s="14">
        <f t="shared" si="99"/>
        <v>99.599397234231049</v>
      </c>
      <c r="N70" s="14">
        <f t="shared" si="100"/>
        <v>109.1478173064156</v>
      </c>
      <c r="O70" s="14">
        <f t="shared" si="101"/>
        <v>113.37165124614572</v>
      </c>
      <c r="P70" s="2"/>
      <c r="Q70" s="4">
        <v>18</v>
      </c>
      <c r="R70" s="29">
        <f t="shared" si="102"/>
        <v>-1.5707953267948966</v>
      </c>
      <c r="S70" s="40">
        <f t="shared" si="103"/>
        <v>1.942018676695469</v>
      </c>
      <c r="T70" s="40">
        <f t="shared" si="104"/>
        <v>1.8027358570354937</v>
      </c>
      <c r="U70" s="40">
        <f t="shared" si="105"/>
        <v>1.6199950405020309</v>
      </c>
      <c r="V70" s="40">
        <f t="shared" si="106"/>
        <v>1.4064754391676499</v>
      </c>
      <c r="W70" s="40">
        <f t="shared" si="107"/>
        <v>1.2428154933477464</v>
      </c>
      <c r="X70" s="40">
        <f t="shared" si="108"/>
        <v>1.1638831105893257</v>
      </c>
      <c r="Y70" s="40">
        <f t="shared" si="109"/>
        <v>1.1952479667941476</v>
      </c>
      <c r="Z70" s="40">
        <f t="shared" si="110"/>
        <v>1.330227749433663</v>
      </c>
      <c r="AA70" s="40">
        <f t="shared" si="111"/>
        <v>1.5321043532838585</v>
      </c>
      <c r="AB70" s="40">
        <f t="shared" si="112"/>
        <v>1.7383374147390658</v>
      </c>
      <c r="AC70" s="40">
        <f t="shared" si="113"/>
        <v>1.9049887833622008</v>
      </c>
      <c r="AD70" s="40">
        <f t="shared" si="114"/>
        <v>1.9787085926679751</v>
      </c>
      <c r="AE70" s="2"/>
      <c r="AF70" s="4">
        <v>18.5</v>
      </c>
      <c r="AG70" s="4">
        <f t="shared" si="115"/>
        <v>-97.5</v>
      </c>
      <c r="AH70" s="17">
        <f t="shared" si="116"/>
        <v>0</v>
      </c>
      <c r="AI70" s="17">
        <f t="shared" si="117"/>
        <v>0</v>
      </c>
      <c r="AJ70" s="17">
        <f t="shared" si="118"/>
        <v>0</v>
      </c>
      <c r="AK70" s="17">
        <f t="shared" si="119"/>
        <v>0</v>
      </c>
      <c r="AL70" s="17">
        <f t="shared" si="120"/>
        <v>0</v>
      </c>
      <c r="AM70" s="17">
        <f t="shared" si="121"/>
        <v>0</v>
      </c>
      <c r="AN70" s="17">
        <f t="shared" si="122"/>
        <v>0</v>
      </c>
      <c r="AO70" s="17">
        <f t="shared" si="123"/>
        <v>0</v>
      </c>
      <c r="AP70" s="17">
        <f t="shared" si="124"/>
        <v>0</v>
      </c>
      <c r="AQ70" s="17">
        <f t="shared" si="125"/>
        <v>7.7569274465005697E-5</v>
      </c>
      <c r="AR70" s="17">
        <f t="shared" si="126"/>
        <v>0</v>
      </c>
      <c r="AS70" s="17">
        <f t="shared" si="127"/>
        <v>0</v>
      </c>
      <c r="AT70" s="2"/>
      <c r="AU70" s="4">
        <v>18</v>
      </c>
      <c r="AV70" s="4">
        <f t="shared" si="128"/>
        <v>-90</v>
      </c>
      <c r="AW70" s="48">
        <f t="shared" si="129"/>
        <v>-9.0652734705771131E-6</v>
      </c>
      <c r="AX70" s="48">
        <f t="shared" si="130"/>
        <v>-9.387376050648105E-6</v>
      </c>
      <c r="AY70" s="48">
        <f t="shared" si="131"/>
        <v>-9.5066206148708873E-6</v>
      </c>
      <c r="AZ70" s="48">
        <f t="shared" si="132"/>
        <v>-9.2281586359386107E-6</v>
      </c>
      <c r="BA70" s="48">
        <f t="shared" si="133"/>
        <v>-8.7231741304647718E-6</v>
      </c>
      <c r="BB70" s="48">
        <f t="shared" si="134"/>
        <v>-8.3831122799149874E-6</v>
      </c>
      <c r="BC70" s="48">
        <f t="shared" si="135"/>
        <v>-8.4884706259353605E-6</v>
      </c>
      <c r="BD70" s="48">
        <f t="shared" si="136"/>
        <v>-8.9378961277405512E-6</v>
      </c>
      <c r="BE70" s="48">
        <f t="shared" si="137"/>
        <v>-9.3368023925733442E-6</v>
      </c>
      <c r="BF70" s="48">
        <f t="shared" si="138"/>
        <v>2.2339951045921643E-6</v>
      </c>
      <c r="BG70" s="48">
        <f t="shared" si="139"/>
        <v>-9.1120222732563596E-6</v>
      </c>
      <c r="BH70" s="48">
        <f t="shared" si="140"/>
        <v>-8.9297287639290898E-6</v>
      </c>
      <c r="BJ70" s="4">
        <v>18</v>
      </c>
      <c r="BK70" s="4">
        <f t="shared" si="141"/>
        <v>-90</v>
      </c>
      <c r="BL70" s="14" t="e">
        <f t="shared" si="142"/>
        <v>#N/A</v>
      </c>
      <c r="BM70" s="14" t="e">
        <f t="shared" si="143"/>
        <v>#N/A</v>
      </c>
      <c r="BN70" s="14" t="e">
        <f t="shared" si="144"/>
        <v>#N/A</v>
      </c>
      <c r="BO70" s="14" t="e">
        <f t="shared" si="145"/>
        <v>#N/A</v>
      </c>
      <c r="BP70" s="14" t="e">
        <f t="shared" si="146"/>
        <v>#N/A</v>
      </c>
      <c r="BQ70" s="14" t="e">
        <f t="shared" si="147"/>
        <v>#N/A</v>
      </c>
      <c r="BR70" s="14" t="e">
        <f t="shared" si="148"/>
        <v>#N/A</v>
      </c>
      <c r="BS70" s="14" t="e">
        <f t="shared" si="149"/>
        <v>#N/A</v>
      </c>
      <c r="BT70" s="14" t="e">
        <f t="shared" si="150"/>
        <v>#N/A</v>
      </c>
      <c r="BU70" s="14" t="e">
        <f t="shared" si="151"/>
        <v>#N/A</v>
      </c>
      <c r="BV70" s="14" t="e">
        <f t="shared" si="152"/>
        <v>#N/A</v>
      </c>
      <c r="BW70" s="14" t="e">
        <f t="shared" si="153"/>
        <v>#N/A</v>
      </c>
    </row>
    <row r="71" spans="2:75">
      <c r="B71" s="4">
        <v>19</v>
      </c>
      <c r="C71" s="4">
        <f t="shared" si="89"/>
        <v>-105</v>
      </c>
      <c r="D71" s="14">
        <f t="shared" si="90"/>
        <v>0</v>
      </c>
      <c r="E71" s="14">
        <f t="shared" si="91"/>
        <v>0</v>
      </c>
      <c r="F71" s="14">
        <f t="shared" si="92"/>
        <v>0</v>
      </c>
      <c r="G71" s="14">
        <f t="shared" si="93"/>
        <v>0</v>
      </c>
      <c r="H71" s="14">
        <f t="shared" si="94"/>
        <v>0</v>
      </c>
      <c r="I71" s="14">
        <f t="shared" si="95"/>
        <v>0</v>
      </c>
      <c r="J71" s="14">
        <f t="shared" si="96"/>
        <v>0</v>
      </c>
      <c r="K71" s="14">
        <f t="shared" si="97"/>
        <v>0</v>
      </c>
      <c r="L71" s="14">
        <f t="shared" si="98"/>
        <v>0</v>
      </c>
      <c r="M71" s="14">
        <f t="shared" si="99"/>
        <v>0</v>
      </c>
      <c r="N71" s="14">
        <f t="shared" si="100"/>
        <v>0</v>
      </c>
      <c r="O71" s="14">
        <f t="shared" si="101"/>
        <v>0</v>
      </c>
      <c r="P71" s="2"/>
      <c r="Q71" s="4">
        <v>19</v>
      </c>
      <c r="R71" s="29">
        <f t="shared" si="102"/>
        <v>-1.8325947145940462</v>
      </c>
      <c r="S71" s="40">
        <f t="shared" si="103"/>
        <v>1.9538878842373717</v>
      </c>
      <c r="T71" s="40">
        <f t="shared" si="104"/>
        <v>1.8106125951103424</v>
      </c>
      <c r="U71" s="40">
        <f t="shared" si="105"/>
        <v>1.6217276207772398</v>
      </c>
      <c r="V71" s="40">
        <f t="shared" si="106"/>
        <v>1.4007880828771357</v>
      </c>
      <c r="W71" s="40">
        <f t="shared" si="107"/>
        <v>1.2320973717406556</v>
      </c>
      <c r="X71" s="40">
        <f t="shared" si="108"/>
        <v>1.1511328749002234</v>
      </c>
      <c r="Y71" s="40">
        <f t="shared" si="109"/>
        <v>1.1832685349334073</v>
      </c>
      <c r="Z71" s="40">
        <f t="shared" si="110"/>
        <v>1.3220816182496833</v>
      </c>
      <c r="AA71" s="40">
        <f t="shared" si="111"/>
        <v>1.5307408936123328</v>
      </c>
      <c r="AB71" s="40">
        <f t="shared" si="112"/>
        <v>1.7441318491844475</v>
      </c>
      <c r="AC71" s="40">
        <f t="shared" si="113"/>
        <v>1.9158776031947664</v>
      </c>
      <c r="AD71" s="40">
        <f t="shared" si="114"/>
        <v>1.991482541972363</v>
      </c>
      <c r="AE71" s="2"/>
      <c r="AF71" s="4">
        <v>19.5</v>
      </c>
      <c r="AG71" s="4">
        <f t="shared" si="115"/>
        <v>-112.5</v>
      </c>
      <c r="AH71" s="17">
        <f t="shared" si="116"/>
        <v>0</v>
      </c>
      <c r="AI71" s="17">
        <f t="shared" si="117"/>
        <v>0</v>
      </c>
      <c r="AJ71" s="17">
        <f t="shared" si="118"/>
        <v>0</v>
      </c>
      <c r="AK71" s="17">
        <f t="shared" si="119"/>
        <v>0</v>
      </c>
      <c r="AL71" s="17">
        <f t="shared" si="120"/>
        <v>0</v>
      </c>
      <c r="AM71" s="17">
        <f t="shared" si="121"/>
        <v>0</v>
      </c>
      <c r="AN71" s="17">
        <f t="shared" si="122"/>
        <v>0</v>
      </c>
      <c r="AO71" s="17">
        <f t="shared" si="123"/>
        <v>0</v>
      </c>
      <c r="AP71" s="17">
        <f t="shared" si="124"/>
        <v>0</v>
      </c>
      <c r="AQ71" s="17">
        <f t="shared" si="125"/>
        <v>0</v>
      </c>
      <c r="AR71" s="17">
        <f t="shared" si="126"/>
        <v>0</v>
      </c>
      <c r="AS71" s="17">
        <f t="shared" si="127"/>
        <v>0</v>
      </c>
      <c r="AT71" s="2"/>
      <c r="AU71" s="4">
        <v>19</v>
      </c>
      <c r="AV71" s="4">
        <f t="shared" si="128"/>
        <v>-105</v>
      </c>
      <c r="AW71" s="48">
        <f t="shared" si="129"/>
        <v>1.9573572213494199</v>
      </c>
      <c r="AX71" s="48">
        <f t="shared" si="130"/>
        <v>2.0269050196771299</v>
      </c>
      <c r="AY71" s="48">
        <f t="shared" si="131"/>
        <v>2.0526520872802947</v>
      </c>
      <c r="AZ71" s="48">
        <f t="shared" si="132"/>
        <v>1.9925270875101948</v>
      </c>
      <c r="BA71" s="48">
        <f t="shared" si="133"/>
        <v>1.8834917592691971</v>
      </c>
      <c r="BB71" s="48">
        <f t="shared" si="134"/>
        <v>1.810066228198407</v>
      </c>
      <c r="BC71" s="48">
        <f t="shared" si="135"/>
        <v>1.8328150090357138</v>
      </c>
      <c r="BD71" s="48">
        <f t="shared" si="136"/>
        <v>1.9298541391041169</v>
      </c>
      <c r="BE71" s="48">
        <f t="shared" si="137"/>
        <v>2.0159852481816554</v>
      </c>
      <c r="BF71" s="48">
        <f t="shared" si="138"/>
        <v>-0.4823601256625244</v>
      </c>
      <c r="BG71" s="48">
        <f t="shared" si="139"/>
        <v>1.9674511370829775</v>
      </c>
      <c r="BH71" s="48">
        <f t="shared" si="140"/>
        <v>1.9280906568895275</v>
      </c>
      <c r="BJ71" s="4">
        <v>19</v>
      </c>
      <c r="BK71" s="4">
        <f t="shared" si="141"/>
        <v>-105</v>
      </c>
      <c r="BL71" s="14" t="str">
        <f t="shared" si="142"/>
        <v>Noche</v>
      </c>
      <c r="BM71" s="14" t="str">
        <f t="shared" si="143"/>
        <v>Noche</v>
      </c>
      <c r="BN71" s="14" t="str">
        <f t="shared" si="144"/>
        <v>Noche</v>
      </c>
      <c r="BO71" s="14" t="str">
        <f t="shared" si="145"/>
        <v>Noche</v>
      </c>
      <c r="BP71" s="14" t="str">
        <f t="shared" si="146"/>
        <v>Noche</v>
      </c>
      <c r="BQ71" s="14" t="str">
        <f t="shared" si="147"/>
        <v>Noche</v>
      </c>
      <c r="BR71" s="14" t="str">
        <f t="shared" si="148"/>
        <v>Noche</v>
      </c>
      <c r="BS71" s="14" t="str">
        <f t="shared" si="149"/>
        <v>Noche</v>
      </c>
      <c r="BT71" s="14" t="str">
        <f t="shared" si="150"/>
        <v>Noche</v>
      </c>
      <c r="BU71" s="14" t="str">
        <f t="shared" si="151"/>
        <v>Noche</v>
      </c>
      <c r="BV71" s="14" t="str">
        <f t="shared" si="152"/>
        <v>Noche</v>
      </c>
      <c r="BW71" s="14" t="str">
        <f t="shared" si="153"/>
        <v>Noche</v>
      </c>
    </row>
    <row r="72" spans="2:75">
      <c r="B72" s="4">
        <v>20</v>
      </c>
      <c r="C72" s="4">
        <f t="shared" si="89"/>
        <v>-120</v>
      </c>
      <c r="D72" s="14">
        <f t="shared" si="90"/>
        <v>0</v>
      </c>
      <c r="E72" s="14">
        <f t="shared" si="91"/>
        <v>0</v>
      </c>
      <c r="F72" s="14">
        <f t="shared" si="92"/>
        <v>0</v>
      </c>
      <c r="G72" s="14">
        <f t="shared" si="93"/>
        <v>0</v>
      </c>
      <c r="H72" s="14">
        <f t="shared" si="94"/>
        <v>0</v>
      </c>
      <c r="I72" s="14">
        <f t="shared" si="95"/>
        <v>0</v>
      </c>
      <c r="J72" s="14">
        <f t="shared" si="96"/>
        <v>0</v>
      </c>
      <c r="K72" s="14">
        <f t="shared" si="97"/>
        <v>0</v>
      </c>
      <c r="L72" s="14">
        <f t="shared" si="98"/>
        <v>0</v>
      </c>
      <c r="M72" s="14">
        <f t="shared" si="99"/>
        <v>0</v>
      </c>
      <c r="N72" s="14">
        <f t="shared" si="100"/>
        <v>0</v>
      </c>
      <c r="O72" s="14">
        <f t="shared" si="101"/>
        <v>0</v>
      </c>
      <c r="P72" s="2"/>
      <c r="Q72" s="4">
        <v>20</v>
      </c>
      <c r="R72" s="29">
        <f t="shared" si="102"/>
        <v>-2.0943941023931951</v>
      </c>
      <c r="S72" s="40">
        <f t="shared" si="103"/>
        <v>1.9932261357376748</v>
      </c>
      <c r="T72" s="40">
        <f t="shared" si="104"/>
        <v>1.8370497440088687</v>
      </c>
      <c r="U72" s="40">
        <f t="shared" si="105"/>
        <v>1.6275908112989266</v>
      </c>
      <c r="V72" s="40">
        <f t="shared" si="106"/>
        <v>1.3816181869717963</v>
      </c>
      <c r="W72" s="40">
        <f t="shared" si="107"/>
        <v>1.1964167974672342</v>
      </c>
      <c r="X72" s="40">
        <f t="shared" si="108"/>
        <v>1.1090411939089764</v>
      </c>
      <c r="Y72" s="40">
        <f t="shared" si="109"/>
        <v>1.1435834165211289</v>
      </c>
      <c r="Z72" s="40">
        <f t="shared" si="110"/>
        <v>1.2947576613983416</v>
      </c>
      <c r="AA72" s="40">
        <f t="shared" si="111"/>
        <v>1.5261261371820039</v>
      </c>
      <c r="AB72" s="40">
        <f t="shared" si="112"/>
        <v>1.7636593214546925</v>
      </c>
      <c r="AC72" s="40">
        <f t="shared" si="113"/>
        <v>1.9521043650951679</v>
      </c>
      <c r="AD72" s="40">
        <f t="shared" si="114"/>
        <v>2.0336476921123641</v>
      </c>
      <c r="AE72" s="2"/>
      <c r="AF72" s="4">
        <v>20.5</v>
      </c>
      <c r="AG72" s="4">
        <f t="shared" si="115"/>
        <v>-127.5</v>
      </c>
      <c r="AH72" s="17">
        <f t="shared" si="116"/>
        <v>0</v>
      </c>
      <c r="AI72" s="17">
        <f t="shared" si="117"/>
        <v>0</v>
      </c>
      <c r="AJ72" s="17">
        <f t="shared" si="118"/>
        <v>0</v>
      </c>
      <c r="AK72" s="17">
        <f t="shared" si="119"/>
        <v>0</v>
      </c>
      <c r="AL72" s="17">
        <f t="shared" si="120"/>
        <v>0</v>
      </c>
      <c r="AM72" s="17">
        <f t="shared" si="121"/>
        <v>0</v>
      </c>
      <c r="AN72" s="17">
        <f t="shared" si="122"/>
        <v>0</v>
      </c>
      <c r="AO72" s="17">
        <f t="shared" si="123"/>
        <v>0</v>
      </c>
      <c r="AP72" s="17">
        <f t="shared" si="124"/>
        <v>0</v>
      </c>
      <c r="AQ72" s="17">
        <f t="shared" si="125"/>
        <v>0</v>
      </c>
      <c r="AR72" s="17">
        <f t="shared" si="126"/>
        <v>0</v>
      </c>
      <c r="AS72" s="17">
        <f t="shared" si="127"/>
        <v>0</v>
      </c>
      <c r="AT72" s="2"/>
      <c r="AU72" s="4">
        <v>20</v>
      </c>
      <c r="AV72" s="4">
        <f t="shared" si="128"/>
        <v>-120</v>
      </c>
      <c r="AW72" s="48">
        <f t="shared" si="129"/>
        <v>3.0812332938651421</v>
      </c>
      <c r="AX72" s="48">
        <f t="shared" si="130"/>
        <v>3.1907140720210183</v>
      </c>
      <c r="AY72" s="48">
        <f t="shared" si="131"/>
        <v>3.2312446001499491</v>
      </c>
      <c r="AZ72" s="48">
        <f t="shared" si="132"/>
        <v>3.136597006412539</v>
      </c>
      <c r="BA72" s="48">
        <f t="shared" si="133"/>
        <v>2.964955734232257</v>
      </c>
      <c r="BB72" s="48">
        <f t="shared" si="134"/>
        <v>2.8493707053538415</v>
      </c>
      <c r="BC72" s="48">
        <f t="shared" si="135"/>
        <v>2.8851813893445883</v>
      </c>
      <c r="BD72" s="48">
        <f t="shared" si="136"/>
        <v>3.0379384819760196</v>
      </c>
      <c r="BE72" s="48">
        <f t="shared" si="137"/>
        <v>3.1735243822054517</v>
      </c>
      <c r="BF72" s="48">
        <f t="shared" si="138"/>
        <v>-0.75932183589855917</v>
      </c>
      <c r="BG72" s="48">
        <f t="shared" si="139"/>
        <v>3.0971229377607337</v>
      </c>
      <c r="BH72" s="48">
        <f t="shared" si="140"/>
        <v>3.0351624429099435</v>
      </c>
      <c r="BJ72" s="4">
        <v>20</v>
      </c>
      <c r="BK72" s="4">
        <f t="shared" si="141"/>
        <v>-120</v>
      </c>
      <c r="BL72" s="14" t="str">
        <f t="shared" si="142"/>
        <v>Noche</v>
      </c>
      <c r="BM72" s="14" t="str">
        <f t="shared" si="143"/>
        <v>Noche</v>
      </c>
      <c r="BN72" s="14" t="str">
        <f t="shared" si="144"/>
        <v>Noche</v>
      </c>
      <c r="BO72" s="14" t="str">
        <f t="shared" si="145"/>
        <v>Noche</v>
      </c>
      <c r="BP72" s="14" t="str">
        <f t="shared" si="146"/>
        <v>Noche</v>
      </c>
      <c r="BQ72" s="14" t="str">
        <f t="shared" si="147"/>
        <v>Noche</v>
      </c>
      <c r="BR72" s="14" t="str">
        <f t="shared" si="148"/>
        <v>Noche</v>
      </c>
      <c r="BS72" s="14" t="str">
        <f t="shared" si="149"/>
        <v>Noche</v>
      </c>
      <c r="BT72" s="14" t="str">
        <f t="shared" si="150"/>
        <v>Noche</v>
      </c>
      <c r="BU72" s="14" t="str">
        <f t="shared" si="151"/>
        <v>Noche</v>
      </c>
      <c r="BV72" s="14" t="str">
        <f t="shared" si="152"/>
        <v>Noche</v>
      </c>
      <c r="BW72" s="14" t="str">
        <f t="shared" si="153"/>
        <v>Noche</v>
      </c>
    </row>
    <row r="73" spans="2:75">
      <c r="B73" s="4">
        <v>21</v>
      </c>
      <c r="C73" s="4">
        <f t="shared" si="89"/>
        <v>-135</v>
      </c>
      <c r="D73" s="14">
        <f t="shared" si="90"/>
        <v>0</v>
      </c>
      <c r="E73" s="14">
        <f t="shared" si="91"/>
        <v>0</v>
      </c>
      <c r="F73" s="14">
        <f t="shared" si="92"/>
        <v>0</v>
      </c>
      <c r="G73" s="14">
        <f t="shared" si="93"/>
        <v>0</v>
      </c>
      <c r="H73" s="14">
        <f t="shared" si="94"/>
        <v>0</v>
      </c>
      <c r="I73" s="14">
        <f t="shared" si="95"/>
        <v>0</v>
      </c>
      <c r="J73" s="14">
        <f t="shared" si="96"/>
        <v>0</v>
      </c>
      <c r="K73" s="14">
        <f t="shared" si="97"/>
        <v>0</v>
      </c>
      <c r="L73" s="14">
        <f t="shared" si="98"/>
        <v>0</v>
      </c>
      <c r="M73" s="14">
        <f t="shared" si="99"/>
        <v>0</v>
      </c>
      <c r="N73" s="14">
        <f t="shared" si="100"/>
        <v>0</v>
      </c>
      <c r="O73" s="14">
        <f t="shared" si="101"/>
        <v>0</v>
      </c>
      <c r="P73" s="37"/>
      <c r="Q73" s="4">
        <v>21</v>
      </c>
      <c r="R73" s="29">
        <f t="shared" si="102"/>
        <v>-2.3561934901923447</v>
      </c>
      <c r="S73" s="40">
        <f t="shared" si="103"/>
        <v>2.0740313592662596</v>
      </c>
      <c r="T73" s="40">
        <f t="shared" si="104"/>
        <v>1.8931674415077249</v>
      </c>
      <c r="U73" s="40">
        <f t="shared" si="105"/>
        <v>1.6403177163901694</v>
      </c>
      <c r="V73" s="40">
        <f t="shared" si="106"/>
        <v>1.3404591982694789</v>
      </c>
      <c r="W73" s="40">
        <f t="shared" si="107"/>
        <v>1.1222897587056426</v>
      </c>
      <c r="X73" s="40">
        <f t="shared" si="108"/>
        <v>1.0234370858167274</v>
      </c>
      <c r="Y73" s="40">
        <f t="shared" si="109"/>
        <v>1.0621618335200811</v>
      </c>
      <c r="Z73" s="40">
        <f t="shared" si="110"/>
        <v>1.2368557892635204</v>
      </c>
      <c r="AA73" s="40">
        <f t="shared" si="111"/>
        <v>1.5161049409180423</v>
      </c>
      <c r="AB73" s="40">
        <f t="shared" si="112"/>
        <v>1.8055665580554572</v>
      </c>
      <c r="AC73" s="40">
        <f t="shared" si="113"/>
        <v>2.0272478842790305</v>
      </c>
      <c r="AD73" s="40">
        <f t="shared" si="114"/>
        <v>2.1193767139284612</v>
      </c>
      <c r="AE73" s="2"/>
      <c r="AF73" s="4">
        <v>21.5</v>
      </c>
      <c r="AG73" s="4">
        <f t="shared" si="115"/>
        <v>-142.5</v>
      </c>
      <c r="AH73" s="17">
        <f t="shared" si="116"/>
        <v>0</v>
      </c>
      <c r="AI73" s="17">
        <f t="shared" si="117"/>
        <v>0</v>
      </c>
      <c r="AJ73" s="17">
        <f t="shared" si="118"/>
        <v>0</v>
      </c>
      <c r="AK73" s="17">
        <f t="shared" si="119"/>
        <v>0</v>
      </c>
      <c r="AL73" s="17">
        <f t="shared" si="120"/>
        <v>0</v>
      </c>
      <c r="AM73" s="17">
        <f t="shared" si="121"/>
        <v>0</v>
      </c>
      <c r="AN73" s="17">
        <f t="shared" si="122"/>
        <v>0</v>
      </c>
      <c r="AO73" s="17">
        <f t="shared" si="123"/>
        <v>0</v>
      </c>
      <c r="AP73" s="17">
        <f t="shared" si="124"/>
        <v>0</v>
      </c>
      <c r="AQ73" s="17">
        <f t="shared" si="125"/>
        <v>0</v>
      </c>
      <c r="AR73" s="17">
        <f t="shared" si="126"/>
        <v>0</v>
      </c>
      <c r="AS73" s="17">
        <f t="shared" si="127"/>
        <v>0</v>
      </c>
      <c r="AT73" s="2"/>
      <c r="AU73" s="4">
        <v>21</v>
      </c>
      <c r="AV73" s="4">
        <f t="shared" si="128"/>
        <v>-135</v>
      </c>
      <c r="AW73" s="48">
        <f t="shared" si="129"/>
        <v>3.5073162031196747</v>
      </c>
      <c r="AX73" s="48">
        <f t="shared" si="130"/>
        <v>3.6319363375057274</v>
      </c>
      <c r="AY73" s="48">
        <f t="shared" si="131"/>
        <v>3.6780715582014891</v>
      </c>
      <c r="AZ73" s="48">
        <f t="shared" si="132"/>
        <v>3.5703357889682894</v>
      </c>
      <c r="BA73" s="48">
        <f t="shared" si="133"/>
        <v>3.3749594063228781</v>
      </c>
      <c r="BB73" s="48">
        <f t="shared" si="134"/>
        <v>3.2433909056739738</v>
      </c>
      <c r="BC73" s="48">
        <f t="shared" si="135"/>
        <v>3.2841536069129931</v>
      </c>
      <c r="BD73" s="48">
        <f t="shared" si="136"/>
        <v>3.4580344445614783</v>
      </c>
      <c r="BE73" s="48">
        <f t="shared" si="137"/>
        <v>3.6123696017649523</v>
      </c>
      <c r="BF73" s="48">
        <f t="shared" si="138"/>
        <v>-0.86432331616437352</v>
      </c>
      <c r="BG73" s="48">
        <f t="shared" si="139"/>
        <v>3.5254031183843417</v>
      </c>
      <c r="BH73" s="48">
        <f t="shared" si="140"/>
        <v>3.4548745258314271</v>
      </c>
      <c r="BJ73" s="4">
        <v>21</v>
      </c>
      <c r="BK73" s="4">
        <f t="shared" si="141"/>
        <v>-135</v>
      </c>
      <c r="BL73" s="14" t="str">
        <f t="shared" si="142"/>
        <v>Noche</v>
      </c>
      <c r="BM73" s="14" t="str">
        <f t="shared" si="143"/>
        <v>Noche</v>
      </c>
      <c r="BN73" s="14" t="str">
        <f t="shared" si="144"/>
        <v>Noche</v>
      </c>
      <c r="BO73" s="14" t="str">
        <f t="shared" si="145"/>
        <v>Noche</v>
      </c>
      <c r="BP73" s="14" t="str">
        <f t="shared" si="146"/>
        <v>Noche</v>
      </c>
      <c r="BQ73" s="14" t="str">
        <f t="shared" si="147"/>
        <v>Noche</v>
      </c>
      <c r="BR73" s="14" t="str">
        <f t="shared" si="148"/>
        <v>Noche</v>
      </c>
      <c r="BS73" s="14" t="str">
        <f t="shared" si="149"/>
        <v>Noche</v>
      </c>
      <c r="BT73" s="14" t="str">
        <f t="shared" si="150"/>
        <v>Noche</v>
      </c>
      <c r="BU73" s="14" t="str">
        <f t="shared" si="151"/>
        <v>Noche</v>
      </c>
      <c r="BV73" s="14" t="str">
        <f t="shared" si="152"/>
        <v>Noche</v>
      </c>
      <c r="BW73" s="14" t="str">
        <f t="shared" si="153"/>
        <v>Noche</v>
      </c>
    </row>
    <row r="74" spans="2:75">
      <c r="B74" s="4">
        <v>22</v>
      </c>
      <c r="C74" s="4">
        <f t="shared" si="89"/>
        <v>-150</v>
      </c>
      <c r="D74" s="14">
        <f t="shared" si="90"/>
        <v>0</v>
      </c>
      <c r="E74" s="14">
        <f t="shared" si="91"/>
        <v>0</v>
      </c>
      <c r="F74" s="14">
        <f t="shared" si="92"/>
        <v>0</v>
      </c>
      <c r="G74" s="14">
        <f t="shared" si="93"/>
        <v>0</v>
      </c>
      <c r="H74" s="14">
        <f t="shared" si="94"/>
        <v>0</v>
      </c>
      <c r="I74" s="14">
        <f t="shared" si="95"/>
        <v>0</v>
      </c>
      <c r="J74" s="14">
        <f t="shared" si="96"/>
        <v>0</v>
      </c>
      <c r="K74" s="14">
        <f t="shared" si="97"/>
        <v>0</v>
      </c>
      <c r="L74" s="14">
        <f t="shared" si="98"/>
        <v>0</v>
      </c>
      <c r="M74" s="14">
        <f t="shared" si="99"/>
        <v>0</v>
      </c>
      <c r="N74" s="14">
        <f t="shared" si="100"/>
        <v>0</v>
      </c>
      <c r="O74" s="14">
        <f t="shared" si="101"/>
        <v>0</v>
      </c>
      <c r="P74" s="2"/>
      <c r="Q74" s="4">
        <v>22</v>
      </c>
      <c r="R74" s="29">
        <f t="shared" si="102"/>
        <v>-2.6179928779914943</v>
      </c>
      <c r="S74" s="40">
        <f t="shared" si="103"/>
        <v>2.2323134871066581</v>
      </c>
      <c r="T74" s="40">
        <f t="shared" si="104"/>
        <v>2.0121043945698034</v>
      </c>
      <c r="U74" s="40">
        <f t="shared" si="105"/>
        <v>1.6689565594205229</v>
      </c>
      <c r="V74" s="40">
        <f t="shared" si="106"/>
        <v>1.250578270817174</v>
      </c>
      <c r="W74" s="40">
        <f t="shared" si="107"/>
        <v>0.97325081631035193</v>
      </c>
      <c r="X74" s="40">
        <f t="shared" si="108"/>
        <v>0.85941638407442511</v>
      </c>
      <c r="Y74" s="40">
        <f t="shared" si="109"/>
        <v>0.90309548599704303</v>
      </c>
      <c r="Z74" s="40">
        <f t="shared" si="110"/>
        <v>1.1146663462688053</v>
      </c>
      <c r="AA74" s="40">
        <f t="shared" si="111"/>
        <v>1.4935280165233313</v>
      </c>
      <c r="AB74" s="40">
        <f t="shared" si="112"/>
        <v>1.8969675347740389</v>
      </c>
      <c r="AC74" s="40">
        <f t="shared" si="113"/>
        <v>2.1777747308895945</v>
      </c>
      <c r="AD74" s="40">
        <f t="shared" si="114"/>
        <v>2.2835345900850377</v>
      </c>
      <c r="AE74" s="2"/>
      <c r="AF74" s="4">
        <v>22.5</v>
      </c>
      <c r="AG74" s="4">
        <f t="shared" si="115"/>
        <v>-157.5</v>
      </c>
      <c r="AH74" s="17">
        <f t="shared" si="116"/>
        <v>0</v>
      </c>
      <c r="AI74" s="17">
        <f t="shared" si="117"/>
        <v>0</v>
      </c>
      <c r="AJ74" s="17">
        <f t="shared" si="118"/>
        <v>0</v>
      </c>
      <c r="AK74" s="17">
        <f t="shared" si="119"/>
        <v>0</v>
      </c>
      <c r="AL74" s="17">
        <f t="shared" si="120"/>
        <v>0</v>
      </c>
      <c r="AM74" s="17">
        <f t="shared" si="121"/>
        <v>0</v>
      </c>
      <c r="AN74" s="17">
        <f t="shared" si="122"/>
        <v>0</v>
      </c>
      <c r="AO74" s="17">
        <f t="shared" si="123"/>
        <v>0</v>
      </c>
      <c r="AP74" s="17">
        <f t="shared" si="124"/>
        <v>0</v>
      </c>
      <c r="AQ74" s="17">
        <f t="shared" si="125"/>
        <v>0</v>
      </c>
      <c r="AR74" s="17">
        <f t="shared" si="126"/>
        <v>0</v>
      </c>
      <c r="AS74" s="17">
        <f t="shared" si="127"/>
        <v>0</v>
      </c>
      <c r="AT74" s="2"/>
      <c r="AU74" s="4">
        <v>22</v>
      </c>
      <c r="AV74" s="4">
        <f t="shared" si="128"/>
        <v>-150</v>
      </c>
      <c r="AW74" s="48">
        <f t="shared" si="129"/>
        <v>3.4965594376846103</v>
      </c>
      <c r="AX74" s="48">
        <f t="shared" si="130"/>
        <v>3.6207973682782351</v>
      </c>
      <c r="AY74" s="48">
        <f t="shared" si="131"/>
        <v>3.6667910945324977</v>
      </c>
      <c r="AZ74" s="48">
        <f t="shared" si="132"/>
        <v>3.5593857455783646</v>
      </c>
      <c r="BA74" s="48">
        <f t="shared" si="133"/>
        <v>3.3646085726414472</v>
      </c>
      <c r="BB74" s="48">
        <f t="shared" si="134"/>
        <v>3.2334435860808548</v>
      </c>
      <c r="BC74" s="48">
        <f t="shared" si="135"/>
        <v>3.2740812701299959</v>
      </c>
      <c r="BD74" s="48">
        <f t="shared" si="136"/>
        <v>3.4474288238440089</v>
      </c>
      <c r="BE74" s="48">
        <f t="shared" si="137"/>
        <v>3.6012906427488303</v>
      </c>
      <c r="BF74" s="48">
        <f t="shared" si="138"/>
        <v>-0.86167247927553881</v>
      </c>
      <c r="BG74" s="48">
        <f t="shared" si="139"/>
        <v>3.5145908812741617</v>
      </c>
      <c r="BH74" s="48">
        <f t="shared" si="140"/>
        <v>3.4442785964285143</v>
      </c>
      <c r="BJ74" s="4">
        <v>22</v>
      </c>
      <c r="BK74" s="4">
        <f t="shared" si="141"/>
        <v>-150</v>
      </c>
      <c r="BL74" s="14" t="str">
        <f t="shared" si="142"/>
        <v>Noche</v>
      </c>
      <c r="BM74" s="14" t="str">
        <f t="shared" si="143"/>
        <v>Noche</v>
      </c>
      <c r="BN74" s="14" t="str">
        <f t="shared" si="144"/>
        <v>Noche</v>
      </c>
      <c r="BO74" s="14" t="str">
        <f t="shared" si="145"/>
        <v>Noche</v>
      </c>
      <c r="BP74" s="14" t="str">
        <f t="shared" si="146"/>
        <v>Noche</v>
      </c>
      <c r="BQ74" s="14" t="str">
        <f t="shared" si="147"/>
        <v>Noche</v>
      </c>
      <c r="BR74" s="14" t="str">
        <f t="shared" si="148"/>
        <v>Noche</v>
      </c>
      <c r="BS74" s="14" t="str">
        <f t="shared" si="149"/>
        <v>Noche</v>
      </c>
      <c r="BT74" s="14" t="str">
        <f t="shared" si="150"/>
        <v>Noche</v>
      </c>
      <c r="BU74" s="14" t="str">
        <f t="shared" si="151"/>
        <v>Noche</v>
      </c>
      <c r="BV74" s="14" t="str">
        <f t="shared" si="152"/>
        <v>Noche</v>
      </c>
      <c r="BW74" s="14" t="str">
        <f t="shared" si="153"/>
        <v>Noche</v>
      </c>
    </row>
    <row r="75" spans="2:75">
      <c r="B75" s="4">
        <v>23</v>
      </c>
      <c r="C75" s="4">
        <f t="shared" si="89"/>
        <v>-165</v>
      </c>
      <c r="D75" s="14">
        <f t="shared" si="90"/>
        <v>0</v>
      </c>
      <c r="E75" s="14">
        <f t="shared" si="91"/>
        <v>0</v>
      </c>
      <c r="F75" s="14">
        <f t="shared" si="92"/>
        <v>0</v>
      </c>
      <c r="G75" s="14">
        <f t="shared" si="93"/>
        <v>0</v>
      </c>
      <c r="H75" s="14">
        <f t="shared" si="94"/>
        <v>0</v>
      </c>
      <c r="I75" s="14">
        <f t="shared" si="95"/>
        <v>0</v>
      </c>
      <c r="J75" s="14">
        <f t="shared" si="96"/>
        <v>0</v>
      </c>
      <c r="K75" s="14">
        <f t="shared" si="97"/>
        <v>0</v>
      </c>
      <c r="L75" s="14">
        <f t="shared" si="98"/>
        <v>0</v>
      </c>
      <c r="M75" s="14">
        <f t="shared" si="99"/>
        <v>0</v>
      </c>
      <c r="N75" s="14">
        <f t="shared" si="100"/>
        <v>0</v>
      </c>
      <c r="O75" s="14">
        <f t="shared" si="101"/>
        <v>0</v>
      </c>
      <c r="P75" s="2"/>
      <c r="Q75" s="4">
        <v>23</v>
      </c>
      <c r="R75" s="29">
        <f t="shared" si="102"/>
        <v>-2.8797922657906434</v>
      </c>
      <c r="S75" s="40">
        <f t="shared" si="103"/>
        <v>2.5548242008486417</v>
      </c>
      <c r="T75" s="40">
        <f t="shared" si="104"/>
        <v>2.3105103578957653</v>
      </c>
      <c r="U75" s="40">
        <f t="shared" si="105"/>
        <v>1.7587918722277767</v>
      </c>
      <c r="V75" s="40">
        <f t="shared" si="106"/>
        <v>1.0010140400625609</v>
      </c>
      <c r="W75" s="40">
        <f t="shared" si="107"/>
        <v>0.65026997739104786</v>
      </c>
      <c r="X75" s="40">
        <f t="shared" si="108"/>
        <v>0.54082935265406062</v>
      </c>
      <c r="Y75" s="40">
        <f t="shared" si="109"/>
        <v>0.58091033394710889</v>
      </c>
      <c r="Z75" s="40">
        <f t="shared" si="110"/>
        <v>0.81217125530940759</v>
      </c>
      <c r="AA75" s="40">
        <f t="shared" si="111"/>
        <v>1.4223285149066935</v>
      </c>
      <c r="AB75" s="40">
        <f t="shared" si="112"/>
        <v>2.1495946096294305</v>
      </c>
      <c r="AC75" s="40">
        <f t="shared" si="113"/>
        <v>2.5010323612689804</v>
      </c>
      <c r="AD75" s="40">
        <f t="shared" si="114"/>
        <v>2.6019745752417833</v>
      </c>
      <c r="AE75" s="2"/>
      <c r="AF75" s="4">
        <v>23.5</v>
      </c>
      <c r="AG75" s="4">
        <f t="shared" si="115"/>
        <v>-172.5</v>
      </c>
      <c r="AH75" s="17">
        <f t="shared" si="116"/>
        <v>0</v>
      </c>
      <c r="AI75" s="17">
        <f t="shared" si="117"/>
        <v>0</v>
      </c>
      <c r="AJ75" s="17">
        <f t="shared" si="118"/>
        <v>0</v>
      </c>
      <c r="AK75" s="17">
        <f t="shared" si="119"/>
        <v>0</v>
      </c>
      <c r="AL75" s="17">
        <f t="shared" si="120"/>
        <v>0</v>
      </c>
      <c r="AM75" s="17">
        <f t="shared" si="121"/>
        <v>0</v>
      </c>
      <c r="AN75" s="17">
        <f t="shared" si="122"/>
        <v>0</v>
      </c>
      <c r="AO75" s="17">
        <f t="shared" si="123"/>
        <v>0</v>
      </c>
      <c r="AP75" s="17">
        <f t="shared" si="124"/>
        <v>0</v>
      </c>
      <c r="AQ75" s="17">
        <f t="shared" si="125"/>
        <v>0</v>
      </c>
      <c r="AR75" s="17">
        <f t="shared" si="126"/>
        <v>0</v>
      </c>
      <c r="AS75" s="17">
        <f t="shared" si="127"/>
        <v>0</v>
      </c>
      <c r="AT75" s="2"/>
      <c r="AU75" s="4">
        <v>23</v>
      </c>
      <c r="AV75" s="4">
        <f t="shared" si="128"/>
        <v>-165</v>
      </c>
      <c r="AW75" s="48">
        <f t="shared" si="129"/>
        <v>3.3396866988608185</v>
      </c>
      <c r="AX75" s="48">
        <f t="shared" si="130"/>
        <v>3.4583507089233145</v>
      </c>
      <c r="AY75" s="48">
        <f t="shared" si="131"/>
        <v>3.5022809319153549</v>
      </c>
      <c r="AZ75" s="48">
        <f t="shared" si="132"/>
        <v>3.3996943116443861</v>
      </c>
      <c r="BA75" s="48">
        <f t="shared" si="133"/>
        <v>3.2136557942697497</v>
      </c>
      <c r="BB75" s="48">
        <f t="shared" si="134"/>
        <v>3.0883755098131123</v>
      </c>
      <c r="BC75" s="48">
        <f t="shared" si="135"/>
        <v>3.1271899888203092</v>
      </c>
      <c r="BD75" s="48">
        <f t="shared" si="136"/>
        <v>3.2927603243848349</v>
      </c>
      <c r="BE75" s="48">
        <f t="shared" si="137"/>
        <v>3.439719150401312</v>
      </c>
      <c r="BF75" s="48">
        <f t="shared" si="138"/>
        <v>-0.82301364215233785</v>
      </c>
      <c r="BG75" s="48">
        <f t="shared" si="139"/>
        <v>3.3569091637982837</v>
      </c>
      <c r="BH75" s="48">
        <f t="shared" si="140"/>
        <v>3.2897514315616427</v>
      </c>
      <c r="BJ75" s="4">
        <v>23</v>
      </c>
      <c r="BK75" s="4">
        <f t="shared" si="141"/>
        <v>-165</v>
      </c>
      <c r="BL75" s="14" t="str">
        <f t="shared" si="142"/>
        <v>Noche</v>
      </c>
      <c r="BM75" s="14" t="str">
        <f t="shared" si="143"/>
        <v>Noche</v>
      </c>
      <c r="BN75" s="14" t="str">
        <f t="shared" si="144"/>
        <v>Noche</v>
      </c>
      <c r="BO75" s="14" t="str">
        <f t="shared" si="145"/>
        <v>Noche</v>
      </c>
      <c r="BP75" s="14" t="str">
        <f t="shared" si="146"/>
        <v>Noche</v>
      </c>
      <c r="BQ75" s="14" t="str">
        <f t="shared" si="147"/>
        <v>Noche</v>
      </c>
      <c r="BR75" s="14" t="str">
        <f t="shared" si="148"/>
        <v>Noche</v>
      </c>
      <c r="BS75" s="14" t="str">
        <f t="shared" si="149"/>
        <v>Noche</v>
      </c>
      <c r="BT75" s="14" t="str">
        <f t="shared" si="150"/>
        <v>Noche</v>
      </c>
      <c r="BU75" s="14" t="str">
        <f t="shared" si="151"/>
        <v>Noche</v>
      </c>
      <c r="BV75" s="14" t="str">
        <f t="shared" si="152"/>
        <v>Noche</v>
      </c>
      <c r="BW75" s="14" t="str">
        <f t="shared" si="153"/>
        <v>Noche</v>
      </c>
    </row>
    <row r="76" spans="2:75">
      <c r="B76" s="2"/>
      <c r="C76" s="2"/>
      <c r="D76" s="2"/>
      <c r="E76" s="2"/>
      <c r="F76" s="2"/>
      <c r="G76" s="2"/>
      <c r="H76" s="2"/>
      <c r="I76" s="2"/>
      <c r="J76" s="2"/>
      <c r="K76" s="2"/>
      <c r="L76" s="2"/>
      <c r="M76" s="2"/>
      <c r="N76" s="2"/>
      <c r="O76" s="2"/>
      <c r="P76" s="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55">
        <f>AVERAGE(AW52:AW75)</f>
        <v>-2.902795432067069</v>
      </c>
      <c r="AX76" s="55">
        <f t="shared" ref="AX76:BH76" si="154">AVERAGE(AX52:AX75)</f>
        <v>-3.0059360489631586</v>
      </c>
      <c r="AY76" s="55">
        <f t="shared" si="154"/>
        <v>-3.0441194063045764</v>
      </c>
      <c r="AZ76" s="55">
        <f t="shared" si="154"/>
        <v>-2.9549529665857417</v>
      </c>
      <c r="BA76" s="55">
        <f t="shared" si="154"/>
        <v>-2.7932516433425074</v>
      </c>
      <c r="BB76" s="55">
        <f t="shared" si="154"/>
        <v>-2.6843602800979141</v>
      </c>
      <c r="BC76" s="55">
        <f t="shared" si="154"/>
        <v>-2.7180971250536357</v>
      </c>
      <c r="BD76" s="55">
        <f t="shared" si="154"/>
        <v>-2.8620078739051547</v>
      </c>
      <c r="BE76" s="55">
        <f t="shared" si="154"/>
        <v>-2.9897418344015332</v>
      </c>
      <c r="BF76" s="55">
        <f t="shared" si="154"/>
        <v>0.71534861092916247</v>
      </c>
      <c r="BG76" s="55">
        <f t="shared" si="154"/>
        <v>-2.917764887904486</v>
      </c>
      <c r="BH76" s="55">
        <f t="shared" si="154"/>
        <v>-2.8593925985424318</v>
      </c>
    </row>
    <row r="77" spans="2:75">
      <c r="B77" s="5"/>
      <c r="C77" s="6"/>
      <c r="D77" s="2"/>
      <c r="E77" s="2"/>
      <c r="F77" s="2"/>
      <c r="G77" s="2"/>
      <c r="H77" s="2"/>
      <c r="I77" s="2"/>
      <c r="J77" s="2"/>
      <c r="K77" s="2"/>
      <c r="L77" s="2"/>
      <c r="M77" s="2"/>
      <c r="N77" s="2"/>
      <c r="O77" s="2"/>
      <c r="P77" s="5"/>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row>
    <row r="78" spans="2:75" s="24" customFormat="1"/>
    <row r="79" spans="2:75" s="24" customFormat="1"/>
    <row r="80" spans="2:75">
      <c r="B80" s="1248" t="s">
        <v>926</v>
      </c>
      <c r="C80" s="1226"/>
      <c r="D80" s="1230" t="s">
        <v>964</v>
      </c>
      <c r="E80" s="1230"/>
      <c r="F80" s="1230"/>
      <c r="G80" s="1230"/>
      <c r="H80" s="1230"/>
      <c r="I80" s="1230"/>
      <c r="J80" s="1230"/>
      <c r="K80" s="1230"/>
      <c r="L80" s="1230"/>
      <c r="M80" s="1230"/>
      <c r="N80" s="1230"/>
      <c r="O80" s="1230"/>
      <c r="P80" s="56"/>
      <c r="Q80" s="1225" t="s">
        <v>926</v>
      </c>
      <c r="R80" s="1226"/>
      <c r="S80" s="1230" t="s">
        <v>965</v>
      </c>
      <c r="T80" s="1230"/>
      <c r="U80" s="1230"/>
      <c r="V80" s="1230"/>
      <c r="W80" s="1230"/>
      <c r="X80" s="1230"/>
      <c r="Y80" s="1230"/>
      <c r="Z80" s="1230"/>
      <c r="AA80" s="1230"/>
      <c r="AB80" s="1230"/>
      <c r="AC80" s="1230"/>
      <c r="AD80" s="1230"/>
      <c r="AE80" s="56"/>
      <c r="AF80" s="1225" t="s">
        <v>926</v>
      </c>
      <c r="AG80" s="1226"/>
      <c r="AH80" s="1230" t="s">
        <v>1300</v>
      </c>
      <c r="AI80" s="1230"/>
      <c r="AJ80" s="1230"/>
      <c r="AK80" s="1230"/>
      <c r="AL80" s="1230"/>
      <c r="AM80" s="1230"/>
      <c r="AN80" s="1230"/>
      <c r="AO80" s="1230"/>
      <c r="AP80" s="1230"/>
      <c r="AQ80" s="1230"/>
      <c r="AR80" s="1230"/>
      <c r="AS80" s="1230"/>
      <c r="AT80" s="56"/>
      <c r="AU80" s="1225" t="s">
        <v>926</v>
      </c>
      <c r="AV80" s="1226"/>
      <c r="AW80" s="1230" t="s">
        <v>966</v>
      </c>
      <c r="AX80" s="1230"/>
      <c r="AY80" s="1230"/>
      <c r="AZ80" s="1230"/>
      <c r="BA80" s="1230"/>
      <c r="BB80" s="1230"/>
      <c r="BC80" s="1230"/>
      <c r="BD80" s="1230"/>
      <c r="BE80" s="1230"/>
      <c r="BF80" s="1230"/>
      <c r="BG80" s="1230"/>
      <c r="BH80" s="1231"/>
      <c r="BJ80" s="1229" t="s">
        <v>934</v>
      </c>
      <c r="BK80" s="1229"/>
      <c r="BL80" s="1229"/>
      <c r="BM80" s="1229"/>
      <c r="BN80" s="1229"/>
      <c r="BO80" s="1229"/>
      <c r="BP80" s="1229"/>
      <c r="BQ80" s="1229"/>
      <c r="BR80" s="1229"/>
      <c r="BS80" s="1229"/>
      <c r="BT80" s="1229"/>
      <c r="BU80" s="1229"/>
      <c r="BV80" s="1229"/>
      <c r="BW80" s="1229"/>
    </row>
    <row r="81" spans="2:75">
      <c r="B81" s="57">
        <v>0</v>
      </c>
      <c r="C81" s="29">
        <f t="shared" ref="C81:C104" si="155">BK52*$BX$8+0.000001</f>
        <v>3.1415936535897933</v>
      </c>
      <c r="D81" s="4" t="e">
        <f t="shared" ref="D81:D104" si="156">ROUND(SIN(AH$5)*SIN($BM$8)*COS($BR$9)-SIN(AH$5)*COS($BM$8)*COS($BR$8)*SIN($BR$9)+COS(AH$5)*COS($BM$8)*COS($BR$9)*COS($C81)+COS(AH$5)*SIN($BM$8)*SIN($BR$9)*COS($BR$8)*COS($C81)+COS(AH$5)*SIN($BR$9)*SIN($BR$8)*SIN($C81),5)</f>
        <v>#N/A</v>
      </c>
      <c r="E81" s="4" t="e">
        <f t="shared" ref="E81:E104" si="157">ROUND(SIN(AI$5)*SIN($BM$8)*COS($BR$9)-SIN(AI$5)*COS($BM$8)*COS($BR$8)*SIN($BR$9)+COS(AI$5)*COS($BM$8)*COS($BR$9)*COS($C81)+COS(AI$5)*SIN($BM$8)*SIN($BR$9)*COS($BR$8)*COS($C81)+COS(AI$5)*SIN($BR$9)*SIN($BR$8)*SIN($C81),5)</f>
        <v>#N/A</v>
      </c>
      <c r="F81" s="4" t="e">
        <f t="shared" ref="F81:F104" si="158">ROUND(SIN(AJ$5)*SIN($BM$8)*COS($BR$9)-SIN(AJ$5)*COS($BM$8)*COS($BR$8)*SIN($BR$9)+COS(AJ$5)*COS($BM$8)*COS($BR$9)*COS($C81)+COS(AJ$5)*SIN($BM$8)*SIN($BR$9)*COS($BR$8)*COS($C81)+COS(AJ$5)*SIN($BR$9)*SIN($BR$8)*SIN($C81),5)</f>
        <v>#N/A</v>
      </c>
      <c r="G81" s="4" t="e">
        <f t="shared" ref="G81:G104" si="159">ROUND(SIN(AK$5)*SIN($BM$8)*COS($BR$9)-SIN(AK$5)*COS($BM$8)*COS($BR$8)*SIN($BR$9)+COS(AK$5)*COS($BM$8)*COS($BR$9)*COS($C81)+COS(AK$5)*SIN($BM$8)*SIN($BR$9)*COS($BR$8)*COS($C81)+COS(AK$5)*SIN($BR$9)*SIN($BR$8)*SIN($C81),5)</f>
        <v>#N/A</v>
      </c>
      <c r="H81" s="4" t="e">
        <f t="shared" ref="H81:H104" si="160">ROUND(SIN(AL$5)*SIN($BM$8)*COS($BR$9)-SIN(AL$5)*COS($BM$8)*COS($BR$8)*SIN($BR$9)+COS(AL$5)*COS($BM$8)*COS($BR$9)*COS($C81)+COS(AL$5)*SIN($BM$8)*SIN($BR$9)*COS($BR$8)*COS($C81)+COS(AL$5)*SIN($BR$9)*SIN($BR$8)*SIN($C81),5)</f>
        <v>#N/A</v>
      </c>
      <c r="I81" s="4" t="e">
        <f t="shared" ref="I81:I104" si="161">ROUND(SIN(AM$5)*SIN($BM$8)*COS($BR$9)-SIN(AM$5)*COS($BM$8)*COS($BR$8)*SIN($BR$9)+COS(AM$5)*COS($BM$8)*COS($BR$9)*COS($C81)+COS(AM$5)*SIN($BM$8)*SIN($BR$9)*COS($BR$8)*COS($C81)+COS(AM$5)*SIN($BR$9)*SIN($BR$8)*SIN($C81),5)</f>
        <v>#N/A</v>
      </c>
      <c r="J81" s="4" t="e">
        <f t="shared" ref="J81:J104" si="162">ROUND(SIN(AN$5)*SIN($BM$8)*COS($BR$9)-SIN(AN$5)*COS($BM$8)*COS($BR$8)*SIN($BR$9)+COS(AN$5)*COS($BM$8)*COS($BR$9)*COS($C81)+COS(AN$5)*SIN($BM$8)*SIN($BR$9)*COS($BR$8)*COS($C81)+COS(AN$5)*SIN($BR$9)*SIN($BR$8)*SIN($C81),5)</f>
        <v>#N/A</v>
      </c>
      <c r="K81" s="4" t="e">
        <f t="shared" ref="K81:K104" si="163">ROUND(SIN(AO$5)*SIN($BM$8)*COS($BR$9)-SIN(AO$5)*COS($BM$8)*COS($BR$8)*SIN($BR$9)+COS(AO$5)*COS($BM$8)*COS($BR$9)*COS($C81)+COS(AO$5)*SIN($BM$8)*SIN($BR$9)*COS($BR$8)*COS($C81)+COS(AO$5)*SIN($BR$9)*SIN($BR$8)*SIN($C81),5)</f>
        <v>#N/A</v>
      </c>
      <c r="L81" s="4" t="e">
        <f t="shared" ref="L81:L104" si="164">ROUND(SIN(AP$5)*SIN($BM$8)*COS($BR$9)-SIN(AP$5)*COS($BM$8)*COS($BR$8)*SIN($BR$9)+COS(AP$5)*COS($BM$8)*COS($BR$9)*COS($C81)+COS(AP$5)*SIN($BM$8)*SIN($BR$9)*COS($BR$8)*COS($C81)+COS(AP$5)*SIN($BR$9)*SIN($BR$8)*SIN($C81),5)</f>
        <v>#N/A</v>
      </c>
      <c r="M81" s="4" t="e">
        <f t="shared" ref="M81:M104" si="165">ROUND(SIN(AQ$5)*SIN($BM$8)*COS($BR$9)-SIN(AQ$5)*COS($BM$8)*COS($BR$8)*SIN($BR$9)+COS(AQ$5)*COS($BM$8)*COS($BR$9)*COS($C81)+COS(AQ$5)*SIN($BM$8)*SIN($BR$9)*COS($BR$8)*COS($C81)+COS(AQ$5)*SIN($BR$9)*SIN($BR$8)*SIN($C81),5)</f>
        <v>#N/A</v>
      </c>
      <c r="N81" s="4" t="e">
        <f t="shared" ref="N81:N104" si="166">ROUND(SIN(AR$5)*SIN($BM$8)*COS($BR$9)-SIN(AR$5)*COS($BM$8)*COS($BR$8)*SIN($BR$9)+COS(AR$5)*COS($BM$8)*COS($BR$9)*COS($C81)+COS(AR$5)*SIN($BM$8)*SIN($BR$9)*COS($BR$8)*COS($C81)+COS(AR$5)*SIN($BR$9)*SIN($BR$8)*SIN($C81),5)</f>
        <v>#N/A</v>
      </c>
      <c r="O81" s="4" t="e">
        <f t="shared" ref="O81:O104" si="167">ROUND(SIN(AS$5)*SIN($BM$8)*COS($BR$9)-SIN(AS$5)*COS($BM$8)*COS($BR$8)*SIN($BR$9)+COS(AS$5)*COS($BM$8)*COS($BR$9)*COS($C81)+COS(AS$5)*SIN($BM$8)*SIN($BR$9)*COS($BR$8)*COS($C81)+COS(AS$5)*SIN($BR$9)*SIN($BR$8)*SIN($C81),5)</f>
        <v>#N/A</v>
      </c>
      <c r="P81" s="2"/>
      <c r="Q81" s="4">
        <v>0</v>
      </c>
      <c r="R81" s="29">
        <f t="shared" ref="R81:R104" si="168">BK52*$BX$8+0.000001</f>
        <v>3.1415936535897933</v>
      </c>
      <c r="S81" s="4" t="e">
        <f t="shared" ref="S81:S104" si="169">ROUND(SIN(AH$5)*SIN($BM$8)*COS($BR$9)-SIN(AH$5)*COS($BM$8)*COS($BS$8)*SIN($BR$9)+COS(AH$5)*COS($BM$8)*COS($BR$9)*COS($C81)+COS(AH$5)*SIN($BM$8)*SIN($BR$9)*COS($BS$8)*COS($C81)+COS(AH$5)*SIN($BR$9)*SIN($BS$8)*SIN($C81),5)</f>
        <v>#N/A</v>
      </c>
      <c r="T81" s="4" t="e">
        <f t="shared" ref="T81:T104" si="170">ROUND(SIN(AI$5)*SIN($BM$8)*COS($BR$9)-SIN(AI$5)*COS($BM$8)*COS($BS$8)*SIN($BR$9)+COS(AI$5)*COS($BM$8)*COS($BR$9)*COS($C81)+COS(AI$5)*SIN($BM$8)*SIN($BR$9)*COS($BS$8)*COS($C81)+COS(AI$5)*SIN($BR$9)*SIN($BS$8)*SIN($C81),5)</f>
        <v>#N/A</v>
      </c>
      <c r="U81" s="4" t="e">
        <f t="shared" ref="U81:U104" si="171">ROUND(SIN(AJ$5)*SIN($BM$8)*COS($BR$9)-SIN(AJ$5)*COS($BM$8)*COS($BS$8)*SIN($BR$9)+COS(AJ$5)*COS($BM$8)*COS($BR$9)*COS($C81)+COS(AJ$5)*SIN($BM$8)*SIN($BR$9)*COS($BS$8)*COS($C81)+COS(AJ$5)*SIN($BR$9)*SIN($BS$8)*SIN($C81),5)</f>
        <v>#N/A</v>
      </c>
      <c r="V81" s="4" t="e">
        <f t="shared" ref="V81:V104" si="172">ROUND(SIN(AK$5)*SIN($BM$8)*COS($BR$9)-SIN(AK$5)*COS($BM$8)*COS($BS$8)*SIN($BR$9)+COS(AK$5)*COS($BM$8)*COS($BR$9)*COS($C81)+COS(AK$5)*SIN($BM$8)*SIN($BR$9)*COS($BS$8)*COS($C81)+COS(AK$5)*SIN($BR$9)*SIN($BS$8)*SIN($C81),5)</f>
        <v>#N/A</v>
      </c>
      <c r="W81" s="4" t="e">
        <f t="shared" ref="W81:W104" si="173">ROUND(SIN(AL$5)*SIN($BM$8)*COS($BR$9)-SIN(AL$5)*COS($BM$8)*COS($BS$8)*SIN($BR$9)+COS(AL$5)*COS($BM$8)*COS($BR$9)*COS($C81)+COS(AL$5)*SIN($BM$8)*SIN($BR$9)*COS($BS$8)*COS($C81)+COS(AL$5)*SIN($BR$9)*SIN($BS$8)*SIN($C81),5)</f>
        <v>#N/A</v>
      </c>
      <c r="X81" s="4" t="e">
        <f t="shared" ref="X81:X104" si="174">ROUND(SIN(AM$5)*SIN($BM$8)*COS($BR$9)-SIN(AM$5)*COS($BM$8)*COS($BS$8)*SIN($BR$9)+COS(AM$5)*COS($BM$8)*COS($BR$9)*COS($C81)+COS(AM$5)*SIN($BM$8)*SIN($BR$9)*COS($BS$8)*COS($C81)+COS(AM$5)*SIN($BR$9)*SIN($BS$8)*SIN($C81),5)</f>
        <v>#N/A</v>
      </c>
      <c r="Y81" s="4" t="e">
        <f t="shared" ref="Y81:Y104" si="175">ROUND(SIN(AN$5)*SIN($BM$8)*COS($BR$9)-SIN(AN$5)*COS($BM$8)*COS($BS$8)*SIN($BR$9)+COS(AN$5)*COS($BM$8)*COS($BR$9)*COS($C81)+COS(AN$5)*SIN($BM$8)*SIN($BR$9)*COS($BS$8)*COS($C81)+COS(AN$5)*SIN($BR$9)*SIN($BS$8)*SIN($C81),5)</f>
        <v>#N/A</v>
      </c>
      <c r="Z81" s="4" t="e">
        <f t="shared" ref="Z81:Z104" si="176">ROUND(SIN(AO$5)*SIN($BM$8)*COS($BR$9)-SIN(AO$5)*COS($BM$8)*COS($BS$8)*SIN($BR$9)+COS(AO$5)*COS($BM$8)*COS($BR$9)*COS($C81)+COS(AO$5)*SIN($BM$8)*SIN($BR$9)*COS($BS$8)*COS($C81)+COS(AO$5)*SIN($BR$9)*SIN($BS$8)*SIN($C81),5)</f>
        <v>#N/A</v>
      </c>
      <c r="AA81" s="4" t="e">
        <f t="shared" ref="AA81:AA104" si="177">ROUND(SIN(AP$5)*SIN($BM$8)*COS($BR$9)-SIN(AP$5)*COS($BM$8)*COS($BS$8)*SIN($BR$9)+COS(AP$5)*COS($BM$8)*COS($BR$9)*COS($C81)+COS(AP$5)*SIN($BM$8)*SIN($BR$9)*COS($BS$8)*COS($C81)+COS(AP$5)*SIN($BR$9)*SIN($BS$8)*SIN($C81),5)</f>
        <v>#N/A</v>
      </c>
      <c r="AB81" s="4" t="e">
        <f t="shared" ref="AB81:AB104" si="178">ROUND(SIN(AQ$5)*SIN($BM$8)*COS($BR$9)-SIN(AQ$5)*COS($BM$8)*COS($BS$8)*SIN($BR$9)+COS(AQ$5)*COS($BM$8)*COS($BR$9)*COS($C81)+COS(AQ$5)*SIN($BM$8)*SIN($BR$9)*COS($BS$8)*COS($C81)+COS(AQ$5)*SIN($BR$9)*SIN($BS$8)*SIN($C81),5)</f>
        <v>#N/A</v>
      </c>
      <c r="AC81" s="4" t="e">
        <f t="shared" ref="AC81:AC104" si="179">ROUND(SIN(AR$5)*SIN($BM$8)*COS($BR$9)-SIN(AR$5)*COS($BM$8)*COS($BS$8)*SIN($BR$9)+COS(AR$5)*COS($BM$8)*COS($BR$9)*COS($C81)+COS(AR$5)*SIN($BM$8)*SIN($BR$9)*COS($BS$8)*COS($C81)+COS(AR$5)*SIN($BR$9)*SIN($BS$8)*SIN($C81),5)</f>
        <v>#N/A</v>
      </c>
      <c r="AD81" s="4" t="e">
        <f t="shared" ref="AD81:AD104" si="180">ROUND(SIN(AS$5)*SIN($BM$8)*COS($BR$9)-SIN(AS$5)*COS($BM$8)*COS($BS$8)*SIN($BR$9)+COS(AS$5)*COS($BM$8)*COS($BR$9)*COS($C81)+COS(AS$5)*SIN($BM$8)*SIN($BR$9)*COS($BS$8)*COS($C81)+COS(AS$5)*SIN($BR$9)*SIN($BS$8)*SIN($C81),5)</f>
        <v>#N/A</v>
      </c>
      <c r="AE81" s="2"/>
      <c r="AF81" s="4">
        <v>0</v>
      </c>
      <c r="AG81" s="29">
        <f t="shared" ref="AG81:AG104" si="181">BK52*$BX$8+0.000001</f>
        <v>3.1415936535897933</v>
      </c>
      <c r="AH81" s="4" t="e">
        <f t="shared" ref="AH81:AS90" si="182">ROUND(SIN(AH$5)*SIN($BM$8)*COS($BR$9)-SIN(AH$5)*COS($BM$8)*COS($BT$8)*SIN($BR$9)+COS(AH$5)*COS($BM$8)*COS($BR$9)*COS($C81)+COS(AH$5)*SIN($BM$8)*SIN($BR$9)*COS($BT$8)*COS($C81)+COS(AH$5)*SIN($BR$9)*SIN($BT$8)*SIN($C81),5)</f>
        <v>#N/A</v>
      </c>
      <c r="AI81" s="4" t="e">
        <f t="shared" si="182"/>
        <v>#N/A</v>
      </c>
      <c r="AJ81" s="4" t="e">
        <f t="shared" si="182"/>
        <v>#N/A</v>
      </c>
      <c r="AK81" s="4" t="e">
        <f t="shared" si="182"/>
        <v>#N/A</v>
      </c>
      <c r="AL81" s="4" t="e">
        <f t="shared" si="182"/>
        <v>#N/A</v>
      </c>
      <c r="AM81" s="4" t="e">
        <f t="shared" si="182"/>
        <v>#N/A</v>
      </c>
      <c r="AN81" s="4" t="e">
        <f t="shared" si="182"/>
        <v>#N/A</v>
      </c>
      <c r="AO81" s="4" t="e">
        <f t="shared" si="182"/>
        <v>#N/A</v>
      </c>
      <c r="AP81" s="4" t="e">
        <f t="shared" si="182"/>
        <v>#N/A</v>
      </c>
      <c r="AQ81" s="4" t="e">
        <f t="shared" si="182"/>
        <v>#N/A</v>
      </c>
      <c r="AR81" s="4" t="e">
        <f t="shared" si="182"/>
        <v>#N/A</v>
      </c>
      <c r="AS81" s="4" t="e">
        <f t="shared" si="182"/>
        <v>#N/A</v>
      </c>
      <c r="AT81" s="2"/>
      <c r="AU81" s="4">
        <v>0</v>
      </c>
      <c r="AV81" s="29">
        <f t="shared" ref="AV81:AV104" si="183">BK52*$BX$8+0.000001</f>
        <v>3.1415936535897933</v>
      </c>
      <c r="AW81" s="4" t="e">
        <f t="shared" ref="AW81:AW104" si="184">ROUND(SIN(AH$5)*SIN($BM$8)*COS($BR$9)-SIN(AH$5)*COS($BM$8)*COS($BU$8)*SIN($BR$9)+COS(AH$5)*COS($BM$8)*COS($BR$9)*COS($C81)+COS(AH$5)*SIN($BM$8)*SIN($BR$9)*COS($BU$8)*COS($C81)+COS(AH$5)*SIN($BR$9)*SIN($BU$8)*SIN($C81),5)</f>
        <v>#N/A</v>
      </c>
      <c r="AX81" s="4" t="e">
        <f t="shared" ref="AX81:AX104" si="185">ROUND(SIN(AI$5)*SIN($BM$8)*COS($BR$9)-SIN(AI$5)*COS($BM$8)*COS($BU$8)*SIN($BR$9)+COS(AI$5)*COS($BM$8)*COS($BR$9)*COS($C81)+COS(AI$5)*SIN($BM$8)*SIN($BR$9)*COS($BU$8)*COS($C81)+COS(AI$5)*SIN($BR$9)*SIN($BU$8)*SIN($C81),5)</f>
        <v>#N/A</v>
      </c>
      <c r="AY81" s="4" t="e">
        <f t="shared" ref="AY81:AY104" si="186">ROUND(SIN(AJ$5)*SIN($BM$8)*COS($BR$9)-SIN(AJ$5)*COS($BM$8)*COS($BU$8)*SIN($BR$9)+COS(AJ$5)*COS($BM$8)*COS($BR$9)*COS($C81)+COS(AJ$5)*SIN($BM$8)*SIN($BR$9)*COS($BU$8)*COS($C81)+COS(AJ$5)*SIN($BR$9)*SIN($BU$8)*SIN($C81),5)</f>
        <v>#N/A</v>
      </c>
      <c r="AZ81" s="4" t="e">
        <f t="shared" ref="AZ81:AZ104" si="187">ROUND(SIN(AK$5)*SIN($BM$8)*COS($BR$9)-SIN(AK$5)*COS($BM$8)*COS($BU$8)*SIN($BR$9)+COS(AK$5)*COS($BM$8)*COS($BR$9)*COS($C81)+COS(AK$5)*SIN($BM$8)*SIN($BR$9)*COS($BU$8)*COS($C81)+COS(AK$5)*SIN($BR$9)*SIN($BU$8)*SIN($C81),5)</f>
        <v>#N/A</v>
      </c>
      <c r="BA81" s="4" t="e">
        <f t="shared" ref="BA81:BA104" si="188">ROUND(SIN(AL$5)*SIN($BM$8)*COS($BR$9)-SIN(AL$5)*COS($BM$8)*COS($BU$8)*SIN($BR$9)+COS(AL$5)*COS($BM$8)*COS($BR$9)*COS($C81)+COS(AL$5)*SIN($BM$8)*SIN($BR$9)*COS($BU$8)*COS($C81)+COS(AL$5)*SIN($BR$9)*SIN($BU$8)*SIN($C81),5)</f>
        <v>#N/A</v>
      </c>
      <c r="BB81" s="4" t="e">
        <f t="shared" ref="BB81:BB104" si="189">ROUND(SIN(AM$5)*SIN($BM$8)*COS($BR$9)-SIN(AM$5)*COS($BM$8)*COS($BU$8)*SIN($BR$9)+COS(AM$5)*COS($BM$8)*COS($BR$9)*COS($C81)+COS(AM$5)*SIN($BM$8)*SIN($BR$9)*COS($BU$8)*COS($C81)+COS(AM$5)*SIN($BR$9)*SIN($BU$8)*SIN($C81),5)</f>
        <v>#N/A</v>
      </c>
      <c r="BC81" s="4" t="e">
        <f t="shared" ref="BC81:BC104" si="190">ROUND(SIN(AN$5)*SIN($BM$8)*COS($BR$9)-SIN(AN$5)*COS($BM$8)*COS($BU$8)*SIN($BR$9)+COS(AN$5)*COS($BM$8)*COS($BR$9)*COS($C81)+COS(AN$5)*SIN($BM$8)*SIN($BR$9)*COS($BU$8)*COS($C81)+COS(AN$5)*SIN($BR$9)*SIN($BU$8)*SIN($C81),5)</f>
        <v>#N/A</v>
      </c>
      <c r="BD81" s="4" t="e">
        <f t="shared" ref="BD81:BD104" si="191">ROUND(SIN(AO$5)*SIN($BM$8)*COS($BR$9)-SIN(AO$5)*COS($BM$8)*COS($BU$8)*SIN($BR$9)+COS(AO$5)*COS($BM$8)*COS($BR$9)*COS($C81)+COS(AO$5)*SIN($BM$8)*SIN($BR$9)*COS($BU$8)*COS($C81)+COS(AO$5)*SIN($BR$9)*SIN($BU$8)*SIN($C81),5)</f>
        <v>#N/A</v>
      </c>
      <c r="BE81" s="4" t="e">
        <f t="shared" ref="BE81:BE104" si="192">ROUND(SIN(AP$5)*SIN($BM$8)*COS($BR$9)-SIN(AP$5)*COS($BM$8)*COS($BU$8)*SIN($BR$9)+COS(AP$5)*COS($BM$8)*COS($BR$9)*COS($C81)+COS(AP$5)*SIN($BM$8)*SIN($BR$9)*COS($BU$8)*COS($C81)+COS(AP$5)*SIN($BR$9)*SIN($BU$8)*SIN($C81),5)</f>
        <v>#N/A</v>
      </c>
      <c r="BF81" s="4" t="e">
        <f t="shared" ref="BF81:BF104" si="193">ROUND(SIN(AQ$5)*SIN($BM$8)*COS($BR$9)-SIN(AQ$5)*COS($BM$8)*COS($BU$8)*SIN($BR$9)+COS(AQ$5)*COS($BM$8)*COS($BR$9)*COS($C81)+COS(AQ$5)*SIN($BM$8)*SIN($BR$9)*COS($BU$8)*COS($C81)+COS(AQ$5)*SIN($BR$9)*SIN($BU$8)*SIN($C81),5)</f>
        <v>#N/A</v>
      </c>
      <c r="BG81" s="4" t="e">
        <f t="shared" ref="BG81:BG104" si="194">ROUND(SIN(AR$5)*SIN($BM$8)*COS($BR$9)-SIN(AR$5)*COS($BM$8)*COS($BU$8)*SIN($BR$9)+COS(AR$5)*COS($BM$8)*COS($BR$9)*COS($C81)+COS(AR$5)*SIN($BM$8)*SIN($BR$9)*COS($BU$8)*COS($C81)+COS(AR$5)*SIN($BR$9)*SIN($BU$8)*SIN($C81),5)</f>
        <v>#N/A</v>
      </c>
      <c r="BH81" s="58" t="e">
        <f t="shared" ref="BH81:BH104" si="195">ROUND(SIN(AS$5)*SIN($BM$8)*COS($BR$9)-SIN(AS$5)*COS($BM$8)*COS($BU$8)*SIN($BR$9)+COS(AS$5)*COS($BM$8)*COS($BR$9)*COS($C81)+COS(AS$5)*SIN($BM$8)*SIN($BR$9)*COS($BU$8)*COS($C81)+COS(AS$5)*SIN($BR$9)*SIN($BU$8)*SIN($C81),5)</f>
        <v>#N/A</v>
      </c>
      <c r="BJ81" s="1232" t="s">
        <v>935</v>
      </c>
      <c r="BK81" s="1232"/>
      <c r="BL81" s="3">
        <f t="shared" ref="BL81:BW81" si="196">$D$13+$E$13*D$17*1.1</f>
        <v>0.54858000000000007</v>
      </c>
      <c r="BM81" s="3">
        <f t="shared" si="196"/>
        <v>0.57234000000000007</v>
      </c>
      <c r="BN81" s="3">
        <f t="shared" si="196"/>
        <v>0.56640000000000001</v>
      </c>
      <c r="BO81" s="3">
        <f t="shared" si="196"/>
        <v>0.56046000000000007</v>
      </c>
      <c r="BP81" s="3">
        <f t="shared" si="196"/>
        <v>0.50106000000000006</v>
      </c>
      <c r="BQ81" s="3">
        <f t="shared" si="196"/>
        <v>0.47136</v>
      </c>
      <c r="BR81" s="3">
        <f t="shared" si="196"/>
        <v>0.46542000000000006</v>
      </c>
      <c r="BS81" s="3">
        <f t="shared" si="196"/>
        <v>0.50700000000000001</v>
      </c>
      <c r="BT81" s="3">
        <f t="shared" si="196"/>
        <v>0.53670000000000007</v>
      </c>
      <c r="BU81" s="3">
        <f t="shared" si="196"/>
        <v>0.52482000000000006</v>
      </c>
      <c r="BV81" s="3">
        <f t="shared" si="196"/>
        <v>0.55452000000000001</v>
      </c>
      <c r="BW81" s="3">
        <f t="shared" si="196"/>
        <v>0.53670000000000007</v>
      </c>
    </row>
    <row r="82" spans="2:75">
      <c r="B82" s="57">
        <v>1</v>
      </c>
      <c r="C82" s="29">
        <f t="shared" si="155"/>
        <v>2.8797942657906437</v>
      </c>
      <c r="D82" s="4" t="e">
        <f t="shared" si="156"/>
        <v>#N/A</v>
      </c>
      <c r="E82" s="4" t="e">
        <f t="shared" si="157"/>
        <v>#N/A</v>
      </c>
      <c r="F82" s="4" t="e">
        <f t="shared" si="158"/>
        <v>#N/A</v>
      </c>
      <c r="G82" s="4" t="e">
        <f t="shared" si="159"/>
        <v>#N/A</v>
      </c>
      <c r="H82" s="4" t="e">
        <f t="shared" si="160"/>
        <v>#N/A</v>
      </c>
      <c r="I82" s="4" t="e">
        <f t="shared" si="161"/>
        <v>#N/A</v>
      </c>
      <c r="J82" s="4" t="e">
        <f t="shared" si="162"/>
        <v>#N/A</v>
      </c>
      <c r="K82" s="4" t="e">
        <f t="shared" si="163"/>
        <v>#N/A</v>
      </c>
      <c r="L82" s="4" t="e">
        <f t="shared" si="164"/>
        <v>#N/A</v>
      </c>
      <c r="M82" s="4" t="e">
        <f t="shared" si="165"/>
        <v>#N/A</v>
      </c>
      <c r="N82" s="4" t="e">
        <f t="shared" si="166"/>
        <v>#N/A</v>
      </c>
      <c r="O82" s="4" t="e">
        <f t="shared" si="167"/>
        <v>#N/A</v>
      </c>
      <c r="P82" s="2"/>
      <c r="Q82" s="4">
        <v>1</v>
      </c>
      <c r="R82" s="29">
        <f t="shared" si="168"/>
        <v>2.8797942657906437</v>
      </c>
      <c r="S82" s="4" t="e">
        <f t="shared" si="169"/>
        <v>#N/A</v>
      </c>
      <c r="T82" s="4" t="e">
        <f t="shared" si="170"/>
        <v>#N/A</v>
      </c>
      <c r="U82" s="4" t="e">
        <f t="shared" si="171"/>
        <v>#N/A</v>
      </c>
      <c r="V82" s="4" t="e">
        <f t="shared" si="172"/>
        <v>#N/A</v>
      </c>
      <c r="W82" s="4" t="e">
        <f t="shared" si="173"/>
        <v>#N/A</v>
      </c>
      <c r="X82" s="4" t="e">
        <f t="shared" si="174"/>
        <v>#N/A</v>
      </c>
      <c r="Y82" s="4" t="e">
        <f t="shared" si="175"/>
        <v>#N/A</v>
      </c>
      <c r="Z82" s="4" t="e">
        <f t="shared" si="176"/>
        <v>#N/A</v>
      </c>
      <c r="AA82" s="4" t="e">
        <f t="shared" si="177"/>
        <v>#N/A</v>
      </c>
      <c r="AB82" s="4" t="e">
        <f t="shared" si="178"/>
        <v>#N/A</v>
      </c>
      <c r="AC82" s="4" t="e">
        <f t="shared" si="179"/>
        <v>#N/A</v>
      </c>
      <c r="AD82" s="4" t="e">
        <f t="shared" si="180"/>
        <v>#N/A</v>
      </c>
      <c r="AE82" s="2"/>
      <c r="AF82" s="4">
        <v>1</v>
      </c>
      <c r="AG82" s="29">
        <f t="shared" si="181"/>
        <v>2.8797942657906437</v>
      </c>
      <c r="AH82" s="4" t="e">
        <f t="shared" si="182"/>
        <v>#N/A</v>
      </c>
      <c r="AI82" s="4" t="e">
        <f t="shared" si="182"/>
        <v>#N/A</v>
      </c>
      <c r="AJ82" s="4" t="e">
        <f t="shared" si="182"/>
        <v>#N/A</v>
      </c>
      <c r="AK82" s="4" t="e">
        <f t="shared" si="182"/>
        <v>#N/A</v>
      </c>
      <c r="AL82" s="4" t="e">
        <f t="shared" si="182"/>
        <v>#N/A</v>
      </c>
      <c r="AM82" s="4" t="e">
        <f t="shared" si="182"/>
        <v>#N/A</v>
      </c>
      <c r="AN82" s="4" t="e">
        <f t="shared" si="182"/>
        <v>#N/A</v>
      </c>
      <c r="AO82" s="4" t="e">
        <f t="shared" si="182"/>
        <v>#N/A</v>
      </c>
      <c r="AP82" s="4" t="e">
        <f t="shared" si="182"/>
        <v>#N/A</v>
      </c>
      <c r="AQ82" s="4" t="e">
        <f t="shared" si="182"/>
        <v>#N/A</v>
      </c>
      <c r="AR82" s="4" t="e">
        <f t="shared" si="182"/>
        <v>#N/A</v>
      </c>
      <c r="AS82" s="4" t="e">
        <f t="shared" si="182"/>
        <v>#N/A</v>
      </c>
      <c r="AT82" s="2"/>
      <c r="AU82" s="4">
        <v>1</v>
      </c>
      <c r="AV82" s="29">
        <f t="shared" si="183"/>
        <v>2.8797942657906437</v>
      </c>
      <c r="AW82" s="4" t="e">
        <f t="shared" si="184"/>
        <v>#N/A</v>
      </c>
      <c r="AX82" s="4" t="e">
        <f t="shared" si="185"/>
        <v>#N/A</v>
      </c>
      <c r="AY82" s="4" t="e">
        <f t="shared" si="186"/>
        <v>#N/A</v>
      </c>
      <c r="AZ82" s="4" t="e">
        <f t="shared" si="187"/>
        <v>#N/A</v>
      </c>
      <c r="BA82" s="4" t="e">
        <f t="shared" si="188"/>
        <v>#N/A</v>
      </c>
      <c r="BB82" s="4" t="e">
        <f t="shared" si="189"/>
        <v>#N/A</v>
      </c>
      <c r="BC82" s="4" t="e">
        <f t="shared" si="190"/>
        <v>#N/A</v>
      </c>
      <c r="BD82" s="4" t="e">
        <f t="shared" si="191"/>
        <v>#N/A</v>
      </c>
      <c r="BE82" s="4" t="e">
        <f t="shared" si="192"/>
        <v>#N/A</v>
      </c>
      <c r="BF82" s="4" t="e">
        <f t="shared" si="193"/>
        <v>#N/A</v>
      </c>
      <c r="BG82" s="4" t="e">
        <f t="shared" si="194"/>
        <v>#N/A</v>
      </c>
      <c r="BH82" s="58" t="e">
        <f t="shared" si="195"/>
        <v>#N/A</v>
      </c>
      <c r="BJ82" s="10" t="s">
        <v>936</v>
      </c>
      <c r="BK82" s="10" t="s">
        <v>937</v>
      </c>
      <c r="BL82" s="41">
        <f t="shared" ref="BL82:BW82" si="197">0.409+0.5016*SIN(AH$8-($BX$8*60))</f>
        <v>0.65979999999999994</v>
      </c>
      <c r="BM82" s="41">
        <f t="shared" si="197"/>
        <v>0.65979999999999994</v>
      </c>
      <c r="BN82" s="41">
        <f t="shared" si="197"/>
        <v>0.65979999999999994</v>
      </c>
      <c r="BO82" s="41">
        <f t="shared" si="197"/>
        <v>0.65979999999999994</v>
      </c>
      <c r="BP82" s="41">
        <f t="shared" si="197"/>
        <v>0.65979999999999994</v>
      </c>
      <c r="BQ82" s="41">
        <f t="shared" si="197"/>
        <v>0.65979999999999994</v>
      </c>
      <c r="BR82" s="41">
        <f t="shared" si="197"/>
        <v>0.65979999999999994</v>
      </c>
      <c r="BS82" s="41">
        <f t="shared" si="197"/>
        <v>0.65979999999999994</v>
      </c>
      <c r="BT82" s="41">
        <f t="shared" si="197"/>
        <v>0.65979999999999994</v>
      </c>
      <c r="BU82" s="41">
        <f t="shared" si="197"/>
        <v>0.65979999999999994</v>
      </c>
      <c r="BV82" s="41">
        <f t="shared" si="197"/>
        <v>0.65979999999999994</v>
      </c>
      <c r="BW82" s="41">
        <f t="shared" si="197"/>
        <v>0.65979999999999994</v>
      </c>
    </row>
    <row r="83" spans="2:75">
      <c r="B83" s="57">
        <v>2</v>
      </c>
      <c r="C83" s="29">
        <f t="shared" si="155"/>
        <v>2.6179948779914946</v>
      </c>
      <c r="D83" s="4" t="e">
        <f t="shared" si="156"/>
        <v>#N/A</v>
      </c>
      <c r="E83" s="4" t="e">
        <f t="shared" si="157"/>
        <v>#N/A</v>
      </c>
      <c r="F83" s="4" t="e">
        <f t="shared" si="158"/>
        <v>#N/A</v>
      </c>
      <c r="G83" s="4" t="e">
        <f t="shared" si="159"/>
        <v>#N/A</v>
      </c>
      <c r="H83" s="4" t="e">
        <f t="shared" si="160"/>
        <v>#N/A</v>
      </c>
      <c r="I83" s="4" t="e">
        <f t="shared" si="161"/>
        <v>#N/A</v>
      </c>
      <c r="J83" s="4" t="e">
        <f t="shared" si="162"/>
        <v>#N/A</v>
      </c>
      <c r="K83" s="4" t="e">
        <f t="shared" si="163"/>
        <v>#N/A</v>
      </c>
      <c r="L83" s="4" t="e">
        <f t="shared" si="164"/>
        <v>#N/A</v>
      </c>
      <c r="M83" s="4" t="e">
        <f t="shared" si="165"/>
        <v>#N/A</v>
      </c>
      <c r="N83" s="4" t="e">
        <f t="shared" si="166"/>
        <v>#N/A</v>
      </c>
      <c r="O83" s="4" t="e">
        <f t="shared" si="167"/>
        <v>#N/A</v>
      </c>
      <c r="P83" s="2"/>
      <c r="Q83" s="4">
        <v>2</v>
      </c>
      <c r="R83" s="29">
        <f t="shared" si="168"/>
        <v>2.6179948779914946</v>
      </c>
      <c r="S83" s="4" t="e">
        <f t="shared" si="169"/>
        <v>#N/A</v>
      </c>
      <c r="T83" s="4" t="e">
        <f t="shared" si="170"/>
        <v>#N/A</v>
      </c>
      <c r="U83" s="4" t="e">
        <f t="shared" si="171"/>
        <v>#N/A</v>
      </c>
      <c r="V83" s="4" t="e">
        <f t="shared" si="172"/>
        <v>#N/A</v>
      </c>
      <c r="W83" s="4" t="e">
        <f t="shared" si="173"/>
        <v>#N/A</v>
      </c>
      <c r="X83" s="4" t="e">
        <f t="shared" si="174"/>
        <v>#N/A</v>
      </c>
      <c r="Y83" s="4" t="e">
        <f t="shared" si="175"/>
        <v>#N/A</v>
      </c>
      <c r="Z83" s="4" t="e">
        <f t="shared" si="176"/>
        <v>#N/A</v>
      </c>
      <c r="AA83" s="4" t="e">
        <f t="shared" si="177"/>
        <v>#N/A</v>
      </c>
      <c r="AB83" s="4" t="e">
        <f t="shared" si="178"/>
        <v>#N/A</v>
      </c>
      <c r="AC83" s="4" t="e">
        <f t="shared" si="179"/>
        <v>#N/A</v>
      </c>
      <c r="AD83" s="4" t="e">
        <f t="shared" si="180"/>
        <v>#N/A</v>
      </c>
      <c r="AE83" s="2"/>
      <c r="AF83" s="4">
        <v>2</v>
      </c>
      <c r="AG83" s="29">
        <f t="shared" si="181"/>
        <v>2.6179948779914946</v>
      </c>
      <c r="AH83" s="4" t="e">
        <f t="shared" si="182"/>
        <v>#N/A</v>
      </c>
      <c r="AI83" s="4" t="e">
        <f t="shared" si="182"/>
        <v>#N/A</v>
      </c>
      <c r="AJ83" s="4" t="e">
        <f t="shared" si="182"/>
        <v>#N/A</v>
      </c>
      <c r="AK83" s="4" t="e">
        <f t="shared" si="182"/>
        <v>#N/A</v>
      </c>
      <c r="AL83" s="4" t="e">
        <f t="shared" si="182"/>
        <v>#N/A</v>
      </c>
      <c r="AM83" s="4" t="e">
        <f t="shared" si="182"/>
        <v>#N/A</v>
      </c>
      <c r="AN83" s="4" t="e">
        <f t="shared" si="182"/>
        <v>#N/A</v>
      </c>
      <c r="AO83" s="4" t="e">
        <f t="shared" si="182"/>
        <v>#N/A</v>
      </c>
      <c r="AP83" s="4" t="e">
        <f t="shared" si="182"/>
        <v>#N/A</v>
      </c>
      <c r="AQ83" s="4" t="e">
        <f t="shared" si="182"/>
        <v>#N/A</v>
      </c>
      <c r="AR83" s="4" t="e">
        <f t="shared" si="182"/>
        <v>#N/A</v>
      </c>
      <c r="AS83" s="4" t="e">
        <f t="shared" si="182"/>
        <v>#N/A</v>
      </c>
      <c r="AT83" s="2"/>
      <c r="AU83" s="4">
        <v>2</v>
      </c>
      <c r="AV83" s="29">
        <f t="shared" si="183"/>
        <v>2.6179948779914946</v>
      </c>
      <c r="AW83" s="4" t="e">
        <f t="shared" si="184"/>
        <v>#N/A</v>
      </c>
      <c r="AX83" s="4" t="e">
        <f t="shared" si="185"/>
        <v>#N/A</v>
      </c>
      <c r="AY83" s="4" t="e">
        <f t="shared" si="186"/>
        <v>#N/A</v>
      </c>
      <c r="AZ83" s="4" t="e">
        <f t="shared" si="187"/>
        <v>#N/A</v>
      </c>
      <c r="BA83" s="4" t="e">
        <f t="shared" si="188"/>
        <v>#N/A</v>
      </c>
      <c r="BB83" s="4" t="e">
        <f t="shared" si="189"/>
        <v>#N/A</v>
      </c>
      <c r="BC83" s="4" t="e">
        <f t="shared" si="190"/>
        <v>#N/A</v>
      </c>
      <c r="BD83" s="4" t="e">
        <f t="shared" si="191"/>
        <v>#N/A</v>
      </c>
      <c r="BE83" s="4" t="e">
        <f t="shared" si="192"/>
        <v>#N/A</v>
      </c>
      <c r="BF83" s="4" t="e">
        <f t="shared" si="193"/>
        <v>#N/A</v>
      </c>
      <c r="BG83" s="4" t="e">
        <f t="shared" si="194"/>
        <v>#N/A</v>
      </c>
      <c r="BH83" s="58" t="e">
        <f t="shared" si="195"/>
        <v>#N/A</v>
      </c>
      <c r="BJ83" s="10" t="s">
        <v>936</v>
      </c>
      <c r="BK83" s="10" t="s">
        <v>939</v>
      </c>
      <c r="BL83" s="41">
        <f t="shared" ref="BL83:BW83" si="198">0.6609-0.4767*SIN(AH$8-($BX$8*60))</f>
        <v>0.42255000000000004</v>
      </c>
      <c r="BM83" s="41">
        <f t="shared" si="198"/>
        <v>0.42255000000000004</v>
      </c>
      <c r="BN83" s="41">
        <f t="shared" si="198"/>
        <v>0.42255000000000004</v>
      </c>
      <c r="BO83" s="41">
        <f t="shared" si="198"/>
        <v>0.42255000000000004</v>
      </c>
      <c r="BP83" s="41">
        <f t="shared" si="198"/>
        <v>0.42255000000000004</v>
      </c>
      <c r="BQ83" s="41">
        <f t="shared" si="198"/>
        <v>0.42255000000000004</v>
      </c>
      <c r="BR83" s="41">
        <f t="shared" si="198"/>
        <v>0.42255000000000004</v>
      </c>
      <c r="BS83" s="41">
        <f t="shared" si="198"/>
        <v>0.42255000000000004</v>
      </c>
      <c r="BT83" s="41">
        <f t="shared" si="198"/>
        <v>0.42255000000000004</v>
      </c>
      <c r="BU83" s="41">
        <f t="shared" si="198"/>
        <v>0.42255000000000004</v>
      </c>
      <c r="BV83" s="41">
        <f t="shared" si="198"/>
        <v>0.42255000000000004</v>
      </c>
      <c r="BW83" s="41">
        <f t="shared" si="198"/>
        <v>0.42255000000000004</v>
      </c>
    </row>
    <row r="84" spans="2:75">
      <c r="B84" s="57">
        <v>3</v>
      </c>
      <c r="C84" s="29">
        <f t="shared" si="155"/>
        <v>2.356195490192345</v>
      </c>
      <c r="D84" s="4" t="e">
        <f t="shared" si="156"/>
        <v>#N/A</v>
      </c>
      <c r="E84" s="4" t="e">
        <f t="shared" si="157"/>
        <v>#N/A</v>
      </c>
      <c r="F84" s="4" t="e">
        <f t="shared" si="158"/>
        <v>#N/A</v>
      </c>
      <c r="G84" s="4" t="e">
        <f t="shared" si="159"/>
        <v>#N/A</v>
      </c>
      <c r="H84" s="4" t="e">
        <f t="shared" si="160"/>
        <v>#N/A</v>
      </c>
      <c r="I84" s="4" t="e">
        <f t="shared" si="161"/>
        <v>#N/A</v>
      </c>
      <c r="J84" s="4" t="e">
        <f t="shared" si="162"/>
        <v>#N/A</v>
      </c>
      <c r="K84" s="4" t="e">
        <f t="shared" si="163"/>
        <v>#N/A</v>
      </c>
      <c r="L84" s="4" t="e">
        <f t="shared" si="164"/>
        <v>#N/A</v>
      </c>
      <c r="M84" s="4" t="e">
        <f t="shared" si="165"/>
        <v>#N/A</v>
      </c>
      <c r="N84" s="4" t="e">
        <f t="shared" si="166"/>
        <v>#N/A</v>
      </c>
      <c r="O84" s="4" t="e">
        <f t="shared" si="167"/>
        <v>#N/A</v>
      </c>
      <c r="P84" s="2"/>
      <c r="Q84" s="4">
        <v>3</v>
      </c>
      <c r="R84" s="29">
        <f t="shared" si="168"/>
        <v>2.356195490192345</v>
      </c>
      <c r="S84" s="4" t="e">
        <f t="shared" si="169"/>
        <v>#N/A</v>
      </c>
      <c r="T84" s="4" t="e">
        <f t="shared" si="170"/>
        <v>#N/A</v>
      </c>
      <c r="U84" s="4" t="e">
        <f t="shared" si="171"/>
        <v>#N/A</v>
      </c>
      <c r="V84" s="4" t="e">
        <f t="shared" si="172"/>
        <v>#N/A</v>
      </c>
      <c r="W84" s="4" t="e">
        <f t="shared" si="173"/>
        <v>#N/A</v>
      </c>
      <c r="X84" s="4" t="e">
        <f t="shared" si="174"/>
        <v>#N/A</v>
      </c>
      <c r="Y84" s="4" t="e">
        <f t="shared" si="175"/>
        <v>#N/A</v>
      </c>
      <c r="Z84" s="4" t="e">
        <f t="shared" si="176"/>
        <v>#N/A</v>
      </c>
      <c r="AA84" s="4" t="e">
        <f t="shared" si="177"/>
        <v>#N/A</v>
      </c>
      <c r="AB84" s="4" t="e">
        <f t="shared" si="178"/>
        <v>#N/A</v>
      </c>
      <c r="AC84" s="4" t="e">
        <f t="shared" si="179"/>
        <v>#N/A</v>
      </c>
      <c r="AD84" s="4" t="e">
        <f t="shared" si="180"/>
        <v>#N/A</v>
      </c>
      <c r="AE84" s="2"/>
      <c r="AF84" s="4">
        <v>3</v>
      </c>
      <c r="AG84" s="29">
        <f t="shared" si="181"/>
        <v>2.356195490192345</v>
      </c>
      <c r="AH84" s="4" t="e">
        <f t="shared" si="182"/>
        <v>#N/A</v>
      </c>
      <c r="AI84" s="4" t="e">
        <f t="shared" si="182"/>
        <v>#N/A</v>
      </c>
      <c r="AJ84" s="4" t="e">
        <f t="shared" si="182"/>
        <v>#N/A</v>
      </c>
      <c r="AK84" s="4" t="e">
        <f t="shared" si="182"/>
        <v>#N/A</v>
      </c>
      <c r="AL84" s="4" t="e">
        <f t="shared" si="182"/>
        <v>#N/A</v>
      </c>
      <c r="AM84" s="4" t="e">
        <f t="shared" si="182"/>
        <v>#N/A</v>
      </c>
      <c r="AN84" s="4" t="e">
        <f t="shared" si="182"/>
        <v>#N/A</v>
      </c>
      <c r="AO84" s="4" t="e">
        <f t="shared" si="182"/>
        <v>#N/A</v>
      </c>
      <c r="AP84" s="4" t="e">
        <f t="shared" si="182"/>
        <v>#N/A</v>
      </c>
      <c r="AQ84" s="4" t="e">
        <f t="shared" si="182"/>
        <v>#N/A</v>
      </c>
      <c r="AR84" s="4" t="e">
        <f t="shared" si="182"/>
        <v>#N/A</v>
      </c>
      <c r="AS84" s="4" t="e">
        <f t="shared" si="182"/>
        <v>#N/A</v>
      </c>
      <c r="AT84" s="2"/>
      <c r="AU84" s="4">
        <v>3</v>
      </c>
      <c r="AV84" s="29">
        <f t="shared" si="183"/>
        <v>2.356195490192345</v>
      </c>
      <c r="AW84" s="4" t="e">
        <f t="shared" si="184"/>
        <v>#N/A</v>
      </c>
      <c r="AX84" s="4" t="e">
        <f t="shared" si="185"/>
        <v>#N/A</v>
      </c>
      <c r="AY84" s="4" t="e">
        <f t="shared" si="186"/>
        <v>#N/A</v>
      </c>
      <c r="AZ84" s="4" t="e">
        <f t="shared" si="187"/>
        <v>#N/A</v>
      </c>
      <c r="BA84" s="4" t="e">
        <f t="shared" si="188"/>
        <v>#N/A</v>
      </c>
      <c r="BB84" s="4" t="e">
        <f t="shared" si="189"/>
        <v>#N/A</v>
      </c>
      <c r="BC84" s="4" t="e">
        <f t="shared" si="190"/>
        <v>#N/A</v>
      </c>
      <c r="BD84" s="4" t="e">
        <f t="shared" si="191"/>
        <v>#N/A</v>
      </c>
      <c r="BE84" s="4" t="e">
        <f t="shared" si="192"/>
        <v>#N/A</v>
      </c>
      <c r="BF84" s="4" t="e">
        <f t="shared" si="193"/>
        <v>#N/A</v>
      </c>
      <c r="BG84" s="4" t="e">
        <f t="shared" si="194"/>
        <v>#N/A</v>
      </c>
      <c r="BH84" s="58" t="e">
        <f t="shared" si="195"/>
        <v>#N/A</v>
      </c>
      <c r="BJ84" s="2"/>
      <c r="BK84" s="2"/>
      <c r="BL84" s="2"/>
      <c r="BM84" s="2"/>
      <c r="BN84" s="2"/>
      <c r="BO84" s="2"/>
      <c r="BP84" s="2"/>
      <c r="BQ84" s="2"/>
      <c r="BR84" s="2"/>
      <c r="BS84" s="2"/>
      <c r="BT84" s="2"/>
      <c r="BU84" s="2"/>
      <c r="BV84" s="2"/>
      <c r="BW84" s="2"/>
    </row>
    <row r="85" spans="2:75">
      <c r="B85" s="57">
        <v>4</v>
      </c>
      <c r="C85" s="29">
        <f t="shared" si="155"/>
        <v>2.0943961023931954</v>
      </c>
      <c r="D85" s="4" t="e">
        <f t="shared" si="156"/>
        <v>#N/A</v>
      </c>
      <c r="E85" s="4" t="e">
        <f t="shared" si="157"/>
        <v>#N/A</v>
      </c>
      <c r="F85" s="4" t="e">
        <f t="shared" si="158"/>
        <v>#N/A</v>
      </c>
      <c r="G85" s="4" t="e">
        <f t="shared" si="159"/>
        <v>#N/A</v>
      </c>
      <c r="H85" s="4" t="e">
        <f t="shared" si="160"/>
        <v>#N/A</v>
      </c>
      <c r="I85" s="4" t="e">
        <f t="shared" si="161"/>
        <v>#N/A</v>
      </c>
      <c r="J85" s="4" t="e">
        <f t="shared" si="162"/>
        <v>#N/A</v>
      </c>
      <c r="K85" s="4" t="e">
        <f t="shared" si="163"/>
        <v>#N/A</v>
      </c>
      <c r="L85" s="4" t="e">
        <f t="shared" si="164"/>
        <v>#N/A</v>
      </c>
      <c r="M85" s="4" t="e">
        <f t="shared" si="165"/>
        <v>#N/A</v>
      </c>
      <c r="N85" s="4" t="e">
        <f t="shared" si="166"/>
        <v>#N/A</v>
      </c>
      <c r="O85" s="4" t="e">
        <f t="shared" si="167"/>
        <v>#N/A</v>
      </c>
      <c r="P85" s="2"/>
      <c r="Q85" s="4">
        <v>4</v>
      </c>
      <c r="R85" s="29">
        <f t="shared" si="168"/>
        <v>2.0943961023931954</v>
      </c>
      <c r="S85" s="4" t="e">
        <f t="shared" si="169"/>
        <v>#N/A</v>
      </c>
      <c r="T85" s="4" t="e">
        <f t="shared" si="170"/>
        <v>#N/A</v>
      </c>
      <c r="U85" s="4" t="e">
        <f t="shared" si="171"/>
        <v>#N/A</v>
      </c>
      <c r="V85" s="4" t="e">
        <f t="shared" si="172"/>
        <v>#N/A</v>
      </c>
      <c r="W85" s="4" t="e">
        <f t="shared" si="173"/>
        <v>#N/A</v>
      </c>
      <c r="X85" s="4" t="e">
        <f t="shared" si="174"/>
        <v>#N/A</v>
      </c>
      <c r="Y85" s="4" t="e">
        <f t="shared" si="175"/>
        <v>#N/A</v>
      </c>
      <c r="Z85" s="4" t="e">
        <f t="shared" si="176"/>
        <v>#N/A</v>
      </c>
      <c r="AA85" s="4" t="e">
        <f t="shared" si="177"/>
        <v>#N/A</v>
      </c>
      <c r="AB85" s="4" t="e">
        <f t="shared" si="178"/>
        <v>#N/A</v>
      </c>
      <c r="AC85" s="4" t="e">
        <f t="shared" si="179"/>
        <v>#N/A</v>
      </c>
      <c r="AD85" s="4" t="e">
        <f t="shared" si="180"/>
        <v>#N/A</v>
      </c>
      <c r="AE85" s="2"/>
      <c r="AF85" s="4">
        <v>4</v>
      </c>
      <c r="AG85" s="29">
        <f t="shared" si="181"/>
        <v>2.0943961023931954</v>
      </c>
      <c r="AH85" s="4" t="e">
        <f t="shared" si="182"/>
        <v>#N/A</v>
      </c>
      <c r="AI85" s="4" t="e">
        <f t="shared" si="182"/>
        <v>#N/A</v>
      </c>
      <c r="AJ85" s="4" t="e">
        <f t="shared" si="182"/>
        <v>#N/A</v>
      </c>
      <c r="AK85" s="4" t="e">
        <f t="shared" si="182"/>
        <v>#N/A</v>
      </c>
      <c r="AL85" s="4" t="e">
        <f t="shared" si="182"/>
        <v>#N/A</v>
      </c>
      <c r="AM85" s="4" t="e">
        <f t="shared" si="182"/>
        <v>#N/A</v>
      </c>
      <c r="AN85" s="4" t="e">
        <f t="shared" si="182"/>
        <v>#N/A</v>
      </c>
      <c r="AO85" s="4" t="e">
        <f t="shared" si="182"/>
        <v>#N/A</v>
      </c>
      <c r="AP85" s="4" t="e">
        <f t="shared" si="182"/>
        <v>#N/A</v>
      </c>
      <c r="AQ85" s="4" t="e">
        <f t="shared" si="182"/>
        <v>#N/A</v>
      </c>
      <c r="AR85" s="4" t="e">
        <f t="shared" si="182"/>
        <v>#N/A</v>
      </c>
      <c r="AS85" s="4" t="e">
        <f t="shared" si="182"/>
        <v>#N/A</v>
      </c>
      <c r="AT85" s="2"/>
      <c r="AU85" s="4">
        <v>4</v>
      </c>
      <c r="AV85" s="29">
        <f t="shared" si="183"/>
        <v>2.0943961023931954</v>
      </c>
      <c r="AW85" s="4" t="e">
        <f t="shared" si="184"/>
        <v>#N/A</v>
      </c>
      <c r="AX85" s="4" t="e">
        <f t="shared" si="185"/>
        <v>#N/A</v>
      </c>
      <c r="AY85" s="4" t="e">
        <f t="shared" si="186"/>
        <v>#N/A</v>
      </c>
      <c r="AZ85" s="4" t="e">
        <f t="shared" si="187"/>
        <v>#N/A</v>
      </c>
      <c r="BA85" s="4" t="e">
        <f t="shared" si="188"/>
        <v>#N/A</v>
      </c>
      <c r="BB85" s="4" t="e">
        <f t="shared" si="189"/>
        <v>#N/A</v>
      </c>
      <c r="BC85" s="4" t="e">
        <f t="shared" si="190"/>
        <v>#N/A</v>
      </c>
      <c r="BD85" s="4" t="e">
        <f t="shared" si="191"/>
        <v>#N/A</v>
      </c>
      <c r="BE85" s="4" t="e">
        <f t="shared" si="192"/>
        <v>#N/A</v>
      </c>
      <c r="BF85" s="4" t="e">
        <f t="shared" si="193"/>
        <v>#N/A</v>
      </c>
      <c r="BG85" s="4" t="e">
        <f t="shared" si="194"/>
        <v>#N/A</v>
      </c>
      <c r="BH85" s="58" t="e">
        <f t="shared" si="195"/>
        <v>#N/A</v>
      </c>
      <c r="BJ85" s="1232" t="s">
        <v>1301</v>
      </c>
      <c r="BK85" s="1232"/>
      <c r="BL85" s="11">
        <f t="shared" ref="BL85:BW85" si="199">(0.6313+0.267*BL$89-11.9*(POWER((BL$89-0.75),4)))*0.96</f>
        <v>-3.0085769999999998</v>
      </c>
      <c r="BM85" s="11">
        <f t="shared" si="199"/>
        <v>-3.0085769999999998</v>
      </c>
      <c r="BN85" s="11">
        <f t="shared" si="199"/>
        <v>-3.0085769999999998</v>
      </c>
      <c r="BO85" s="11">
        <f t="shared" si="199"/>
        <v>-3.0085769999999998</v>
      </c>
      <c r="BP85" s="11">
        <f t="shared" si="199"/>
        <v>-3.0085769999999998</v>
      </c>
      <c r="BQ85" s="11">
        <f t="shared" si="199"/>
        <v>-3.0085769999999998</v>
      </c>
      <c r="BR85" s="11">
        <f t="shared" si="199"/>
        <v>-3.0085769999999998</v>
      </c>
      <c r="BS85" s="11">
        <f t="shared" si="199"/>
        <v>-3.0085769999999998</v>
      </c>
      <c r="BT85" s="11">
        <f t="shared" si="199"/>
        <v>-3.0085769999999998</v>
      </c>
      <c r="BU85" s="11">
        <f t="shared" si="199"/>
        <v>0.71733528032649585</v>
      </c>
      <c r="BV85" s="11">
        <f t="shared" si="199"/>
        <v>-3.0085769999999998</v>
      </c>
      <c r="BW85" s="11">
        <f t="shared" si="199"/>
        <v>-3.0085769999999998</v>
      </c>
    </row>
    <row r="86" spans="2:75">
      <c r="B86" s="57">
        <v>5</v>
      </c>
      <c r="C86" s="29">
        <f t="shared" si="155"/>
        <v>1.8325967145940461</v>
      </c>
      <c r="D86" s="4" t="e">
        <f t="shared" si="156"/>
        <v>#N/A</v>
      </c>
      <c r="E86" s="4" t="e">
        <f t="shared" si="157"/>
        <v>#N/A</v>
      </c>
      <c r="F86" s="4" t="e">
        <f t="shared" si="158"/>
        <v>#N/A</v>
      </c>
      <c r="G86" s="4" t="e">
        <f t="shared" si="159"/>
        <v>#N/A</v>
      </c>
      <c r="H86" s="4" t="e">
        <f t="shared" si="160"/>
        <v>#N/A</v>
      </c>
      <c r="I86" s="4" t="e">
        <f t="shared" si="161"/>
        <v>#N/A</v>
      </c>
      <c r="J86" s="4" t="e">
        <f t="shared" si="162"/>
        <v>#N/A</v>
      </c>
      <c r="K86" s="4" t="e">
        <f t="shared" si="163"/>
        <v>#N/A</v>
      </c>
      <c r="L86" s="4" t="e">
        <f t="shared" si="164"/>
        <v>#N/A</v>
      </c>
      <c r="M86" s="4" t="e">
        <f t="shared" si="165"/>
        <v>#N/A</v>
      </c>
      <c r="N86" s="4" t="e">
        <f t="shared" si="166"/>
        <v>#N/A</v>
      </c>
      <c r="O86" s="4" t="e">
        <f t="shared" si="167"/>
        <v>#N/A</v>
      </c>
      <c r="P86" s="2"/>
      <c r="Q86" s="4">
        <v>5</v>
      </c>
      <c r="R86" s="29">
        <f t="shared" si="168"/>
        <v>1.8325967145940461</v>
      </c>
      <c r="S86" s="4" t="e">
        <f t="shared" si="169"/>
        <v>#N/A</v>
      </c>
      <c r="T86" s="4" t="e">
        <f t="shared" si="170"/>
        <v>#N/A</v>
      </c>
      <c r="U86" s="4" t="e">
        <f t="shared" si="171"/>
        <v>#N/A</v>
      </c>
      <c r="V86" s="4" t="e">
        <f t="shared" si="172"/>
        <v>#N/A</v>
      </c>
      <c r="W86" s="4" t="e">
        <f t="shared" si="173"/>
        <v>#N/A</v>
      </c>
      <c r="X86" s="4" t="e">
        <f t="shared" si="174"/>
        <v>#N/A</v>
      </c>
      <c r="Y86" s="4" t="e">
        <f t="shared" si="175"/>
        <v>#N/A</v>
      </c>
      <c r="Z86" s="4" t="e">
        <f t="shared" si="176"/>
        <v>#N/A</v>
      </c>
      <c r="AA86" s="4" t="e">
        <f t="shared" si="177"/>
        <v>#N/A</v>
      </c>
      <c r="AB86" s="4" t="e">
        <f t="shared" si="178"/>
        <v>#N/A</v>
      </c>
      <c r="AC86" s="4" t="e">
        <f t="shared" si="179"/>
        <v>#N/A</v>
      </c>
      <c r="AD86" s="4" t="e">
        <f t="shared" si="180"/>
        <v>#N/A</v>
      </c>
      <c r="AE86" s="2"/>
      <c r="AF86" s="4">
        <v>5</v>
      </c>
      <c r="AG86" s="29">
        <f t="shared" si="181"/>
        <v>1.8325967145940461</v>
      </c>
      <c r="AH86" s="4" t="e">
        <f t="shared" si="182"/>
        <v>#N/A</v>
      </c>
      <c r="AI86" s="4" t="e">
        <f t="shared" si="182"/>
        <v>#N/A</v>
      </c>
      <c r="AJ86" s="4" t="e">
        <f t="shared" si="182"/>
        <v>#N/A</v>
      </c>
      <c r="AK86" s="4" t="e">
        <f t="shared" si="182"/>
        <v>#N/A</v>
      </c>
      <c r="AL86" s="4" t="e">
        <f t="shared" si="182"/>
        <v>#N/A</v>
      </c>
      <c r="AM86" s="4" t="e">
        <f t="shared" si="182"/>
        <v>#N/A</v>
      </c>
      <c r="AN86" s="4" t="e">
        <f t="shared" si="182"/>
        <v>#N/A</v>
      </c>
      <c r="AO86" s="4" t="e">
        <f t="shared" si="182"/>
        <v>#N/A</v>
      </c>
      <c r="AP86" s="4" t="e">
        <f t="shared" si="182"/>
        <v>#N/A</v>
      </c>
      <c r="AQ86" s="4" t="e">
        <f t="shared" si="182"/>
        <v>#N/A</v>
      </c>
      <c r="AR86" s="4" t="e">
        <f t="shared" si="182"/>
        <v>#N/A</v>
      </c>
      <c r="AS86" s="4" t="e">
        <f t="shared" si="182"/>
        <v>#N/A</v>
      </c>
      <c r="AT86" s="2"/>
      <c r="AU86" s="4">
        <v>5</v>
      </c>
      <c r="AV86" s="29">
        <f t="shared" si="183"/>
        <v>1.8325967145940461</v>
      </c>
      <c r="AW86" s="4" t="e">
        <f t="shared" si="184"/>
        <v>#N/A</v>
      </c>
      <c r="AX86" s="4" t="e">
        <f t="shared" si="185"/>
        <v>#N/A</v>
      </c>
      <c r="AY86" s="4" t="e">
        <f t="shared" si="186"/>
        <v>#N/A</v>
      </c>
      <c r="AZ86" s="4" t="e">
        <f t="shared" si="187"/>
        <v>#N/A</v>
      </c>
      <c r="BA86" s="4" t="e">
        <f t="shared" si="188"/>
        <v>#N/A</v>
      </c>
      <c r="BB86" s="4" t="e">
        <f t="shared" si="189"/>
        <v>#N/A</v>
      </c>
      <c r="BC86" s="4" t="e">
        <f t="shared" si="190"/>
        <v>#N/A</v>
      </c>
      <c r="BD86" s="4" t="e">
        <f t="shared" si="191"/>
        <v>#N/A</v>
      </c>
      <c r="BE86" s="4" t="e">
        <f t="shared" si="192"/>
        <v>#N/A</v>
      </c>
      <c r="BF86" s="4" t="e">
        <f t="shared" si="193"/>
        <v>#N/A</v>
      </c>
      <c r="BG86" s="4" t="e">
        <f t="shared" si="194"/>
        <v>#N/A</v>
      </c>
      <c r="BH86" s="58" t="e">
        <f t="shared" si="195"/>
        <v>#N/A</v>
      </c>
      <c r="BJ86" s="1232" t="s">
        <v>945</v>
      </c>
      <c r="BK86" s="1232"/>
      <c r="BL86" s="41">
        <f t="shared" ref="BL86:BW86" si="200">IF(BL85&gt;0.85, 0.132,(3.4152-15.753*BL85+32.411*POWER(BL85,2)-32.269*POWER(BL85,3)+12.464*POWER(BL85,4))*1.05)</f>
        <v>2356.3208035169259</v>
      </c>
      <c r="BM86" s="41">
        <f t="shared" si="200"/>
        <v>2356.3208035169259</v>
      </c>
      <c r="BN86" s="41">
        <f t="shared" si="200"/>
        <v>2356.3208035169259</v>
      </c>
      <c r="BO86" s="41">
        <f t="shared" si="200"/>
        <v>2356.3208035169259</v>
      </c>
      <c r="BP86" s="41">
        <f t="shared" si="200"/>
        <v>2356.3208035169259</v>
      </c>
      <c r="BQ86" s="41">
        <f t="shared" si="200"/>
        <v>2356.3208035169259</v>
      </c>
      <c r="BR86" s="41">
        <f t="shared" si="200"/>
        <v>2356.3208035169259</v>
      </c>
      <c r="BS86" s="41">
        <f t="shared" si="200"/>
        <v>2356.3208035169259</v>
      </c>
      <c r="BT86" s="41">
        <f t="shared" si="200"/>
        <v>2356.3208035169259</v>
      </c>
      <c r="BU86" s="41">
        <f t="shared" si="200"/>
        <v>0.19097602751892101</v>
      </c>
      <c r="BV86" s="41">
        <f t="shared" si="200"/>
        <v>2356.3208035169259</v>
      </c>
      <c r="BW86" s="41">
        <f t="shared" si="200"/>
        <v>2356.3208035169259</v>
      </c>
    </row>
    <row r="87" spans="2:75">
      <c r="B87" s="57">
        <v>6</v>
      </c>
      <c r="C87" s="29">
        <f t="shared" si="155"/>
        <v>1.5707973267948965</v>
      </c>
      <c r="D87" s="4" t="e">
        <f t="shared" si="156"/>
        <v>#N/A</v>
      </c>
      <c r="E87" s="4" t="e">
        <f t="shared" si="157"/>
        <v>#N/A</v>
      </c>
      <c r="F87" s="4" t="e">
        <f t="shared" si="158"/>
        <v>#N/A</v>
      </c>
      <c r="G87" s="4" t="e">
        <f t="shared" si="159"/>
        <v>#N/A</v>
      </c>
      <c r="H87" s="4" t="e">
        <f t="shared" si="160"/>
        <v>#N/A</v>
      </c>
      <c r="I87" s="4" t="e">
        <f t="shared" si="161"/>
        <v>#N/A</v>
      </c>
      <c r="J87" s="4" t="e">
        <f t="shared" si="162"/>
        <v>#N/A</v>
      </c>
      <c r="K87" s="4" t="e">
        <f t="shared" si="163"/>
        <v>#N/A</v>
      </c>
      <c r="L87" s="4" t="e">
        <f t="shared" si="164"/>
        <v>#N/A</v>
      </c>
      <c r="M87" s="4" t="e">
        <f t="shared" si="165"/>
        <v>#N/A</v>
      </c>
      <c r="N87" s="4" t="e">
        <f t="shared" si="166"/>
        <v>#N/A</v>
      </c>
      <c r="O87" s="4" t="e">
        <f t="shared" si="167"/>
        <v>#N/A</v>
      </c>
      <c r="P87" s="2"/>
      <c r="Q87" s="4">
        <v>6</v>
      </c>
      <c r="R87" s="29">
        <f t="shared" si="168"/>
        <v>1.5707973267948965</v>
      </c>
      <c r="S87" s="4" t="e">
        <f t="shared" si="169"/>
        <v>#N/A</v>
      </c>
      <c r="T87" s="4" t="e">
        <f t="shared" si="170"/>
        <v>#N/A</v>
      </c>
      <c r="U87" s="4" t="e">
        <f t="shared" si="171"/>
        <v>#N/A</v>
      </c>
      <c r="V87" s="4" t="e">
        <f t="shared" si="172"/>
        <v>#N/A</v>
      </c>
      <c r="W87" s="4" t="e">
        <f t="shared" si="173"/>
        <v>#N/A</v>
      </c>
      <c r="X87" s="4" t="e">
        <f t="shared" si="174"/>
        <v>#N/A</v>
      </c>
      <c r="Y87" s="4" t="e">
        <f t="shared" si="175"/>
        <v>#N/A</v>
      </c>
      <c r="Z87" s="4" t="e">
        <f t="shared" si="176"/>
        <v>#N/A</v>
      </c>
      <c r="AA87" s="4" t="e">
        <f t="shared" si="177"/>
        <v>#N/A</v>
      </c>
      <c r="AB87" s="4" t="e">
        <f t="shared" si="178"/>
        <v>#N/A</v>
      </c>
      <c r="AC87" s="4" t="e">
        <f t="shared" si="179"/>
        <v>#N/A</v>
      </c>
      <c r="AD87" s="4" t="e">
        <f t="shared" si="180"/>
        <v>#N/A</v>
      </c>
      <c r="AE87" s="2"/>
      <c r="AF87" s="4">
        <v>6</v>
      </c>
      <c r="AG87" s="29">
        <f t="shared" si="181"/>
        <v>1.5707973267948965</v>
      </c>
      <c r="AH87" s="4" t="e">
        <f t="shared" si="182"/>
        <v>#N/A</v>
      </c>
      <c r="AI87" s="4" t="e">
        <f t="shared" si="182"/>
        <v>#N/A</v>
      </c>
      <c r="AJ87" s="4" t="e">
        <f t="shared" si="182"/>
        <v>#N/A</v>
      </c>
      <c r="AK87" s="4" t="e">
        <f t="shared" si="182"/>
        <v>#N/A</v>
      </c>
      <c r="AL87" s="4" t="e">
        <f t="shared" si="182"/>
        <v>#N/A</v>
      </c>
      <c r="AM87" s="4" t="e">
        <f t="shared" si="182"/>
        <v>#N/A</v>
      </c>
      <c r="AN87" s="4" t="e">
        <f t="shared" si="182"/>
        <v>#N/A</v>
      </c>
      <c r="AO87" s="4" t="e">
        <f t="shared" si="182"/>
        <v>#N/A</v>
      </c>
      <c r="AP87" s="4" t="e">
        <f t="shared" si="182"/>
        <v>#N/A</v>
      </c>
      <c r="AQ87" s="4" t="e">
        <f t="shared" si="182"/>
        <v>#N/A</v>
      </c>
      <c r="AR87" s="4" t="e">
        <f t="shared" si="182"/>
        <v>#N/A</v>
      </c>
      <c r="AS87" s="4" t="e">
        <f t="shared" si="182"/>
        <v>#N/A</v>
      </c>
      <c r="AT87" s="2"/>
      <c r="AU87" s="4">
        <v>6</v>
      </c>
      <c r="AV87" s="29">
        <f t="shared" si="183"/>
        <v>1.5707973267948965</v>
      </c>
      <c r="AW87" s="4" t="e">
        <f t="shared" si="184"/>
        <v>#N/A</v>
      </c>
      <c r="AX87" s="4" t="e">
        <f t="shared" si="185"/>
        <v>#N/A</v>
      </c>
      <c r="AY87" s="4" t="e">
        <f t="shared" si="186"/>
        <v>#N/A</v>
      </c>
      <c r="AZ87" s="4" t="e">
        <f t="shared" si="187"/>
        <v>#N/A</v>
      </c>
      <c r="BA87" s="4" t="e">
        <f t="shared" si="188"/>
        <v>#N/A</v>
      </c>
      <c r="BB87" s="4" t="e">
        <f t="shared" si="189"/>
        <v>#N/A</v>
      </c>
      <c r="BC87" s="4" t="e">
        <f t="shared" si="190"/>
        <v>#N/A</v>
      </c>
      <c r="BD87" s="4" t="e">
        <f t="shared" si="191"/>
        <v>#N/A</v>
      </c>
      <c r="BE87" s="4" t="e">
        <f t="shared" si="192"/>
        <v>#N/A</v>
      </c>
      <c r="BF87" s="4" t="e">
        <f t="shared" si="193"/>
        <v>#N/A</v>
      </c>
      <c r="BG87" s="4" t="e">
        <f t="shared" si="194"/>
        <v>#N/A</v>
      </c>
      <c r="BH87" s="58" t="e">
        <f t="shared" si="195"/>
        <v>#N/A</v>
      </c>
      <c r="BJ87" s="2"/>
      <c r="BK87" s="2"/>
      <c r="BL87" s="2"/>
      <c r="BM87" s="2"/>
      <c r="BN87" s="2"/>
      <c r="BO87" s="2"/>
      <c r="BP87" s="2"/>
      <c r="BQ87" s="2"/>
      <c r="BR87" s="2"/>
      <c r="BS87" s="2"/>
      <c r="BT87" s="2"/>
      <c r="BU87" s="2"/>
      <c r="BV87" s="2"/>
      <c r="BW87" s="2"/>
    </row>
    <row r="88" spans="2:75">
      <c r="B88" s="57">
        <v>7</v>
      </c>
      <c r="C88" s="29">
        <f t="shared" si="155"/>
        <v>1.3089979389957471</v>
      </c>
      <c r="D88" s="4" t="e">
        <f t="shared" si="156"/>
        <v>#N/A</v>
      </c>
      <c r="E88" s="4" t="e">
        <f t="shared" si="157"/>
        <v>#N/A</v>
      </c>
      <c r="F88" s="4" t="e">
        <f t="shared" si="158"/>
        <v>#N/A</v>
      </c>
      <c r="G88" s="4" t="e">
        <f t="shared" si="159"/>
        <v>#N/A</v>
      </c>
      <c r="H88" s="4" t="e">
        <f t="shared" si="160"/>
        <v>#N/A</v>
      </c>
      <c r="I88" s="4" t="e">
        <f t="shared" si="161"/>
        <v>#N/A</v>
      </c>
      <c r="J88" s="4" t="e">
        <f t="shared" si="162"/>
        <v>#N/A</v>
      </c>
      <c r="K88" s="4" t="e">
        <f t="shared" si="163"/>
        <v>#N/A</v>
      </c>
      <c r="L88" s="4" t="e">
        <f t="shared" si="164"/>
        <v>#N/A</v>
      </c>
      <c r="M88" s="4" t="e">
        <f t="shared" si="165"/>
        <v>#N/A</v>
      </c>
      <c r="N88" s="4" t="e">
        <f t="shared" si="166"/>
        <v>#N/A</v>
      </c>
      <c r="O88" s="4" t="e">
        <f t="shared" si="167"/>
        <v>#N/A</v>
      </c>
      <c r="P88" s="2"/>
      <c r="Q88" s="4">
        <v>7</v>
      </c>
      <c r="R88" s="29">
        <f t="shared" si="168"/>
        <v>1.3089979389957471</v>
      </c>
      <c r="S88" s="4" t="e">
        <f t="shared" si="169"/>
        <v>#N/A</v>
      </c>
      <c r="T88" s="4" t="e">
        <f t="shared" si="170"/>
        <v>#N/A</v>
      </c>
      <c r="U88" s="4" t="e">
        <f t="shared" si="171"/>
        <v>#N/A</v>
      </c>
      <c r="V88" s="4" t="e">
        <f t="shared" si="172"/>
        <v>#N/A</v>
      </c>
      <c r="W88" s="4" t="e">
        <f t="shared" si="173"/>
        <v>#N/A</v>
      </c>
      <c r="X88" s="4" t="e">
        <f t="shared" si="174"/>
        <v>#N/A</v>
      </c>
      <c r="Y88" s="4" t="e">
        <f t="shared" si="175"/>
        <v>#N/A</v>
      </c>
      <c r="Z88" s="4" t="e">
        <f t="shared" si="176"/>
        <v>#N/A</v>
      </c>
      <c r="AA88" s="4" t="e">
        <f t="shared" si="177"/>
        <v>#N/A</v>
      </c>
      <c r="AB88" s="4" t="e">
        <f t="shared" si="178"/>
        <v>#N/A</v>
      </c>
      <c r="AC88" s="4" t="e">
        <f t="shared" si="179"/>
        <v>#N/A</v>
      </c>
      <c r="AD88" s="4" t="e">
        <f t="shared" si="180"/>
        <v>#N/A</v>
      </c>
      <c r="AE88" s="2"/>
      <c r="AF88" s="4">
        <v>7</v>
      </c>
      <c r="AG88" s="29">
        <f t="shared" si="181"/>
        <v>1.3089979389957471</v>
      </c>
      <c r="AH88" s="4" t="e">
        <f t="shared" si="182"/>
        <v>#N/A</v>
      </c>
      <c r="AI88" s="4" t="e">
        <f t="shared" si="182"/>
        <v>#N/A</v>
      </c>
      <c r="AJ88" s="4" t="e">
        <f t="shared" si="182"/>
        <v>#N/A</v>
      </c>
      <c r="AK88" s="4" t="e">
        <f t="shared" si="182"/>
        <v>#N/A</v>
      </c>
      <c r="AL88" s="4" t="e">
        <f t="shared" si="182"/>
        <v>#N/A</v>
      </c>
      <c r="AM88" s="4" t="e">
        <f t="shared" si="182"/>
        <v>#N/A</v>
      </c>
      <c r="AN88" s="4" t="e">
        <f t="shared" si="182"/>
        <v>#N/A</v>
      </c>
      <c r="AO88" s="4" t="e">
        <f t="shared" si="182"/>
        <v>#N/A</v>
      </c>
      <c r="AP88" s="4" t="e">
        <f t="shared" si="182"/>
        <v>#N/A</v>
      </c>
      <c r="AQ88" s="4" t="e">
        <f t="shared" si="182"/>
        <v>#N/A</v>
      </c>
      <c r="AR88" s="4" t="e">
        <f t="shared" si="182"/>
        <v>#N/A</v>
      </c>
      <c r="AS88" s="4" t="e">
        <f t="shared" si="182"/>
        <v>#N/A</v>
      </c>
      <c r="AT88" s="2"/>
      <c r="AU88" s="4">
        <v>7</v>
      </c>
      <c r="AV88" s="29">
        <f t="shared" si="183"/>
        <v>1.3089979389957471</v>
      </c>
      <c r="AW88" s="4" t="e">
        <f t="shared" si="184"/>
        <v>#N/A</v>
      </c>
      <c r="AX88" s="4" t="e">
        <f t="shared" si="185"/>
        <v>#N/A</v>
      </c>
      <c r="AY88" s="4" t="e">
        <f t="shared" si="186"/>
        <v>#N/A</v>
      </c>
      <c r="AZ88" s="4" t="e">
        <f t="shared" si="187"/>
        <v>#N/A</v>
      </c>
      <c r="BA88" s="4" t="e">
        <f t="shared" si="188"/>
        <v>#N/A</v>
      </c>
      <c r="BB88" s="4" t="e">
        <f t="shared" si="189"/>
        <v>#N/A</v>
      </c>
      <c r="BC88" s="4" t="e">
        <f t="shared" si="190"/>
        <v>#N/A</v>
      </c>
      <c r="BD88" s="4" t="e">
        <f t="shared" si="191"/>
        <v>#N/A</v>
      </c>
      <c r="BE88" s="4" t="e">
        <f t="shared" si="192"/>
        <v>#N/A</v>
      </c>
      <c r="BF88" s="4" t="e">
        <f t="shared" si="193"/>
        <v>#N/A</v>
      </c>
      <c r="BG88" s="4" t="e">
        <f t="shared" si="194"/>
        <v>#N/A</v>
      </c>
      <c r="BH88" s="58" t="e">
        <f t="shared" si="195"/>
        <v>#N/A</v>
      </c>
      <c r="BJ88" s="2"/>
      <c r="BK88" s="2"/>
      <c r="BL88" s="2"/>
      <c r="BM88" s="2"/>
      <c r="BN88" s="2"/>
      <c r="BO88" s="2"/>
      <c r="BP88" s="2"/>
      <c r="BQ88" s="2"/>
      <c r="BR88" s="2"/>
      <c r="BS88" s="2"/>
      <c r="BT88" s="2"/>
      <c r="BU88" s="2"/>
      <c r="BV88" s="2"/>
      <c r="BW88" s="2"/>
    </row>
    <row r="89" spans="2:75">
      <c r="B89" s="57">
        <v>8</v>
      </c>
      <c r="C89" s="29">
        <f t="shared" si="155"/>
        <v>1.0471985511965975</v>
      </c>
      <c r="D89" s="4" t="e">
        <f t="shared" si="156"/>
        <v>#N/A</v>
      </c>
      <c r="E89" s="4" t="e">
        <f t="shared" si="157"/>
        <v>#N/A</v>
      </c>
      <c r="F89" s="4" t="e">
        <f t="shared" si="158"/>
        <v>#N/A</v>
      </c>
      <c r="G89" s="4" t="e">
        <f t="shared" si="159"/>
        <v>#N/A</v>
      </c>
      <c r="H89" s="4" t="e">
        <f t="shared" si="160"/>
        <v>#N/A</v>
      </c>
      <c r="I89" s="4" t="e">
        <f t="shared" si="161"/>
        <v>#N/A</v>
      </c>
      <c r="J89" s="4" t="e">
        <f t="shared" si="162"/>
        <v>#N/A</v>
      </c>
      <c r="K89" s="4" t="e">
        <f t="shared" si="163"/>
        <v>#N/A</v>
      </c>
      <c r="L89" s="4" t="e">
        <f t="shared" si="164"/>
        <v>#N/A</v>
      </c>
      <c r="M89" s="4" t="e">
        <f t="shared" si="165"/>
        <v>#N/A</v>
      </c>
      <c r="N89" s="4" t="e">
        <f t="shared" si="166"/>
        <v>#N/A</v>
      </c>
      <c r="O89" s="4" t="e">
        <f t="shared" si="167"/>
        <v>#N/A</v>
      </c>
      <c r="P89" s="2"/>
      <c r="Q89" s="4">
        <v>8</v>
      </c>
      <c r="R89" s="29">
        <f t="shared" si="168"/>
        <v>1.0471985511965975</v>
      </c>
      <c r="S89" s="4" t="e">
        <f t="shared" si="169"/>
        <v>#N/A</v>
      </c>
      <c r="T89" s="4" t="e">
        <f t="shared" si="170"/>
        <v>#N/A</v>
      </c>
      <c r="U89" s="4" t="e">
        <f t="shared" si="171"/>
        <v>#N/A</v>
      </c>
      <c r="V89" s="4" t="e">
        <f t="shared" si="172"/>
        <v>#N/A</v>
      </c>
      <c r="W89" s="4" t="e">
        <f t="shared" si="173"/>
        <v>#N/A</v>
      </c>
      <c r="X89" s="4" t="e">
        <f t="shared" si="174"/>
        <v>#N/A</v>
      </c>
      <c r="Y89" s="4" t="e">
        <f t="shared" si="175"/>
        <v>#N/A</v>
      </c>
      <c r="Z89" s="4" t="e">
        <f t="shared" si="176"/>
        <v>#N/A</v>
      </c>
      <c r="AA89" s="4" t="e">
        <f t="shared" si="177"/>
        <v>#N/A</v>
      </c>
      <c r="AB89" s="4" t="e">
        <f t="shared" si="178"/>
        <v>#N/A</v>
      </c>
      <c r="AC89" s="4" t="e">
        <f t="shared" si="179"/>
        <v>#N/A</v>
      </c>
      <c r="AD89" s="4" t="e">
        <f t="shared" si="180"/>
        <v>#N/A</v>
      </c>
      <c r="AE89" s="2"/>
      <c r="AF89" s="4">
        <v>8</v>
      </c>
      <c r="AG89" s="29">
        <f t="shared" si="181"/>
        <v>1.0471985511965975</v>
      </c>
      <c r="AH89" s="4" t="e">
        <f t="shared" si="182"/>
        <v>#N/A</v>
      </c>
      <c r="AI89" s="4" t="e">
        <f t="shared" si="182"/>
        <v>#N/A</v>
      </c>
      <c r="AJ89" s="4" t="e">
        <f t="shared" si="182"/>
        <v>#N/A</v>
      </c>
      <c r="AK89" s="4" t="e">
        <f t="shared" si="182"/>
        <v>#N/A</v>
      </c>
      <c r="AL89" s="4" t="e">
        <f t="shared" si="182"/>
        <v>#N/A</v>
      </c>
      <c r="AM89" s="4" t="e">
        <f t="shared" si="182"/>
        <v>#N/A</v>
      </c>
      <c r="AN89" s="4" t="e">
        <f t="shared" si="182"/>
        <v>#N/A</v>
      </c>
      <c r="AO89" s="4" t="e">
        <f t="shared" si="182"/>
        <v>#N/A</v>
      </c>
      <c r="AP89" s="4" t="e">
        <f t="shared" si="182"/>
        <v>#N/A</v>
      </c>
      <c r="AQ89" s="4" t="e">
        <f t="shared" si="182"/>
        <v>#N/A</v>
      </c>
      <c r="AR89" s="4" t="e">
        <f t="shared" si="182"/>
        <v>#N/A</v>
      </c>
      <c r="AS89" s="4" t="e">
        <f t="shared" si="182"/>
        <v>#N/A</v>
      </c>
      <c r="AT89" s="2"/>
      <c r="AU89" s="4">
        <v>8</v>
      </c>
      <c r="AV89" s="29">
        <f t="shared" si="183"/>
        <v>1.0471985511965975</v>
      </c>
      <c r="AW89" s="4" t="e">
        <f t="shared" si="184"/>
        <v>#N/A</v>
      </c>
      <c r="AX89" s="4" t="e">
        <f t="shared" si="185"/>
        <v>#N/A</v>
      </c>
      <c r="AY89" s="4" t="e">
        <f t="shared" si="186"/>
        <v>#N/A</v>
      </c>
      <c r="AZ89" s="4" t="e">
        <f t="shared" si="187"/>
        <v>#N/A</v>
      </c>
      <c r="BA89" s="4" t="e">
        <f t="shared" si="188"/>
        <v>#N/A</v>
      </c>
      <c r="BB89" s="4" t="e">
        <f t="shared" si="189"/>
        <v>#N/A</v>
      </c>
      <c r="BC89" s="4" t="e">
        <f t="shared" si="190"/>
        <v>#N/A</v>
      </c>
      <c r="BD89" s="4" t="e">
        <f t="shared" si="191"/>
        <v>#N/A</v>
      </c>
      <c r="BE89" s="4" t="e">
        <f t="shared" si="192"/>
        <v>#N/A</v>
      </c>
      <c r="BF89" s="4" t="e">
        <f t="shared" si="193"/>
        <v>#N/A</v>
      </c>
      <c r="BG89" s="4" t="e">
        <f t="shared" si="194"/>
        <v>#N/A</v>
      </c>
      <c r="BH89" s="58" t="e">
        <f t="shared" si="195"/>
        <v>#N/A</v>
      </c>
      <c r="BJ89" s="1232" t="s">
        <v>949</v>
      </c>
      <c r="BK89" s="1232"/>
      <c r="BL89" s="3">
        <f t="shared" ref="BL89:BW89" si="201">D$16</f>
        <v>0</v>
      </c>
      <c r="BM89" s="3">
        <f t="shared" si="201"/>
        <v>0</v>
      </c>
      <c r="BN89" s="3">
        <f t="shared" si="201"/>
        <v>0</v>
      </c>
      <c r="BO89" s="3">
        <f t="shared" si="201"/>
        <v>0</v>
      </c>
      <c r="BP89" s="3">
        <f t="shared" si="201"/>
        <v>0</v>
      </c>
      <c r="BQ89" s="3">
        <f t="shared" si="201"/>
        <v>0</v>
      </c>
      <c r="BR89" s="3">
        <f t="shared" si="201"/>
        <v>0</v>
      </c>
      <c r="BS89" s="3">
        <f t="shared" si="201"/>
        <v>0</v>
      </c>
      <c r="BT89" s="3">
        <f t="shared" si="201"/>
        <v>0</v>
      </c>
      <c r="BU89" s="3">
        <f t="shared" si="201"/>
        <v>0.53299999999999992</v>
      </c>
      <c r="BV89" s="3">
        <f t="shared" si="201"/>
        <v>0</v>
      </c>
      <c r="BW89" s="3">
        <f t="shared" si="201"/>
        <v>0</v>
      </c>
    </row>
    <row r="90" spans="2:75">
      <c r="B90" s="57">
        <v>9</v>
      </c>
      <c r="C90" s="29">
        <f t="shared" si="155"/>
        <v>0.78539916339744831</v>
      </c>
      <c r="D90" s="4" t="e">
        <f t="shared" si="156"/>
        <v>#N/A</v>
      </c>
      <c r="E90" s="4" t="e">
        <f t="shared" si="157"/>
        <v>#N/A</v>
      </c>
      <c r="F90" s="4" t="e">
        <f t="shared" si="158"/>
        <v>#N/A</v>
      </c>
      <c r="G90" s="4" t="e">
        <f t="shared" si="159"/>
        <v>#N/A</v>
      </c>
      <c r="H90" s="4" t="e">
        <f t="shared" si="160"/>
        <v>#N/A</v>
      </c>
      <c r="I90" s="4" t="e">
        <f t="shared" si="161"/>
        <v>#N/A</v>
      </c>
      <c r="J90" s="4" t="e">
        <f t="shared" si="162"/>
        <v>#N/A</v>
      </c>
      <c r="K90" s="4" t="e">
        <f t="shared" si="163"/>
        <v>#N/A</v>
      </c>
      <c r="L90" s="4" t="e">
        <f t="shared" si="164"/>
        <v>#N/A</v>
      </c>
      <c r="M90" s="4" t="e">
        <f t="shared" si="165"/>
        <v>#N/A</v>
      </c>
      <c r="N90" s="4" t="e">
        <f t="shared" si="166"/>
        <v>#N/A</v>
      </c>
      <c r="O90" s="4" t="e">
        <f t="shared" si="167"/>
        <v>#N/A</v>
      </c>
      <c r="P90" s="2"/>
      <c r="Q90" s="4">
        <v>9</v>
      </c>
      <c r="R90" s="29">
        <f t="shared" si="168"/>
        <v>0.78539916339744831</v>
      </c>
      <c r="S90" s="4" t="e">
        <f t="shared" si="169"/>
        <v>#N/A</v>
      </c>
      <c r="T90" s="4" t="e">
        <f t="shared" si="170"/>
        <v>#N/A</v>
      </c>
      <c r="U90" s="4" t="e">
        <f t="shared" si="171"/>
        <v>#N/A</v>
      </c>
      <c r="V90" s="4" t="e">
        <f t="shared" si="172"/>
        <v>#N/A</v>
      </c>
      <c r="W90" s="4" t="e">
        <f t="shared" si="173"/>
        <v>#N/A</v>
      </c>
      <c r="X90" s="4" t="e">
        <f t="shared" si="174"/>
        <v>#N/A</v>
      </c>
      <c r="Y90" s="4" t="e">
        <f t="shared" si="175"/>
        <v>#N/A</v>
      </c>
      <c r="Z90" s="4" t="e">
        <f t="shared" si="176"/>
        <v>#N/A</v>
      </c>
      <c r="AA90" s="4" t="e">
        <f t="shared" si="177"/>
        <v>#N/A</v>
      </c>
      <c r="AB90" s="4" t="e">
        <f t="shared" si="178"/>
        <v>#N/A</v>
      </c>
      <c r="AC90" s="4" t="e">
        <f t="shared" si="179"/>
        <v>#N/A</v>
      </c>
      <c r="AD90" s="4" t="e">
        <f t="shared" si="180"/>
        <v>#N/A</v>
      </c>
      <c r="AE90" s="2"/>
      <c r="AF90" s="4">
        <v>9</v>
      </c>
      <c r="AG90" s="29">
        <f t="shared" si="181"/>
        <v>0.78539916339744831</v>
      </c>
      <c r="AH90" s="4" t="e">
        <f t="shared" si="182"/>
        <v>#N/A</v>
      </c>
      <c r="AI90" s="4" t="e">
        <f t="shared" si="182"/>
        <v>#N/A</v>
      </c>
      <c r="AJ90" s="4" t="e">
        <f t="shared" si="182"/>
        <v>#N/A</v>
      </c>
      <c r="AK90" s="4" t="e">
        <f t="shared" si="182"/>
        <v>#N/A</v>
      </c>
      <c r="AL90" s="4" t="e">
        <f t="shared" si="182"/>
        <v>#N/A</v>
      </c>
      <c r="AM90" s="4" t="e">
        <f t="shared" si="182"/>
        <v>#N/A</v>
      </c>
      <c r="AN90" s="4" t="e">
        <f t="shared" si="182"/>
        <v>#N/A</v>
      </c>
      <c r="AO90" s="4" t="e">
        <f t="shared" si="182"/>
        <v>#N/A</v>
      </c>
      <c r="AP90" s="4" t="e">
        <f t="shared" si="182"/>
        <v>#N/A</v>
      </c>
      <c r="AQ90" s="4" t="e">
        <f t="shared" si="182"/>
        <v>#N/A</v>
      </c>
      <c r="AR90" s="4" t="e">
        <f t="shared" si="182"/>
        <v>#N/A</v>
      </c>
      <c r="AS90" s="4" t="e">
        <f t="shared" si="182"/>
        <v>#N/A</v>
      </c>
      <c r="AT90" s="2"/>
      <c r="AU90" s="4">
        <v>9</v>
      </c>
      <c r="AV90" s="29">
        <f t="shared" si="183"/>
        <v>0.78539916339744831</v>
      </c>
      <c r="AW90" s="4" t="e">
        <f t="shared" si="184"/>
        <v>#N/A</v>
      </c>
      <c r="AX90" s="4" t="e">
        <f t="shared" si="185"/>
        <v>#N/A</v>
      </c>
      <c r="AY90" s="4" t="e">
        <f t="shared" si="186"/>
        <v>#N/A</v>
      </c>
      <c r="AZ90" s="4" t="e">
        <f t="shared" si="187"/>
        <v>#N/A</v>
      </c>
      <c r="BA90" s="4" t="e">
        <f t="shared" si="188"/>
        <v>#N/A</v>
      </c>
      <c r="BB90" s="4" t="e">
        <f t="shared" si="189"/>
        <v>#N/A</v>
      </c>
      <c r="BC90" s="4" t="e">
        <f t="shared" si="190"/>
        <v>#N/A</v>
      </c>
      <c r="BD90" s="4" t="e">
        <f t="shared" si="191"/>
        <v>#N/A</v>
      </c>
      <c r="BE90" s="4" t="e">
        <f t="shared" si="192"/>
        <v>#N/A</v>
      </c>
      <c r="BF90" s="4" t="e">
        <f t="shared" si="193"/>
        <v>#N/A</v>
      </c>
      <c r="BG90" s="4" t="e">
        <f t="shared" si="194"/>
        <v>#N/A</v>
      </c>
      <c r="BH90" s="58" t="e">
        <f t="shared" si="195"/>
        <v>#N/A</v>
      </c>
      <c r="BJ90" s="1232" t="s">
        <v>945</v>
      </c>
      <c r="BK90" s="1232"/>
      <c r="BL90" s="41">
        <f t="shared" ref="BL90:BW90" si="202">(3.4152-15.753*BL89+32.411*POWER(BL89,2)-32.269*POWER(BL89,3)+12.464*POWER(BL89,4))*1.05</f>
        <v>3.58596</v>
      </c>
      <c r="BM90" s="41">
        <f t="shared" si="202"/>
        <v>3.58596</v>
      </c>
      <c r="BN90" s="41">
        <f t="shared" si="202"/>
        <v>3.58596</v>
      </c>
      <c r="BO90" s="41">
        <f t="shared" si="202"/>
        <v>3.58596</v>
      </c>
      <c r="BP90" s="41">
        <f t="shared" si="202"/>
        <v>3.58596</v>
      </c>
      <c r="BQ90" s="41">
        <f t="shared" si="202"/>
        <v>3.58596</v>
      </c>
      <c r="BR90" s="41">
        <f t="shared" si="202"/>
        <v>3.58596</v>
      </c>
      <c r="BS90" s="41">
        <f t="shared" si="202"/>
        <v>3.58596</v>
      </c>
      <c r="BT90" s="41">
        <f t="shared" si="202"/>
        <v>3.58596</v>
      </c>
      <c r="BU90" s="41">
        <f t="shared" si="202"/>
        <v>0.36354394576746346</v>
      </c>
      <c r="BV90" s="41">
        <f t="shared" si="202"/>
        <v>3.58596</v>
      </c>
      <c r="BW90" s="41">
        <f t="shared" si="202"/>
        <v>3.58596</v>
      </c>
    </row>
    <row r="91" spans="2:75">
      <c r="B91" s="57">
        <v>10</v>
      </c>
      <c r="C91" s="29">
        <f t="shared" si="155"/>
        <v>0.52359977559829884</v>
      </c>
      <c r="D91" s="4" t="e">
        <f t="shared" si="156"/>
        <v>#N/A</v>
      </c>
      <c r="E91" s="4" t="e">
        <f t="shared" si="157"/>
        <v>#N/A</v>
      </c>
      <c r="F91" s="4" t="e">
        <f t="shared" si="158"/>
        <v>#N/A</v>
      </c>
      <c r="G91" s="4" t="e">
        <f t="shared" si="159"/>
        <v>#N/A</v>
      </c>
      <c r="H91" s="4" t="e">
        <f t="shared" si="160"/>
        <v>#N/A</v>
      </c>
      <c r="I91" s="4" t="e">
        <f t="shared" si="161"/>
        <v>#N/A</v>
      </c>
      <c r="J91" s="4" t="e">
        <f t="shared" si="162"/>
        <v>#N/A</v>
      </c>
      <c r="K91" s="4" t="e">
        <f t="shared" si="163"/>
        <v>#N/A</v>
      </c>
      <c r="L91" s="4" t="e">
        <f t="shared" si="164"/>
        <v>#N/A</v>
      </c>
      <c r="M91" s="4" t="e">
        <f t="shared" si="165"/>
        <v>#N/A</v>
      </c>
      <c r="N91" s="4" t="e">
        <f t="shared" si="166"/>
        <v>#N/A</v>
      </c>
      <c r="O91" s="4" t="e">
        <f t="shared" si="167"/>
        <v>#N/A</v>
      </c>
      <c r="P91" s="2"/>
      <c r="Q91" s="4">
        <v>10</v>
      </c>
      <c r="R91" s="29">
        <f t="shared" si="168"/>
        <v>0.52359977559829884</v>
      </c>
      <c r="S91" s="4" t="e">
        <f t="shared" si="169"/>
        <v>#N/A</v>
      </c>
      <c r="T91" s="4" t="e">
        <f t="shared" si="170"/>
        <v>#N/A</v>
      </c>
      <c r="U91" s="4" t="e">
        <f t="shared" si="171"/>
        <v>#N/A</v>
      </c>
      <c r="V91" s="4" t="e">
        <f t="shared" si="172"/>
        <v>#N/A</v>
      </c>
      <c r="W91" s="4" t="e">
        <f t="shared" si="173"/>
        <v>#N/A</v>
      </c>
      <c r="X91" s="4" t="e">
        <f t="shared" si="174"/>
        <v>#N/A</v>
      </c>
      <c r="Y91" s="4" t="e">
        <f t="shared" si="175"/>
        <v>#N/A</v>
      </c>
      <c r="Z91" s="4" t="e">
        <f t="shared" si="176"/>
        <v>#N/A</v>
      </c>
      <c r="AA91" s="4" t="e">
        <f t="shared" si="177"/>
        <v>#N/A</v>
      </c>
      <c r="AB91" s="4" t="e">
        <f t="shared" si="178"/>
        <v>#N/A</v>
      </c>
      <c r="AC91" s="4" t="e">
        <f t="shared" si="179"/>
        <v>#N/A</v>
      </c>
      <c r="AD91" s="4" t="e">
        <f t="shared" si="180"/>
        <v>#N/A</v>
      </c>
      <c r="AE91" s="2"/>
      <c r="AF91" s="4">
        <v>10</v>
      </c>
      <c r="AG91" s="29">
        <f t="shared" si="181"/>
        <v>0.52359977559829884</v>
      </c>
      <c r="AH91" s="4" t="e">
        <f t="shared" ref="AH91:AS104" si="203">ROUND(SIN(AH$5)*SIN($BM$8)*COS($BR$9)-SIN(AH$5)*COS($BM$8)*COS($BT$8)*SIN($BR$9)+COS(AH$5)*COS($BM$8)*COS($BR$9)*COS($C91)+COS(AH$5)*SIN($BM$8)*SIN($BR$9)*COS($BT$8)*COS($C91)+COS(AH$5)*SIN($BR$9)*SIN($BT$8)*SIN($C91),5)</f>
        <v>#N/A</v>
      </c>
      <c r="AI91" s="4" t="e">
        <f t="shared" si="203"/>
        <v>#N/A</v>
      </c>
      <c r="AJ91" s="4" t="e">
        <f t="shared" si="203"/>
        <v>#N/A</v>
      </c>
      <c r="AK91" s="4" t="e">
        <f t="shared" si="203"/>
        <v>#N/A</v>
      </c>
      <c r="AL91" s="4" t="e">
        <f t="shared" si="203"/>
        <v>#N/A</v>
      </c>
      <c r="AM91" s="4" t="e">
        <f t="shared" si="203"/>
        <v>#N/A</v>
      </c>
      <c r="AN91" s="4" t="e">
        <f t="shared" si="203"/>
        <v>#N/A</v>
      </c>
      <c r="AO91" s="4" t="e">
        <f t="shared" si="203"/>
        <v>#N/A</v>
      </c>
      <c r="AP91" s="4" t="e">
        <f t="shared" si="203"/>
        <v>#N/A</v>
      </c>
      <c r="AQ91" s="4" t="e">
        <f t="shared" si="203"/>
        <v>#N/A</v>
      </c>
      <c r="AR91" s="4" t="e">
        <f t="shared" si="203"/>
        <v>#N/A</v>
      </c>
      <c r="AS91" s="4" t="e">
        <f t="shared" si="203"/>
        <v>#N/A</v>
      </c>
      <c r="AT91" s="2"/>
      <c r="AU91" s="4">
        <v>10</v>
      </c>
      <c r="AV91" s="29">
        <f t="shared" si="183"/>
        <v>0.52359977559829884</v>
      </c>
      <c r="AW91" s="4" t="e">
        <f t="shared" si="184"/>
        <v>#N/A</v>
      </c>
      <c r="AX91" s="4" t="e">
        <f t="shared" si="185"/>
        <v>#N/A</v>
      </c>
      <c r="AY91" s="4" t="e">
        <f t="shared" si="186"/>
        <v>#N/A</v>
      </c>
      <c r="AZ91" s="4" t="e">
        <f t="shared" si="187"/>
        <v>#N/A</v>
      </c>
      <c r="BA91" s="4" t="e">
        <f t="shared" si="188"/>
        <v>#N/A</v>
      </c>
      <c r="BB91" s="4" t="e">
        <f t="shared" si="189"/>
        <v>#N/A</v>
      </c>
      <c r="BC91" s="4" t="e">
        <f t="shared" si="190"/>
        <v>#N/A</v>
      </c>
      <c r="BD91" s="4" t="e">
        <f t="shared" si="191"/>
        <v>#N/A</v>
      </c>
      <c r="BE91" s="4" t="e">
        <f t="shared" si="192"/>
        <v>#N/A</v>
      </c>
      <c r="BF91" s="4" t="e">
        <f t="shared" si="193"/>
        <v>#N/A</v>
      </c>
      <c r="BG91" s="4" t="e">
        <f t="shared" si="194"/>
        <v>#N/A</v>
      </c>
      <c r="BH91" s="58" t="e">
        <f t="shared" si="195"/>
        <v>#N/A</v>
      </c>
      <c r="BJ91" s="8"/>
      <c r="BK91" s="2"/>
      <c r="BL91" s="59"/>
      <c r="BM91" s="59"/>
      <c r="BN91" s="59"/>
      <c r="BO91" s="59"/>
      <c r="BP91" s="59"/>
      <c r="BQ91" s="59"/>
      <c r="BR91" s="59"/>
      <c r="BS91" s="59"/>
      <c r="BT91" s="59"/>
      <c r="BU91" s="59"/>
      <c r="BV91" s="59"/>
      <c r="BW91" s="59"/>
    </row>
    <row r="92" spans="2:75">
      <c r="B92" s="57">
        <v>11</v>
      </c>
      <c r="C92" s="29">
        <f t="shared" si="155"/>
        <v>0.26180038779914938</v>
      </c>
      <c r="D92" s="4" t="e">
        <f t="shared" si="156"/>
        <v>#N/A</v>
      </c>
      <c r="E92" s="4" t="e">
        <f t="shared" si="157"/>
        <v>#N/A</v>
      </c>
      <c r="F92" s="4" t="e">
        <f t="shared" si="158"/>
        <v>#N/A</v>
      </c>
      <c r="G92" s="4" t="e">
        <f t="shared" si="159"/>
        <v>#N/A</v>
      </c>
      <c r="H92" s="4" t="e">
        <f t="shared" si="160"/>
        <v>#N/A</v>
      </c>
      <c r="I92" s="4" t="e">
        <f t="shared" si="161"/>
        <v>#N/A</v>
      </c>
      <c r="J92" s="4" t="e">
        <f t="shared" si="162"/>
        <v>#N/A</v>
      </c>
      <c r="K92" s="4" t="e">
        <f t="shared" si="163"/>
        <v>#N/A</v>
      </c>
      <c r="L92" s="4" t="e">
        <f t="shared" si="164"/>
        <v>#N/A</v>
      </c>
      <c r="M92" s="4" t="e">
        <f t="shared" si="165"/>
        <v>#N/A</v>
      </c>
      <c r="N92" s="4" t="e">
        <f t="shared" si="166"/>
        <v>#N/A</v>
      </c>
      <c r="O92" s="4" t="e">
        <f t="shared" si="167"/>
        <v>#N/A</v>
      </c>
      <c r="P92" s="2"/>
      <c r="Q92" s="4">
        <v>11</v>
      </c>
      <c r="R92" s="29">
        <f t="shared" si="168"/>
        <v>0.26180038779914938</v>
      </c>
      <c r="S92" s="4" t="e">
        <f t="shared" si="169"/>
        <v>#N/A</v>
      </c>
      <c r="T92" s="4" t="e">
        <f t="shared" si="170"/>
        <v>#N/A</v>
      </c>
      <c r="U92" s="4" t="e">
        <f t="shared" si="171"/>
        <v>#N/A</v>
      </c>
      <c r="V92" s="4" t="e">
        <f t="shared" si="172"/>
        <v>#N/A</v>
      </c>
      <c r="W92" s="4" t="e">
        <f t="shared" si="173"/>
        <v>#N/A</v>
      </c>
      <c r="X92" s="4" t="e">
        <f t="shared" si="174"/>
        <v>#N/A</v>
      </c>
      <c r="Y92" s="4" t="e">
        <f t="shared" si="175"/>
        <v>#N/A</v>
      </c>
      <c r="Z92" s="4" t="e">
        <f t="shared" si="176"/>
        <v>#N/A</v>
      </c>
      <c r="AA92" s="4" t="e">
        <f t="shared" si="177"/>
        <v>#N/A</v>
      </c>
      <c r="AB92" s="4" t="e">
        <f t="shared" si="178"/>
        <v>#N/A</v>
      </c>
      <c r="AC92" s="4" t="e">
        <f t="shared" si="179"/>
        <v>#N/A</v>
      </c>
      <c r="AD92" s="4" t="e">
        <f t="shared" si="180"/>
        <v>#N/A</v>
      </c>
      <c r="AE92" s="2"/>
      <c r="AF92" s="4">
        <v>11</v>
      </c>
      <c r="AG92" s="29">
        <f t="shared" si="181"/>
        <v>0.26180038779914938</v>
      </c>
      <c r="AH92" s="4" t="e">
        <f t="shared" si="203"/>
        <v>#N/A</v>
      </c>
      <c r="AI92" s="4" t="e">
        <f t="shared" si="203"/>
        <v>#N/A</v>
      </c>
      <c r="AJ92" s="4" t="e">
        <f t="shared" si="203"/>
        <v>#N/A</v>
      </c>
      <c r="AK92" s="4" t="e">
        <f t="shared" si="203"/>
        <v>#N/A</v>
      </c>
      <c r="AL92" s="4" t="e">
        <f t="shared" si="203"/>
        <v>#N/A</v>
      </c>
      <c r="AM92" s="4" t="e">
        <f t="shared" si="203"/>
        <v>#N/A</v>
      </c>
      <c r="AN92" s="4" t="e">
        <f t="shared" si="203"/>
        <v>#N/A</v>
      </c>
      <c r="AO92" s="4" t="e">
        <f t="shared" si="203"/>
        <v>#N/A</v>
      </c>
      <c r="AP92" s="4" t="e">
        <f t="shared" si="203"/>
        <v>#N/A</v>
      </c>
      <c r="AQ92" s="4" t="e">
        <f t="shared" si="203"/>
        <v>#N/A</v>
      </c>
      <c r="AR92" s="4" t="e">
        <f t="shared" si="203"/>
        <v>#N/A</v>
      </c>
      <c r="AS92" s="4" t="e">
        <f t="shared" si="203"/>
        <v>#N/A</v>
      </c>
      <c r="AT92" s="2"/>
      <c r="AU92" s="4">
        <v>11</v>
      </c>
      <c r="AV92" s="29">
        <f t="shared" si="183"/>
        <v>0.26180038779914938</v>
      </c>
      <c r="AW92" s="4" t="e">
        <f t="shared" si="184"/>
        <v>#N/A</v>
      </c>
      <c r="AX92" s="4" t="e">
        <f t="shared" si="185"/>
        <v>#N/A</v>
      </c>
      <c r="AY92" s="4" t="e">
        <f t="shared" si="186"/>
        <v>#N/A</v>
      </c>
      <c r="AZ92" s="4" t="e">
        <f t="shared" si="187"/>
        <v>#N/A</v>
      </c>
      <c r="BA92" s="4" t="e">
        <f t="shared" si="188"/>
        <v>#N/A</v>
      </c>
      <c r="BB92" s="4" t="e">
        <f t="shared" si="189"/>
        <v>#N/A</v>
      </c>
      <c r="BC92" s="4" t="e">
        <f t="shared" si="190"/>
        <v>#N/A</v>
      </c>
      <c r="BD92" s="4" t="e">
        <f t="shared" si="191"/>
        <v>#N/A</v>
      </c>
      <c r="BE92" s="4" t="e">
        <f t="shared" si="192"/>
        <v>#N/A</v>
      </c>
      <c r="BF92" s="4" t="e">
        <f t="shared" si="193"/>
        <v>#N/A</v>
      </c>
      <c r="BG92" s="4" t="e">
        <f t="shared" si="194"/>
        <v>#N/A</v>
      </c>
      <c r="BH92" s="58" t="e">
        <f t="shared" si="195"/>
        <v>#N/A</v>
      </c>
      <c r="BJ92" s="2"/>
      <c r="BK92" s="2"/>
      <c r="BL92" s="2"/>
      <c r="BM92" s="2"/>
      <c r="BN92" s="2"/>
      <c r="BO92" s="2"/>
      <c r="BP92" s="2"/>
      <c r="BQ92" s="2"/>
      <c r="BR92" s="2"/>
      <c r="BS92" s="2"/>
      <c r="BT92" s="2"/>
      <c r="BU92" s="2"/>
      <c r="BV92" s="2"/>
      <c r="BW92" s="2"/>
    </row>
    <row r="93" spans="2:75">
      <c r="B93" s="57">
        <v>12</v>
      </c>
      <c r="C93" s="29">
        <f t="shared" si="155"/>
        <v>9.9999999999999995E-7</v>
      </c>
      <c r="D93" s="4" t="e">
        <f t="shared" si="156"/>
        <v>#N/A</v>
      </c>
      <c r="E93" s="4" t="e">
        <f t="shared" si="157"/>
        <v>#N/A</v>
      </c>
      <c r="F93" s="4" t="e">
        <f t="shared" si="158"/>
        <v>#N/A</v>
      </c>
      <c r="G93" s="4" t="e">
        <f t="shared" si="159"/>
        <v>#N/A</v>
      </c>
      <c r="H93" s="4" t="e">
        <f t="shared" si="160"/>
        <v>#N/A</v>
      </c>
      <c r="I93" s="4" t="e">
        <f t="shared" si="161"/>
        <v>#N/A</v>
      </c>
      <c r="J93" s="4" t="e">
        <f t="shared" si="162"/>
        <v>#N/A</v>
      </c>
      <c r="K93" s="4" t="e">
        <f t="shared" si="163"/>
        <v>#N/A</v>
      </c>
      <c r="L93" s="4" t="e">
        <f t="shared" si="164"/>
        <v>#N/A</v>
      </c>
      <c r="M93" s="4" t="e">
        <f t="shared" si="165"/>
        <v>#N/A</v>
      </c>
      <c r="N93" s="4" t="e">
        <f t="shared" si="166"/>
        <v>#N/A</v>
      </c>
      <c r="O93" s="4" t="e">
        <f t="shared" si="167"/>
        <v>#N/A</v>
      </c>
      <c r="P93" s="2"/>
      <c r="Q93" s="4">
        <v>12</v>
      </c>
      <c r="R93" s="29">
        <f t="shared" si="168"/>
        <v>9.9999999999999995E-7</v>
      </c>
      <c r="S93" s="4" t="e">
        <f t="shared" si="169"/>
        <v>#N/A</v>
      </c>
      <c r="T93" s="4" t="e">
        <f t="shared" si="170"/>
        <v>#N/A</v>
      </c>
      <c r="U93" s="4" t="e">
        <f t="shared" si="171"/>
        <v>#N/A</v>
      </c>
      <c r="V93" s="4" t="e">
        <f t="shared" si="172"/>
        <v>#N/A</v>
      </c>
      <c r="W93" s="4" t="e">
        <f t="shared" si="173"/>
        <v>#N/A</v>
      </c>
      <c r="X93" s="4" t="e">
        <f t="shared" si="174"/>
        <v>#N/A</v>
      </c>
      <c r="Y93" s="4" t="e">
        <f t="shared" si="175"/>
        <v>#N/A</v>
      </c>
      <c r="Z93" s="4" t="e">
        <f t="shared" si="176"/>
        <v>#N/A</v>
      </c>
      <c r="AA93" s="4" t="e">
        <f t="shared" si="177"/>
        <v>#N/A</v>
      </c>
      <c r="AB93" s="4" t="e">
        <f t="shared" si="178"/>
        <v>#N/A</v>
      </c>
      <c r="AC93" s="4" t="e">
        <f t="shared" si="179"/>
        <v>#N/A</v>
      </c>
      <c r="AD93" s="4" t="e">
        <f t="shared" si="180"/>
        <v>#N/A</v>
      </c>
      <c r="AE93" s="2"/>
      <c r="AF93" s="4">
        <v>12</v>
      </c>
      <c r="AG93" s="29">
        <f t="shared" si="181"/>
        <v>9.9999999999999995E-7</v>
      </c>
      <c r="AH93" s="4" t="e">
        <f t="shared" si="203"/>
        <v>#N/A</v>
      </c>
      <c r="AI93" s="4" t="e">
        <f t="shared" si="203"/>
        <v>#N/A</v>
      </c>
      <c r="AJ93" s="4" t="e">
        <f t="shared" si="203"/>
        <v>#N/A</v>
      </c>
      <c r="AK93" s="4" t="e">
        <f t="shared" si="203"/>
        <v>#N/A</v>
      </c>
      <c r="AL93" s="4" t="e">
        <f t="shared" si="203"/>
        <v>#N/A</v>
      </c>
      <c r="AM93" s="4" t="e">
        <f t="shared" si="203"/>
        <v>#N/A</v>
      </c>
      <c r="AN93" s="4" t="e">
        <f t="shared" si="203"/>
        <v>#N/A</v>
      </c>
      <c r="AO93" s="4" t="e">
        <f t="shared" si="203"/>
        <v>#N/A</v>
      </c>
      <c r="AP93" s="4" t="e">
        <f t="shared" si="203"/>
        <v>#N/A</v>
      </c>
      <c r="AQ93" s="4" t="e">
        <f t="shared" si="203"/>
        <v>#N/A</v>
      </c>
      <c r="AR93" s="4" t="e">
        <f t="shared" si="203"/>
        <v>#N/A</v>
      </c>
      <c r="AS93" s="4" t="e">
        <f t="shared" si="203"/>
        <v>#N/A</v>
      </c>
      <c r="AT93" s="2"/>
      <c r="AU93" s="4">
        <v>12</v>
      </c>
      <c r="AV93" s="29">
        <f t="shared" si="183"/>
        <v>9.9999999999999995E-7</v>
      </c>
      <c r="AW93" s="4" t="e">
        <f t="shared" si="184"/>
        <v>#N/A</v>
      </c>
      <c r="AX93" s="4" t="e">
        <f t="shared" si="185"/>
        <v>#N/A</v>
      </c>
      <c r="AY93" s="4" t="e">
        <f t="shared" si="186"/>
        <v>#N/A</v>
      </c>
      <c r="AZ93" s="4" t="e">
        <f t="shared" si="187"/>
        <v>#N/A</v>
      </c>
      <c r="BA93" s="4" t="e">
        <f t="shared" si="188"/>
        <v>#N/A</v>
      </c>
      <c r="BB93" s="4" t="e">
        <f t="shared" si="189"/>
        <v>#N/A</v>
      </c>
      <c r="BC93" s="4" t="e">
        <f t="shared" si="190"/>
        <v>#N/A</v>
      </c>
      <c r="BD93" s="4" t="e">
        <f t="shared" si="191"/>
        <v>#N/A</v>
      </c>
      <c r="BE93" s="4" t="e">
        <f t="shared" si="192"/>
        <v>#N/A</v>
      </c>
      <c r="BF93" s="4" t="e">
        <f t="shared" si="193"/>
        <v>#N/A</v>
      </c>
      <c r="BG93" s="4" t="e">
        <f t="shared" si="194"/>
        <v>#N/A</v>
      </c>
      <c r="BH93" s="58" t="e">
        <f t="shared" si="195"/>
        <v>#N/A</v>
      </c>
      <c r="BJ93" s="1232" t="s">
        <v>955</v>
      </c>
      <c r="BK93" s="1232"/>
      <c r="BL93" s="11">
        <f t="shared" ref="BL93:BW93" si="204">$D$13+$E$13*D$17*0.125*1.1</f>
        <v>0.25232250000000001</v>
      </c>
      <c r="BM93" s="11">
        <f t="shared" si="204"/>
        <v>0.25529249999999998</v>
      </c>
      <c r="BN93" s="11">
        <f t="shared" si="204"/>
        <v>0.25455</v>
      </c>
      <c r="BO93" s="11">
        <f t="shared" si="204"/>
        <v>0.25380750000000002</v>
      </c>
      <c r="BP93" s="11">
        <f t="shared" si="204"/>
        <v>0.2463825</v>
      </c>
      <c r="BQ93" s="11">
        <f t="shared" si="204"/>
        <v>0.24267</v>
      </c>
      <c r="BR93" s="11">
        <f t="shared" si="204"/>
        <v>0.24192749999999999</v>
      </c>
      <c r="BS93" s="11">
        <f t="shared" si="204"/>
        <v>0.24712499999999998</v>
      </c>
      <c r="BT93" s="11">
        <f t="shared" si="204"/>
        <v>0.25083749999999999</v>
      </c>
      <c r="BU93" s="11">
        <f t="shared" si="204"/>
        <v>0.2493525</v>
      </c>
      <c r="BV93" s="11">
        <f t="shared" si="204"/>
        <v>0.25306499999999998</v>
      </c>
      <c r="BW93" s="11">
        <f t="shared" si="204"/>
        <v>0.25083749999999999</v>
      </c>
    </row>
    <row r="94" spans="2:75">
      <c r="B94" s="57">
        <v>13</v>
      </c>
      <c r="C94" s="29">
        <f t="shared" si="155"/>
        <v>-0.26179838779914943</v>
      </c>
      <c r="D94" s="4" t="e">
        <f t="shared" si="156"/>
        <v>#N/A</v>
      </c>
      <c r="E94" s="4" t="e">
        <f t="shared" si="157"/>
        <v>#N/A</v>
      </c>
      <c r="F94" s="4" t="e">
        <f t="shared" si="158"/>
        <v>#N/A</v>
      </c>
      <c r="G94" s="4" t="e">
        <f t="shared" si="159"/>
        <v>#N/A</v>
      </c>
      <c r="H94" s="4" t="e">
        <f t="shared" si="160"/>
        <v>#N/A</v>
      </c>
      <c r="I94" s="4" t="e">
        <f t="shared" si="161"/>
        <v>#N/A</v>
      </c>
      <c r="J94" s="4" t="e">
        <f t="shared" si="162"/>
        <v>#N/A</v>
      </c>
      <c r="K94" s="4" t="e">
        <f t="shared" si="163"/>
        <v>#N/A</v>
      </c>
      <c r="L94" s="4" t="e">
        <f t="shared" si="164"/>
        <v>#N/A</v>
      </c>
      <c r="M94" s="4" t="e">
        <f t="shared" si="165"/>
        <v>#N/A</v>
      </c>
      <c r="N94" s="4" t="e">
        <f t="shared" si="166"/>
        <v>#N/A</v>
      </c>
      <c r="O94" s="4" t="e">
        <f t="shared" si="167"/>
        <v>#N/A</v>
      </c>
      <c r="P94" s="2"/>
      <c r="Q94" s="4">
        <v>13</v>
      </c>
      <c r="R94" s="29">
        <f t="shared" si="168"/>
        <v>-0.26179838779914943</v>
      </c>
      <c r="S94" s="4" t="e">
        <f t="shared" si="169"/>
        <v>#N/A</v>
      </c>
      <c r="T94" s="4" t="e">
        <f t="shared" si="170"/>
        <v>#N/A</v>
      </c>
      <c r="U94" s="4" t="e">
        <f t="shared" si="171"/>
        <v>#N/A</v>
      </c>
      <c r="V94" s="4" t="e">
        <f t="shared" si="172"/>
        <v>#N/A</v>
      </c>
      <c r="W94" s="4" t="e">
        <f t="shared" si="173"/>
        <v>#N/A</v>
      </c>
      <c r="X94" s="4" t="e">
        <f t="shared" si="174"/>
        <v>#N/A</v>
      </c>
      <c r="Y94" s="4" t="e">
        <f t="shared" si="175"/>
        <v>#N/A</v>
      </c>
      <c r="Z94" s="4" t="e">
        <f t="shared" si="176"/>
        <v>#N/A</v>
      </c>
      <c r="AA94" s="4" t="e">
        <f t="shared" si="177"/>
        <v>#N/A</v>
      </c>
      <c r="AB94" s="4" t="e">
        <f t="shared" si="178"/>
        <v>#N/A</v>
      </c>
      <c r="AC94" s="4" t="e">
        <f t="shared" si="179"/>
        <v>#N/A</v>
      </c>
      <c r="AD94" s="4" t="e">
        <f t="shared" si="180"/>
        <v>#N/A</v>
      </c>
      <c r="AE94" s="2"/>
      <c r="AF94" s="4">
        <v>13</v>
      </c>
      <c r="AG94" s="29">
        <f t="shared" si="181"/>
        <v>-0.26179838779914943</v>
      </c>
      <c r="AH94" s="4" t="e">
        <f t="shared" si="203"/>
        <v>#N/A</v>
      </c>
      <c r="AI94" s="4" t="e">
        <f t="shared" si="203"/>
        <v>#N/A</v>
      </c>
      <c r="AJ94" s="4" t="e">
        <f t="shared" si="203"/>
        <v>#N/A</v>
      </c>
      <c r="AK94" s="4" t="e">
        <f t="shared" si="203"/>
        <v>#N/A</v>
      </c>
      <c r="AL94" s="4" t="e">
        <f t="shared" si="203"/>
        <v>#N/A</v>
      </c>
      <c r="AM94" s="4" t="e">
        <f t="shared" si="203"/>
        <v>#N/A</v>
      </c>
      <c r="AN94" s="4" t="e">
        <f t="shared" si="203"/>
        <v>#N/A</v>
      </c>
      <c r="AO94" s="4" t="e">
        <f t="shared" si="203"/>
        <v>#N/A</v>
      </c>
      <c r="AP94" s="4" t="e">
        <f t="shared" si="203"/>
        <v>#N/A</v>
      </c>
      <c r="AQ94" s="4" t="e">
        <f t="shared" si="203"/>
        <v>#N/A</v>
      </c>
      <c r="AR94" s="4" t="e">
        <f t="shared" si="203"/>
        <v>#N/A</v>
      </c>
      <c r="AS94" s="4" t="e">
        <f t="shared" si="203"/>
        <v>#N/A</v>
      </c>
      <c r="AT94" s="2"/>
      <c r="AU94" s="4">
        <v>13</v>
      </c>
      <c r="AV94" s="29">
        <f t="shared" si="183"/>
        <v>-0.26179838779914943</v>
      </c>
      <c r="AW94" s="4" t="e">
        <f t="shared" si="184"/>
        <v>#N/A</v>
      </c>
      <c r="AX94" s="4" t="e">
        <f t="shared" si="185"/>
        <v>#N/A</v>
      </c>
      <c r="AY94" s="4" t="e">
        <f t="shared" si="186"/>
        <v>#N/A</v>
      </c>
      <c r="AZ94" s="4" t="e">
        <f t="shared" si="187"/>
        <v>#N/A</v>
      </c>
      <c r="BA94" s="4" t="e">
        <f t="shared" si="188"/>
        <v>#N/A</v>
      </c>
      <c r="BB94" s="4" t="e">
        <f t="shared" si="189"/>
        <v>#N/A</v>
      </c>
      <c r="BC94" s="4" t="e">
        <f t="shared" si="190"/>
        <v>#N/A</v>
      </c>
      <c r="BD94" s="4" t="e">
        <f t="shared" si="191"/>
        <v>#N/A</v>
      </c>
      <c r="BE94" s="4" t="e">
        <f t="shared" si="192"/>
        <v>#N/A</v>
      </c>
      <c r="BF94" s="4" t="e">
        <f t="shared" si="193"/>
        <v>#N/A</v>
      </c>
      <c r="BG94" s="4" t="e">
        <f t="shared" si="194"/>
        <v>#N/A</v>
      </c>
      <c r="BH94" s="58" t="e">
        <f t="shared" si="195"/>
        <v>#N/A</v>
      </c>
      <c r="BJ94" s="1232" t="s">
        <v>957</v>
      </c>
      <c r="BK94" s="1232"/>
      <c r="BL94" s="41">
        <f t="shared" ref="BL94:BW94" si="205">IF(BL93&lt;0.272,1,(3.4152-15.753*BL93+32.411*POWER(BL93,2)-32.269*POWER(BL93,3)+12.464*POWER(BL93,4))*1.05)</f>
        <v>1</v>
      </c>
      <c r="BM94" s="41">
        <f t="shared" si="205"/>
        <v>1</v>
      </c>
      <c r="BN94" s="41">
        <f t="shared" si="205"/>
        <v>1</v>
      </c>
      <c r="BO94" s="41">
        <f t="shared" si="205"/>
        <v>1</v>
      </c>
      <c r="BP94" s="41">
        <f t="shared" si="205"/>
        <v>1</v>
      </c>
      <c r="BQ94" s="41">
        <f t="shared" si="205"/>
        <v>1</v>
      </c>
      <c r="BR94" s="41">
        <f t="shared" si="205"/>
        <v>1</v>
      </c>
      <c r="BS94" s="41">
        <f t="shared" si="205"/>
        <v>1</v>
      </c>
      <c r="BT94" s="41">
        <f t="shared" si="205"/>
        <v>1</v>
      </c>
      <c r="BU94" s="41">
        <f t="shared" si="205"/>
        <v>1</v>
      </c>
      <c r="BV94" s="41">
        <f t="shared" si="205"/>
        <v>1</v>
      </c>
      <c r="BW94" s="41">
        <f t="shared" si="205"/>
        <v>1</v>
      </c>
    </row>
    <row r="95" spans="2:75">
      <c r="B95" s="57">
        <v>14</v>
      </c>
      <c r="C95" s="29">
        <f t="shared" si="155"/>
        <v>-0.52359777559829879</v>
      </c>
      <c r="D95" s="4" t="e">
        <f t="shared" si="156"/>
        <v>#N/A</v>
      </c>
      <c r="E95" s="4" t="e">
        <f t="shared" si="157"/>
        <v>#N/A</v>
      </c>
      <c r="F95" s="4" t="e">
        <f t="shared" si="158"/>
        <v>#N/A</v>
      </c>
      <c r="G95" s="4" t="e">
        <f t="shared" si="159"/>
        <v>#N/A</v>
      </c>
      <c r="H95" s="4" t="e">
        <f t="shared" si="160"/>
        <v>#N/A</v>
      </c>
      <c r="I95" s="4" t="e">
        <f t="shared" si="161"/>
        <v>#N/A</v>
      </c>
      <c r="J95" s="4" t="e">
        <f t="shared" si="162"/>
        <v>#N/A</v>
      </c>
      <c r="K95" s="4" t="e">
        <f t="shared" si="163"/>
        <v>#N/A</v>
      </c>
      <c r="L95" s="4" t="e">
        <f t="shared" si="164"/>
        <v>#N/A</v>
      </c>
      <c r="M95" s="4" t="e">
        <f t="shared" si="165"/>
        <v>#N/A</v>
      </c>
      <c r="N95" s="4" t="e">
        <f t="shared" si="166"/>
        <v>#N/A</v>
      </c>
      <c r="O95" s="4" t="e">
        <f t="shared" si="167"/>
        <v>#N/A</v>
      </c>
      <c r="P95" s="2"/>
      <c r="Q95" s="4">
        <v>14</v>
      </c>
      <c r="R95" s="29">
        <f t="shared" si="168"/>
        <v>-0.52359777559829879</v>
      </c>
      <c r="S95" s="4" t="e">
        <f t="shared" si="169"/>
        <v>#N/A</v>
      </c>
      <c r="T95" s="4" t="e">
        <f t="shared" si="170"/>
        <v>#N/A</v>
      </c>
      <c r="U95" s="4" t="e">
        <f t="shared" si="171"/>
        <v>#N/A</v>
      </c>
      <c r="V95" s="4" t="e">
        <f t="shared" si="172"/>
        <v>#N/A</v>
      </c>
      <c r="W95" s="4" t="e">
        <f t="shared" si="173"/>
        <v>#N/A</v>
      </c>
      <c r="X95" s="4" t="e">
        <f t="shared" si="174"/>
        <v>#N/A</v>
      </c>
      <c r="Y95" s="4" t="e">
        <f t="shared" si="175"/>
        <v>#N/A</v>
      </c>
      <c r="Z95" s="4" t="e">
        <f t="shared" si="176"/>
        <v>#N/A</v>
      </c>
      <c r="AA95" s="4" t="e">
        <f t="shared" si="177"/>
        <v>#N/A</v>
      </c>
      <c r="AB95" s="4" t="e">
        <f t="shared" si="178"/>
        <v>#N/A</v>
      </c>
      <c r="AC95" s="4" t="e">
        <f t="shared" si="179"/>
        <v>#N/A</v>
      </c>
      <c r="AD95" s="4" t="e">
        <f t="shared" si="180"/>
        <v>#N/A</v>
      </c>
      <c r="AE95" s="2"/>
      <c r="AF95" s="4">
        <v>14</v>
      </c>
      <c r="AG95" s="29">
        <f t="shared" si="181"/>
        <v>-0.52359777559829879</v>
      </c>
      <c r="AH95" s="4" t="e">
        <f t="shared" si="203"/>
        <v>#N/A</v>
      </c>
      <c r="AI95" s="4" t="e">
        <f t="shared" si="203"/>
        <v>#N/A</v>
      </c>
      <c r="AJ95" s="4" t="e">
        <f t="shared" si="203"/>
        <v>#N/A</v>
      </c>
      <c r="AK95" s="4" t="e">
        <f t="shared" si="203"/>
        <v>#N/A</v>
      </c>
      <c r="AL95" s="4" t="e">
        <f t="shared" si="203"/>
        <v>#N/A</v>
      </c>
      <c r="AM95" s="4" t="e">
        <f t="shared" si="203"/>
        <v>#N/A</v>
      </c>
      <c r="AN95" s="4" t="e">
        <f t="shared" si="203"/>
        <v>#N/A</v>
      </c>
      <c r="AO95" s="4" t="e">
        <f t="shared" si="203"/>
        <v>#N/A</v>
      </c>
      <c r="AP95" s="4" t="e">
        <f t="shared" si="203"/>
        <v>#N/A</v>
      </c>
      <c r="AQ95" s="4" t="e">
        <f t="shared" si="203"/>
        <v>#N/A</v>
      </c>
      <c r="AR95" s="4" t="e">
        <f t="shared" si="203"/>
        <v>#N/A</v>
      </c>
      <c r="AS95" s="4" t="e">
        <f t="shared" si="203"/>
        <v>#N/A</v>
      </c>
      <c r="AT95" s="2"/>
      <c r="AU95" s="4">
        <v>14</v>
      </c>
      <c r="AV95" s="29">
        <f t="shared" si="183"/>
        <v>-0.52359777559829879</v>
      </c>
      <c r="AW95" s="4" t="e">
        <f t="shared" si="184"/>
        <v>#N/A</v>
      </c>
      <c r="AX95" s="4" t="e">
        <f t="shared" si="185"/>
        <v>#N/A</v>
      </c>
      <c r="AY95" s="4" t="e">
        <f t="shared" si="186"/>
        <v>#N/A</v>
      </c>
      <c r="AZ95" s="4" t="e">
        <f t="shared" si="187"/>
        <v>#N/A</v>
      </c>
      <c r="BA95" s="4" t="e">
        <f t="shared" si="188"/>
        <v>#N/A</v>
      </c>
      <c r="BB95" s="4" t="e">
        <f t="shared" si="189"/>
        <v>#N/A</v>
      </c>
      <c r="BC95" s="4" t="e">
        <f t="shared" si="190"/>
        <v>#N/A</v>
      </c>
      <c r="BD95" s="4" t="e">
        <f t="shared" si="191"/>
        <v>#N/A</v>
      </c>
      <c r="BE95" s="4" t="e">
        <f t="shared" si="192"/>
        <v>#N/A</v>
      </c>
      <c r="BF95" s="4" t="e">
        <f t="shared" si="193"/>
        <v>#N/A</v>
      </c>
      <c r="BG95" s="4" t="e">
        <f t="shared" si="194"/>
        <v>#N/A</v>
      </c>
      <c r="BH95" s="58" t="e">
        <f t="shared" si="195"/>
        <v>#N/A</v>
      </c>
      <c r="BJ95" s="2"/>
      <c r="BK95" s="2"/>
      <c r="BL95" s="2"/>
      <c r="BM95" s="2"/>
      <c r="BN95" s="2"/>
      <c r="BO95" s="2"/>
      <c r="BP95" s="2"/>
      <c r="BQ95" s="2"/>
      <c r="BR95" s="2"/>
      <c r="BS95" s="2"/>
      <c r="BT95" s="2"/>
      <c r="BU95" s="2"/>
      <c r="BV95" s="2"/>
      <c r="BW95" s="2"/>
    </row>
    <row r="96" spans="2:75">
      <c r="B96" s="57">
        <v>15</v>
      </c>
      <c r="C96" s="29">
        <f t="shared" si="155"/>
        <v>-0.78539716339744825</v>
      </c>
      <c r="D96" s="4" t="e">
        <f t="shared" si="156"/>
        <v>#N/A</v>
      </c>
      <c r="E96" s="4" t="e">
        <f t="shared" si="157"/>
        <v>#N/A</v>
      </c>
      <c r="F96" s="4" t="e">
        <f t="shared" si="158"/>
        <v>#N/A</v>
      </c>
      <c r="G96" s="4" t="e">
        <f t="shared" si="159"/>
        <v>#N/A</v>
      </c>
      <c r="H96" s="4" t="e">
        <f t="shared" si="160"/>
        <v>#N/A</v>
      </c>
      <c r="I96" s="4" t="e">
        <f t="shared" si="161"/>
        <v>#N/A</v>
      </c>
      <c r="J96" s="4" t="e">
        <f t="shared" si="162"/>
        <v>#N/A</v>
      </c>
      <c r="K96" s="4" t="e">
        <f t="shared" si="163"/>
        <v>#N/A</v>
      </c>
      <c r="L96" s="4" t="e">
        <f t="shared" si="164"/>
        <v>#N/A</v>
      </c>
      <c r="M96" s="4" t="e">
        <f t="shared" si="165"/>
        <v>#N/A</v>
      </c>
      <c r="N96" s="4" t="e">
        <f t="shared" si="166"/>
        <v>#N/A</v>
      </c>
      <c r="O96" s="4" t="e">
        <f t="shared" si="167"/>
        <v>#N/A</v>
      </c>
      <c r="P96" s="2"/>
      <c r="Q96" s="4">
        <v>15</v>
      </c>
      <c r="R96" s="29">
        <f t="shared" si="168"/>
        <v>-0.78539716339744825</v>
      </c>
      <c r="S96" s="4" t="e">
        <f t="shared" si="169"/>
        <v>#N/A</v>
      </c>
      <c r="T96" s="4" t="e">
        <f t="shared" si="170"/>
        <v>#N/A</v>
      </c>
      <c r="U96" s="4" t="e">
        <f t="shared" si="171"/>
        <v>#N/A</v>
      </c>
      <c r="V96" s="4" t="e">
        <f t="shared" si="172"/>
        <v>#N/A</v>
      </c>
      <c r="W96" s="4" t="e">
        <f t="shared" si="173"/>
        <v>#N/A</v>
      </c>
      <c r="X96" s="4" t="e">
        <f t="shared" si="174"/>
        <v>#N/A</v>
      </c>
      <c r="Y96" s="4" t="e">
        <f t="shared" si="175"/>
        <v>#N/A</v>
      </c>
      <c r="Z96" s="4" t="e">
        <f t="shared" si="176"/>
        <v>#N/A</v>
      </c>
      <c r="AA96" s="4" t="e">
        <f t="shared" si="177"/>
        <v>#N/A</v>
      </c>
      <c r="AB96" s="4" t="e">
        <f t="shared" si="178"/>
        <v>#N/A</v>
      </c>
      <c r="AC96" s="4" t="e">
        <f t="shared" si="179"/>
        <v>#N/A</v>
      </c>
      <c r="AD96" s="4" t="e">
        <f t="shared" si="180"/>
        <v>#N/A</v>
      </c>
      <c r="AE96" s="2"/>
      <c r="AF96" s="4">
        <v>15</v>
      </c>
      <c r="AG96" s="29">
        <f t="shared" si="181"/>
        <v>-0.78539716339744825</v>
      </c>
      <c r="AH96" s="4" t="e">
        <f t="shared" si="203"/>
        <v>#N/A</v>
      </c>
      <c r="AI96" s="4" t="e">
        <f t="shared" si="203"/>
        <v>#N/A</v>
      </c>
      <c r="AJ96" s="4" t="e">
        <f t="shared" si="203"/>
        <v>#N/A</v>
      </c>
      <c r="AK96" s="4" t="e">
        <f t="shared" si="203"/>
        <v>#N/A</v>
      </c>
      <c r="AL96" s="4" t="e">
        <f t="shared" si="203"/>
        <v>#N/A</v>
      </c>
      <c r="AM96" s="4" t="e">
        <f t="shared" si="203"/>
        <v>#N/A</v>
      </c>
      <c r="AN96" s="4" t="e">
        <f t="shared" si="203"/>
        <v>#N/A</v>
      </c>
      <c r="AO96" s="4" t="e">
        <f t="shared" si="203"/>
        <v>#N/A</v>
      </c>
      <c r="AP96" s="4" t="e">
        <f t="shared" si="203"/>
        <v>#N/A</v>
      </c>
      <c r="AQ96" s="4" t="e">
        <f t="shared" si="203"/>
        <v>#N/A</v>
      </c>
      <c r="AR96" s="4" t="e">
        <f t="shared" si="203"/>
        <v>#N/A</v>
      </c>
      <c r="AS96" s="4" t="e">
        <f t="shared" si="203"/>
        <v>#N/A</v>
      </c>
      <c r="AT96" s="2"/>
      <c r="AU96" s="4">
        <v>15</v>
      </c>
      <c r="AV96" s="29">
        <f t="shared" si="183"/>
        <v>-0.78539716339744825</v>
      </c>
      <c r="AW96" s="4" t="e">
        <f t="shared" si="184"/>
        <v>#N/A</v>
      </c>
      <c r="AX96" s="4" t="e">
        <f t="shared" si="185"/>
        <v>#N/A</v>
      </c>
      <c r="AY96" s="4" t="e">
        <f t="shared" si="186"/>
        <v>#N/A</v>
      </c>
      <c r="AZ96" s="4" t="e">
        <f t="shared" si="187"/>
        <v>#N/A</v>
      </c>
      <c r="BA96" s="4" t="e">
        <f t="shared" si="188"/>
        <v>#N/A</v>
      </c>
      <c r="BB96" s="4" t="e">
        <f t="shared" si="189"/>
        <v>#N/A</v>
      </c>
      <c r="BC96" s="4" t="e">
        <f t="shared" si="190"/>
        <v>#N/A</v>
      </c>
      <c r="BD96" s="4" t="e">
        <f t="shared" si="191"/>
        <v>#N/A</v>
      </c>
      <c r="BE96" s="4" t="e">
        <f t="shared" si="192"/>
        <v>#N/A</v>
      </c>
      <c r="BF96" s="4" t="e">
        <f t="shared" si="193"/>
        <v>#N/A</v>
      </c>
      <c r="BG96" s="4" t="e">
        <f t="shared" si="194"/>
        <v>#N/A</v>
      </c>
      <c r="BH96" s="58" t="e">
        <f t="shared" si="195"/>
        <v>#N/A</v>
      </c>
      <c r="BJ96" s="1232" t="s">
        <v>958</v>
      </c>
      <c r="BK96" s="1232"/>
      <c r="BL96" s="1232"/>
      <c r="BM96" s="1232"/>
      <c r="BN96" s="1232"/>
      <c r="BO96" s="1232"/>
      <c r="BP96" s="1232"/>
      <c r="BQ96" s="1232"/>
      <c r="BR96" s="1232"/>
      <c r="BS96" s="1232"/>
      <c r="BT96" s="1232"/>
      <c r="BU96" s="1232"/>
      <c r="BV96" s="1232"/>
      <c r="BW96" s="1232"/>
    </row>
    <row r="97" spans="2:75">
      <c r="B97" s="57">
        <v>16</v>
      </c>
      <c r="C97" s="29">
        <f t="shared" si="155"/>
        <v>-1.0471965511965977</v>
      </c>
      <c r="D97" s="4" t="e">
        <f t="shared" si="156"/>
        <v>#N/A</v>
      </c>
      <c r="E97" s="4" t="e">
        <f t="shared" si="157"/>
        <v>#N/A</v>
      </c>
      <c r="F97" s="4" t="e">
        <f t="shared" si="158"/>
        <v>#N/A</v>
      </c>
      <c r="G97" s="4" t="e">
        <f t="shared" si="159"/>
        <v>#N/A</v>
      </c>
      <c r="H97" s="4" t="e">
        <f t="shared" si="160"/>
        <v>#N/A</v>
      </c>
      <c r="I97" s="4" t="e">
        <f t="shared" si="161"/>
        <v>#N/A</v>
      </c>
      <c r="J97" s="4" t="e">
        <f t="shared" si="162"/>
        <v>#N/A</v>
      </c>
      <c r="K97" s="4" t="e">
        <f t="shared" si="163"/>
        <v>#N/A</v>
      </c>
      <c r="L97" s="4" t="e">
        <f t="shared" si="164"/>
        <v>#N/A</v>
      </c>
      <c r="M97" s="4" t="e">
        <f t="shared" si="165"/>
        <v>#N/A</v>
      </c>
      <c r="N97" s="4" t="e">
        <f t="shared" si="166"/>
        <v>#N/A</v>
      </c>
      <c r="O97" s="4" t="e">
        <f t="shared" si="167"/>
        <v>#N/A</v>
      </c>
      <c r="P97" s="2"/>
      <c r="Q97" s="4">
        <v>16</v>
      </c>
      <c r="R97" s="29">
        <f t="shared" si="168"/>
        <v>-1.0471965511965977</v>
      </c>
      <c r="S97" s="4" t="e">
        <f t="shared" si="169"/>
        <v>#N/A</v>
      </c>
      <c r="T97" s="4" t="e">
        <f t="shared" si="170"/>
        <v>#N/A</v>
      </c>
      <c r="U97" s="4" t="e">
        <f t="shared" si="171"/>
        <v>#N/A</v>
      </c>
      <c r="V97" s="4" t="e">
        <f t="shared" si="172"/>
        <v>#N/A</v>
      </c>
      <c r="W97" s="4" t="e">
        <f t="shared" si="173"/>
        <v>#N/A</v>
      </c>
      <c r="X97" s="4" t="e">
        <f t="shared" si="174"/>
        <v>#N/A</v>
      </c>
      <c r="Y97" s="4" t="e">
        <f t="shared" si="175"/>
        <v>#N/A</v>
      </c>
      <c r="Z97" s="4" t="e">
        <f t="shared" si="176"/>
        <v>#N/A</v>
      </c>
      <c r="AA97" s="4" t="e">
        <f t="shared" si="177"/>
        <v>#N/A</v>
      </c>
      <c r="AB97" s="4" t="e">
        <f t="shared" si="178"/>
        <v>#N/A</v>
      </c>
      <c r="AC97" s="4" t="e">
        <f t="shared" si="179"/>
        <v>#N/A</v>
      </c>
      <c r="AD97" s="4" t="e">
        <f t="shared" si="180"/>
        <v>#N/A</v>
      </c>
      <c r="AE97" s="2"/>
      <c r="AF97" s="4">
        <v>16</v>
      </c>
      <c r="AG97" s="29">
        <f t="shared" si="181"/>
        <v>-1.0471965511965977</v>
      </c>
      <c r="AH97" s="4" t="e">
        <f t="shared" si="203"/>
        <v>#N/A</v>
      </c>
      <c r="AI97" s="4" t="e">
        <f t="shared" si="203"/>
        <v>#N/A</v>
      </c>
      <c r="AJ97" s="4" t="e">
        <f t="shared" si="203"/>
        <v>#N/A</v>
      </c>
      <c r="AK97" s="4" t="e">
        <f t="shared" si="203"/>
        <v>#N/A</v>
      </c>
      <c r="AL97" s="4" t="e">
        <f t="shared" si="203"/>
        <v>#N/A</v>
      </c>
      <c r="AM97" s="4" t="e">
        <f t="shared" si="203"/>
        <v>#N/A</v>
      </c>
      <c r="AN97" s="4" t="e">
        <f t="shared" si="203"/>
        <v>#N/A</v>
      </c>
      <c r="AO97" s="4" t="e">
        <f t="shared" si="203"/>
        <v>#N/A</v>
      </c>
      <c r="AP97" s="4" t="e">
        <f t="shared" si="203"/>
        <v>#N/A</v>
      </c>
      <c r="AQ97" s="4" t="e">
        <f t="shared" si="203"/>
        <v>#N/A</v>
      </c>
      <c r="AR97" s="4" t="e">
        <f t="shared" si="203"/>
        <v>#N/A</v>
      </c>
      <c r="AS97" s="4" t="e">
        <f t="shared" si="203"/>
        <v>#N/A</v>
      </c>
      <c r="AT97" s="2"/>
      <c r="AU97" s="4">
        <v>16</v>
      </c>
      <c r="AV97" s="29">
        <f t="shared" si="183"/>
        <v>-1.0471965511965977</v>
      </c>
      <c r="AW97" s="4" t="e">
        <f t="shared" si="184"/>
        <v>#N/A</v>
      </c>
      <c r="AX97" s="4" t="e">
        <f t="shared" si="185"/>
        <v>#N/A</v>
      </c>
      <c r="AY97" s="4" t="e">
        <f t="shared" si="186"/>
        <v>#N/A</v>
      </c>
      <c r="AZ97" s="4" t="e">
        <f t="shared" si="187"/>
        <v>#N/A</v>
      </c>
      <c r="BA97" s="4" t="e">
        <f t="shared" si="188"/>
        <v>#N/A</v>
      </c>
      <c r="BB97" s="4" t="e">
        <f t="shared" si="189"/>
        <v>#N/A</v>
      </c>
      <c r="BC97" s="4" t="e">
        <f t="shared" si="190"/>
        <v>#N/A</v>
      </c>
      <c r="BD97" s="4" t="e">
        <f t="shared" si="191"/>
        <v>#N/A</v>
      </c>
      <c r="BE97" s="4" t="e">
        <f t="shared" si="192"/>
        <v>#N/A</v>
      </c>
      <c r="BF97" s="4" t="e">
        <f t="shared" si="193"/>
        <v>#N/A</v>
      </c>
      <c r="BG97" s="4" t="e">
        <f t="shared" si="194"/>
        <v>#N/A</v>
      </c>
      <c r="BH97" s="58" t="e">
        <f t="shared" si="195"/>
        <v>#N/A</v>
      </c>
      <c r="BJ97" s="10" t="s">
        <v>960</v>
      </c>
      <c r="BK97" s="60" t="str">
        <f>D11</f>
        <v>Claro</v>
      </c>
      <c r="BL97" s="11">
        <f t="shared" ref="BL97:BW97" si="206">IF($BK$97="Claro",BL85,IF($BK$97="Nuboso Total",BL$93,BL$89))</f>
        <v>-3.0085769999999998</v>
      </c>
      <c r="BM97" s="11">
        <f t="shared" si="206"/>
        <v>-3.0085769999999998</v>
      </c>
      <c r="BN97" s="11">
        <f t="shared" si="206"/>
        <v>-3.0085769999999998</v>
      </c>
      <c r="BO97" s="11">
        <f t="shared" si="206"/>
        <v>-3.0085769999999998</v>
      </c>
      <c r="BP97" s="11">
        <f t="shared" si="206"/>
        <v>-3.0085769999999998</v>
      </c>
      <c r="BQ97" s="11">
        <f t="shared" si="206"/>
        <v>-3.0085769999999998</v>
      </c>
      <c r="BR97" s="11">
        <f t="shared" si="206"/>
        <v>-3.0085769999999998</v>
      </c>
      <c r="BS97" s="11">
        <f t="shared" si="206"/>
        <v>-3.0085769999999998</v>
      </c>
      <c r="BT97" s="11">
        <f t="shared" si="206"/>
        <v>-3.0085769999999998</v>
      </c>
      <c r="BU97" s="11">
        <f t="shared" si="206"/>
        <v>0.71733528032649585</v>
      </c>
      <c r="BV97" s="11">
        <f t="shared" si="206"/>
        <v>-3.0085769999999998</v>
      </c>
      <c r="BW97" s="11">
        <f t="shared" si="206"/>
        <v>-3.0085769999999998</v>
      </c>
    </row>
    <row r="98" spans="2:75">
      <c r="B98" s="57">
        <v>17</v>
      </c>
      <c r="C98" s="29">
        <f t="shared" si="155"/>
        <v>-1.3089959389957473</v>
      </c>
      <c r="D98" s="4" t="e">
        <f t="shared" si="156"/>
        <v>#N/A</v>
      </c>
      <c r="E98" s="4" t="e">
        <f t="shared" si="157"/>
        <v>#N/A</v>
      </c>
      <c r="F98" s="4" t="e">
        <f t="shared" si="158"/>
        <v>#N/A</v>
      </c>
      <c r="G98" s="4" t="e">
        <f t="shared" si="159"/>
        <v>#N/A</v>
      </c>
      <c r="H98" s="4" t="e">
        <f t="shared" si="160"/>
        <v>#N/A</v>
      </c>
      <c r="I98" s="4" t="e">
        <f t="shared" si="161"/>
        <v>#N/A</v>
      </c>
      <c r="J98" s="4" t="e">
        <f t="shared" si="162"/>
        <v>#N/A</v>
      </c>
      <c r="K98" s="4" t="e">
        <f t="shared" si="163"/>
        <v>#N/A</v>
      </c>
      <c r="L98" s="4" t="e">
        <f t="shared" si="164"/>
        <v>#N/A</v>
      </c>
      <c r="M98" s="4" t="e">
        <f t="shared" si="165"/>
        <v>#N/A</v>
      </c>
      <c r="N98" s="4" t="e">
        <f t="shared" si="166"/>
        <v>#N/A</v>
      </c>
      <c r="O98" s="4" t="e">
        <f t="shared" si="167"/>
        <v>#N/A</v>
      </c>
      <c r="P98" s="2"/>
      <c r="Q98" s="4">
        <v>17</v>
      </c>
      <c r="R98" s="29">
        <f t="shared" si="168"/>
        <v>-1.3089959389957473</v>
      </c>
      <c r="S98" s="4" t="e">
        <f t="shared" si="169"/>
        <v>#N/A</v>
      </c>
      <c r="T98" s="4" t="e">
        <f t="shared" si="170"/>
        <v>#N/A</v>
      </c>
      <c r="U98" s="4" t="e">
        <f t="shared" si="171"/>
        <v>#N/A</v>
      </c>
      <c r="V98" s="4" t="e">
        <f t="shared" si="172"/>
        <v>#N/A</v>
      </c>
      <c r="W98" s="4" t="e">
        <f t="shared" si="173"/>
        <v>#N/A</v>
      </c>
      <c r="X98" s="4" t="e">
        <f t="shared" si="174"/>
        <v>#N/A</v>
      </c>
      <c r="Y98" s="4" t="e">
        <f t="shared" si="175"/>
        <v>#N/A</v>
      </c>
      <c r="Z98" s="4" t="e">
        <f t="shared" si="176"/>
        <v>#N/A</v>
      </c>
      <c r="AA98" s="4" t="e">
        <f t="shared" si="177"/>
        <v>#N/A</v>
      </c>
      <c r="AB98" s="4" t="e">
        <f t="shared" si="178"/>
        <v>#N/A</v>
      </c>
      <c r="AC98" s="4" t="e">
        <f t="shared" si="179"/>
        <v>#N/A</v>
      </c>
      <c r="AD98" s="4" t="e">
        <f t="shared" si="180"/>
        <v>#N/A</v>
      </c>
      <c r="AE98" s="2"/>
      <c r="AF98" s="4">
        <v>17</v>
      </c>
      <c r="AG98" s="29">
        <f t="shared" si="181"/>
        <v>-1.3089959389957473</v>
      </c>
      <c r="AH98" s="4" t="e">
        <f t="shared" si="203"/>
        <v>#N/A</v>
      </c>
      <c r="AI98" s="4" t="e">
        <f t="shared" si="203"/>
        <v>#N/A</v>
      </c>
      <c r="AJ98" s="4" t="e">
        <f t="shared" si="203"/>
        <v>#N/A</v>
      </c>
      <c r="AK98" s="4" t="e">
        <f t="shared" si="203"/>
        <v>#N/A</v>
      </c>
      <c r="AL98" s="4" t="e">
        <f t="shared" si="203"/>
        <v>#N/A</v>
      </c>
      <c r="AM98" s="4" t="e">
        <f t="shared" si="203"/>
        <v>#N/A</v>
      </c>
      <c r="AN98" s="4" t="e">
        <f t="shared" si="203"/>
        <v>#N/A</v>
      </c>
      <c r="AO98" s="4" t="e">
        <f t="shared" si="203"/>
        <v>#N/A</v>
      </c>
      <c r="AP98" s="4" t="e">
        <f t="shared" si="203"/>
        <v>#N/A</v>
      </c>
      <c r="AQ98" s="4" t="e">
        <f t="shared" si="203"/>
        <v>#N/A</v>
      </c>
      <c r="AR98" s="4" t="e">
        <f t="shared" si="203"/>
        <v>#N/A</v>
      </c>
      <c r="AS98" s="4" t="e">
        <f t="shared" si="203"/>
        <v>#N/A</v>
      </c>
      <c r="AT98" s="2"/>
      <c r="AU98" s="4">
        <v>17</v>
      </c>
      <c r="AV98" s="29">
        <f t="shared" si="183"/>
        <v>-1.3089959389957473</v>
      </c>
      <c r="AW98" s="4" t="e">
        <f t="shared" si="184"/>
        <v>#N/A</v>
      </c>
      <c r="AX98" s="4" t="e">
        <f t="shared" si="185"/>
        <v>#N/A</v>
      </c>
      <c r="AY98" s="4" t="e">
        <f t="shared" si="186"/>
        <v>#N/A</v>
      </c>
      <c r="AZ98" s="4" t="e">
        <f t="shared" si="187"/>
        <v>#N/A</v>
      </c>
      <c r="BA98" s="4" t="e">
        <f t="shared" si="188"/>
        <v>#N/A</v>
      </c>
      <c r="BB98" s="4" t="e">
        <f t="shared" si="189"/>
        <v>#N/A</v>
      </c>
      <c r="BC98" s="4" t="e">
        <f t="shared" si="190"/>
        <v>#N/A</v>
      </c>
      <c r="BD98" s="4" t="e">
        <f t="shared" si="191"/>
        <v>#N/A</v>
      </c>
      <c r="BE98" s="4" t="e">
        <f t="shared" si="192"/>
        <v>#N/A</v>
      </c>
      <c r="BF98" s="4" t="e">
        <f t="shared" si="193"/>
        <v>#N/A</v>
      </c>
      <c r="BG98" s="4" t="e">
        <f t="shared" si="194"/>
        <v>#N/A</v>
      </c>
      <c r="BH98" s="58" t="e">
        <f t="shared" si="195"/>
        <v>#N/A</v>
      </c>
      <c r="BJ98" s="1232" t="s">
        <v>962</v>
      </c>
      <c r="BK98" s="1232"/>
      <c r="BL98" s="11">
        <f t="shared" ref="BL98:BW98" si="207">IF($BK$97="Claro",BL86,IF($BK$97="Nuboso Total", BL94,BL90))</f>
        <v>2356.3208035169259</v>
      </c>
      <c r="BM98" s="11">
        <f t="shared" si="207"/>
        <v>2356.3208035169259</v>
      </c>
      <c r="BN98" s="11">
        <f t="shared" si="207"/>
        <v>2356.3208035169259</v>
      </c>
      <c r="BO98" s="11">
        <f t="shared" si="207"/>
        <v>2356.3208035169259</v>
      </c>
      <c r="BP98" s="11">
        <f t="shared" si="207"/>
        <v>2356.3208035169259</v>
      </c>
      <c r="BQ98" s="11">
        <f t="shared" si="207"/>
        <v>2356.3208035169259</v>
      </c>
      <c r="BR98" s="11">
        <f t="shared" si="207"/>
        <v>2356.3208035169259</v>
      </c>
      <c r="BS98" s="11">
        <f t="shared" si="207"/>
        <v>2356.3208035169259</v>
      </c>
      <c r="BT98" s="11">
        <f t="shared" si="207"/>
        <v>2356.3208035169259</v>
      </c>
      <c r="BU98" s="11">
        <f t="shared" si="207"/>
        <v>0.19097602751892101</v>
      </c>
      <c r="BV98" s="11">
        <f t="shared" si="207"/>
        <v>2356.3208035169259</v>
      </c>
      <c r="BW98" s="11">
        <f t="shared" si="207"/>
        <v>2356.3208035169259</v>
      </c>
    </row>
    <row r="99" spans="2:75">
      <c r="B99" s="57">
        <v>18</v>
      </c>
      <c r="C99" s="29">
        <f t="shared" si="155"/>
        <v>-1.5707953267948966</v>
      </c>
      <c r="D99" s="4" t="e">
        <f t="shared" si="156"/>
        <v>#N/A</v>
      </c>
      <c r="E99" s="4" t="e">
        <f t="shared" si="157"/>
        <v>#N/A</v>
      </c>
      <c r="F99" s="4" t="e">
        <f t="shared" si="158"/>
        <v>#N/A</v>
      </c>
      <c r="G99" s="4" t="e">
        <f t="shared" si="159"/>
        <v>#N/A</v>
      </c>
      <c r="H99" s="4" t="e">
        <f t="shared" si="160"/>
        <v>#N/A</v>
      </c>
      <c r="I99" s="4" t="e">
        <f t="shared" si="161"/>
        <v>#N/A</v>
      </c>
      <c r="J99" s="4" t="e">
        <f t="shared" si="162"/>
        <v>#N/A</v>
      </c>
      <c r="K99" s="4" t="e">
        <f t="shared" si="163"/>
        <v>#N/A</v>
      </c>
      <c r="L99" s="4" t="e">
        <f t="shared" si="164"/>
        <v>#N/A</v>
      </c>
      <c r="M99" s="4" t="e">
        <f t="shared" si="165"/>
        <v>#N/A</v>
      </c>
      <c r="N99" s="4" t="e">
        <f t="shared" si="166"/>
        <v>#N/A</v>
      </c>
      <c r="O99" s="4" t="e">
        <f t="shared" si="167"/>
        <v>#N/A</v>
      </c>
      <c r="P99" s="2"/>
      <c r="Q99" s="4">
        <v>18</v>
      </c>
      <c r="R99" s="29">
        <f t="shared" si="168"/>
        <v>-1.5707953267948966</v>
      </c>
      <c r="S99" s="4" t="e">
        <f t="shared" si="169"/>
        <v>#N/A</v>
      </c>
      <c r="T99" s="4" t="e">
        <f t="shared" si="170"/>
        <v>#N/A</v>
      </c>
      <c r="U99" s="4" t="e">
        <f t="shared" si="171"/>
        <v>#N/A</v>
      </c>
      <c r="V99" s="4" t="e">
        <f t="shared" si="172"/>
        <v>#N/A</v>
      </c>
      <c r="W99" s="4" t="e">
        <f t="shared" si="173"/>
        <v>#N/A</v>
      </c>
      <c r="X99" s="4" t="e">
        <f t="shared" si="174"/>
        <v>#N/A</v>
      </c>
      <c r="Y99" s="4" t="e">
        <f t="shared" si="175"/>
        <v>#N/A</v>
      </c>
      <c r="Z99" s="4" t="e">
        <f t="shared" si="176"/>
        <v>#N/A</v>
      </c>
      <c r="AA99" s="4" t="e">
        <f t="shared" si="177"/>
        <v>#N/A</v>
      </c>
      <c r="AB99" s="4" t="e">
        <f t="shared" si="178"/>
        <v>#N/A</v>
      </c>
      <c r="AC99" s="4" t="e">
        <f t="shared" si="179"/>
        <v>#N/A</v>
      </c>
      <c r="AD99" s="4" t="e">
        <f t="shared" si="180"/>
        <v>#N/A</v>
      </c>
      <c r="AE99" s="2"/>
      <c r="AF99" s="4">
        <v>18</v>
      </c>
      <c r="AG99" s="29">
        <f t="shared" si="181"/>
        <v>-1.5707953267948966</v>
      </c>
      <c r="AH99" s="4" t="e">
        <f t="shared" si="203"/>
        <v>#N/A</v>
      </c>
      <c r="AI99" s="4" t="e">
        <f t="shared" si="203"/>
        <v>#N/A</v>
      </c>
      <c r="AJ99" s="4" t="e">
        <f t="shared" si="203"/>
        <v>#N/A</v>
      </c>
      <c r="AK99" s="4" t="e">
        <f t="shared" si="203"/>
        <v>#N/A</v>
      </c>
      <c r="AL99" s="4" t="e">
        <f t="shared" si="203"/>
        <v>#N/A</v>
      </c>
      <c r="AM99" s="4" t="e">
        <f t="shared" si="203"/>
        <v>#N/A</v>
      </c>
      <c r="AN99" s="4" t="e">
        <f t="shared" si="203"/>
        <v>#N/A</v>
      </c>
      <c r="AO99" s="4" t="e">
        <f t="shared" si="203"/>
        <v>#N/A</v>
      </c>
      <c r="AP99" s="4" t="e">
        <f t="shared" si="203"/>
        <v>#N/A</v>
      </c>
      <c r="AQ99" s="4" t="e">
        <f t="shared" si="203"/>
        <v>#N/A</v>
      </c>
      <c r="AR99" s="4" t="e">
        <f t="shared" si="203"/>
        <v>#N/A</v>
      </c>
      <c r="AS99" s="4" t="e">
        <f t="shared" si="203"/>
        <v>#N/A</v>
      </c>
      <c r="AT99" s="2"/>
      <c r="AU99" s="4">
        <v>18</v>
      </c>
      <c r="AV99" s="29">
        <f t="shared" si="183"/>
        <v>-1.5707953267948966</v>
      </c>
      <c r="AW99" s="4" t="e">
        <f t="shared" si="184"/>
        <v>#N/A</v>
      </c>
      <c r="AX99" s="4" t="e">
        <f t="shared" si="185"/>
        <v>#N/A</v>
      </c>
      <c r="AY99" s="4" t="e">
        <f t="shared" si="186"/>
        <v>#N/A</v>
      </c>
      <c r="AZ99" s="4" t="e">
        <f t="shared" si="187"/>
        <v>#N/A</v>
      </c>
      <c r="BA99" s="4" t="e">
        <f t="shared" si="188"/>
        <v>#N/A</v>
      </c>
      <c r="BB99" s="4" t="e">
        <f t="shared" si="189"/>
        <v>#N/A</v>
      </c>
      <c r="BC99" s="4" t="e">
        <f t="shared" si="190"/>
        <v>#N/A</v>
      </c>
      <c r="BD99" s="4" t="e">
        <f t="shared" si="191"/>
        <v>#N/A</v>
      </c>
      <c r="BE99" s="4" t="e">
        <f t="shared" si="192"/>
        <v>#N/A</v>
      </c>
      <c r="BF99" s="4" t="e">
        <f t="shared" si="193"/>
        <v>#N/A</v>
      </c>
      <c r="BG99" s="4" t="e">
        <f t="shared" si="194"/>
        <v>#N/A</v>
      </c>
      <c r="BH99" s="58" t="e">
        <f t="shared" si="195"/>
        <v>#N/A</v>
      </c>
      <c r="BJ99" s="7"/>
      <c r="BK99" s="7"/>
      <c r="BL99" s="7"/>
      <c r="BM99" s="7"/>
      <c r="BN99" s="7"/>
      <c r="BO99" s="7"/>
      <c r="BP99" s="7"/>
      <c r="BQ99" s="7"/>
      <c r="BR99" s="7"/>
      <c r="BS99" s="7"/>
      <c r="BT99" s="7"/>
      <c r="BU99" s="7"/>
      <c r="BV99" s="7"/>
      <c r="BW99" s="7"/>
    </row>
    <row r="100" spans="2:75">
      <c r="B100" s="57">
        <v>19</v>
      </c>
      <c r="C100" s="29">
        <f t="shared" si="155"/>
        <v>-1.8325947145940462</v>
      </c>
      <c r="D100" s="4" t="e">
        <f t="shared" si="156"/>
        <v>#N/A</v>
      </c>
      <c r="E100" s="4" t="e">
        <f t="shared" si="157"/>
        <v>#N/A</v>
      </c>
      <c r="F100" s="4" t="e">
        <f t="shared" si="158"/>
        <v>#N/A</v>
      </c>
      <c r="G100" s="4" t="e">
        <f t="shared" si="159"/>
        <v>#N/A</v>
      </c>
      <c r="H100" s="4" t="e">
        <f t="shared" si="160"/>
        <v>#N/A</v>
      </c>
      <c r="I100" s="4" t="e">
        <f t="shared" si="161"/>
        <v>#N/A</v>
      </c>
      <c r="J100" s="4" t="e">
        <f t="shared" si="162"/>
        <v>#N/A</v>
      </c>
      <c r="K100" s="4" t="e">
        <f t="shared" si="163"/>
        <v>#N/A</v>
      </c>
      <c r="L100" s="4" t="e">
        <f t="shared" si="164"/>
        <v>#N/A</v>
      </c>
      <c r="M100" s="4" t="e">
        <f t="shared" si="165"/>
        <v>#N/A</v>
      </c>
      <c r="N100" s="4" t="e">
        <f t="shared" si="166"/>
        <v>#N/A</v>
      </c>
      <c r="O100" s="4" t="e">
        <f t="shared" si="167"/>
        <v>#N/A</v>
      </c>
      <c r="P100" s="2"/>
      <c r="Q100" s="4">
        <v>19</v>
      </c>
      <c r="R100" s="29">
        <f t="shared" si="168"/>
        <v>-1.8325947145940462</v>
      </c>
      <c r="S100" s="4" t="e">
        <f t="shared" si="169"/>
        <v>#N/A</v>
      </c>
      <c r="T100" s="4" t="e">
        <f t="shared" si="170"/>
        <v>#N/A</v>
      </c>
      <c r="U100" s="4" t="e">
        <f t="shared" si="171"/>
        <v>#N/A</v>
      </c>
      <c r="V100" s="4" t="e">
        <f t="shared" si="172"/>
        <v>#N/A</v>
      </c>
      <c r="W100" s="4" t="e">
        <f t="shared" si="173"/>
        <v>#N/A</v>
      </c>
      <c r="X100" s="4" t="e">
        <f t="shared" si="174"/>
        <v>#N/A</v>
      </c>
      <c r="Y100" s="4" t="e">
        <f t="shared" si="175"/>
        <v>#N/A</v>
      </c>
      <c r="Z100" s="4" t="e">
        <f t="shared" si="176"/>
        <v>#N/A</v>
      </c>
      <c r="AA100" s="4" t="e">
        <f t="shared" si="177"/>
        <v>#N/A</v>
      </c>
      <c r="AB100" s="4" t="e">
        <f t="shared" si="178"/>
        <v>#N/A</v>
      </c>
      <c r="AC100" s="4" t="e">
        <f t="shared" si="179"/>
        <v>#N/A</v>
      </c>
      <c r="AD100" s="4" t="e">
        <f t="shared" si="180"/>
        <v>#N/A</v>
      </c>
      <c r="AE100" s="2"/>
      <c r="AF100" s="4">
        <v>19</v>
      </c>
      <c r="AG100" s="29">
        <f t="shared" si="181"/>
        <v>-1.8325947145940462</v>
      </c>
      <c r="AH100" s="4" t="e">
        <f t="shared" si="203"/>
        <v>#N/A</v>
      </c>
      <c r="AI100" s="4" t="e">
        <f t="shared" si="203"/>
        <v>#N/A</v>
      </c>
      <c r="AJ100" s="4" t="e">
        <f t="shared" si="203"/>
        <v>#N/A</v>
      </c>
      <c r="AK100" s="4" t="e">
        <f t="shared" si="203"/>
        <v>#N/A</v>
      </c>
      <c r="AL100" s="4" t="e">
        <f t="shared" si="203"/>
        <v>#N/A</v>
      </c>
      <c r="AM100" s="4" t="e">
        <f t="shared" si="203"/>
        <v>#N/A</v>
      </c>
      <c r="AN100" s="4" t="e">
        <f t="shared" si="203"/>
        <v>#N/A</v>
      </c>
      <c r="AO100" s="4" t="e">
        <f t="shared" si="203"/>
        <v>#N/A</v>
      </c>
      <c r="AP100" s="4" t="e">
        <f t="shared" si="203"/>
        <v>#N/A</v>
      </c>
      <c r="AQ100" s="4" t="e">
        <f t="shared" si="203"/>
        <v>#N/A</v>
      </c>
      <c r="AR100" s="4" t="e">
        <f t="shared" si="203"/>
        <v>#N/A</v>
      </c>
      <c r="AS100" s="4" t="e">
        <f t="shared" si="203"/>
        <v>#N/A</v>
      </c>
      <c r="AT100" s="2"/>
      <c r="AU100" s="4">
        <v>19</v>
      </c>
      <c r="AV100" s="29">
        <f t="shared" si="183"/>
        <v>-1.8325947145940462</v>
      </c>
      <c r="AW100" s="4" t="e">
        <f t="shared" si="184"/>
        <v>#N/A</v>
      </c>
      <c r="AX100" s="4" t="e">
        <f t="shared" si="185"/>
        <v>#N/A</v>
      </c>
      <c r="AY100" s="4" t="e">
        <f t="shared" si="186"/>
        <v>#N/A</v>
      </c>
      <c r="AZ100" s="4" t="e">
        <f t="shared" si="187"/>
        <v>#N/A</v>
      </c>
      <c r="BA100" s="4" t="e">
        <f t="shared" si="188"/>
        <v>#N/A</v>
      </c>
      <c r="BB100" s="4" t="e">
        <f t="shared" si="189"/>
        <v>#N/A</v>
      </c>
      <c r="BC100" s="4" t="e">
        <f t="shared" si="190"/>
        <v>#N/A</v>
      </c>
      <c r="BD100" s="4" t="e">
        <f t="shared" si="191"/>
        <v>#N/A</v>
      </c>
      <c r="BE100" s="4" t="e">
        <f t="shared" si="192"/>
        <v>#N/A</v>
      </c>
      <c r="BF100" s="4" t="e">
        <f t="shared" si="193"/>
        <v>#N/A</v>
      </c>
      <c r="BG100" s="4" t="e">
        <f t="shared" si="194"/>
        <v>#N/A</v>
      </c>
      <c r="BH100" s="58" t="e">
        <f t="shared" si="195"/>
        <v>#N/A</v>
      </c>
      <c r="BJ100" s="7"/>
      <c r="BK100" s="7"/>
      <c r="BL100" s="7"/>
      <c r="BM100" s="7"/>
      <c r="BN100" s="7"/>
      <c r="BO100" s="7"/>
      <c r="BP100" s="7"/>
      <c r="BQ100" s="7"/>
      <c r="BR100" s="7"/>
      <c r="BS100" s="7"/>
      <c r="BT100" s="7"/>
      <c r="BU100" s="7"/>
      <c r="BV100" s="7"/>
      <c r="BW100" s="7"/>
    </row>
    <row r="101" spans="2:75">
      <c r="B101" s="57">
        <v>20</v>
      </c>
      <c r="C101" s="29">
        <f t="shared" si="155"/>
        <v>-2.0943941023931951</v>
      </c>
      <c r="D101" s="4" t="e">
        <f t="shared" si="156"/>
        <v>#N/A</v>
      </c>
      <c r="E101" s="4" t="e">
        <f t="shared" si="157"/>
        <v>#N/A</v>
      </c>
      <c r="F101" s="4" t="e">
        <f t="shared" si="158"/>
        <v>#N/A</v>
      </c>
      <c r="G101" s="4" t="e">
        <f t="shared" si="159"/>
        <v>#N/A</v>
      </c>
      <c r="H101" s="4" t="e">
        <f t="shared" si="160"/>
        <v>#N/A</v>
      </c>
      <c r="I101" s="4" t="e">
        <f t="shared" si="161"/>
        <v>#N/A</v>
      </c>
      <c r="J101" s="4" t="e">
        <f t="shared" si="162"/>
        <v>#N/A</v>
      </c>
      <c r="K101" s="4" t="e">
        <f t="shared" si="163"/>
        <v>#N/A</v>
      </c>
      <c r="L101" s="4" t="e">
        <f t="shared" si="164"/>
        <v>#N/A</v>
      </c>
      <c r="M101" s="4" t="e">
        <f t="shared" si="165"/>
        <v>#N/A</v>
      </c>
      <c r="N101" s="4" t="e">
        <f t="shared" si="166"/>
        <v>#N/A</v>
      </c>
      <c r="O101" s="4" t="e">
        <f t="shared" si="167"/>
        <v>#N/A</v>
      </c>
      <c r="P101" s="2"/>
      <c r="Q101" s="4">
        <v>20</v>
      </c>
      <c r="R101" s="29">
        <f t="shared" si="168"/>
        <v>-2.0943941023931951</v>
      </c>
      <c r="S101" s="4" t="e">
        <f t="shared" si="169"/>
        <v>#N/A</v>
      </c>
      <c r="T101" s="4" t="e">
        <f t="shared" si="170"/>
        <v>#N/A</v>
      </c>
      <c r="U101" s="4" t="e">
        <f t="shared" si="171"/>
        <v>#N/A</v>
      </c>
      <c r="V101" s="4" t="e">
        <f t="shared" si="172"/>
        <v>#N/A</v>
      </c>
      <c r="W101" s="4" t="e">
        <f t="shared" si="173"/>
        <v>#N/A</v>
      </c>
      <c r="X101" s="4" t="e">
        <f t="shared" si="174"/>
        <v>#N/A</v>
      </c>
      <c r="Y101" s="4" t="e">
        <f t="shared" si="175"/>
        <v>#N/A</v>
      </c>
      <c r="Z101" s="4" t="e">
        <f t="shared" si="176"/>
        <v>#N/A</v>
      </c>
      <c r="AA101" s="4" t="e">
        <f t="shared" si="177"/>
        <v>#N/A</v>
      </c>
      <c r="AB101" s="4" t="e">
        <f t="shared" si="178"/>
        <v>#N/A</v>
      </c>
      <c r="AC101" s="4" t="e">
        <f t="shared" si="179"/>
        <v>#N/A</v>
      </c>
      <c r="AD101" s="4" t="e">
        <f t="shared" si="180"/>
        <v>#N/A</v>
      </c>
      <c r="AE101" s="2"/>
      <c r="AF101" s="4">
        <v>20</v>
      </c>
      <c r="AG101" s="29">
        <f t="shared" si="181"/>
        <v>-2.0943941023931951</v>
      </c>
      <c r="AH101" s="4" t="e">
        <f t="shared" si="203"/>
        <v>#N/A</v>
      </c>
      <c r="AI101" s="4" t="e">
        <f t="shared" si="203"/>
        <v>#N/A</v>
      </c>
      <c r="AJ101" s="4" t="e">
        <f t="shared" si="203"/>
        <v>#N/A</v>
      </c>
      <c r="AK101" s="4" t="e">
        <f t="shared" si="203"/>
        <v>#N/A</v>
      </c>
      <c r="AL101" s="4" t="e">
        <f t="shared" si="203"/>
        <v>#N/A</v>
      </c>
      <c r="AM101" s="4" t="e">
        <f t="shared" si="203"/>
        <v>#N/A</v>
      </c>
      <c r="AN101" s="4" t="e">
        <f t="shared" si="203"/>
        <v>#N/A</v>
      </c>
      <c r="AO101" s="4" t="e">
        <f t="shared" si="203"/>
        <v>#N/A</v>
      </c>
      <c r="AP101" s="4" t="e">
        <f t="shared" si="203"/>
        <v>#N/A</v>
      </c>
      <c r="AQ101" s="4" t="e">
        <f t="shared" si="203"/>
        <v>#N/A</v>
      </c>
      <c r="AR101" s="4" t="e">
        <f t="shared" si="203"/>
        <v>#N/A</v>
      </c>
      <c r="AS101" s="4" t="e">
        <f t="shared" si="203"/>
        <v>#N/A</v>
      </c>
      <c r="AT101" s="2"/>
      <c r="AU101" s="4">
        <v>20</v>
      </c>
      <c r="AV101" s="29">
        <f t="shared" si="183"/>
        <v>-2.0943941023931951</v>
      </c>
      <c r="AW101" s="4" t="e">
        <f t="shared" si="184"/>
        <v>#N/A</v>
      </c>
      <c r="AX101" s="4" t="e">
        <f t="shared" si="185"/>
        <v>#N/A</v>
      </c>
      <c r="AY101" s="4" t="e">
        <f t="shared" si="186"/>
        <v>#N/A</v>
      </c>
      <c r="AZ101" s="4" t="e">
        <f t="shared" si="187"/>
        <v>#N/A</v>
      </c>
      <c r="BA101" s="4" t="e">
        <f t="shared" si="188"/>
        <v>#N/A</v>
      </c>
      <c r="BB101" s="4" t="e">
        <f t="shared" si="189"/>
        <v>#N/A</v>
      </c>
      <c r="BC101" s="4" t="e">
        <f t="shared" si="190"/>
        <v>#N/A</v>
      </c>
      <c r="BD101" s="4" t="e">
        <f t="shared" si="191"/>
        <v>#N/A</v>
      </c>
      <c r="BE101" s="4" t="e">
        <f t="shared" si="192"/>
        <v>#N/A</v>
      </c>
      <c r="BF101" s="4" t="e">
        <f t="shared" si="193"/>
        <v>#N/A</v>
      </c>
      <c r="BG101" s="4" t="e">
        <f t="shared" si="194"/>
        <v>#N/A</v>
      </c>
      <c r="BH101" s="58" t="e">
        <f t="shared" si="195"/>
        <v>#N/A</v>
      </c>
      <c r="BJ101" s="7"/>
      <c r="BK101" s="7"/>
      <c r="BL101" s="7"/>
      <c r="BM101" s="7"/>
      <c r="BN101" s="7"/>
      <c r="BO101" s="7"/>
      <c r="BP101" s="7"/>
      <c r="BQ101" s="7"/>
      <c r="BR101" s="7"/>
      <c r="BS101" s="7"/>
      <c r="BT101" s="7"/>
      <c r="BU101" s="7"/>
      <c r="BV101" s="7"/>
      <c r="BW101" s="7"/>
    </row>
    <row r="102" spans="2:75">
      <c r="B102" s="57">
        <v>21</v>
      </c>
      <c r="C102" s="29">
        <f t="shared" si="155"/>
        <v>-2.3561934901923447</v>
      </c>
      <c r="D102" s="4" t="e">
        <f t="shared" si="156"/>
        <v>#N/A</v>
      </c>
      <c r="E102" s="4" t="e">
        <f t="shared" si="157"/>
        <v>#N/A</v>
      </c>
      <c r="F102" s="4" t="e">
        <f t="shared" si="158"/>
        <v>#N/A</v>
      </c>
      <c r="G102" s="4" t="e">
        <f t="shared" si="159"/>
        <v>#N/A</v>
      </c>
      <c r="H102" s="4" t="e">
        <f t="shared" si="160"/>
        <v>#N/A</v>
      </c>
      <c r="I102" s="4" t="e">
        <f t="shared" si="161"/>
        <v>#N/A</v>
      </c>
      <c r="J102" s="4" t="e">
        <f t="shared" si="162"/>
        <v>#N/A</v>
      </c>
      <c r="K102" s="4" t="e">
        <f t="shared" si="163"/>
        <v>#N/A</v>
      </c>
      <c r="L102" s="4" t="e">
        <f t="shared" si="164"/>
        <v>#N/A</v>
      </c>
      <c r="M102" s="4" t="e">
        <f t="shared" si="165"/>
        <v>#N/A</v>
      </c>
      <c r="N102" s="4" t="e">
        <f t="shared" si="166"/>
        <v>#N/A</v>
      </c>
      <c r="O102" s="4" t="e">
        <f t="shared" si="167"/>
        <v>#N/A</v>
      </c>
      <c r="P102" s="2"/>
      <c r="Q102" s="4">
        <v>21</v>
      </c>
      <c r="R102" s="29">
        <f t="shared" si="168"/>
        <v>-2.3561934901923447</v>
      </c>
      <c r="S102" s="4" t="e">
        <f t="shared" si="169"/>
        <v>#N/A</v>
      </c>
      <c r="T102" s="4" t="e">
        <f t="shared" si="170"/>
        <v>#N/A</v>
      </c>
      <c r="U102" s="4" t="e">
        <f t="shared" si="171"/>
        <v>#N/A</v>
      </c>
      <c r="V102" s="4" t="e">
        <f t="shared" si="172"/>
        <v>#N/A</v>
      </c>
      <c r="W102" s="4" t="e">
        <f t="shared" si="173"/>
        <v>#N/A</v>
      </c>
      <c r="X102" s="4" t="e">
        <f t="shared" si="174"/>
        <v>#N/A</v>
      </c>
      <c r="Y102" s="4" t="e">
        <f t="shared" si="175"/>
        <v>#N/A</v>
      </c>
      <c r="Z102" s="4" t="e">
        <f t="shared" si="176"/>
        <v>#N/A</v>
      </c>
      <c r="AA102" s="4" t="e">
        <f t="shared" si="177"/>
        <v>#N/A</v>
      </c>
      <c r="AB102" s="4" t="e">
        <f t="shared" si="178"/>
        <v>#N/A</v>
      </c>
      <c r="AC102" s="4" t="e">
        <f t="shared" si="179"/>
        <v>#N/A</v>
      </c>
      <c r="AD102" s="4" t="e">
        <f t="shared" si="180"/>
        <v>#N/A</v>
      </c>
      <c r="AE102" s="2"/>
      <c r="AF102" s="4">
        <v>21</v>
      </c>
      <c r="AG102" s="29">
        <f t="shared" si="181"/>
        <v>-2.3561934901923447</v>
      </c>
      <c r="AH102" s="4" t="e">
        <f t="shared" si="203"/>
        <v>#N/A</v>
      </c>
      <c r="AI102" s="4" t="e">
        <f t="shared" si="203"/>
        <v>#N/A</v>
      </c>
      <c r="AJ102" s="4" t="e">
        <f t="shared" si="203"/>
        <v>#N/A</v>
      </c>
      <c r="AK102" s="4" t="e">
        <f t="shared" si="203"/>
        <v>#N/A</v>
      </c>
      <c r="AL102" s="4" t="e">
        <f t="shared" si="203"/>
        <v>#N/A</v>
      </c>
      <c r="AM102" s="4" t="e">
        <f t="shared" si="203"/>
        <v>#N/A</v>
      </c>
      <c r="AN102" s="4" t="e">
        <f t="shared" si="203"/>
        <v>#N/A</v>
      </c>
      <c r="AO102" s="4" t="e">
        <f t="shared" si="203"/>
        <v>#N/A</v>
      </c>
      <c r="AP102" s="4" t="e">
        <f t="shared" si="203"/>
        <v>#N/A</v>
      </c>
      <c r="AQ102" s="4" t="e">
        <f t="shared" si="203"/>
        <v>#N/A</v>
      </c>
      <c r="AR102" s="4" t="e">
        <f t="shared" si="203"/>
        <v>#N/A</v>
      </c>
      <c r="AS102" s="4" t="e">
        <f t="shared" si="203"/>
        <v>#N/A</v>
      </c>
      <c r="AT102" s="2"/>
      <c r="AU102" s="4">
        <v>21</v>
      </c>
      <c r="AV102" s="29">
        <f t="shared" si="183"/>
        <v>-2.3561934901923447</v>
      </c>
      <c r="AW102" s="4" t="e">
        <f t="shared" si="184"/>
        <v>#N/A</v>
      </c>
      <c r="AX102" s="4" t="e">
        <f t="shared" si="185"/>
        <v>#N/A</v>
      </c>
      <c r="AY102" s="4" t="e">
        <f t="shared" si="186"/>
        <v>#N/A</v>
      </c>
      <c r="AZ102" s="4" t="e">
        <f t="shared" si="187"/>
        <v>#N/A</v>
      </c>
      <c r="BA102" s="4" t="e">
        <f t="shared" si="188"/>
        <v>#N/A</v>
      </c>
      <c r="BB102" s="4" t="e">
        <f t="shared" si="189"/>
        <v>#N/A</v>
      </c>
      <c r="BC102" s="4" t="e">
        <f t="shared" si="190"/>
        <v>#N/A</v>
      </c>
      <c r="BD102" s="4" t="e">
        <f t="shared" si="191"/>
        <v>#N/A</v>
      </c>
      <c r="BE102" s="4" t="e">
        <f t="shared" si="192"/>
        <v>#N/A</v>
      </c>
      <c r="BF102" s="4" t="e">
        <f t="shared" si="193"/>
        <v>#N/A</v>
      </c>
      <c r="BG102" s="4" t="e">
        <f t="shared" si="194"/>
        <v>#N/A</v>
      </c>
      <c r="BH102" s="58" t="e">
        <f t="shared" si="195"/>
        <v>#N/A</v>
      </c>
      <c r="BJ102" s="7"/>
      <c r="BK102" s="7"/>
      <c r="BL102" s="7"/>
      <c r="BM102" s="7"/>
      <c r="BN102" s="7"/>
      <c r="BO102" s="7"/>
      <c r="BP102" s="7"/>
      <c r="BQ102" s="7"/>
      <c r="BR102" s="7"/>
      <c r="BS102" s="7"/>
      <c r="BT102" s="7"/>
      <c r="BU102" s="7"/>
      <c r="BV102" s="7"/>
      <c r="BW102" s="7"/>
    </row>
    <row r="103" spans="2:75">
      <c r="B103" s="57">
        <v>22</v>
      </c>
      <c r="C103" s="29">
        <f t="shared" si="155"/>
        <v>-2.6179928779914943</v>
      </c>
      <c r="D103" s="4" t="e">
        <f t="shared" si="156"/>
        <v>#N/A</v>
      </c>
      <c r="E103" s="4" t="e">
        <f t="shared" si="157"/>
        <v>#N/A</v>
      </c>
      <c r="F103" s="4" t="e">
        <f t="shared" si="158"/>
        <v>#N/A</v>
      </c>
      <c r="G103" s="4" t="e">
        <f t="shared" si="159"/>
        <v>#N/A</v>
      </c>
      <c r="H103" s="4" t="e">
        <f t="shared" si="160"/>
        <v>#N/A</v>
      </c>
      <c r="I103" s="4" t="e">
        <f t="shared" si="161"/>
        <v>#N/A</v>
      </c>
      <c r="J103" s="4" t="e">
        <f t="shared" si="162"/>
        <v>#N/A</v>
      </c>
      <c r="K103" s="4" t="e">
        <f t="shared" si="163"/>
        <v>#N/A</v>
      </c>
      <c r="L103" s="4" t="e">
        <f t="shared" si="164"/>
        <v>#N/A</v>
      </c>
      <c r="M103" s="4" t="e">
        <f t="shared" si="165"/>
        <v>#N/A</v>
      </c>
      <c r="N103" s="4" t="e">
        <f t="shared" si="166"/>
        <v>#N/A</v>
      </c>
      <c r="O103" s="4" t="e">
        <f t="shared" si="167"/>
        <v>#N/A</v>
      </c>
      <c r="P103" s="2"/>
      <c r="Q103" s="4">
        <v>22</v>
      </c>
      <c r="R103" s="29">
        <f t="shared" si="168"/>
        <v>-2.6179928779914943</v>
      </c>
      <c r="S103" s="4" t="e">
        <f t="shared" si="169"/>
        <v>#N/A</v>
      </c>
      <c r="T103" s="4" t="e">
        <f t="shared" si="170"/>
        <v>#N/A</v>
      </c>
      <c r="U103" s="4" t="e">
        <f t="shared" si="171"/>
        <v>#N/A</v>
      </c>
      <c r="V103" s="4" t="e">
        <f t="shared" si="172"/>
        <v>#N/A</v>
      </c>
      <c r="W103" s="4" t="e">
        <f t="shared" si="173"/>
        <v>#N/A</v>
      </c>
      <c r="X103" s="4" t="e">
        <f t="shared" si="174"/>
        <v>#N/A</v>
      </c>
      <c r="Y103" s="4" t="e">
        <f t="shared" si="175"/>
        <v>#N/A</v>
      </c>
      <c r="Z103" s="4" t="e">
        <f t="shared" si="176"/>
        <v>#N/A</v>
      </c>
      <c r="AA103" s="4" t="e">
        <f t="shared" si="177"/>
        <v>#N/A</v>
      </c>
      <c r="AB103" s="4" t="e">
        <f t="shared" si="178"/>
        <v>#N/A</v>
      </c>
      <c r="AC103" s="4" t="e">
        <f t="shared" si="179"/>
        <v>#N/A</v>
      </c>
      <c r="AD103" s="4" t="e">
        <f t="shared" si="180"/>
        <v>#N/A</v>
      </c>
      <c r="AE103" s="2"/>
      <c r="AF103" s="4">
        <v>22</v>
      </c>
      <c r="AG103" s="29">
        <f t="shared" si="181"/>
        <v>-2.6179928779914943</v>
      </c>
      <c r="AH103" s="4" t="e">
        <f t="shared" si="203"/>
        <v>#N/A</v>
      </c>
      <c r="AI103" s="4" t="e">
        <f t="shared" si="203"/>
        <v>#N/A</v>
      </c>
      <c r="AJ103" s="4" t="e">
        <f t="shared" si="203"/>
        <v>#N/A</v>
      </c>
      <c r="AK103" s="4" t="e">
        <f t="shared" si="203"/>
        <v>#N/A</v>
      </c>
      <c r="AL103" s="4" t="e">
        <f t="shared" si="203"/>
        <v>#N/A</v>
      </c>
      <c r="AM103" s="4" t="e">
        <f t="shared" si="203"/>
        <v>#N/A</v>
      </c>
      <c r="AN103" s="4" t="e">
        <f t="shared" si="203"/>
        <v>#N/A</v>
      </c>
      <c r="AO103" s="4" t="e">
        <f t="shared" si="203"/>
        <v>#N/A</v>
      </c>
      <c r="AP103" s="4" t="e">
        <f t="shared" si="203"/>
        <v>#N/A</v>
      </c>
      <c r="AQ103" s="4" t="e">
        <f t="shared" si="203"/>
        <v>#N/A</v>
      </c>
      <c r="AR103" s="4" t="e">
        <f t="shared" si="203"/>
        <v>#N/A</v>
      </c>
      <c r="AS103" s="4" t="e">
        <f t="shared" si="203"/>
        <v>#N/A</v>
      </c>
      <c r="AT103" s="2"/>
      <c r="AU103" s="4">
        <v>22</v>
      </c>
      <c r="AV103" s="29">
        <f t="shared" si="183"/>
        <v>-2.6179928779914943</v>
      </c>
      <c r="AW103" s="4" t="e">
        <f t="shared" si="184"/>
        <v>#N/A</v>
      </c>
      <c r="AX103" s="4" t="e">
        <f t="shared" si="185"/>
        <v>#N/A</v>
      </c>
      <c r="AY103" s="4" t="e">
        <f t="shared" si="186"/>
        <v>#N/A</v>
      </c>
      <c r="AZ103" s="4" t="e">
        <f t="shared" si="187"/>
        <v>#N/A</v>
      </c>
      <c r="BA103" s="4" t="e">
        <f t="shared" si="188"/>
        <v>#N/A</v>
      </c>
      <c r="BB103" s="4" t="e">
        <f t="shared" si="189"/>
        <v>#N/A</v>
      </c>
      <c r="BC103" s="4" t="e">
        <f t="shared" si="190"/>
        <v>#N/A</v>
      </c>
      <c r="BD103" s="4" t="e">
        <f t="shared" si="191"/>
        <v>#N/A</v>
      </c>
      <c r="BE103" s="4" t="e">
        <f t="shared" si="192"/>
        <v>#N/A</v>
      </c>
      <c r="BF103" s="4" t="e">
        <f t="shared" si="193"/>
        <v>#N/A</v>
      </c>
      <c r="BG103" s="4" t="e">
        <f t="shared" si="194"/>
        <v>#N/A</v>
      </c>
      <c r="BH103" s="58" t="e">
        <f t="shared" si="195"/>
        <v>#N/A</v>
      </c>
      <c r="BJ103" s="7"/>
      <c r="BK103" s="7"/>
      <c r="BL103" s="7"/>
      <c r="BM103" s="7"/>
      <c r="BN103" s="7"/>
      <c r="BO103" s="7"/>
      <c r="BP103" s="7"/>
      <c r="BQ103" s="7"/>
      <c r="BR103" s="7"/>
      <c r="BS103" s="7"/>
      <c r="BT103" s="7"/>
      <c r="BU103" s="7"/>
      <c r="BV103" s="7"/>
      <c r="BW103" s="7"/>
    </row>
    <row r="104" spans="2:75">
      <c r="B104" s="57">
        <v>23</v>
      </c>
      <c r="C104" s="29">
        <f t="shared" si="155"/>
        <v>-2.8797922657906434</v>
      </c>
      <c r="D104" s="4" t="e">
        <f t="shared" si="156"/>
        <v>#N/A</v>
      </c>
      <c r="E104" s="4" t="e">
        <f t="shared" si="157"/>
        <v>#N/A</v>
      </c>
      <c r="F104" s="4" t="e">
        <f t="shared" si="158"/>
        <v>#N/A</v>
      </c>
      <c r="G104" s="4" t="e">
        <f t="shared" si="159"/>
        <v>#N/A</v>
      </c>
      <c r="H104" s="4" t="e">
        <f t="shared" si="160"/>
        <v>#N/A</v>
      </c>
      <c r="I104" s="4" t="e">
        <f t="shared" si="161"/>
        <v>#N/A</v>
      </c>
      <c r="J104" s="4" t="e">
        <f t="shared" si="162"/>
        <v>#N/A</v>
      </c>
      <c r="K104" s="4" t="e">
        <f t="shared" si="163"/>
        <v>#N/A</v>
      </c>
      <c r="L104" s="4" t="e">
        <f t="shared" si="164"/>
        <v>#N/A</v>
      </c>
      <c r="M104" s="4" t="e">
        <f t="shared" si="165"/>
        <v>#N/A</v>
      </c>
      <c r="N104" s="4" t="e">
        <f t="shared" si="166"/>
        <v>#N/A</v>
      </c>
      <c r="O104" s="4" t="e">
        <f t="shared" si="167"/>
        <v>#N/A</v>
      </c>
      <c r="P104" s="2"/>
      <c r="Q104" s="4">
        <v>23</v>
      </c>
      <c r="R104" s="29">
        <f t="shared" si="168"/>
        <v>-2.8797922657906434</v>
      </c>
      <c r="S104" s="4" t="e">
        <f t="shared" si="169"/>
        <v>#N/A</v>
      </c>
      <c r="T104" s="4" t="e">
        <f t="shared" si="170"/>
        <v>#N/A</v>
      </c>
      <c r="U104" s="4" t="e">
        <f t="shared" si="171"/>
        <v>#N/A</v>
      </c>
      <c r="V104" s="4" t="e">
        <f t="shared" si="172"/>
        <v>#N/A</v>
      </c>
      <c r="W104" s="4" t="e">
        <f t="shared" si="173"/>
        <v>#N/A</v>
      </c>
      <c r="X104" s="4" t="e">
        <f t="shared" si="174"/>
        <v>#N/A</v>
      </c>
      <c r="Y104" s="4" t="e">
        <f t="shared" si="175"/>
        <v>#N/A</v>
      </c>
      <c r="Z104" s="4" t="e">
        <f t="shared" si="176"/>
        <v>#N/A</v>
      </c>
      <c r="AA104" s="4" t="e">
        <f t="shared" si="177"/>
        <v>#N/A</v>
      </c>
      <c r="AB104" s="4" t="e">
        <f t="shared" si="178"/>
        <v>#N/A</v>
      </c>
      <c r="AC104" s="4" t="e">
        <f t="shared" si="179"/>
        <v>#N/A</v>
      </c>
      <c r="AD104" s="4" t="e">
        <f t="shared" si="180"/>
        <v>#N/A</v>
      </c>
      <c r="AE104" s="2"/>
      <c r="AF104" s="4">
        <v>23</v>
      </c>
      <c r="AG104" s="29">
        <f t="shared" si="181"/>
        <v>-2.8797922657906434</v>
      </c>
      <c r="AH104" s="4" t="e">
        <f t="shared" si="203"/>
        <v>#N/A</v>
      </c>
      <c r="AI104" s="4" t="e">
        <f t="shared" si="203"/>
        <v>#N/A</v>
      </c>
      <c r="AJ104" s="4" t="e">
        <f t="shared" si="203"/>
        <v>#N/A</v>
      </c>
      <c r="AK104" s="4" t="e">
        <f t="shared" si="203"/>
        <v>#N/A</v>
      </c>
      <c r="AL104" s="4" t="e">
        <f t="shared" si="203"/>
        <v>#N/A</v>
      </c>
      <c r="AM104" s="4" t="e">
        <f t="shared" si="203"/>
        <v>#N/A</v>
      </c>
      <c r="AN104" s="4" t="e">
        <f t="shared" si="203"/>
        <v>#N/A</v>
      </c>
      <c r="AO104" s="4" t="e">
        <f t="shared" si="203"/>
        <v>#N/A</v>
      </c>
      <c r="AP104" s="4" t="e">
        <f t="shared" si="203"/>
        <v>#N/A</v>
      </c>
      <c r="AQ104" s="4" t="e">
        <f t="shared" si="203"/>
        <v>#N/A</v>
      </c>
      <c r="AR104" s="4" t="e">
        <f t="shared" si="203"/>
        <v>#N/A</v>
      </c>
      <c r="AS104" s="4" t="e">
        <f t="shared" si="203"/>
        <v>#N/A</v>
      </c>
      <c r="AT104" s="2"/>
      <c r="AU104" s="4">
        <v>23</v>
      </c>
      <c r="AV104" s="29">
        <f t="shared" si="183"/>
        <v>-2.8797922657906434</v>
      </c>
      <c r="AW104" s="4" t="e">
        <f t="shared" si="184"/>
        <v>#N/A</v>
      </c>
      <c r="AX104" s="4" t="e">
        <f t="shared" si="185"/>
        <v>#N/A</v>
      </c>
      <c r="AY104" s="4" t="e">
        <f t="shared" si="186"/>
        <v>#N/A</v>
      </c>
      <c r="AZ104" s="4" t="e">
        <f t="shared" si="187"/>
        <v>#N/A</v>
      </c>
      <c r="BA104" s="4" t="e">
        <f t="shared" si="188"/>
        <v>#N/A</v>
      </c>
      <c r="BB104" s="4" t="e">
        <f t="shared" si="189"/>
        <v>#N/A</v>
      </c>
      <c r="BC104" s="4" t="e">
        <f t="shared" si="190"/>
        <v>#N/A</v>
      </c>
      <c r="BD104" s="4" t="e">
        <f t="shared" si="191"/>
        <v>#N/A</v>
      </c>
      <c r="BE104" s="4" t="e">
        <f t="shared" si="192"/>
        <v>#N/A</v>
      </c>
      <c r="BF104" s="4" t="e">
        <f t="shared" si="193"/>
        <v>#N/A</v>
      </c>
      <c r="BG104" s="4" t="e">
        <f t="shared" si="194"/>
        <v>#N/A</v>
      </c>
      <c r="BH104" s="58" t="e">
        <f t="shared" si="195"/>
        <v>#N/A</v>
      </c>
      <c r="BJ104" s="7"/>
      <c r="BK104" s="7"/>
      <c r="BL104" s="7"/>
      <c r="BM104" s="7"/>
      <c r="BN104" s="7"/>
      <c r="BO104" s="7"/>
      <c r="BP104" s="7"/>
      <c r="BQ104" s="7"/>
      <c r="BR104" s="7"/>
      <c r="BS104" s="7"/>
      <c r="BT104" s="7"/>
      <c r="BU104" s="7"/>
      <c r="BV104" s="7"/>
      <c r="BW104" s="7"/>
    </row>
    <row r="105" spans="2:75">
      <c r="B105" s="61"/>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62"/>
      <c r="BJ105" s="7"/>
      <c r="BK105" s="7"/>
      <c r="BL105" s="7"/>
      <c r="BM105" s="7"/>
      <c r="BN105" s="7"/>
      <c r="BO105" s="7"/>
      <c r="BP105" s="7"/>
      <c r="BQ105" s="7"/>
      <c r="BR105" s="7"/>
      <c r="BS105" s="7"/>
      <c r="BT105" s="7"/>
      <c r="BU105" s="7"/>
      <c r="BV105" s="7"/>
      <c r="BW105" s="7"/>
    </row>
    <row r="106" spans="2:75">
      <c r="B106" s="63"/>
      <c r="C106" s="6"/>
      <c r="D106" s="5"/>
      <c r="E106" s="26"/>
      <c r="F106" s="26"/>
      <c r="G106" s="26"/>
      <c r="H106" s="26"/>
      <c r="I106" s="26"/>
      <c r="J106" s="26"/>
      <c r="K106" s="26"/>
      <c r="L106" s="26"/>
      <c r="M106" s="6"/>
      <c r="N106" s="2"/>
      <c r="O106" s="2"/>
      <c r="P106" s="2"/>
      <c r="Q106" s="5"/>
      <c r="R106" s="6"/>
      <c r="S106" s="5"/>
      <c r="T106" s="26"/>
      <c r="U106" s="26"/>
      <c r="V106" s="26"/>
      <c r="W106" s="26"/>
      <c r="X106" s="26"/>
      <c r="Y106" s="26"/>
      <c r="Z106" s="26"/>
      <c r="AA106" s="26"/>
      <c r="AB106" s="6"/>
      <c r="AC106" s="2"/>
      <c r="AD106" s="2"/>
      <c r="AE106" s="2"/>
      <c r="AF106" s="5"/>
      <c r="AG106" s="6"/>
      <c r="AH106" s="5"/>
      <c r="AI106" s="26"/>
      <c r="AJ106" s="26"/>
      <c r="AK106" s="26"/>
      <c r="AL106" s="26"/>
      <c r="AM106" s="26"/>
      <c r="AN106" s="26"/>
      <c r="AO106" s="26"/>
      <c r="AP106" s="26"/>
      <c r="AQ106" s="6"/>
      <c r="AR106" s="2"/>
      <c r="AS106" s="2"/>
      <c r="AT106" s="2"/>
      <c r="AU106" s="5"/>
      <c r="AV106" s="6"/>
      <c r="AW106" s="5"/>
      <c r="AX106" s="26"/>
      <c r="AY106" s="26"/>
      <c r="AZ106" s="26"/>
      <c r="BA106" s="26"/>
      <c r="BB106" s="26"/>
      <c r="BC106" s="26"/>
      <c r="BD106" s="26"/>
      <c r="BE106" s="26"/>
      <c r="BF106" s="6"/>
      <c r="BG106" s="2"/>
      <c r="BH106" s="62"/>
      <c r="BJ106" s="7"/>
      <c r="BK106" s="7"/>
      <c r="BL106" s="7"/>
      <c r="BM106" s="7"/>
      <c r="BN106" s="7"/>
      <c r="BO106" s="7"/>
      <c r="BP106" s="7"/>
      <c r="BQ106" s="7"/>
      <c r="BR106" s="7"/>
      <c r="BS106" s="7"/>
      <c r="BT106" s="7"/>
      <c r="BU106" s="7"/>
      <c r="BV106" s="7"/>
      <c r="BW106" s="7"/>
    </row>
    <row r="107" spans="2:75">
      <c r="B107" s="1235" t="s">
        <v>924</v>
      </c>
      <c r="C107" s="1234"/>
      <c r="D107" s="1222" t="s">
        <v>967</v>
      </c>
      <c r="E107" s="1223"/>
      <c r="F107" s="1223"/>
      <c r="G107" s="1223"/>
      <c r="H107" s="1223"/>
      <c r="I107" s="1223"/>
      <c r="J107" s="1223"/>
      <c r="K107" s="1223"/>
      <c r="L107" s="1223"/>
      <c r="M107" s="1224"/>
      <c r="N107" s="48" t="s">
        <v>929</v>
      </c>
      <c r="O107" s="48" t="str">
        <f>D11</f>
        <v>Claro</v>
      </c>
      <c r="P107" s="2"/>
      <c r="Q107" s="1233" t="s">
        <v>924</v>
      </c>
      <c r="R107" s="1234"/>
      <c r="S107" s="1222" t="s">
        <v>967</v>
      </c>
      <c r="T107" s="1223"/>
      <c r="U107" s="1223"/>
      <c r="V107" s="1223"/>
      <c r="W107" s="1223"/>
      <c r="X107" s="1223"/>
      <c r="Y107" s="1223"/>
      <c r="Z107" s="1223"/>
      <c r="AA107" s="1223"/>
      <c r="AB107" s="1224"/>
      <c r="AC107" s="48" t="s">
        <v>929</v>
      </c>
      <c r="AD107" s="48" t="str">
        <f>O107</f>
        <v>Claro</v>
      </c>
      <c r="AE107" s="2"/>
      <c r="AF107" s="1233" t="s">
        <v>924</v>
      </c>
      <c r="AG107" s="1234"/>
      <c r="AH107" s="1222" t="s">
        <v>967</v>
      </c>
      <c r="AI107" s="1223"/>
      <c r="AJ107" s="1223"/>
      <c r="AK107" s="1223"/>
      <c r="AL107" s="1223"/>
      <c r="AM107" s="1223"/>
      <c r="AN107" s="1223"/>
      <c r="AO107" s="1223"/>
      <c r="AP107" s="1223"/>
      <c r="AQ107" s="1224"/>
      <c r="AR107" s="48" t="s">
        <v>929</v>
      </c>
      <c r="AS107" s="48" t="str">
        <f>AD107</f>
        <v>Claro</v>
      </c>
      <c r="AT107" s="14"/>
      <c r="AU107" s="1233" t="s">
        <v>924</v>
      </c>
      <c r="AV107" s="1234"/>
      <c r="AW107" s="1222" t="s">
        <v>967</v>
      </c>
      <c r="AX107" s="1223"/>
      <c r="AY107" s="1223"/>
      <c r="AZ107" s="1223"/>
      <c r="BA107" s="1223"/>
      <c r="BB107" s="1223"/>
      <c r="BC107" s="1223"/>
      <c r="BD107" s="1223"/>
      <c r="BE107" s="1223"/>
      <c r="BF107" s="1224"/>
      <c r="BG107" s="48" t="s">
        <v>929</v>
      </c>
      <c r="BH107" s="64" t="str">
        <f>AS107</f>
        <v>Claro</v>
      </c>
      <c r="BJ107" s="7"/>
      <c r="BK107" s="7"/>
      <c r="BL107" s="7"/>
      <c r="BM107" s="7"/>
      <c r="BN107" s="7"/>
      <c r="BO107" s="7"/>
      <c r="BP107" s="7"/>
      <c r="BQ107" s="7"/>
      <c r="BR107" s="7"/>
      <c r="BS107" s="7"/>
      <c r="BT107" s="7"/>
      <c r="BU107" s="7"/>
      <c r="BV107" s="7"/>
      <c r="BW107" s="7"/>
    </row>
    <row r="108" spans="2:75">
      <c r="B108" s="57">
        <v>0</v>
      </c>
      <c r="C108" s="4">
        <f t="shared" ref="C108:C131" si="208">180-15*B108</f>
        <v>180</v>
      </c>
      <c r="D108" s="17">
        <f t="shared" ref="D108:D131" si="209">IF(D25=0,0,IF((AW52-AW25)*D81/SIN(S25)&lt;0,0,((AW52-AW25)*D81/SIN(S25))/0.0036))</f>
        <v>0</v>
      </c>
      <c r="E108" s="17">
        <f t="shared" ref="E108:E131" si="210">IF(E25=0,0,IF((AX52-AX25)*E81/SIN(T25)&lt;0,0,((AX52-AX25)*E81/SIN(T25))/0.0036))</f>
        <v>0</v>
      </c>
      <c r="F108" s="17">
        <f t="shared" ref="F108:F131" si="211">IF(F25=0,0,IF((AY52-AY25)*F81/SIN(U25)&lt;0,0,((AY52-AY25)*F81/SIN(U25))/0.0036))</f>
        <v>0</v>
      </c>
      <c r="G108" s="17">
        <f t="shared" ref="G108:G131" si="212">IF(G25=0,0,IF((AZ52-AZ25)*G81/SIN(V25)&lt;0,0,((AZ52-AZ25)*G81/SIN(V25))/0.0036))</f>
        <v>0</v>
      </c>
      <c r="H108" s="17">
        <f t="shared" ref="H108:H131" si="213">IF(H25=0,0,IF((BA52-BA25)*H81/SIN(W25)&lt;0,0,((BA52-BA25)*H81/SIN(W25))/0.0036))</f>
        <v>0</v>
      </c>
      <c r="I108" s="17">
        <f t="shared" ref="I108:I131" si="214">IF(I25=0,0,IF((BB52-BB25)*I81/SIN(X25)&lt;0,0,((BB52-BB25)*I81/SIN(X25))/0.0036))</f>
        <v>0</v>
      </c>
      <c r="J108" s="17">
        <f t="shared" ref="J108:J131" si="215">IF(J25=0,0,IF((BC52-BC25)*J81/SIN(Y25)&lt;0,0,((BC52-BC25)*J81/SIN(Y25))/0.0036))</f>
        <v>0</v>
      </c>
      <c r="K108" s="17">
        <f t="shared" ref="K108:K131" si="216">IF(K25=0,0,IF((BD52-BD25)*K81/SIN(Z25)&lt;0,0,((BD52-BD25)*K81/SIN(Z25))/0.0036))</f>
        <v>0</v>
      </c>
      <c r="L108" s="17">
        <f t="shared" ref="L108:L131" si="217">IF(L25=0,0,IF((BE52-BE25)*L81/SIN(AA25)&lt;0,0,((BE52-BE25)*L81/SIN(AA25))/0.0036))</f>
        <v>0</v>
      </c>
      <c r="M108" s="17">
        <f t="shared" ref="M108:M131" si="218">IF(M25=0,0,IF((BF52-BF25)*M81/SIN(AB25)&lt;0,0,((BF52-BF25)*M81/SIN(AB25))/0.0036))</f>
        <v>0</v>
      </c>
      <c r="N108" s="17">
        <f t="shared" ref="N108:N131" si="219">IF(N25=0,0,IF((BG52-BG25)*N81/SIN(AC25)&lt;0,0,((BG52-BG25)*N81/SIN(AC25))/0.0036))</f>
        <v>0</v>
      </c>
      <c r="O108" s="17">
        <f t="shared" ref="O108:O131" si="220">IF(O25=0,0,IF((BH52-BH25)*O81/SIN(AD25)&lt;0,0,((BH52-BH25)*O81/SIN(AD25))/0.0036))</f>
        <v>0</v>
      </c>
      <c r="P108" s="2"/>
      <c r="Q108" s="4">
        <v>0</v>
      </c>
      <c r="R108" s="4">
        <f t="shared" ref="R108:R131" si="221">180-15*Q108</f>
        <v>180</v>
      </c>
      <c r="S108" s="17">
        <f t="shared" ref="S108:S131" si="222">IF(D25=0,0,IF((AW52-AW25)*S81/SIN(S25)&lt;0,0,((AW52-AW25)*S81/SIN(S25))/0.0036))</f>
        <v>0</v>
      </c>
      <c r="T108" s="17">
        <f t="shared" ref="T108:T131" si="223">IF(E25=0,0,IF((AX52-AX25)*T81/SIN(T25)&lt;0,0,((AX52-AX25)*T81/SIN(T25))/0.0036))</f>
        <v>0</v>
      </c>
      <c r="U108" s="17">
        <f t="shared" ref="U108:U131" si="224">IF(F25=0,0,IF((AY52-AY25)*U81/SIN(U25)&lt;0,0,((AY52-AY25)*U81/SIN(U25))/0.0036))</f>
        <v>0</v>
      </c>
      <c r="V108" s="17">
        <f t="shared" ref="V108:V131" si="225">IF(G25=0,0,IF((AZ52-AZ25)*V81/SIN(V25)&lt;0,0,((AZ52-AZ25)*V81/SIN(V25))/0.0036))</f>
        <v>0</v>
      </c>
      <c r="W108" s="17">
        <f t="shared" ref="W108:W131" si="226">IF(H25=0,0,IF((BA52-BA25)*W81/SIN(W25)&lt;0,0,((BA52-BA25)*W81/SIN(W25))/0.0036))</f>
        <v>0</v>
      </c>
      <c r="X108" s="17">
        <f t="shared" ref="X108:X131" si="227">IF(I25=0,0,IF((BB52-BB25)*X81/SIN(X25)&lt;0,0,((BB52-BB25)*X81/SIN(X25))/0.0036))</f>
        <v>0</v>
      </c>
      <c r="Y108" s="17">
        <f t="shared" ref="Y108:Y131" si="228">IF(J25=0,0,IF((BC52-BC25)*Y81/SIN(Y25)&lt;0,0,((BC52-BC25)*Y81/SIN(Y25))/0.0036))</f>
        <v>0</v>
      </c>
      <c r="Z108" s="17">
        <f t="shared" ref="Z108:Z131" si="229">IF(K25=0,0,IF((BD52-BD25)*Z81/SIN(Z25)&lt;0,0,((BD52-BD25)*Z81/SIN(Z25))/0.0036))</f>
        <v>0</v>
      </c>
      <c r="AA108" s="17">
        <f t="shared" ref="AA108:AA131" si="230">IF(L25=0,0,IF((BE52-BE25)*AA81/SIN(AA25)&lt;0,0,((BE52-BE25)*AA81/SIN(AA25))/0.0036))</f>
        <v>0</v>
      </c>
      <c r="AB108" s="17">
        <f t="shared" ref="AB108:AB131" si="231">IF(M25=0,0,IF((BF52-BF25)*AB81/SIN(AB25)&lt;0,0,((BF52-BF25)*AB81/SIN(AB25))/0.0036))</f>
        <v>0</v>
      </c>
      <c r="AC108" s="17">
        <f t="shared" ref="AC108:AC131" si="232">IF(N25=0,0,IF((BG52-BG25)*AC81/SIN(AC25)&lt;0,0,((BG52-BG25)*AC81/SIN(AC25))/0.0036))</f>
        <v>0</v>
      </c>
      <c r="AD108" s="17">
        <f t="shared" ref="AD108:AD131" si="233">IF(O25=0,0,IF((BH52-BH25)*AD81/SIN(AD25)&lt;0,0,((BH52-BH25)*AD81/SIN(AD25))/0.0036))</f>
        <v>0</v>
      </c>
      <c r="AE108" s="2"/>
      <c r="AF108" s="4">
        <v>0</v>
      </c>
      <c r="AG108" s="4">
        <f t="shared" ref="AG108:AG131" si="234">180-15*AF108</f>
        <v>180</v>
      </c>
      <c r="AH108" s="17">
        <f t="shared" ref="AH108:AH131" si="235">IF(D25=0,0,IF((AW52-AW25)*AH81/SIN(S25)&lt;0,0,((AW52-AW25)*AH81/SIN(S25))/0.0036))</f>
        <v>0</v>
      </c>
      <c r="AI108" s="17">
        <f t="shared" ref="AI108:AI131" si="236">IF(E25=0,0,IF((AX52-AX25)*AI81/SIN(T25)&lt;0,0,((AX52-AX25)*AI81/SIN(T25))/0.0036))</f>
        <v>0</v>
      </c>
      <c r="AJ108" s="17">
        <f t="shared" ref="AJ108:AJ131" si="237">IF(F25=0,0,IF((AY52-AY25)*AJ81/SIN(U25)&lt;0,0,((AY52-AY25)*AJ81/SIN(U25))/0.0036))</f>
        <v>0</v>
      </c>
      <c r="AK108" s="17">
        <f t="shared" ref="AK108:AK131" si="238">IF(G25=0,0,IF((AZ52-AZ25)*AK81/SIN(V25)&lt;0,0,((AZ52-AZ25)*AK81/SIN(V25))/0.0036))</f>
        <v>0</v>
      </c>
      <c r="AL108" s="17">
        <f t="shared" ref="AL108:AL131" si="239">IF(H25=0,0,IF((BA52-BA25)*AL81/SIN(W25)&lt;0,0,((BA52-BA25)*AL81/SIN(W25))/0.0036))</f>
        <v>0</v>
      </c>
      <c r="AM108" s="17">
        <f t="shared" ref="AM108:AM131" si="240">IF(I25=0,0,IF((BB52-BB25)*AM81/SIN(X25)&lt;0,0,((BB52-BB25)*AM81/SIN(X25))/0.0036))</f>
        <v>0</v>
      </c>
      <c r="AN108" s="17">
        <f t="shared" ref="AN108:AN131" si="241">IF(J25=0,0,IF((BC52-BC25)*AN81/SIN(Y25)&lt;0,0,((BC52-BC25)*AN81/SIN(Y25))/0.0036))</f>
        <v>0</v>
      </c>
      <c r="AO108" s="17">
        <f t="shared" ref="AO108:AO131" si="242">IF(K25=0,0,IF((BD52-BD25)*AO81/SIN(Z25)&lt;0,0,((BD52-BD25)*AO81/SIN(Z25))/0.0036))</f>
        <v>0</v>
      </c>
      <c r="AP108" s="17">
        <f t="shared" ref="AP108:AP131" si="243">IF(L25=0,0,IF((BE52-BE25)*AP81/SIN(AA25)&lt;0,0,((BE52-BE25)*AP81/SIN(AA25))/0.0036))</f>
        <v>0</v>
      </c>
      <c r="AQ108" s="17">
        <f t="shared" ref="AQ108:AQ131" si="244">IF(M25=0,0,IF((BF52-BF25)*AQ81/SIN(AB25)&lt;0,0,((BF52-BF25)*AQ81/SIN(AB25))/0.0036))</f>
        <v>0</v>
      </c>
      <c r="AR108" s="17">
        <f t="shared" ref="AR108:AR131" si="245">IF(N25=0,0,IF((BG52-BG25)*AR81/SIN(AC25)&lt;0,0,((BG52-BG25)*AR81/SIN(AC25))/0.0036))</f>
        <v>0</v>
      </c>
      <c r="AS108" s="17">
        <f t="shared" ref="AS108:AS131" si="246">IF(O25=0,0,IF((BH52-BH25)*AS81/SIN(AD25)&lt;0,0,((BH52-BH25)*AS81/SIN(AD25))/0.0036))</f>
        <v>0</v>
      </c>
      <c r="AT108" s="14"/>
      <c r="AU108" s="4">
        <v>0</v>
      </c>
      <c r="AV108" s="4">
        <f t="shared" ref="AV108:AV131" si="247">180-15*AU108</f>
        <v>180</v>
      </c>
      <c r="AW108" s="17">
        <f t="shared" ref="AW108:AW131" si="248">IF(D25=0,0,IF((AW52-AW25)*AW81/SIN(S25)&lt;0,0,((AW52-AW25)*AW81/SIN(S25))/0.0036))</f>
        <v>0</v>
      </c>
      <c r="AX108" s="17">
        <f t="shared" ref="AX108:AX131" si="249">IF(E25=0,0,IF((AX52-AX25)*AX81/SIN(T25)&lt;0,0,((AX52-AX25)*AX81/SIN(T25))/0.0036))</f>
        <v>0</v>
      </c>
      <c r="AY108" s="17">
        <f t="shared" ref="AY108:AY131" si="250">IF(F25=0,0,IF((AY52-AY25)*AY81/SIN(U25)&lt;0,0,((AY52-AY25)*AY81/SIN(U25))/0.0036))</f>
        <v>0</v>
      </c>
      <c r="AZ108" s="17">
        <f t="shared" ref="AZ108:AZ131" si="251">IF(G25=0,0,IF((AZ52-AZ25)*AZ81/SIN(V25)&lt;0,0,((AZ52-AZ25)*AZ81/SIN(V25))/0.0036))</f>
        <v>0</v>
      </c>
      <c r="BA108" s="17">
        <f t="shared" ref="BA108:BA131" si="252">IF(H25=0,0,IF((BA52-BA25)*BA81/SIN(W25)&lt;0,0,((BA52-BA25)*BA81/SIN(W25))/0.0036))</f>
        <v>0</v>
      </c>
      <c r="BB108" s="17">
        <f t="shared" ref="BB108:BB131" si="253">IF(I25=0,0,IF((BB52-BB25)*BB81/SIN(X25)&lt;0,0,((BB52-BB25)*BB81/SIN(X25))/0.0036))</f>
        <v>0</v>
      </c>
      <c r="BC108" s="17">
        <f t="shared" ref="BC108:BC131" si="254">IF(J25=0,0,IF((BC52-BC25)*BC81/SIN(Y25)&lt;0,0,((BC52-BC25)*BC81/SIN(Y25))/0.0036))</f>
        <v>0</v>
      </c>
      <c r="BD108" s="17">
        <f t="shared" ref="BD108:BD131" si="255">IF(K25=0,0,IF((BD52-BD25)*BD81/SIN(Z25)&lt;0,0,((BD52-BD25)*BD81/SIN(Z25))/0.0036))</f>
        <v>0</v>
      </c>
      <c r="BE108" s="17">
        <f t="shared" ref="BE108:BE131" si="256">IF(L25=0,0,IF((BE52-BE25)*BE81/SIN(AA25)&lt;0,0,((BE52-BE25)*BE81/SIN(AA25))/0.0036))</f>
        <v>0</v>
      </c>
      <c r="BF108" s="17">
        <f t="shared" ref="BF108:BF131" si="257">IF(M25=0,0,IF((BF52-BF25)*BF81/SIN(AB25)&lt;0,0,((BF52-BF25)*BF81/SIN(AB25))/0.0036))</f>
        <v>0</v>
      </c>
      <c r="BG108" s="17">
        <f t="shared" ref="BG108:BG131" si="258">IF(N25=0,0,IF((BG52-BG25)*BG81/SIN(AC25)&lt;0,0,((BG52-BG25)*BG81/SIN(AC25))/0.0036))</f>
        <v>0</v>
      </c>
      <c r="BH108" s="65">
        <f t="shared" ref="BH108:BH131" si="259">IF(O25=0,0,IF((BH52-BH25)*BH81/SIN(AD25)&lt;0,0,((BH52-BH25)*BH81/SIN(AD25))/0.0036))</f>
        <v>0</v>
      </c>
      <c r="BJ108" s="7"/>
      <c r="BK108" s="7"/>
      <c r="BL108" s="7"/>
      <c r="BM108" s="7"/>
      <c r="BN108" s="7"/>
      <c r="BO108" s="7"/>
      <c r="BP108" s="7"/>
      <c r="BQ108" s="7"/>
      <c r="BR108" s="7"/>
      <c r="BS108" s="7"/>
      <c r="BT108" s="7"/>
      <c r="BU108" s="7"/>
      <c r="BV108" s="7"/>
      <c r="BW108" s="7"/>
    </row>
    <row r="109" spans="2:75">
      <c r="B109" s="57">
        <v>1</v>
      </c>
      <c r="C109" s="4">
        <f t="shared" si="208"/>
        <v>165</v>
      </c>
      <c r="D109" s="17">
        <f t="shared" si="209"/>
        <v>0</v>
      </c>
      <c r="E109" s="17">
        <f t="shared" si="210"/>
        <v>0</v>
      </c>
      <c r="F109" s="17">
        <f t="shared" si="211"/>
        <v>0</v>
      </c>
      <c r="G109" s="17">
        <f t="shared" si="212"/>
        <v>0</v>
      </c>
      <c r="H109" s="17">
        <f t="shared" si="213"/>
        <v>0</v>
      </c>
      <c r="I109" s="17">
        <f t="shared" si="214"/>
        <v>0</v>
      </c>
      <c r="J109" s="17">
        <f t="shared" si="215"/>
        <v>0</v>
      </c>
      <c r="K109" s="17">
        <f t="shared" si="216"/>
        <v>0</v>
      </c>
      <c r="L109" s="17">
        <f t="shared" si="217"/>
        <v>0</v>
      </c>
      <c r="M109" s="17">
        <f t="shared" si="218"/>
        <v>0</v>
      </c>
      <c r="N109" s="17">
        <f t="shared" si="219"/>
        <v>0</v>
      </c>
      <c r="O109" s="17">
        <f t="shared" si="220"/>
        <v>0</v>
      </c>
      <c r="P109" s="2"/>
      <c r="Q109" s="4">
        <v>1</v>
      </c>
      <c r="R109" s="4">
        <f t="shared" si="221"/>
        <v>165</v>
      </c>
      <c r="S109" s="17">
        <f t="shared" si="222"/>
        <v>0</v>
      </c>
      <c r="T109" s="17">
        <f t="shared" si="223"/>
        <v>0</v>
      </c>
      <c r="U109" s="17">
        <f t="shared" si="224"/>
        <v>0</v>
      </c>
      <c r="V109" s="17">
        <f t="shared" si="225"/>
        <v>0</v>
      </c>
      <c r="W109" s="17">
        <f t="shared" si="226"/>
        <v>0</v>
      </c>
      <c r="X109" s="17">
        <f t="shared" si="227"/>
        <v>0</v>
      </c>
      <c r="Y109" s="17">
        <f t="shared" si="228"/>
        <v>0</v>
      </c>
      <c r="Z109" s="17">
        <f t="shared" si="229"/>
        <v>0</v>
      </c>
      <c r="AA109" s="17">
        <f t="shared" si="230"/>
        <v>0</v>
      </c>
      <c r="AB109" s="17">
        <f t="shared" si="231"/>
        <v>0</v>
      </c>
      <c r="AC109" s="17">
        <f t="shared" si="232"/>
        <v>0</v>
      </c>
      <c r="AD109" s="17">
        <f t="shared" si="233"/>
        <v>0</v>
      </c>
      <c r="AE109" s="2"/>
      <c r="AF109" s="4">
        <v>1</v>
      </c>
      <c r="AG109" s="4">
        <f t="shared" si="234"/>
        <v>165</v>
      </c>
      <c r="AH109" s="17">
        <f t="shared" si="235"/>
        <v>0</v>
      </c>
      <c r="AI109" s="17">
        <f t="shared" si="236"/>
        <v>0</v>
      </c>
      <c r="AJ109" s="17">
        <f t="shared" si="237"/>
        <v>0</v>
      </c>
      <c r="AK109" s="17">
        <f t="shared" si="238"/>
        <v>0</v>
      </c>
      <c r="AL109" s="17">
        <f t="shared" si="239"/>
        <v>0</v>
      </c>
      <c r="AM109" s="17">
        <f t="shared" si="240"/>
        <v>0</v>
      </c>
      <c r="AN109" s="17">
        <f t="shared" si="241"/>
        <v>0</v>
      </c>
      <c r="AO109" s="17">
        <f t="shared" si="242"/>
        <v>0</v>
      </c>
      <c r="AP109" s="17">
        <f t="shared" si="243"/>
        <v>0</v>
      </c>
      <c r="AQ109" s="17">
        <f t="shared" si="244"/>
        <v>0</v>
      </c>
      <c r="AR109" s="17">
        <f t="shared" si="245"/>
        <v>0</v>
      </c>
      <c r="AS109" s="17">
        <f t="shared" si="246"/>
        <v>0</v>
      </c>
      <c r="AT109" s="14"/>
      <c r="AU109" s="4">
        <v>1</v>
      </c>
      <c r="AV109" s="4">
        <f t="shared" si="247"/>
        <v>165</v>
      </c>
      <c r="AW109" s="17">
        <f t="shared" si="248"/>
        <v>0</v>
      </c>
      <c r="AX109" s="17">
        <f t="shared" si="249"/>
        <v>0</v>
      </c>
      <c r="AY109" s="17">
        <f t="shared" si="250"/>
        <v>0</v>
      </c>
      <c r="AZ109" s="17">
        <f t="shared" si="251"/>
        <v>0</v>
      </c>
      <c r="BA109" s="17">
        <f t="shared" si="252"/>
        <v>0</v>
      </c>
      <c r="BB109" s="17">
        <f t="shared" si="253"/>
        <v>0</v>
      </c>
      <c r="BC109" s="17">
        <f t="shared" si="254"/>
        <v>0</v>
      </c>
      <c r="BD109" s="17">
        <f t="shared" si="255"/>
        <v>0</v>
      </c>
      <c r="BE109" s="17">
        <f t="shared" si="256"/>
        <v>0</v>
      </c>
      <c r="BF109" s="17">
        <f t="shared" si="257"/>
        <v>0</v>
      </c>
      <c r="BG109" s="17">
        <f t="shared" si="258"/>
        <v>0</v>
      </c>
      <c r="BH109" s="65">
        <f t="shared" si="259"/>
        <v>0</v>
      </c>
      <c r="BJ109" s="7"/>
      <c r="BK109" s="7"/>
      <c r="BL109" s="7"/>
      <c r="BM109" s="7"/>
      <c r="BN109" s="7"/>
      <c r="BO109" s="7"/>
      <c r="BP109" s="7"/>
      <c r="BQ109" s="7"/>
      <c r="BR109" s="7"/>
      <c r="BS109" s="7"/>
      <c r="BT109" s="7"/>
      <c r="BU109" s="7"/>
      <c r="BV109" s="7"/>
      <c r="BW109" s="7"/>
    </row>
    <row r="110" spans="2:75">
      <c r="B110" s="57">
        <v>2</v>
      </c>
      <c r="C110" s="4">
        <f t="shared" si="208"/>
        <v>150</v>
      </c>
      <c r="D110" s="17">
        <f t="shared" si="209"/>
        <v>0</v>
      </c>
      <c r="E110" s="17">
        <f t="shared" si="210"/>
        <v>0</v>
      </c>
      <c r="F110" s="17">
        <f t="shared" si="211"/>
        <v>0</v>
      </c>
      <c r="G110" s="17">
        <f t="shared" si="212"/>
        <v>0</v>
      </c>
      <c r="H110" s="17">
        <f t="shared" si="213"/>
        <v>0</v>
      </c>
      <c r="I110" s="17">
        <f t="shared" si="214"/>
        <v>0</v>
      </c>
      <c r="J110" s="17">
        <f t="shared" si="215"/>
        <v>0</v>
      </c>
      <c r="K110" s="17">
        <f t="shared" si="216"/>
        <v>0</v>
      </c>
      <c r="L110" s="17">
        <f t="shared" si="217"/>
        <v>0</v>
      </c>
      <c r="M110" s="17">
        <f t="shared" si="218"/>
        <v>0</v>
      </c>
      <c r="N110" s="17">
        <f t="shared" si="219"/>
        <v>0</v>
      </c>
      <c r="O110" s="17">
        <f t="shared" si="220"/>
        <v>0</v>
      </c>
      <c r="P110" s="2"/>
      <c r="Q110" s="4">
        <v>2</v>
      </c>
      <c r="R110" s="4">
        <f t="shared" si="221"/>
        <v>150</v>
      </c>
      <c r="S110" s="17">
        <f t="shared" si="222"/>
        <v>0</v>
      </c>
      <c r="T110" s="17">
        <f t="shared" si="223"/>
        <v>0</v>
      </c>
      <c r="U110" s="17">
        <f t="shared" si="224"/>
        <v>0</v>
      </c>
      <c r="V110" s="17">
        <f t="shared" si="225"/>
        <v>0</v>
      </c>
      <c r="W110" s="17">
        <f t="shared" si="226"/>
        <v>0</v>
      </c>
      <c r="X110" s="17">
        <f t="shared" si="227"/>
        <v>0</v>
      </c>
      <c r="Y110" s="17">
        <f t="shared" si="228"/>
        <v>0</v>
      </c>
      <c r="Z110" s="17">
        <f t="shared" si="229"/>
        <v>0</v>
      </c>
      <c r="AA110" s="17">
        <f t="shared" si="230"/>
        <v>0</v>
      </c>
      <c r="AB110" s="17">
        <f t="shared" si="231"/>
        <v>0</v>
      </c>
      <c r="AC110" s="17">
        <f t="shared" si="232"/>
        <v>0</v>
      </c>
      <c r="AD110" s="17">
        <f t="shared" si="233"/>
        <v>0</v>
      </c>
      <c r="AE110" s="2"/>
      <c r="AF110" s="4">
        <v>2</v>
      </c>
      <c r="AG110" s="4">
        <f t="shared" si="234"/>
        <v>150</v>
      </c>
      <c r="AH110" s="17">
        <f t="shared" si="235"/>
        <v>0</v>
      </c>
      <c r="AI110" s="17">
        <f t="shared" si="236"/>
        <v>0</v>
      </c>
      <c r="AJ110" s="17">
        <f t="shared" si="237"/>
        <v>0</v>
      </c>
      <c r="AK110" s="17">
        <f t="shared" si="238"/>
        <v>0</v>
      </c>
      <c r="AL110" s="17">
        <f t="shared" si="239"/>
        <v>0</v>
      </c>
      <c r="AM110" s="17">
        <f t="shared" si="240"/>
        <v>0</v>
      </c>
      <c r="AN110" s="17">
        <f t="shared" si="241"/>
        <v>0</v>
      </c>
      <c r="AO110" s="17">
        <f t="shared" si="242"/>
        <v>0</v>
      </c>
      <c r="AP110" s="17">
        <f t="shared" si="243"/>
        <v>0</v>
      </c>
      <c r="AQ110" s="17">
        <f t="shared" si="244"/>
        <v>0</v>
      </c>
      <c r="AR110" s="17">
        <f t="shared" si="245"/>
        <v>0</v>
      </c>
      <c r="AS110" s="17">
        <f t="shared" si="246"/>
        <v>0</v>
      </c>
      <c r="AT110" s="14"/>
      <c r="AU110" s="4">
        <v>2</v>
      </c>
      <c r="AV110" s="4">
        <f t="shared" si="247"/>
        <v>150</v>
      </c>
      <c r="AW110" s="17">
        <f t="shared" si="248"/>
        <v>0</v>
      </c>
      <c r="AX110" s="17">
        <f t="shared" si="249"/>
        <v>0</v>
      </c>
      <c r="AY110" s="17">
        <f t="shared" si="250"/>
        <v>0</v>
      </c>
      <c r="AZ110" s="17">
        <f t="shared" si="251"/>
        <v>0</v>
      </c>
      <c r="BA110" s="17">
        <f t="shared" si="252"/>
        <v>0</v>
      </c>
      <c r="BB110" s="17">
        <f t="shared" si="253"/>
        <v>0</v>
      </c>
      <c r="BC110" s="17">
        <f t="shared" si="254"/>
        <v>0</v>
      </c>
      <c r="BD110" s="17">
        <f t="shared" si="255"/>
        <v>0</v>
      </c>
      <c r="BE110" s="17">
        <f t="shared" si="256"/>
        <v>0</v>
      </c>
      <c r="BF110" s="17">
        <f t="shared" si="257"/>
        <v>0</v>
      </c>
      <c r="BG110" s="17">
        <f t="shared" si="258"/>
        <v>0</v>
      </c>
      <c r="BH110" s="65">
        <f t="shared" si="259"/>
        <v>0</v>
      </c>
      <c r="BJ110" s="7"/>
      <c r="BK110" s="7"/>
      <c r="BL110" s="7"/>
      <c r="BM110" s="7"/>
      <c r="BN110" s="7"/>
      <c r="BO110" s="7"/>
      <c r="BP110" s="7"/>
      <c r="BQ110" s="7"/>
      <c r="BR110" s="7"/>
      <c r="BS110" s="7"/>
      <c r="BT110" s="7"/>
      <c r="BU110" s="7"/>
      <c r="BV110" s="7"/>
      <c r="BW110" s="7"/>
    </row>
    <row r="111" spans="2:75">
      <c r="B111" s="57">
        <v>3</v>
      </c>
      <c r="C111" s="4">
        <f t="shared" si="208"/>
        <v>135</v>
      </c>
      <c r="D111" s="17">
        <f t="shared" si="209"/>
        <v>0</v>
      </c>
      <c r="E111" s="17">
        <f t="shared" si="210"/>
        <v>0</v>
      </c>
      <c r="F111" s="17">
        <f t="shared" si="211"/>
        <v>0</v>
      </c>
      <c r="G111" s="17">
        <f t="shared" si="212"/>
        <v>0</v>
      </c>
      <c r="H111" s="17">
        <f t="shared" si="213"/>
        <v>0</v>
      </c>
      <c r="I111" s="17">
        <f t="shared" si="214"/>
        <v>0</v>
      </c>
      <c r="J111" s="17">
        <f t="shared" si="215"/>
        <v>0</v>
      </c>
      <c r="K111" s="17">
        <f t="shared" si="216"/>
        <v>0</v>
      </c>
      <c r="L111" s="17">
        <f t="shared" si="217"/>
        <v>0</v>
      </c>
      <c r="M111" s="17">
        <f t="shared" si="218"/>
        <v>0</v>
      </c>
      <c r="N111" s="17">
        <f t="shared" si="219"/>
        <v>0</v>
      </c>
      <c r="O111" s="17">
        <f t="shared" si="220"/>
        <v>0</v>
      </c>
      <c r="P111" s="2"/>
      <c r="Q111" s="4">
        <v>3</v>
      </c>
      <c r="R111" s="4">
        <f t="shared" si="221"/>
        <v>135</v>
      </c>
      <c r="S111" s="17">
        <f t="shared" si="222"/>
        <v>0</v>
      </c>
      <c r="T111" s="17">
        <f t="shared" si="223"/>
        <v>0</v>
      </c>
      <c r="U111" s="17">
        <f t="shared" si="224"/>
        <v>0</v>
      </c>
      <c r="V111" s="17">
        <f t="shared" si="225"/>
        <v>0</v>
      </c>
      <c r="W111" s="17">
        <f t="shared" si="226"/>
        <v>0</v>
      </c>
      <c r="X111" s="17">
        <f t="shared" si="227"/>
        <v>0</v>
      </c>
      <c r="Y111" s="17">
        <f t="shared" si="228"/>
        <v>0</v>
      </c>
      <c r="Z111" s="17">
        <f t="shared" si="229"/>
        <v>0</v>
      </c>
      <c r="AA111" s="17">
        <f t="shared" si="230"/>
        <v>0</v>
      </c>
      <c r="AB111" s="17">
        <f t="shared" si="231"/>
        <v>0</v>
      </c>
      <c r="AC111" s="17">
        <f t="shared" si="232"/>
        <v>0</v>
      </c>
      <c r="AD111" s="17">
        <f t="shared" si="233"/>
        <v>0</v>
      </c>
      <c r="AE111" s="2"/>
      <c r="AF111" s="4">
        <v>3</v>
      </c>
      <c r="AG111" s="4">
        <f t="shared" si="234"/>
        <v>135</v>
      </c>
      <c r="AH111" s="17">
        <f t="shared" si="235"/>
        <v>0</v>
      </c>
      <c r="AI111" s="17">
        <f t="shared" si="236"/>
        <v>0</v>
      </c>
      <c r="AJ111" s="17">
        <f t="shared" si="237"/>
        <v>0</v>
      </c>
      <c r="AK111" s="17">
        <f t="shared" si="238"/>
        <v>0</v>
      </c>
      <c r="AL111" s="17">
        <f t="shared" si="239"/>
        <v>0</v>
      </c>
      <c r="AM111" s="17">
        <f t="shared" si="240"/>
        <v>0</v>
      </c>
      <c r="AN111" s="17">
        <f t="shared" si="241"/>
        <v>0</v>
      </c>
      <c r="AO111" s="17">
        <f t="shared" si="242"/>
        <v>0</v>
      </c>
      <c r="AP111" s="17">
        <f t="shared" si="243"/>
        <v>0</v>
      </c>
      <c r="AQ111" s="17">
        <f t="shared" si="244"/>
        <v>0</v>
      </c>
      <c r="AR111" s="17">
        <f t="shared" si="245"/>
        <v>0</v>
      </c>
      <c r="AS111" s="17">
        <f t="shared" si="246"/>
        <v>0</v>
      </c>
      <c r="AT111" s="2"/>
      <c r="AU111" s="4">
        <v>3</v>
      </c>
      <c r="AV111" s="4">
        <f t="shared" si="247"/>
        <v>135</v>
      </c>
      <c r="AW111" s="17">
        <f t="shared" si="248"/>
        <v>0</v>
      </c>
      <c r="AX111" s="17">
        <f t="shared" si="249"/>
        <v>0</v>
      </c>
      <c r="AY111" s="17">
        <f t="shared" si="250"/>
        <v>0</v>
      </c>
      <c r="AZ111" s="17">
        <f t="shared" si="251"/>
        <v>0</v>
      </c>
      <c r="BA111" s="17">
        <f t="shared" si="252"/>
        <v>0</v>
      </c>
      <c r="BB111" s="17">
        <f t="shared" si="253"/>
        <v>0</v>
      </c>
      <c r="BC111" s="17">
        <f t="shared" si="254"/>
        <v>0</v>
      </c>
      <c r="BD111" s="17">
        <f t="shared" si="255"/>
        <v>0</v>
      </c>
      <c r="BE111" s="17">
        <f t="shared" si="256"/>
        <v>0</v>
      </c>
      <c r="BF111" s="17">
        <f t="shared" si="257"/>
        <v>0</v>
      </c>
      <c r="BG111" s="17">
        <f t="shared" si="258"/>
        <v>0</v>
      </c>
      <c r="BH111" s="65">
        <f t="shared" si="259"/>
        <v>0</v>
      </c>
      <c r="BJ111" s="7"/>
      <c r="BK111" s="7"/>
      <c r="BL111" s="7"/>
      <c r="BM111" s="7"/>
      <c r="BN111" s="7"/>
      <c r="BO111" s="7"/>
      <c r="BP111" s="7"/>
      <c r="BQ111" s="7"/>
      <c r="BR111" s="7"/>
      <c r="BS111" s="7"/>
      <c r="BT111" s="7"/>
      <c r="BU111" s="7"/>
      <c r="BV111" s="7"/>
      <c r="BW111" s="7"/>
    </row>
    <row r="112" spans="2:75">
      <c r="B112" s="57">
        <v>4</v>
      </c>
      <c r="C112" s="4">
        <f t="shared" si="208"/>
        <v>120</v>
      </c>
      <c r="D112" s="17">
        <f t="shared" si="209"/>
        <v>0</v>
      </c>
      <c r="E112" s="17">
        <f t="shared" si="210"/>
        <v>0</v>
      </c>
      <c r="F112" s="17">
        <f t="shared" si="211"/>
        <v>0</v>
      </c>
      <c r="G112" s="17">
        <f t="shared" si="212"/>
        <v>0</v>
      </c>
      <c r="H112" s="17">
        <f t="shared" si="213"/>
        <v>0</v>
      </c>
      <c r="I112" s="17">
        <f t="shared" si="214"/>
        <v>0</v>
      </c>
      <c r="J112" s="17">
        <f t="shared" si="215"/>
        <v>0</v>
      </c>
      <c r="K112" s="17">
        <f t="shared" si="216"/>
        <v>0</v>
      </c>
      <c r="L112" s="17">
        <f t="shared" si="217"/>
        <v>0</v>
      </c>
      <c r="M112" s="17">
        <f t="shared" si="218"/>
        <v>0</v>
      </c>
      <c r="N112" s="17">
        <f t="shared" si="219"/>
        <v>0</v>
      </c>
      <c r="O112" s="17">
        <f t="shared" si="220"/>
        <v>0</v>
      </c>
      <c r="P112" s="2"/>
      <c r="Q112" s="4">
        <v>4</v>
      </c>
      <c r="R112" s="4">
        <f t="shared" si="221"/>
        <v>120</v>
      </c>
      <c r="S112" s="17">
        <f t="shared" si="222"/>
        <v>0</v>
      </c>
      <c r="T112" s="17">
        <f t="shared" si="223"/>
        <v>0</v>
      </c>
      <c r="U112" s="17">
        <f t="shared" si="224"/>
        <v>0</v>
      </c>
      <c r="V112" s="17">
        <f t="shared" si="225"/>
        <v>0</v>
      </c>
      <c r="W112" s="17">
        <f t="shared" si="226"/>
        <v>0</v>
      </c>
      <c r="X112" s="17">
        <f t="shared" si="227"/>
        <v>0</v>
      </c>
      <c r="Y112" s="17">
        <f t="shared" si="228"/>
        <v>0</v>
      </c>
      <c r="Z112" s="17">
        <f t="shared" si="229"/>
        <v>0</v>
      </c>
      <c r="AA112" s="17">
        <f t="shared" si="230"/>
        <v>0</v>
      </c>
      <c r="AB112" s="17">
        <f t="shared" si="231"/>
        <v>0</v>
      </c>
      <c r="AC112" s="17">
        <f t="shared" si="232"/>
        <v>0</v>
      </c>
      <c r="AD112" s="17">
        <f t="shared" si="233"/>
        <v>0</v>
      </c>
      <c r="AE112" s="2"/>
      <c r="AF112" s="4">
        <v>4</v>
      </c>
      <c r="AG112" s="4">
        <f t="shared" si="234"/>
        <v>120</v>
      </c>
      <c r="AH112" s="17">
        <f t="shared" si="235"/>
        <v>0</v>
      </c>
      <c r="AI112" s="17">
        <f t="shared" si="236"/>
        <v>0</v>
      </c>
      <c r="AJ112" s="17">
        <f t="shared" si="237"/>
        <v>0</v>
      </c>
      <c r="AK112" s="17">
        <f t="shared" si="238"/>
        <v>0</v>
      </c>
      <c r="AL112" s="17">
        <f t="shared" si="239"/>
        <v>0</v>
      </c>
      <c r="AM112" s="17">
        <f t="shared" si="240"/>
        <v>0</v>
      </c>
      <c r="AN112" s="17">
        <f t="shared" si="241"/>
        <v>0</v>
      </c>
      <c r="AO112" s="17">
        <f t="shared" si="242"/>
        <v>0</v>
      </c>
      <c r="AP112" s="17">
        <f t="shared" si="243"/>
        <v>0</v>
      </c>
      <c r="AQ112" s="17">
        <f t="shared" si="244"/>
        <v>0</v>
      </c>
      <c r="AR112" s="17">
        <f t="shared" si="245"/>
        <v>0</v>
      </c>
      <c r="AS112" s="17">
        <f t="shared" si="246"/>
        <v>0</v>
      </c>
      <c r="AT112" s="14"/>
      <c r="AU112" s="4">
        <v>4</v>
      </c>
      <c r="AV112" s="4">
        <f t="shared" si="247"/>
        <v>120</v>
      </c>
      <c r="AW112" s="17">
        <f t="shared" si="248"/>
        <v>0</v>
      </c>
      <c r="AX112" s="17">
        <f t="shared" si="249"/>
        <v>0</v>
      </c>
      <c r="AY112" s="17">
        <f t="shared" si="250"/>
        <v>0</v>
      </c>
      <c r="AZ112" s="17">
        <f t="shared" si="251"/>
        <v>0</v>
      </c>
      <c r="BA112" s="17">
        <f t="shared" si="252"/>
        <v>0</v>
      </c>
      <c r="BB112" s="17">
        <f t="shared" si="253"/>
        <v>0</v>
      </c>
      <c r="BC112" s="17">
        <f t="shared" si="254"/>
        <v>0</v>
      </c>
      <c r="BD112" s="17">
        <f t="shared" si="255"/>
        <v>0</v>
      </c>
      <c r="BE112" s="17">
        <f t="shared" si="256"/>
        <v>0</v>
      </c>
      <c r="BF112" s="17">
        <f t="shared" si="257"/>
        <v>0</v>
      </c>
      <c r="BG112" s="17">
        <f t="shared" si="258"/>
        <v>0</v>
      </c>
      <c r="BH112" s="65">
        <f t="shared" si="259"/>
        <v>0</v>
      </c>
    </row>
    <row r="113" spans="2:60">
      <c r="B113" s="57">
        <v>5</v>
      </c>
      <c r="C113" s="4">
        <f t="shared" si="208"/>
        <v>105</v>
      </c>
      <c r="D113" s="17">
        <f t="shared" si="209"/>
        <v>0</v>
      </c>
      <c r="E113" s="17">
        <f t="shared" si="210"/>
        <v>0</v>
      </c>
      <c r="F113" s="17">
        <f t="shared" si="211"/>
        <v>0</v>
      </c>
      <c r="G113" s="17">
        <f t="shared" si="212"/>
        <v>0</v>
      </c>
      <c r="H113" s="17">
        <f t="shared" si="213"/>
        <v>0</v>
      </c>
      <c r="I113" s="17">
        <f t="shared" si="214"/>
        <v>0</v>
      </c>
      <c r="J113" s="17">
        <f t="shared" si="215"/>
        <v>0</v>
      </c>
      <c r="K113" s="17">
        <f t="shared" si="216"/>
        <v>0</v>
      </c>
      <c r="L113" s="17">
        <f t="shared" si="217"/>
        <v>0</v>
      </c>
      <c r="M113" s="17">
        <f t="shared" si="218"/>
        <v>0</v>
      </c>
      <c r="N113" s="17">
        <f t="shared" si="219"/>
        <v>0</v>
      </c>
      <c r="O113" s="17">
        <f t="shared" si="220"/>
        <v>0</v>
      </c>
      <c r="P113" s="2"/>
      <c r="Q113" s="4">
        <v>5</v>
      </c>
      <c r="R113" s="4">
        <f t="shared" si="221"/>
        <v>105</v>
      </c>
      <c r="S113" s="17">
        <f t="shared" si="222"/>
        <v>0</v>
      </c>
      <c r="T113" s="17">
        <f t="shared" si="223"/>
        <v>0</v>
      </c>
      <c r="U113" s="17">
        <f t="shared" si="224"/>
        <v>0</v>
      </c>
      <c r="V113" s="17">
        <f t="shared" si="225"/>
        <v>0</v>
      </c>
      <c r="W113" s="17">
        <f t="shared" si="226"/>
        <v>0</v>
      </c>
      <c r="X113" s="17">
        <f t="shared" si="227"/>
        <v>0</v>
      </c>
      <c r="Y113" s="17">
        <f t="shared" si="228"/>
        <v>0</v>
      </c>
      <c r="Z113" s="17">
        <f t="shared" si="229"/>
        <v>0</v>
      </c>
      <c r="AA113" s="17">
        <f t="shared" si="230"/>
        <v>0</v>
      </c>
      <c r="AB113" s="17">
        <f t="shared" si="231"/>
        <v>0</v>
      </c>
      <c r="AC113" s="17">
        <f t="shared" si="232"/>
        <v>0</v>
      </c>
      <c r="AD113" s="17">
        <f t="shared" si="233"/>
        <v>0</v>
      </c>
      <c r="AE113" s="2"/>
      <c r="AF113" s="4">
        <v>5</v>
      </c>
      <c r="AG113" s="4">
        <f t="shared" si="234"/>
        <v>105</v>
      </c>
      <c r="AH113" s="17">
        <f t="shared" si="235"/>
        <v>0</v>
      </c>
      <c r="AI113" s="17">
        <f t="shared" si="236"/>
        <v>0</v>
      </c>
      <c r="AJ113" s="17">
        <f t="shared" si="237"/>
        <v>0</v>
      </c>
      <c r="AK113" s="17">
        <f t="shared" si="238"/>
        <v>0</v>
      </c>
      <c r="AL113" s="17">
        <f t="shared" si="239"/>
        <v>0</v>
      </c>
      <c r="AM113" s="17">
        <f t="shared" si="240"/>
        <v>0</v>
      </c>
      <c r="AN113" s="17">
        <f t="shared" si="241"/>
        <v>0</v>
      </c>
      <c r="AO113" s="17">
        <f t="shared" si="242"/>
        <v>0</v>
      </c>
      <c r="AP113" s="17">
        <f t="shared" si="243"/>
        <v>0</v>
      </c>
      <c r="AQ113" s="17">
        <f t="shared" si="244"/>
        <v>0</v>
      </c>
      <c r="AR113" s="17">
        <f t="shared" si="245"/>
        <v>0</v>
      </c>
      <c r="AS113" s="17">
        <f t="shared" si="246"/>
        <v>0</v>
      </c>
      <c r="AT113" s="14"/>
      <c r="AU113" s="4">
        <v>5</v>
      </c>
      <c r="AV113" s="4">
        <f t="shared" si="247"/>
        <v>105</v>
      </c>
      <c r="AW113" s="17">
        <f t="shared" si="248"/>
        <v>0</v>
      </c>
      <c r="AX113" s="17">
        <f t="shared" si="249"/>
        <v>0</v>
      </c>
      <c r="AY113" s="17">
        <f t="shared" si="250"/>
        <v>0</v>
      </c>
      <c r="AZ113" s="17">
        <f t="shared" si="251"/>
        <v>0</v>
      </c>
      <c r="BA113" s="17">
        <f t="shared" si="252"/>
        <v>0</v>
      </c>
      <c r="BB113" s="17">
        <f t="shared" si="253"/>
        <v>0</v>
      </c>
      <c r="BC113" s="17">
        <f t="shared" si="254"/>
        <v>0</v>
      </c>
      <c r="BD113" s="17">
        <f t="shared" si="255"/>
        <v>0</v>
      </c>
      <c r="BE113" s="17">
        <f t="shared" si="256"/>
        <v>0</v>
      </c>
      <c r="BF113" s="17">
        <f t="shared" si="257"/>
        <v>0</v>
      </c>
      <c r="BG113" s="17">
        <f t="shared" si="258"/>
        <v>0</v>
      </c>
      <c r="BH113" s="65">
        <f t="shared" si="259"/>
        <v>0</v>
      </c>
    </row>
    <row r="114" spans="2:60">
      <c r="B114" s="57">
        <v>6</v>
      </c>
      <c r="C114" s="4">
        <f t="shared" si="208"/>
        <v>90</v>
      </c>
      <c r="D114" s="17">
        <f t="shared" si="209"/>
        <v>0</v>
      </c>
      <c r="E114" s="17">
        <f t="shared" si="210"/>
        <v>0</v>
      </c>
      <c r="F114" s="17">
        <f t="shared" si="211"/>
        <v>0</v>
      </c>
      <c r="G114" s="17">
        <f t="shared" si="212"/>
        <v>0</v>
      </c>
      <c r="H114" s="17">
        <f t="shared" si="213"/>
        <v>0</v>
      </c>
      <c r="I114" s="17">
        <f t="shared" si="214"/>
        <v>0</v>
      </c>
      <c r="J114" s="17">
        <f t="shared" si="215"/>
        <v>0</v>
      </c>
      <c r="K114" s="17">
        <f t="shared" si="216"/>
        <v>0</v>
      </c>
      <c r="L114" s="17">
        <f t="shared" si="217"/>
        <v>0</v>
      </c>
      <c r="M114" s="17">
        <f t="shared" si="218"/>
        <v>0</v>
      </c>
      <c r="N114" s="17">
        <f t="shared" si="219"/>
        <v>0</v>
      </c>
      <c r="O114" s="17">
        <f t="shared" si="220"/>
        <v>0</v>
      </c>
      <c r="P114" s="2"/>
      <c r="Q114" s="4">
        <v>6</v>
      </c>
      <c r="R114" s="4">
        <f t="shared" si="221"/>
        <v>90</v>
      </c>
      <c r="S114" s="17">
        <f t="shared" si="222"/>
        <v>0</v>
      </c>
      <c r="T114" s="17">
        <f t="shared" si="223"/>
        <v>0</v>
      </c>
      <c r="U114" s="17">
        <f t="shared" si="224"/>
        <v>0</v>
      </c>
      <c r="V114" s="17">
        <f t="shared" si="225"/>
        <v>0</v>
      </c>
      <c r="W114" s="17">
        <f t="shared" si="226"/>
        <v>0</v>
      </c>
      <c r="X114" s="17">
        <f t="shared" si="227"/>
        <v>0</v>
      </c>
      <c r="Y114" s="17">
        <f t="shared" si="228"/>
        <v>0</v>
      </c>
      <c r="Z114" s="17">
        <f t="shared" si="229"/>
        <v>0</v>
      </c>
      <c r="AA114" s="17">
        <f t="shared" si="230"/>
        <v>0</v>
      </c>
      <c r="AB114" s="17">
        <f t="shared" si="231"/>
        <v>0</v>
      </c>
      <c r="AC114" s="17">
        <f t="shared" si="232"/>
        <v>0</v>
      </c>
      <c r="AD114" s="17">
        <f t="shared" si="233"/>
        <v>0</v>
      </c>
      <c r="AE114" s="2"/>
      <c r="AF114" s="4">
        <v>6</v>
      </c>
      <c r="AG114" s="4">
        <f t="shared" si="234"/>
        <v>90</v>
      </c>
      <c r="AH114" s="17">
        <f t="shared" si="235"/>
        <v>0</v>
      </c>
      <c r="AI114" s="17">
        <f t="shared" si="236"/>
        <v>0</v>
      </c>
      <c r="AJ114" s="17">
        <f t="shared" si="237"/>
        <v>0</v>
      </c>
      <c r="AK114" s="17">
        <f t="shared" si="238"/>
        <v>0</v>
      </c>
      <c r="AL114" s="17">
        <f t="shared" si="239"/>
        <v>0</v>
      </c>
      <c r="AM114" s="17">
        <f t="shared" si="240"/>
        <v>0</v>
      </c>
      <c r="AN114" s="17">
        <f t="shared" si="241"/>
        <v>0</v>
      </c>
      <c r="AO114" s="17">
        <f t="shared" si="242"/>
        <v>0</v>
      </c>
      <c r="AP114" s="17">
        <f t="shared" si="243"/>
        <v>0</v>
      </c>
      <c r="AQ114" s="17">
        <f t="shared" si="244"/>
        <v>0</v>
      </c>
      <c r="AR114" s="17">
        <f t="shared" si="245"/>
        <v>0</v>
      </c>
      <c r="AS114" s="17">
        <f t="shared" si="246"/>
        <v>0</v>
      </c>
      <c r="AT114" s="14"/>
      <c r="AU114" s="4">
        <v>6</v>
      </c>
      <c r="AV114" s="4">
        <f t="shared" si="247"/>
        <v>90</v>
      </c>
      <c r="AW114" s="17">
        <f t="shared" si="248"/>
        <v>0</v>
      </c>
      <c r="AX114" s="17">
        <f t="shared" si="249"/>
        <v>0</v>
      </c>
      <c r="AY114" s="17">
        <f t="shared" si="250"/>
        <v>0</v>
      </c>
      <c r="AZ114" s="17">
        <f t="shared" si="251"/>
        <v>0</v>
      </c>
      <c r="BA114" s="17">
        <f t="shared" si="252"/>
        <v>0</v>
      </c>
      <c r="BB114" s="17">
        <f t="shared" si="253"/>
        <v>0</v>
      </c>
      <c r="BC114" s="17">
        <f t="shared" si="254"/>
        <v>0</v>
      </c>
      <c r="BD114" s="17">
        <f t="shared" si="255"/>
        <v>0</v>
      </c>
      <c r="BE114" s="17">
        <f t="shared" si="256"/>
        <v>0</v>
      </c>
      <c r="BF114" s="17">
        <f t="shared" si="257"/>
        <v>0</v>
      </c>
      <c r="BG114" s="17">
        <f t="shared" si="258"/>
        <v>0</v>
      </c>
      <c r="BH114" s="65">
        <f t="shared" si="259"/>
        <v>0</v>
      </c>
    </row>
    <row r="115" spans="2:60">
      <c r="B115" s="57">
        <v>7</v>
      </c>
      <c r="C115" s="4">
        <f t="shared" si="208"/>
        <v>75</v>
      </c>
      <c r="D115" s="17" t="e">
        <f t="shared" si="209"/>
        <v>#N/A</v>
      </c>
      <c r="E115" s="17" t="e">
        <f t="shared" si="210"/>
        <v>#N/A</v>
      </c>
      <c r="F115" s="17" t="e">
        <f t="shared" si="211"/>
        <v>#N/A</v>
      </c>
      <c r="G115" s="17" t="e">
        <f t="shared" si="212"/>
        <v>#N/A</v>
      </c>
      <c r="H115" s="17" t="e">
        <f t="shared" si="213"/>
        <v>#N/A</v>
      </c>
      <c r="I115" s="17" t="e">
        <f t="shared" si="214"/>
        <v>#N/A</v>
      </c>
      <c r="J115" s="17" t="e">
        <f t="shared" si="215"/>
        <v>#N/A</v>
      </c>
      <c r="K115" s="17" t="e">
        <f t="shared" si="216"/>
        <v>#N/A</v>
      </c>
      <c r="L115" s="17" t="e">
        <f t="shared" si="217"/>
        <v>#N/A</v>
      </c>
      <c r="M115" s="17" t="e">
        <f t="shared" si="218"/>
        <v>#N/A</v>
      </c>
      <c r="N115" s="17" t="e">
        <f t="shared" si="219"/>
        <v>#N/A</v>
      </c>
      <c r="O115" s="17" t="e">
        <f t="shared" si="220"/>
        <v>#N/A</v>
      </c>
      <c r="P115" s="2"/>
      <c r="Q115" s="4">
        <v>7</v>
      </c>
      <c r="R115" s="4">
        <f t="shared" si="221"/>
        <v>75</v>
      </c>
      <c r="S115" s="17" t="e">
        <f t="shared" si="222"/>
        <v>#N/A</v>
      </c>
      <c r="T115" s="17" t="e">
        <f t="shared" si="223"/>
        <v>#N/A</v>
      </c>
      <c r="U115" s="17" t="e">
        <f t="shared" si="224"/>
        <v>#N/A</v>
      </c>
      <c r="V115" s="17" t="e">
        <f t="shared" si="225"/>
        <v>#N/A</v>
      </c>
      <c r="W115" s="17" t="e">
        <f t="shared" si="226"/>
        <v>#N/A</v>
      </c>
      <c r="X115" s="17" t="e">
        <f t="shared" si="227"/>
        <v>#N/A</v>
      </c>
      <c r="Y115" s="17" t="e">
        <f t="shared" si="228"/>
        <v>#N/A</v>
      </c>
      <c r="Z115" s="17" t="e">
        <f t="shared" si="229"/>
        <v>#N/A</v>
      </c>
      <c r="AA115" s="17" t="e">
        <f t="shared" si="230"/>
        <v>#N/A</v>
      </c>
      <c r="AB115" s="17" t="e">
        <f t="shared" si="231"/>
        <v>#N/A</v>
      </c>
      <c r="AC115" s="17" t="e">
        <f t="shared" si="232"/>
        <v>#N/A</v>
      </c>
      <c r="AD115" s="17" t="e">
        <f t="shared" si="233"/>
        <v>#N/A</v>
      </c>
      <c r="AE115" s="2"/>
      <c r="AF115" s="4">
        <v>7</v>
      </c>
      <c r="AG115" s="4">
        <f t="shared" si="234"/>
        <v>75</v>
      </c>
      <c r="AH115" s="17" t="e">
        <f t="shared" si="235"/>
        <v>#N/A</v>
      </c>
      <c r="AI115" s="17" t="e">
        <f t="shared" si="236"/>
        <v>#N/A</v>
      </c>
      <c r="AJ115" s="17" t="e">
        <f t="shared" si="237"/>
        <v>#N/A</v>
      </c>
      <c r="AK115" s="17" t="e">
        <f t="shared" si="238"/>
        <v>#N/A</v>
      </c>
      <c r="AL115" s="17" t="e">
        <f t="shared" si="239"/>
        <v>#N/A</v>
      </c>
      <c r="AM115" s="17" t="e">
        <f t="shared" si="240"/>
        <v>#N/A</v>
      </c>
      <c r="AN115" s="17" t="e">
        <f t="shared" si="241"/>
        <v>#N/A</v>
      </c>
      <c r="AO115" s="17" t="e">
        <f t="shared" si="242"/>
        <v>#N/A</v>
      </c>
      <c r="AP115" s="17" t="e">
        <f t="shared" si="243"/>
        <v>#N/A</v>
      </c>
      <c r="AQ115" s="17" t="e">
        <f t="shared" si="244"/>
        <v>#N/A</v>
      </c>
      <c r="AR115" s="17" t="e">
        <f t="shared" si="245"/>
        <v>#N/A</v>
      </c>
      <c r="AS115" s="17" t="e">
        <f t="shared" si="246"/>
        <v>#N/A</v>
      </c>
      <c r="AT115" s="2"/>
      <c r="AU115" s="4">
        <v>7</v>
      </c>
      <c r="AV115" s="4">
        <f t="shared" si="247"/>
        <v>75</v>
      </c>
      <c r="AW115" s="17" t="e">
        <f t="shared" si="248"/>
        <v>#N/A</v>
      </c>
      <c r="AX115" s="17" t="e">
        <f t="shared" si="249"/>
        <v>#N/A</v>
      </c>
      <c r="AY115" s="17" t="e">
        <f t="shared" si="250"/>
        <v>#N/A</v>
      </c>
      <c r="AZ115" s="17" t="e">
        <f t="shared" si="251"/>
        <v>#N/A</v>
      </c>
      <c r="BA115" s="17" t="e">
        <f t="shared" si="252"/>
        <v>#N/A</v>
      </c>
      <c r="BB115" s="17" t="e">
        <f t="shared" si="253"/>
        <v>#N/A</v>
      </c>
      <c r="BC115" s="17" t="e">
        <f t="shared" si="254"/>
        <v>#N/A</v>
      </c>
      <c r="BD115" s="17" t="e">
        <f t="shared" si="255"/>
        <v>#N/A</v>
      </c>
      <c r="BE115" s="17" t="e">
        <f t="shared" si="256"/>
        <v>#N/A</v>
      </c>
      <c r="BF115" s="17" t="e">
        <f t="shared" si="257"/>
        <v>#N/A</v>
      </c>
      <c r="BG115" s="17" t="e">
        <f t="shared" si="258"/>
        <v>#N/A</v>
      </c>
      <c r="BH115" s="65" t="e">
        <f t="shared" si="259"/>
        <v>#N/A</v>
      </c>
    </row>
    <row r="116" spans="2:60">
      <c r="B116" s="57">
        <v>8</v>
      </c>
      <c r="C116" s="4">
        <f t="shared" si="208"/>
        <v>60</v>
      </c>
      <c r="D116" s="17" t="e">
        <f t="shared" si="209"/>
        <v>#N/A</v>
      </c>
      <c r="E116" s="17" t="e">
        <f t="shared" si="210"/>
        <v>#N/A</v>
      </c>
      <c r="F116" s="17" t="e">
        <f t="shared" si="211"/>
        <v>#N/A</v>
      </c>
      <c r="G116" s="17" t="e">
        <f t="shared" si="212"/>
        <v>#N/A</v>
      </c>
      <c r="H116" s="17" t="e">
        <f t="shared" si="213"/>
        <v>#N/A</v>
      </c>
      <c r="I116" s="17" t="e">
        <f t="shared" si="214"/>
        <v>#N/A</v>
      </c>
      <c r="J116" s="17" t="e">
        <f t="shared" si="215"/>
        <v>#N/A</v>
      </c>
      <c r="K116" s="17" t="e">
        <f t="shared" si="216"/>
        <v>#N/A</v>
      </c>
      <c r="L116" s="17" t="e">
        <f t="shared" si="217"/>
        <v>#N/A</v>
      </c>
      <c r="M116" s="17" t="e">
        <f t="shared" si="218"/>
        <v>#N/A</v>
      </c>
      <c r="N116" s="17" t="e">
        <f t="shared" si="219"/>
        <v>#N/A</v>
      </c>
      <c r="O116" s="17" t="e">
        <f t="shared" si="220"/>
        <v>#N/A</v>
      </c>
      <c r="P116" s="2"/>
      <c r="Q116" s="4">
        <v>8</v>
      </c>
      <c r="R116" s="4">
        <f t="shared" si="221"/>
        <v>60</v>
      </c>
      <c r="S116" s="17" t="e">
        <f t="shared" si="222"/>
        <v>#N/A</v>
      </c>
      <c r="T116" s="17" t="e">
        <f t="shared" si="223"/>
        <v>#N/A</v>
      </c>
      <c r="U116" s="17" t="e">
        <f t="shared" si="224"/>
        <v>#N/A</v>
      </c>
      <c r="V116" s="17" t="e">
        <f t="shared" si="225"/>
        <v>#N/A</v>
      </c>
      <c r="W116" s="17" t="e">
        <f t="shared" si="226"/>
        <v>#N/A</v>
      </c>
      <c r="X116" s="17" t="e">
        <f t="shared" si="227"/>
        <v>#N/A</v>
      </c>
      <c r="Y116" s="17" t="e">
        <f t="shared" si="228"/>
        <v>#N/A</v>
      </c>
      <c r="Z116" s="17" t="e">
        <f t="shared" si="229"/>
        <v>#N/A</v>
      </c>
      <c r="AA116" s="17" t="e">
        <f t="shared" si="230"/>
        <v>#N/A</v>
      </c>
      <c r="AB116" s="17" t="e">
        <f t="shared" si="231"/>
        <v>#N/A</v>
      </c>
      <c r="AC116" s="17" t="e">
        <f t="shared" si="232"/>
        <v>#N/A</v>
      </c>
      <c r="AD116" s="17" t="e">
        <f t="shared" si="233"/>
        <v>#N/A</v>
      </c>
      <c r="AE116" s="2"/>
      <c r="AF116" s="4">
        <v>8</v>
      </c>
      <c r="AG116" s="4">
        <f t="shared" si="234"/>
        <v>60</v>
      </c>
      <c r="AH116" s="17" t="e">
        <f t="shared" si="235"/>
        <v>#N/A</v>
      </c>
      <c r="AI116" s="17" t="e">
        <f t="shared" si="236"/>
        <v>#N/A</v>
      </c>
      <c r="AJ116" s="17" t="e">
        <f t="shared" si="237"/>
        <v>#N/A</v>
      </c>
      <c r="AK116" s="17" t="e">
        <f t="shared" si="238"/>
        <v>#N/A</v>
      </c>
      <c r="AL116" s="17" t="e">
        <f t="shared" si="239"/>
        <v>#N/A</v>
      </c>
      <c r="AM116" s="17" t="e">
        <f t="shared" si="240"/>
        <v>#N/A</v>
      </c>
      <c r="AN116" s="17" t="e">
        <f t="shared" si="241"/>
        <v>#N/A</v>
      </c>
      <c r="AO116" s="17" t="e">
        <f t="shared" si="242"/>
        <v>#N/A</v>
      </c>
      <c r="AP116" s="17" t="e">
        <f t="shared" si="243"/>
        <v>#N/A</v>
      </c>
      <c r="AQ116" s="17" t="e">
        <f t="shared" si="244"/>
        <v>#N/A</v>
      </c>
      <c r="AR116" s="17" t="e">
        <f t="shared" si="245"/>
        <v>#N/A</v>
      </c>
      <c r="AS116" s="17" t="e">
        <f t="shared" si="246"/>
        <v>#N/A</v>
      </c>
      <c r="AT116" s="66"/>
      <c r="AU116" s="4">
        <v>8</v>
      </c>
      <c r="AV116" s="4">
        <f t="shared" si="247"/>
        <v>60</v>
      </c>
      <c r="AW116" s="17" t="e">
        <f t="shared" si="248"/>
        <v>#N/A</v>
      </c>
      <c r="AX116" s="17" t="e">
        <f t="shared" si="249"/>
        <v>#N/A</v>
      </c>
      <c r="AY116" s="17" t="e">
        <f t="shared" si="250"/>
        <v>#N/A</v>
      </c>
      <c r="AZ116" s="17" t="e">
        <f t="shared" si="251"/>
        <v>#N/A</v>
      </c>
      <c r="BA116" s="17" t="e">
        <f t="shared" si="252"/>
        <v>#N/A</v>
      </c>
      <c r="BB116" s="17" t="e">
        <f t="shared" si="253"/>
        <v>#N/A</v>
      </c>
      <c r="BC116" s="17" t="e">
        <f t="shared" si="254"/>
        <v>#N/A</v>
      </c>
      <c r="BD116" s="17" t="e">
        <f t="shared" si="255"/>
        <v>#N/A</v>
      </c>
      <c r="BE116" s="17" t="e">
        <f t="shared" si="256"/>
        <v>#N/A</v>
      </c>
      <c r="BF116" s="17" t="e">
        <f t="shared" si="257"/>
        <v>#N/A</v>
      </c>
      <c r="BG116" s="17" t="e">
        <f t="shared" si="258"/>
        <v>#N/A</v>
      </c>
      <c r="BH116" s="65" t="e">
        <f t="shared" si="259"/>
        <v>#N/A</v>
      </c>
    </row>
    <row r="117" spans="2:60">
      <c r="B117" s="57">
        <v>9</v>
      </c>
      <c r="C117" s="4">
        <f t="shared" si="208"/>
        <v>45</v>
      </c>
      <c r="D117" s="17" t="e">
        <f t="shared" si="209"/>
        <v>#N/A</v>
      </c>
      <c r="E117" s="17" t="e">
        <f t="shared" si="210"/>
        <v>#N/A</v>
      </c>
      <c r="F117" s="17" t="e">
        <f t="shared" si="211"/>
        <v>#N/A</v>
      </c>
      <c r="G117" s="17" t="e">
        <f t="shared" si="212"/>
        <v>#N/A</v>
      </c>
      <c r="H117" s="17" t="e">
        <f t="shared" si="213"/>
        <v>#N/A</v>
      </c>
      <c r="I117" s="17" t="e">
        <f t="shared" si="214"/>
        <v>#N/A</v>
      </c>
      <c r="J117" s="17" t="e">
        <f t="shared" si="215"/>
        <v>#N/A</v>
      </c>
      <c r="K117" s="17" t="e">
        <f t="shared" si="216"/>
        <v>#N/A</v>
      </c>
      <c r="L117" s="17" t="e">
        <f t="shared" si="217"/>
        <v>#N/A</v>
      </c>
      <c r="M117" s="17" t="e">
        <f t="shared" si="218"/>
        <v>#N/A</v>
      </c>
      <c r="N117" s="17" t="e">
        <f t="shared" si="219"/>
        <v>#N/A</v>
      </c>
      <c r="O117" s="17" t="e">
        <f t="shared" si="220"/>
        <v>#N/A</v>
      </c>
      <c r="P117" s="2"/>
      <c r="Q117" s="4">
        <v>9</v>
      </c>
      <c r="R117" s="4">
        <f t="shared" si="221"/>
        <v>45</v>
      </c>
      <c r="S117" s="17" t="e">
        <f t="shared" si="222"/>
        <v>#N/A</v>
      </c>
      <c r="T117" s="17" t="e">
        <f t="shared" si="223"/>
        <v>#N/A</v>
      </c>
      <c r="U117" s="17" t="e">
        <f t="shared" si="224"/>
        <v>#N/A</v>
      </c>
      <c r="V117" s="17" t="e">
        <f t="shared" si="225"/>
        <v>#N/A</v>
      </c>
      <c r="W117" s="17" t="e">
        <f t="shared" si="226"/>
        <v>#N/A</v>
      </c>
      <c r="X117" s="17" t="e">
        <f t="shared" si="227"/>
        <v>#N/A</v>
      </c>
      <c r="Y117" s="17" t="e">
        <f t="shared" si="228"/>
        <v>#N/A</v>
      </c>
      <c r="Z117" s="17" t="e">
        <f t="shared" si="229"/>
        <v>#N/A</v>
      </c>
      <c r="AA117" s="17" t="e">
        <f t="shared" si="230"/>
        <v>#N/A</v>
      </c>
      <c r="AB117" s="17" t="e">
        <f t="shared" si="231"/>
        <v>#N/A</v>
      </c>
      <c r="AC117" s="17" t="e">
        <f t="shared" si="232"/>
        <v>#N/A</v>
      </c>
      <c r="AD117" s="17" t="e">
        <f t="shared" si="233"/>
        <v>#N/A</v>
      </c>
      <c r="AE117" s="2"/>
      <c r="AF117" s="4">
        <v>9</v>
      </c>
      <c r="AG117" s="4">
        <f t="shared" si="234"/>
        <v>45</v>
      </c>
      <c r="AH117" s="17" t="e">
        <f t="shared" si="235"/>
        <v>#N/A</v>
      </c>
      <c r="AI117" s="17" t="e">
        <f t="shared" si="236"/>
        <v>#N/A</v>
      </c>
      <c r="AJ117" s="17" t="e">
        <f t="shared" si="237"/>
        <v>#N/A</v>
      </c>
      <c r="AK117" s="17" t="e">
        <f t="shared" si="238"/>
        <v>#N/A</v>
      </c>
      <c r="AL117" s="17" t="e">
        <f t="shared" si="239"/>
        <v>#N/A</v>
      </c>
      <c r="AM117" s="17" t="e">
        <f t="shared" si="240"/>
        <v>#N/A</v>
      </c>
      <c r="AN117" s="17" t="e">
        <f t="shared" si="241"/>
        <v>#N/A</v>
      </c>
      <c r="AO117" s="17" t="e">
        <f t="shared" si="242"/>
        <v>#N/A</v>
      </c>
      <c r="AP117" s="17" t="e">
        <f t="shared" si="243"/>
        <v>#N/A</v>
      </c>
      <c r="AQ117" s="17" t="e">
        <f t="shared" si="244"/>
        <v>#N/A</v>
      </c>
      <c r="AR117" s="17" t="e">
        <f t="shared" si="245"/>
        <v>#N/A</v>
      </c>
      <c r="AS117" s="17" t="e">
        <f t="shared" si="246"/>
        <v>#N/A</v>
      </c>
      <c r="AT117" s="66"/>
      <c r="AU117" s="4">
        <v>9</v>
      </c>
      <c r="AV117" s="4">
        <f t="shared" si="247"/>
        <v>45</v>
      </c>
      <c r="AW117" s="17" t="e">
        <f t="shared" si="248"/>
        <v>#N/A</v>
      </c>
      <c r="AX117" s="17" t="e">
        <f t="shared" si="249"/>
        <v>#N/A</v>
      </c>
      <c r="AY117" s="17" t="e">
        <f t="shared" si="250"/>
        <v>#N/A</v>
      </c>
      <c r="AZ117" s="17" t="e">
        <f t="shared" si="251"/>
        <v>#N/A</v>
      </c>
      <c r="BA117" s="17" t="e">
        <f t="shared" si="252"/>
        <v>#N/A</v>
      </c>
      <c r="BB117" s="17" t="e">
        <f t="shared" si="253"/>
        <v>#N/A</v>
      </c>
      <c r="BC117" s="17" t="e">
        <f t="shared" si="254"/>
        <v>#N/A</v>
      </c>
      <c r="BD117" s="17" t="e">
        <f t="shared" si="255"/>
        <v>#N/A</v>
      </c>
      <c r="BE117" s="17" t="e">
        <f t="shared" si="256"/>
        <v>#N/A</v>
      </c>
      <c r="BF117" s="17" t="e">
        <f t="shared" si="257"/>
        <v>#N/A</v>
      </c>
      <c r="BG117" s="17" t="e">
        <f t="shared" si="258"/>
        <v>#N/A</v>
      </c>
      <c r="BH117" s="65" t="e">
        <f t="shared" si="259"/>
        <v>#N/A</v>
      </c>
    </row>
    <row r="118" spans="2:60">
      <c r="B118" s="57">
        <v>10</v>
      </c>
      <c r="C118" s="4">
        <f t="shared" si="208"/>
        <v>30</v>
      </c>
      <c r="D118" s="17" t="e">
        <f t="shared" si="209"/>
        <v>#N/A</v>
      </c>
      <c r="E118" s="17" t="e">
        <f t="shared" si="210"/>
        <v>#N/A</v>
      </c>
      <c r="F118" s="17" t="e">
        <f t="shared" si="211"/>
        <v>#N/A</v>
      </c>
      <c r="G118" s="17" t="e">
        <f t="shared" si="212"/>
        <v>#N/A</v>
      </c>
      <c r="H118" s="17" t="e">
        <f t="shared" si="213"/>
        <v>#N/A</v>
      </c>
      <c r="I118" s="17" t="e">
        <f t="shared" si="214"/>
        <v>#N/A</v>
      </c>
      <c r="J118" s="17" t="e">
        <f t="shared" si="215"/>
        <v>#N/A</v>
      </c>
      <c r="K118" s="17" t="e">
        <f t="shared" si="216"/>
        <v>#N/A</v>
      </c>
      <c r="L118" s="17" t="e">
        <f t="shared" si="217"/>
        <v>#N/A</v>
      </c>
      <c r="M118" s="17" t="e">
        <f t="shared" si="218"/>
        <v>#N/A</v>
      </c>
      <c r="N118" s="17" t="e">
        <f t="shared" si="219"/>
        <v>#N/A</v>
      </c>
      <c r="O118" s="17" t="e">
        <f t="shared" si="220"/>
        <v>#N/A</v>
      </c>
      <c r="P118" s="2"/>
      <c r="Q118" s="4">
        <v>10</v>
      </c>
      <c r="R118" s="4">
        <f t="shared" si="221"/>
        <v>30</v>
      </c>
      <c r="S118" s="17" t="e">
        <f t="shared" si="222"/>
        <v>#N/A</v>
      </c>
      <c r="T118" s="17" t="e">
        <f t="shared" si="223"/>
        <v>#N/A</v>
      </c>
      <c r="U118" s="17" t="e">
        <f t="shared" si="224"/>
        <v>#N/A</v>
      </c>
      <c r="V118" s="17" t="e">
        <f t="shared" si="225"/>
        <v>#N/A</v>
      </c>
      <c r="W118" s="17" t="e">
        <f t="shared" si="226"/>
        <v>#N/A</v>
      </c>
      <c r="X118" s="17" t="e">
        <f t="shared" si="227"/>
        <v>#N/A</v>
      </c>
      <c r="Y118" s="17" t="e">
        <f t="shared" si="228"/>
        <v>#N/A</v>
      </c>
      <c r="Z118" s="17" t="e">
        <f t="shared" si="229"/>
        <v>#N/A</v>
      </c>
      <c r="AA118" s="17" t="e">
        <f t="shared" si="230"/>
        <v>#N/A</v>
      </c>
      <c r="AB118" s="17" t="e">
        <f t="shared" si="231"/>
        <v>#N/A</v>
      </c>
      <c r="AC118" s="17" t="e">
        <f t="shared" si="232"/>
        <v>#N/A</v>
      </c>
      <c r="AD118" s="17" t="e">
        <f t="shared" si="233"/>
        <v>#N/A</v>
      </c>
      <c r="AE118" s="2"/>
      <c r="AF118" s="4">
        <v>10</v>
      </c>
      <c r="AG118" s="4">
        <f t="shared" si="234"/>
        <v>30</v>
      </c>
      <c r="AH118" s="17" t="e">
        <f t="shared" si="235"/>
        <v>#N/A</v>
      </c>
      <c r="AI118" s="17" t="e">
        <f t="shared" si="236"/>
        <v>#N/A</v>
      </c>
      <c r="AJ118" s="17" t="e">
        <f t="shared" si="237"/>
        <v>#N/A</v>
      </c>
      <c r="AK118" s="17" t="e">
        <f t="shared" si="238"/>
        <v>#N/A</v>
      </c>
      <c r="AL118" s="17" t="e">
        <f t="shared" si="239"/>
        <v>#N/A</v>
      </c>
      <c r="AM118" s="17" t="e">
        <f t="shared" si="240"/>
        <v>#N/A</v>
      </c>
      <c r="AN118" s="17" t="e">
        <f t="shared" si="241"/>
        <v>#N/A</v>
      </c>
      <c r="AO118" s="17" t="e">
        <f t="shared" si="242"/>
        <v>#N/A</v>
      </c>
      <c r="AP118" s="17" t="e">
        <f t="shared" si="243"/>
        <v>#N/A</v>
      </c>
      <c r="AQ118" s="17" t="e">
        <f t="shared" si="244"/>
        <v>#N/A</v>
      </c>
      <c r="AR118" s="17" t="e">
        <f t="shared" si="245"/>
        <v>#N/A</v>
      </c>
      <c r="AS118" s="17" t="e">
        <f t="shared" si="246"/>
        <v>#N/A</v>
      </c>
      <c r="AT118" s="66"/>
      <c r="AU118" s="4">
        <v>10</v>
      </c>
      <c r="AV118" s="4">
        <f t="shared" si="247"/>
        <v>30</v>
      </c>
      <c r="AW118" s="17" t="e">
        <f t="shared" si="248"/>
        <v>#N/A</v>
      </c>
      <c r="AX118" s="17" t="e">
        <f t="shared" si="249"/>
        <v>#N/A</v>
      </c>
      <c r="AY118" s="17" t="e">
        <f t="shared" si="250"/>
        <v>#N/A</v>
      </c>
      <c r="AZ118" s="17" t="e">
        <f t="shared" si="251"/>
        <v>#N/A</v>
      </c>
      <c r="BA118" s="17" t="e">
        <f t="shared" si="252"/>
        <v>#N/A</v>
      </c>
      <c r="BB118" s="17" t="e">
        <f t="shared" si="253"/>
        <v>#N/A</v>
      </c>
      <c r="BC118" s="17" t="e">
        <f t="shared" si="254"/>
        <v>#N/A</v>
      </c>
      <c r="BD118" s="17" t="e">
        <f t="shared" si="255"/>
        <v>#N/A</v>
      </c>
      <c r="BE118" s="17" t="e">
        <f t="shared" si="256"/>
        <v>#N/A</v>
      </c>
      <c r="BF118" s="17" t="e">
        <f t="shared" si="257"/>
        <v>#N/A</v>
      </c>
      <c r="BG118" s="17" t="e">
        <f t="shared" si="258"/>
        <v>#N/A</v>
      </c>
      <c r="BH118" s="65" t="e">
        <f t="shared" si="259"/>
        <v>#N/A</v>
      </c>
    </row>
    <row r="119" spans="2:60">
      <c r="B119" s="57">
        <v>11</v>
      </c>
      <c r="C119" s="4">
        <f t="shared" si="208"/>
        <v>15</v>
      </c>
      <c r="D119" s="17" t="e">
        <f t="shared" si="209"/>
        <v>#N/A</v>
      </c>
      <c r="E119" s="17" t="e">
        <f t="shared" si="210"/>
        <v>#N/A</v>
      </c>
      <c r="F119" s="17" t="e">
        <f t="shared" si="211"/>
        <v>#N/A</v>
      </c>
      <c r="G119" s="17" t="e">
        <f t="shared" si="212"/>
        <v>#N/A</v>
      </c>
      <c r="H119" s="17" t="e">
        <f t="shared" si="213"/>
        <v>#N/A</v>
      </c>
      <c r="I119" s="17" t="e">
        <f t="shared" si="214"/>
        <v>#N/A</v>
      </c>
      <c r="J119" s="17" t="e">
        <f t="shared" si="215"/>
        <v>#N/A</v>
      </c>
      <c r="K119" s="17" t="e">
        <f t="shared" si="216"/>
        <v>#N/A</v>
      </c>
      <c r="L119" s="17" t="e">
        <f t="shared" si="217"/>
        <v>#N/A</v>
      </c>
      <c r="M119" s="17" t="e">
        <f t="shared" si="218"/>
        <v>#N/A</v>
      </c>
      <c r="N119" s="17" t="e">
        <f t="shared" si="219"/>
        <v>#N/A</v>
      </c>
      <c r="O119" s="17" t="e">
        <f t="shared" si="220"/>
        <v>#N/A</v>
      </c>
      <c r="P119" s="2"/>
      <c r="Q119" s="4">
        <v>11</v>
      </c>
      <c r="R119" s="4">
        <f t="shared" si="221"/>
        <v>15</v>
      </c>
      <c r="S119" s="17" t="e">
        <f t="shared" si="222"/>
        <v>#N/A</v>
      </c>
      <c r="T119" s="17" t="e">
        <f t="shared" si="223"/>
        <v>#N/A</v>
      </c>
      <c r="U119" s="17" t="e">
        <f t="shared" si="224"/>
        <v>#N/A</v>
      </c>
      <c r="V119" s="17" t="e">
        <f t="shared" si="225"/>
        <v>#N/A</v>
      </c>
      <c r="W119" s="17" t="e">
        <f t="shared" si="226"/>
        <v>#N/A</v>
      </c>
      <c r="X119" s="17" t="e">
        <f t="shared" si="227"/>
        <v>#N/A</v>
      </c>
      <c r="Y119" s="17" t="e">
        <f t="shared" si="228"/>
        <v>#N/A</v>
      </c>
      <c r="Z119" s="17" t="e">
        <f t="shared" si="229"/>
        <v>#N/A</v>
      </c>
      <c r="AA119" s="17" t="e">
        <f t="shared" si="230"/>
        <v>#N/A</v>
      </c>
      <c r="AB119" s="17" t="e">
        <f t="shared" si="231"/>
        <v>#N/A</v>
      </c>
      <c r="AC119" s="17" t="e">
        <f t="shared" si="232"/>
        <v>#N/A</v>
      </c>
      <c r="AD119" s="17" t="e">
        <f t="shared" si="233"/>
        <v>#N/A</v>
      </c>
      <c r="AE119" s="2"/>
      <c r="AF119" s="4">
        <v>11</v>
      </c>
      <c r="AG119" s="4">
        <f t="shared" si="234"/>
        <v>15</v>
      </c>
      <c r="AH119" s="17" t="e">
        <f t="shared" si="235"/>
        <v>#N/A</v>
      </c>
      <c r="AI119" s="17" t="e">
        <f t="shared" si="236"/>
        <v>#N/A</v>
      </c>
      <c r="AJ119" s="17" t="e">
        <f t="shared" si="237"/>
        <v>#N/A</v>
      </c>
      <c r="AK119" s="17" t="e">
        <f t="shared" si="238"/>
        <v>#N/A</v>
      </c>
      <c r="AL119" s="17" t="e">
        <f t="shared" si="239"/>
        <v>#N/A</v>
      </c>
      <c r="AM119" s="17" t="e">
        <f t="shared" si="240"/>
        <v>#N/A</v>
      </c>
      <c r="AN119" s="17" t="e">
        <f t="shared" si="241"/>
        <v>#N/A</v>
      </c>
      <c r="AO119" s="17" t="e">
        <f t="shared" si="242"/>
        <v>#N/A</v>
      </c>
      <c r="AP119" s="17" t="e">
        <f t="shared" si="243"/>
        <v>#N/A</v>
      </c>
      <c r="AQ119" s="17" t="e">
        <f t="shared" si="244"/>
        <v>#N/A</v>
      </c>
      <c r="AR119" s="17" t="e">
        <f t="shared" si="245"/>
        <v>#N/A</v>
      </c>
      <c r="AS119" s="17" t="e">
        <f t="shared" si="246"/>
        <v>#N/A</v>
      </c>
      <c r="AT119" s="66"/>
      <c r="AU119" s="4">
        <v>11</v>
      </c>
      <c r="AV119" s="4">
        <f t="shared" si="247"/>
        <v>15</v>
      </c>
      <c r="AW119" s="17" t="e">
        <f t="shared" si="248"/>
        <v>#N/A</v>
      </c>
      <c r="AX119" s="17" t="e">
        <f t="shared" si="249"/>
        <v>#N/A</v>
      </c>
      <c r="AY119" s="17" t="e">
        <f t="shared" si="250"/>
        <v>#N/A</v>
      </c>
      <c r="AZ119" s="17" t="e">
        <f t="shared" si="251"/>
        <v>#N/A</v>
      </c>
      <c r="BA119" s="17" t="e">
        <f t="shared" si="252"/>
        <v>#N/A</v>
      </c>
      <c r="BB119" s="17" t="e">
        <f t="shared" si="253"/>
        <v>#N/A</v>
      </c>
      <c r="BC119" s="17" t="e">
        <f t="shared" si="254"/>
        <v>#N/A</v>
      </c>
      <c r="BD119" s="17" t="e">
        <f t="shared" si="255"/>
        <v>#N/A</v>
      </c>
      <c r="BE119" s="17" t="e">
        <f t="shared" si="256"/>
        <v>#N/A</v>
      </c>
      <c r="BF119" s="17" t="e">
        <f t="shared" si="257"/>
        <v>#N/A</v>
      </c>
      <c r="BG119" s="17" t="e">
        <f t="shared" si="258"/>
        <v>#N/A</v>
      </c>
      <c r="BH119" s="65" t="e">
        <f t="shared" si="259"/>
        <v>#N/A</v>
      </c>
    </row>
    <row r="120" spans="2:60">
      <c r="B120" s="57">
        <v>12</v>
      </c>
      <c r="C120" s="4">
        <f t="shared" si="208"/>
        <v>0</v>
      </c>
      <c r="D120" s="17" t="e">
        <f t="shared" si="209"/>
        <v>#N/A</v>
      </c>
      <c r="E120" s="17" t="e">
        <f t="shared" si="210"/>
        <v>#N/A</v>
      </c>
      <c r="F120" s="17" t="e">
        <f t="shared" si="211"/>
        <v>#N/A</v>
      </c>
      <c r="G120" s="17" t="e">
        <f t="shared" si="212"/>
        <v>#N/A</v>
      </c>
      <c r="H120" s="17" t="e">
        <f t="shared" si="213"/>
        <v>#N/A</v>
      </c>
      <c r="I120" s="17" t="e">
        <f t="shared" si="214"/>
        <v>#N/A</v>
      </c>
      <c r="J120" s="17" t="e">
        <f t="shared" si="215"/>
        <v>#N/A</v>
      </c>
      <c r="K120" s="17" t="e">
        <f t="shared" si="216"/>
        <v>#N/A</v>
      </c>
      <c r="L120" s="17" t="e">
        <f t="shared" si="217"/>
        <v>#N/A</v>
      </c>
      <c r="M120" s="17" t="e">
        <f t="shared" si="218"/>
        <v>#N/A</v>
      </c>
      <c r="N120" s="17" t="e">
        <f t="shared" si="219"/>
        <v>#N/A</v>
      </c>
      <c r="O120" s="17" t="e">
        <f t="shared" si="220"/>
        <v>#N/A</v>
      </c>
      <c r="P120" s="2"/>
      <c r="Q120" s="4">
        <v>12</v>
      </c>
      <c r="R120" s="4">
        <f t="shared" si="221"/>
        <v>0</v>
      </c>
      <c r="S120" s="17" t="e">
        <f t="shared" si="222"/>
        <v>#N/A</v>
      </c>
      <c r="T120" s="17" t="e">
        <f t="shared" si="223"/>
        <v>#N/A</v>
      </c>
      <c r="U120" s="17" t="e">
        <f t="shared" si="224"/>
        <v>#N/A</v>
      </c>
      <c r="V120" s="17" t="e">
        <f t="shared" si="225"/>
        <v>#N/A</v>
      </c>
      <c r="W120" s="17" t="e">
        <f t="shared" si="226"/>
        <v>#N/A</v>
      </c>
      <c r="X120" s="17" t="e">
        <f t="shared" si="227"/>
        <v>#N/A</v>
      </c>
      <c r="Y120" s="17" t="e">
        <f t="shared" si="228"/>
        <v>#N/A</v>
      </c>
      <c r="Z120" s="17" t="e">
        <f t="shared" si="229"/>
        <v>#N/A</v>
      </c>
      <c r="AA120" s="17" t="e">
        <f t="shared" si="230"/>
        <v>#N/A</v>
      </c>
      <c r="AB120" s="17" t="e">
        <f t="shared" si="231"/>
        <v>#N/A</v>
      </c>
      <c r="AC120" s="17" t="e">
        <f t="shared" si="232"/>
        <v>#N/A</v>
      </c>
      <c r="AD120" s="17" t="e">
        <f t="shared" si="233"/>
        <v>#N/A</v>
      </c>
      <c r="AE120" s="2"/>
      <c r="AF120" s="4">
        <v>12</v>
      </c>
      <c r="AG120" s="4">
        <f t="shared" si="234"/>
        <v>0</v>
      </c>
      <c r="AH120" s="17" t="e">
        <f t="shared" si="235"/>
        <v>#N/A</v>
      </c>
      <c r="AI120" s="17" t="e">
        <f t="shared" si="236"/>
        <v>#N/A</v>
      </c>
      <c r="AJ120" s="17" t="e">
        <f t="shared" si="237"/>
        <v>#N/A</v>
      </c>
      <c r="AK120" s="17" t="e">
        <f t="shared" si="238"/>
        <v>#N/A</v>
      </c>
      <c r="AL120" s="17" t="e">
        <f t="shared" si="239"/>
        <v>#N/A</v>
      </c>
      <c r="AM120" s="17" t="e">
        <f t="shared" si="240"/>
        <v>#N/A</v>
      </c>
      <c r="AN120" s="17" t="e">
        <f t="shared" si="241"/>
        <v>#N/A</v>
      </c>
      <c r="AO120" s="17" t="e">
        <f t="shared" si="242"/>
        <v>#N/A</v>
      </c>
      <c r="AP120" s="17" t="e">
        <f t="shared" si="243"/>
        <v>#N/A</v>
      </c>
      <c r="AQ120" s="17" t="e">
        <f t="shared" si="244"/>
        <v>#N/A</v>
      </c>
      <c r="AR120" s="17" t="e">
        <f t="shared" si="245"/>
        <v>#N/A</v>
      </c>
      <c r="AS120" s="17" t="e">
        <f t="shared" si="246"/>
        <v>#N/A</v>
      </c>
      <c r="AT120" s="66"/>
      <c r="AU120" s="4">
        <v>12</v>
      </c>
      <c r="AV120" s="4">
        <f t="shared" si="247"/>
        <v>0</v>
      </c>
      <c r="AW120" s="17" t="e">
        <f t="shared" si="248"/>
        <v>#N/A</v>
      </c>
      <c r="AX120" s="17" t="e">
        <f t="shared" si="249"/>
        <v>#N/A</v>
      </c>
      <c r="AY120" s="17" t="e">
        <f t="shared" si="250"/>
        <v>#N/A</v>
      </c>
      <c r="AZ120" s="17" t="e">
        <f t="shared" si="251"/>
        <v>#N/A</v>
      </c>
      <c r="BA120" s="17" t="e">
        <f t="shared" si="252"/>
        <v>#N/A</v>
      </c>
      <c r="BB120" s="17" t="e">
        <f t="shared" si="253"/>
        <v>#N/A</v>
      </c>
      <c r="BC120" s="17" t="e">
        <f t="shared" si="254"/>
        <v>#N/A</v>
      </c>
      <c r="BD120" s="17" t="e">
        <f t="shared" si="255"/>
        <v>#N/A</v>
      </c>
      <c r="BE120" s="17" t="e">
        <f t="shared" si="256"/>
        <v>#N/A</v>
      </c>
      <c r="BF120" s="17" t="e">
        <f t="shared" si="257"/>
        <v>#N/A</v>
      </c>
      <c r="BG120" s="17" t="e">
        <f t="shared" si="258"/>
        <v>#N/A</v>
      </c>
      <c r="BH120" s="65" t="e">
        <f t="shared" si="259"/>
        <v>#N/A</v>
      </c>
    </row>
    <row r="121" spans="2:60">
      <c r="B121" s="57">
        <v>13</v>
      </c>
      <c r="C121" s="4">
        <f t="shared" si="208"/>
        <v>-15</v>
      </c>
      <c r="D121" s="17" t="e">
        <f t="shared" si="209"/>
        <v>#N/A</v>
      </c>
      <c r="E121" s="17" t="e">
        <f t="shared" si="210"/>
        <v>#N/A</v>
      </c>
      <c r="F121" s="17" t="e">
        <f t="shared" si="211"/>
        <v>#N/A</v>
      </c>
      <c r="G121" s="17" t="e">
        <f t="shared" si="212"/>
        <v>#N/A</v>
      </c>
      <c r="H121" s="17" t="e">
        <f t="shared" si="213"/>
        <v>#N/A</v>
      </c>
      <c r="I121" s="17" t="e">
        <f t="shared" si="214"/>
        <v>#N/A</v>
      </c>
      <c r="J121" s="17" t="e">
        <f t="shared" si="215"/>
        <v>#N/A</v>
      </c>
      <c r="K121" s="17" t="e">
        <f t="shared" si="216"/>
        <v>#N/A</v>
      </c>
      <c r="L121" s="17" t="e">
        <f t="shared" si="217"/>
        <v>#N/A</v>
      </c>
      <c r="M121" s="17" t="e">
        <f t="shared" si="218"/>
        <v>#N/A</v>
      </c>
      <c r="N121" s="17" t="e">
        <f t="shared" si="219"/>
        <v>#N/A</v>
      </c>
      <c r="O121" s="17" t="e">
        <f t="shared" si="220"/>
        <v>#N/A</v>
      </c>
      <c r="P121" s="2"/>
      <c r="Q121" s="4">
        <v>13</v>
      </c>
      <c r="R121" s="4">
        <f t="shared" si="221"/>
        <v>-15</v>
      </c>
      <c r="S121" s="17" t="e">
        <f t="shared" si="222"/>
        <v>#N/A</v>
      </c>
      <c r="T121" s="17" t="e">
        <f t="shared" si="223"/>
        <v>#N/A</v>
      </c>
      <c r="U121" s="17" t="e">
        <f t="shared" si="224"/>
        <v>#N/A</v>
      </c>
      <c r="V121" s="17" t="e">
        <f t="shared" si="225"/>
        <v>#N/A</v>
      </c>
      <c r="W121" s="17" t="e">
        <f t="shared" si="226"/>
        <v>#N/A</v>
      </c>
      <c r="X121" s="17" t="e">
        <f t="shared" si="227"/>
        <v>#N/A</v>
      </c>
      <c r="Y121" s="17" t="e">
        <f t="shared" si="228"/>
        <v>#N/A</v>
      </c>
      <c r="Z121" s="17" t="e">
        <f t="shared" si="229"/>
        <v>#N/A</v>
      </c>
      <c r="AA121" s="17" t="e">
        <f t="shared" si="230"/>
        <v>#N/A</v>
      </c>
      <c r="AB121" s="17" t="e">
        <f t="shared" si="231"/>
        <v>#N/A</v>
      </c>
      <c r="AC121" s="17" t="e">
        <f t="shared" si="232"/>
        <v>#N/A</v>
      </c>
      <c r="AD121" s="17" t="e">
        <f t="shared" si="233"/>
        <v>#N/A</v>
      </c>
      <c r="AE121" s="2"/>
      <c r="AF121" s="4">
        <v>13</v>
      </c>
      <c r="AG121" s="4">
        <f t="shared" si="234"/>
        <v>-15</v>
      </c>
      <c r="AH121" s="17" t="e">
        <f t="shared" si="235"/>
        <v>#N/A</v>
      </c>
      <c r="AI121" s="17" t="e">
        <f t="shared" si="236"/>
        <v>#N/A</v>
      </c>
      <c r="AJ121" s="17" t="e">
        <f t="shared" si="237"/>
        <v>#N/A</v>
      </c>
      <c r="AK121" s="17" t="e">
        <f t="shared" si="238"/>
        <v>#N/A</v>
      </c>
      <c r="AL121" s="17" t="e">
        <f t="shared" si="239"/>
        <v>#N/A</v>
      </c>
      <c r="AM121" s="17" t="e">
        <f t="shared" si="240"/>
        <v>#N/A</v>
      </c>
      <c r="AN121" s="17" t="e">
        <f t="shared" si="241"/>
        <v>#N/A</v>
      </c>
      <c r="AO121" s="17" t="e">
        <f t="shared" si="242"/>
        <v>#N/A</v>
      </c>
      <c r="AP121" s="17" t="e">
        <f t="shared" si="243"/>
        <v>#N/A</v>
      </c>
      <c r="AQ121" s="17" t="e">
        <f t="shared" si="244"/>
        <v>#N/A</v>
      </c>
      <c r="AR121" s="17" t="e">
        <f t="shared" si="245"/>
        <v>#N/A</v>
      </c>
      <c r="AS121" s="17" t="e">
        <f t="shared" si="246"/>
        <v>#N/A</v>
      </c>
      <c r="AT121" s="66"/>
      <c r="AU121" s="4">
        <v>13</v>
      </c>
      <c r="AV121" s="4">
        <f t="shared" si="247"/>
        <v>-15</v>
      </c>
      <c r="AW121" s="17" t="e">
        <f t="shared" si="248"/>
        <v>#N/A</v>
      </c>
      <c r="AX121" s="17" t="e">
        <f t="shared" si="249"/>
        <v>#N/A</v>
      </c>
      <c r="AY121" s="17" t="e">
        <f t="shared" si="250"/>
        <v>#N/A</v>
      </c>
      <c r="AZ121" s="17" t="e">
        <f t="shared" si="251"/>
        <v>#N/A</v>
      </c>
      <c r="BA121" s="17" t="e">
        <f t="shared" si="252"/>
        <v>#N/A</v>
      </c>
      <c r="BB121" s="17" t="e">
        <f t="shared" si="253"/>
        <v>#N/A</v>
      </c>
      <c r="BC121" s="17" t="e">
        <f t="shared" si="254"/>
        <v>#N/A</v>
      </c>
      <c r="BD121" s="17" t="e">
        <f t="shared" si="255"/>
        <v>#N/A</v>
      </c>
      <c r="BE121" s="17" t="e">
        <f t="shared" si="256"/>
        <v>#N/A</v>
      </c>
      <c r="BF121" s="17" t="e">
        <f t="shared" si="257"/>
        <v>#N/A</v>
      </c>
      <c r="BG121" s="17" t="e">
        <f t="shared" si="258"/>
        <v>#N/A</v>
      </c>
      <c r="BH121" s="65" t="e">
        <f t="shared" si="259"/>
        <v>#N/A</v>
      </c>
    </row>
    <row r="122" spans="2:60">
      <c r="B122" s="57">
        <v>14</v>
      </c>
      <c r="C122" s="4">
        <f t="shared" si="208"/>
        <v>-30</v>
      </c>
      <c r="D122" s="17" t="e">
        <f t="shared" si="209"/>
        <v>#N/A</v>
      </c>
      <c r="E122" s="17" t="e">
        <f t="shared" si="210"/>
        <v>#N/A</v>
      </c>
      <c r="F122" s="17" t="e">
        <f t="shared" si="211"/>
        <v>#N/A</v>
      </c>
      <c r="G122" s="17" t="e">
        <f t="shared" si="212"/>
        <v>#N/A</v>
      </c>
      <c r="H122" s="17" t="e">
        <f t="shared" si="213"/>
        <v>#N/A</v>
      </c>
      <c r="I122" s="17" t="e">
        <f t="shared" si="214"/>
        <v>#N/A</v>
      </c>
      <c r="J122" s="17" t="e">
        <f t="shared" si="215"/>
        <v>#N/A</v>
      </c>
      <c r="K122" s="17" t="e">
        <f t="shared" si="216"/>
        <v>#N/A</v>
      </c>
      <c r="L122" s="17" t="e">
        <f t="shared" si="217"/>
        <v>#N/A</v>
      </c>
      <c r="M122" s="17" t="e">
        <f t="shared" si="218"/>
        <v>#N/A</v>
      </c>
      <c r="N122" s="17" t="e">
        <f t="shared" si="219"/>
        <v>#N/A</v>
      </c>
      <c r="O122" s="17" t="e">
        <f t="shared" si="220"/>
        <v>#N/A</v>
      </c>
      <c r="P122" s="2"/>
      <c r="Q122" s="4">
        <v>14</v>
      </c>
      <c r="R122" s="4">
        <f t="shared" si="221"/>
        <v>-30</v>
      </c>
      <c r="S122" s="17" t="e">
        <f t="shared" si="222"/>
        <v>#N/A</v>
      </c>
      <c r="T122" s="17" t="e">
        <f t="shared" si="223"/>
        <v>#N/A</v>
      </c>
      <c r="U122" s="17" t="e">
        <f t="shared" si="224"/>
        <v>#N/A</v>
      </c>
      <c r="V122" s="17" t="e">
        <f t="shared" si="225"/>
        <v>#N/A</v>
      </c>
      <c r="W122" s="17" t="e">
        <f t="shared" si="226"/>
        <v>#N/A</v>
      </c>
      <c r="X122" s="17" t="e">
        <f t="shared" si="227"/>
        <v>#N/A</v>
      </c>
      <c r="Y122" s="17" t="e">
        <f t="shared" si="228"/>
        <v>#N/A</v>
      </c>
      <c r="Z122" s="17" t="e">
        <f t="shared" si="229"/>
        <v>#N/A</v>
      </c>
      <c r="AA122" s="17" t="e">
        <f t="shared" si="230"/>
        <v>#N/A</v>
      </c>
      <c r="AB122" s="17" t="e">
        <f t="shared" si="231"/>
        <v>#N/A</v>
      </c>
      <c r="AC122" s="17" t="e">
        <f t="shared" si="232"/>
        <v>#N/A</v>
      </c>
      <c r="AD122" s="17" t="e">
        <f t="shared" si="233"/>
        <v>#N/A</v>
      </c>
      <c r="AE122" s="2"/>
      <c r="AF122" s="4">
        <v>14</v>
      </c>
      <c r="AG122" s="4">
        <f t="shared" si="234"/>
        <v>-30</v>
      </c>
      <c r="AH122" s="17" t="e">
        <f t="shared" si="235"/>
        <v>#N/A</v>
      </c>
      <c r="AI122" s="17" t="e">
        <f t="shared" si="236"/>
        <v>#N/A</v>
      </c>
      <c r="AJ122" s="17" t="e">
        <f t="shared" si="237"/>
        <v>#N/A</v>
      </c>
      <c r="AK122" s="17" t="e">
        <f t="shared" si="238"/>
        <v>#N/A</v>
      </c>
      <c r="AL122" s="17" t="e">
        <f t="shared" si="239"/>
        <v>#N/A</v>
      </c>
      <c r="AM122" s="17" t="e">
        <f t="shared" si="240"/>
        <v>#N/A</v>
      </c>
      <c r="AN122" s="17" t="e">
        <f t="shared" si="241"/>
        <v>#N/A</v>
      </c>
      <c r="AO122" s="17" t="e">
        <f t="shared" si="242"/>
        <v>#N/A</v>
      </c>
      <c r="AP122" s="17" t="e">
        <f t="shared" si="243"/>
        <v>#N/A</v>
      </c>
      <c r="AQ122" s="17" t="e">
        <f t="shared" si="244"/>
        <v>#N/A</v>
      </c>
      <c r="AR122" s="17" t="e">
        <f t="shared" si="245"/>
        <v>#N/A</v>
      </c>
      <c r="AS122" s="17" t="e">
        <f t="shared" si="246"/>
        <v>#N/A</v>
      </c>
      <c r="AT122" s="66"/>
      <c r="AU122" s="4">
        <v>14</v>
      </c>
      <c r="AV122" s="4">
        <f t="shared" si="247"/>
        <v>-30</v>
      </c>
      <c r="AW122" s="17" t="e">
        <f t="shared" si="248"/>
        <v>#N/A</v>
      </c>
      <c r="AX122" s="17" t="e">
        <f t="shared" si="249"/>
        <v>#N/A</v>
      </c>
      <c r="AY122" s="17" t="e">
        <f t="shared" si="250"/>
        <v>#N/A</v>
      </c>
      <c r="AZ122" s="17" t="e">
        <f t="shared" si="251"/>
        <v>#N/A</v>
      </c>
      <c r="BA122" s="17" t="e">
        <f t="shared" si="252"/>
        <v>#N/A</v>
      </c>
      <c r="BB122" s="17" t="e">
        <f t="shared" si="253"/>
        <v>#N/A</v>
      </c>
      <c r="BC122" s="17" t="e">
        <f t="shared" si="254"/>
        <v>#N/A</v>
      </c>
      <c r="BD122" s="17" t="e">
        <f t="shared" si="255"/>
        <v>#N/A</v>
      </c>
      <c r="BE122" s="17" t="e">
        <f t="shared" si="256"/>
        <v>#N/A</v>
      </c>
      <c r="BF122" s="17" t="e">
        <f t="shared" si="257"/>
        <v>#N/A</v>
      </c>
      <c r="BG122" s="17" t="e">
        <f t="shared" si="258"/>
        <v>#N/A</v>
      </c>
      <c r="BH122" s="65" t="e">
        <f t="shared" si="259"/>
        <v>#N/A</v>
      </c>
    </row>
    <row r="123" spans="2:60">
      <c r="B123" s="57">
        <v>15</v>
      </c>
      <c r="C123" s="4">
        <f t="shared" si="208"/>
        <v>-45</v>
      </c>
      <c r="D123" s="17" t="e">
        <f t="shared" si="209"/>
        <v>#N/A</v>
      </c>
      <c r="E123" s="17" t="e">
        <f t="shared" si="210"/>
        <v>#N/A</v>
      </c>
      <c r="F123" s="17" t="e">
        <f t="shared" si="211"/>
        <v>#N/A</v>
      </c>
      <c r="G123" s="17" t="e">
        <f t="shared" si="212"/>
        <v>#N/A</v>
      </c>
      <c r="H123" s="17" t="e">
        <f t="shared" si="213"/>
        <v>#N/A</v>
      </c>
      <c r="I123" s="17" t="e">
        <f t="shared" si="214"/>
        <v>#N/A</v>
      </c>
      <c r="J123" s="17" t="e">
        <f t="shared" si="215"/>
        <v>#N/A</v>
      </c>
      <c r="K123" s="17" t="e">
        <f t="shared" si="216"/>
        <v>#N/A</v>
      </c>
      <c r="L123" s="17" t="e">
        <f t="shared" si="217"/>
        <v>#N/A</v>
      </c>
      <c r="M123" s="17" t="e">
        <f t="shared" si="218"/>
        <v>#N/A</v>
      </c>
      <c r="N123" s="17" t="e">
        <f t="shared" si="219"/>
        <v>#N/A</v>
      </c>
      <c r="O123" s="17" t="e">
        <f t="shared" si="220"/>
        <v>#N/A</v>
      </c>
      <c r="P123" s="2"/>
      <c r="Q123" s="4">
        <v>15</v>
      </c>
      <c r="R123" s="4">
        <f t="shared" si="221"/>
        <v>-45</v>
      </c>
      <c r="S123" s="17" t="e">
        <f t="shared" si="222"/>
        <v>#N/A</v>
      </c>
      <c r="T123" s="17" t="e">
        <f t="shared" si="223"/>
        <v>#N/A</v>
      </c>
      <c r="U123" s="17" t="e">
        <f t="shared" si="224"/>
        <v>#N/A</v>
      </c>
      <c r="V123" s="17" t="e">
        <f t="shared" si="225"/>
        <v>#N/A</v>
      </c>
      <c r="W123" s="17" t="e">
        <f t="shared" si="226"/>
        <v>#N/A</v>
      </c>
      <c r="X123" s="17" t="e">
        <f t="shared" si="227"/>
        <v>#N/A</v>
      </c>
      <c r="Y123" s="17" t="e">
        <f t="shared" si="228"/>
        <v>#N/A</v>
      </c>
      <c r="Z123" s="17" t="e">
        <f t="shared" si="229"/>
        <v>#N/A</v>
      </c>
      <c r="AA123" s="17" t="e">
        <f t="shared" si="230"/>
        <v>#N/A</v>
      </c>
      <c r="AB123" s="17" t="e">
        <f t="shared" si="231"/>
        <v>#N/A</v>
      </c>
      <c r="AC123" s="17" t="e">
        <f t="shared" si="232"/>
        <v>#N/A</v>
      </c>
      <c r="AD123" s="17" t="e">
        <f t="shared" si="233"/>
        <v>#N/A</v>
      </c>
      <c r="AE123" s="2"/>
      <c r="AF123" s="4">
        <v>15</v>
      </c>
      <c r="AG123" s="4">
        <f t="shared" si="234"/>
        <v>-45</v>
      </c>
      <c r="AH123" s="17" t="e">
        <f t="shared" si="235"/>
        <v>#N/A</v>
      </c>
      <c r="AI123" s="17" t="e">
        <f t="shared" si="236"/>
        <v>#N/A</v>
      </c>
      <c r="AJ123" s="17" t="e">
        <f t="shared" si="237"/>
        <v>#N/A</v>
      </c>
      <c r="AK123" s="17" t="e">
        <f t="shared" si="238"/>
        <v>#N/A</v>
      </c>
      <c r="AL123" s="17" t="e">
        <f t="shared" si="239"/>
        <v>#N/A</v>
      </c>
      <c r="AM123" s="17" t="e">
        <f t="shared" si="240"/>
        <v>#N/A</v>
      </c>
      <c r="AN123" s="17" t="e">
        <f t="shared" si="241"/>
        <v>#N/A</v>
      </c>
      <c r="AO123" s="17" t="e">
        <f t="shared" si="242"/>
        <v>#N/A</v>
      </c>
      <c r="AP123" s="17" t="e">
        <f t="shared" si="243"/>
        <v>#N/A</v>
      </c>
      <c r="AQ123" s="17" t="e">
        <f t="shared" si="244"/>
        <v>#N/A</v>
      </c>
      <c r="AR123" s="17" t="e">
        <f t="shared" si="245"/>
        <v>#N/A</v>
      </c>
      <c r="AS123" s="17" t="e">
        <f t="shared" si="246"/>
        <v>#N/A</v>
      </c>
      <c r="AT123" s="66"/>
      <c r="AU123" s="4">
        <v>15</v>
      </c>
      <c r="AV123" s="4">
        <f t="shared" si="247"/>
        <v>-45</v>
      </c>
      <c r="AW123" s="17" t="e">
        <f t="shared" si="248"/>
        <v>#N/A</v>
      </c>
      <c r="AX123" s="17" t="e">
        <f t="shared" si="249"/>
        <v>#N/A</v>
      </c>
      <c r="AY123" s="17" t="e">
        <f t="shared" si="250"/>
        <v>#N/A</v>
      </c>
      <c r="AZ123" s="17" t="e">
        <f t="shared" si="251"/>
        <v>#N/A</v>
      </c>
      <c r="BA123" s="17" t="e">
        <f t="shared" si="252"/>
        <v>#N/A</v>
      </c>
      <c r="BB123" s="17" t="e">
        <f t="shared" si="253"/>
        <v>#N/A</v>
      </c>
      <c r="BC123" s="17" t="e">
        <f t="shared" si="254"/>
        <v>#N/A</v>
      </c>
      <c r="BD123" s="17" t="e">
        <f t="shared" si="255"/>
        <v>#N/A</v>
      </c>
      <c r="BE123" s="17" t="e">
        <f t="shared" si="256"/>
        <v>#N/A</v>
      </c>
      <c r="BF123" s="17" t="e">
        <f t="shared" si="257"/>
        <v>#N/A</v>
      </c>
      <c r="BG123" s="17" t="e">
        <f t="shared" si="258"/>
        <v>#N/A</v>
      </c>
      <c r="BH123" s="65" t="e">
        <f t="shared" si="259"/>
        <v>#N/A</v>
      </c>
    </row>
    <row r="124" spans="2:60">
      <c r="B124" s="57">
        <v>16</v>
      </c>
      <c r="C124" s="4">
        <f t="shared" si="208"/>
        <v>-60</v>
      </c>
      <c r="D124" s="17" t="e">
        <f t="shared" si="209"/>
        <v>#N/A</v>
      </c>
      <c r="E124" s="17" t="e">
        <f t="shared" si="210"/>
        <v>#N/A</v>
      </c>
      <c r="F124" s="17" t="e">
        <f t="shared" si="211"/>
        <v>#N/A</v>
      </c>
      <c r="G124" s="17" t="e">
        <f t="shared" si="212"/>
        <v>#N/A</v>
      </c>
      <c r="H124" s="17" t="e">
        <f t="shared" si="213"/>
        <v>#N/A</v>
      </c>
      <c r="I124" s="17" t="e">
        <f t="shared" si="214"/>
        <v>#N/A</v>
      </c>
      <c r="J124" s="17" t="e">
        <f t="shared" si="215"/>
        <v>#N/A</v>
      </c>
      <c r="K124" s="17" t="e">
        <f t="shared" si="216"/>
        <v>#N/A</v>
      </c>
      <c r="L124" s="17" t="e">
        <f t="shared" si="217"/>
        <v>#N/A</v>
      </c>
      <c r="M124" s="17" t="e">
        <f t="shared" si="218"/>
        <v>#N/A</v>
      </c>
      <c r="N124" s="17" t="e">
        <f t="shared" si="219"/>
        <v>#N/A</v>
      </c>
      <c r="O124" s="17" t="e">
        <f t="shared" si="220"/>
        <v>#N/A</v>
      </c>
      <c r="P124" s="2"/>
      <c r="Q124" s="4">
        <v>16</v>
      </c>
      <c r="R124" s="4">
        <f t="shared" si="221"/>
        <v>-60</v>
      </c>
      <c r="S124" s="17" t="e">
        <f t="shared" si="222"/>
        <v>#N/A</v>
      </c>
      <c r="T124" s="17" t="e">
        <f t="shared" si="223"/>
        <v>#N/A</v>
      </c>
      <c r="U124" s="17" t="e">
        <f t="shared" si="224"/>
        <v>#N/A</v>
      </c>
      <c r="V124" s="17" t="e">
        <f t="shared" si="225"/>
        <v>#N/A</v>
      </c>
      <c r="W124" s="17" t="e">
        <f t="shared" si="226"/>
        <v>#N/A</v>
      </c>
      <c r="X124" s="17" t="e">
        <f t="shared" si="227"/>
        <v>#N/A</v>
      </c>
      <c r="Y124" s="17" t="e">
        <f t="shared" si="228"/>
        <v>#N/A</v>
      </c>
      <c r="Z124" s="17" t="e">
        <f t="shared" si="229"/>
        <v>#N/A</v>
      </c>
      <c r="AA124" s="17" t="e">
        <f t="shared" si="230"/>
        <v>#N/A</v>
      </c>
      <c r="AB124" s="17" t="e">
        <f t="shared" si="231"/>
        <v>#N/A</v>
      </c>
      <c r="AC124" s="17" t="e">
        <f t="shared" si="232"/>
        <v>#N/A</v>
      </c>
      <c r="AD124" s="17" t="e">
        <f t="shared" si="233"/>
        <v>#N/A</v>
      </c>
      <c r="AE124" s="2"/>
      <c r="AF124" s="4">
        <v>16</v>
      </c>
      <c r="AG124" s="4">
        <f t="shared" si="234"/>
        <v>-60</v>
      </c>
      <c r="AH124" s="17" t="e">
        <f t="shared" si="235"/>
        <v>#N/A</v>
      </c>
      <c r="AI124" s="17" t="e">
        <f t="shared" si="236"/>
        <v>#N/A</v>
      </c>
      <c r="AJ124" s="17" t="e">
        <f t="shared" si="237"/>
        <v>#N/A</v>
      </c>
      <c r="AK124" s="17" t="e">
        <f t="shared" si="238"/>
        <v>#N/A</v>
      </c>
      <c r="AL124" s="17" t="e">
        <f t="shared" si="239"/>
        <v>#N/A</v>
      </c>
      <c r="AM124" s="17" t="e">
        <f t="shared" si="240"/>
        <v>#N/A</v>
      </c>
      <c r="AN124" s="17" t="e">
        <f t="shared" si="241"/>
        <v>#N/A</v>
      </c>
      <c r="AO124" s="17" t="e">
        <f t="shared" si="242"/>
        <v>#N/A</v>
      </c>
      <c r="AP124" s="17" t="e">
        <f t="shared" si="243"/>
        <v>#N/A</v>
      </c>
      <c r="AQ124" s="17" t="e">
        <f t="shared" si="244"/>
        <v>#N/A</v>
      </c>
      <c r="AR124" s="17" t="e">
        <f t="shared" si="245"/>
        <v>#N/A</v>
      </c>
      <c r="AS124" s="17" t="e">
        <f t="shared" si="246"/>
        <v>#N/A</v>
      </c>
      <c r="AT124" s="66"/>
      <c r="AU124" s="4">
        <v>16</v>
      </c>
      <c r="AV124" s="4">
        <f t="shared" si="247"/>
        <v>-60</v>
      </c>
      <c r="AW124" s="17" t="e">
        <f t="shared" si="248"/>
        <v>#N/A</v>
      </c>
      <c r="AX124" s="17" t="e">
        <f t="shared" si="249"/>
        <v>#N/A</v>
      </c>
      <c r="AY124" s="17" t="e">
        <f t="shared" si="250"/>
        <v>#N/A</v>
      </c>
      <c r="AZ124" s="17" t="e">
        <f t="shared" si="251"/>
        <v>#N/A</v>
      </c>
      <c r="BA124" s="17" t="e">
        <f t="shared" si="252"/>
        <v>#N/A</v>
      </c>
      <c r="BB124" s="17" t="e">
        <f t="shared" si="253"/>
        <v>#N/A</v>
      </c>
      <c r="BC124" s="17" t="e">
        <f t="shared" si="254"/>
        <v>#N/A</v>
      </c>
      <c r="BD124" s="17" t="e">
        <f t="shared" si="255"/>
        <v>#N/A</v>
      </c>
      <c r="BE124" s="17" t="e">
        <f t="shared" si="256"/>
        <v>#N/A</v>
      </c>
      <c r="BF124" s="17" t="e">
        <f t="shared" si="257"/>
        <v>#N/A</v>
      </c>
      <c r="BG124" s="17" t="e">
        <f t="shared" si="258"/>
        <v>#N/A</v>
      </c>
      <c r="BH124" s="65" t="e">
        <f t="shared" si="259"/>
        <v>#N/A</v>
      </c>
    </row>
    <row r="125" spans="2:60">
      <c r="B125" s="57">
        <v>17</v>
      </c>
      <c r="C125" s="4">
        <f t="shared" si="208"/>
        <v>-75</v>
      </c>
      <c r="D125" s="17" t="e">
        <f t="shared" si="209"/>
        <v>#N/A</v>
      </c>
      <c r="E125" s="17" t="e">
        <f t="shared" si="210"/>
        <v>#N/A</v>
      </c>
      <c r="F125" s="17" t="e">
        <f t="shared" si="211"/>
        <v>#N/A</v>
      </c>
      <c r="G125" s="17" t="e">
        <f t="shared" si="212"/>
        <v>#N/A</v>
      </c>
      <c r="H125" s="17" t="e">
        <f t="shared" si="213"/>
        <v>#N/A</v>
      </c>
      <c r="I125" s="17" t="e">
        <f t="shared" si="214"/>
        <v>#N/A</v>
      </c>
      <c r="J125" s="17" t="e">
        <f t="shared" si="215"/>
        <v>#N/A</v>
      </c>
      <c r="K125" s="17" t="e">
        <f t="shared" si="216"/>
        <v>#N/A</v>
      </c>
      <c r="L125" s="17" t="e">
        <f t="shared" si="217"/>
        <v>#N/A</v>
      </c>
      <c r="M125" s="17" t="e">
        <f t="shared" si="218"/>
        <v>#N/A</v>
      </c>
      <c r="N125" s="17" t="e">
        <f t="shared" si="219"/>
        <v>#N/A</v>
      </c>
      <c r="O125" s="17" t="e">
        <f t="shared" si="220"/>
        <v>#N/A</v>
      </c>
      <c r="P125" s="2"/>
      <c r="Q125" s="4">
        <v>17</v>
      </c>
      <c r="R125" s="4">
        <f t="shared" si="221"/>
        <v>-75</v>
      </c>
      <c r="S125" s="17" t="e">
        <f t="shared" si="222"/>
        <v>#N/A</v>
      </c>
      <c r="T125" s="17" t="e">
        <f t="shared" si="223"/>
        <v>#N/A</v>
      </c>
      <c r="U125" s="17" t="e">
        <f t="shared" si="224"/>
        <v>#N/A</v>
      </c>
      <c r="V125" s="17" t="e">
        <f t="shared" si="225"/>
        <v>#N/A</v>
      </c>
      <c r="W125" s="17" t="e">
        <f t="shared" si="226"/>
        <v>#N/A</v>
      </c>
      <c r="X125" s="17" t="e">
        <f t="shared" si="227"/>
        <v>#N/A</v>
      </c>
      <c r="Y125" s="17" t="e">
        <f t="shared" si="228"/>
        <v>#N/A</v>
      </c>
      <c r="Z125" s="17" t="e">
        <f t="shared" si="229"/>
        <v>#N/A</v>
      </c>
      <c r="AA125" s="17" t="e">
        <f t="shared" si="230"/>
        <v>#N/A</v>
      </c>
      <c r="AB125" s="17" t="e">
        <f t="shared" si="231"/>
        <v>#N/A</v>
      </c>
      <c r="AC125" s="17" t="e">
        <f t="shared" si="232"/>
        <v>#N/A</v>
      </c>
      <c r="AD125" s="17" t="e">
        <f t="shared" si="233"/>
        <v>#N/A</v>
      </c>
      <c r="AE125" s="2"/>
      <c r="AF125" s="4">
        <v>17</v>
      </c>
      <c r="AG125" s="4">
        <f t="shared" si="234"/>
        <v>-75</v>
      </c>
      <c r="AH125" s="17" t="e">
        <f t="shared" si="235"/>
        <v>#N/A</v>
      </c>
      <c r="AI125" s="17" t="e">
        <f t="shared" si="236"/>
        <v>#N/A</v>
      </c>
      <c r="AJ125" s="17" t="e">
        <f t="shared" si="237"/>
        <v>#N/A</v>
      </c>
      <c r="AK125" s="17" t="e">
        <f t="shared" si="238"/>
        <v>#N/A</v>
      </c>
      <c r="AL125" s="17" t="e">
        <f t="shared" si="239"/>
        <v>#N/A</v>
      </c>
      <c r="AM125" s="17" t="e">
        <f t="shared" si="240"/>
        <v>#N/A</v>
      </c>
      <c r="AN125" s="17" t="e">
        <f t="shared" si="241"/>
        <v>#N/A</v>
      </c>
      <c r="AO125" s="17" t="e">
        <f t="shared" si="242"/>
        <v>#N/A</v>
      </c>
      <c r="AP125" s="17" t="e">
        <f t="shared" si="243"/>
        <v>#N/A</v>
      </c>
      <c r="AQ125" s="17" t="e">
        <f t="shared" si="244"/>
        <v>#N/A</v>
      </c>
      <c r="AR125" s="17" t="e">
        <f t="shared" si="245"/>
        <v>#N/A</v>
      </c>
      <c r="AS125" s="17" t="e">
        <f t="shared" si="246"/>
        <v>#N/A</v>
      </c>
      <c r="AT125" s="66"/>
      <c r="AU125" s="4">
        <v>17</v>
      </c>
      <c r="AV125" s="4">
        <f t="shared" si="247"/>
        <v>-75</v>
      </c>
      <c r="AW125" s="17" t="e">
        <f t="shared" si="248"/>
        <v>#N/A</v>
      </c>
      <c r="AX125" s="17" t="e">
        <f t="shared" si="249"/>
        <v>#N/A</v>
      </c>
      <c r="AY125" s="17" t="e">
        <f t="shared" si="250"/>
        <v>#N/A</v>
      </c>
      <c r="AZ125" s="17" t="e">
        <f t="shared" si="251"/>
        <v>#N/A</v>
      </c>
      <c r="BA125" s="17" t="e">
        <f t="shared" si="252"/>
        <v>#N/A</v>
      </c>
      <c r="BB125" s="17" t="e">
        <f t="shared" si="253"/>
        <v>#N/A</v>
      </c>
      <c r="BC125" s="17" t="e">
        <f t="shared" si="254"/>
        <v>#N/A</v>
      </c>
      <c r="BD125" s="17" t="e">
        <f t="shared" si="255"/>
        <v>#N/A</v>
      </c>
      <c r="BE125" s="17" t="e">
        <f t="shared" si="256"/>
        <v>#N/A</v>
      </c>
      <c r="BF125" s="17" t="e">
        <f t="shared" si="257"/>
        <v>#N/A</v>
      </c>
      <c r="BG125" s="17" t="e">
        <f t="shared" si="258"/>
        <v>#N/A</v>
      </c>
      <c r="BH125" s="65" t="e">
        <f t="shared" si="259"/>
        <v>#N/A</v>
      </c>
    </row>
    <row r="126" spans="2:60">
      <c r="B126" s="57">
        <v>18</v>
      </c>
      <c r="C126" s="4">
        <f t="shared" si="208"/>
        <v>-90</v>
      </c>
      <c r="D126" s="17" t="e">
        <f t="shared" si="209"/>
        <v>#N/A</v>
      </c>
      <c r="E126" s="17" t="e">
        <f t="shared" si="210"/>
        <v>#N/A</v>
      </c>
      <c r="F126" s="17" t="e">
        <f t="shared" si="211"/>
        <v>#N/A</v>
      </c>
      <c r="G126" s="17" t="e">
        <f t="shared" si="212"/>
        <v>#N/A</v>
      </c>
      <c r="H126" s="17" t="e">
        <f t="shared" si="213"/>
        <v>#N/A</v>
      </c>
      <c r="I126" s="17" t="e">
        <f t="shared" si="214"/>
        <v>#N/A</v>
      </c>
      <c r="J126" s="17" t="e">
        <f t="shared" si="215"/>
        <v>#N/A</v>
      </c>
      <c r="K126" s="17" t="e">
        <f t="shared" si="216"/>
        <v>#N/A</v>
      </c>
      <c r="L126" s="17" t="e">
        <f t="shared" si="217"/>
        <v>#N/A</v>
      </c>
      <c r="M126" s="17" t="e">
        <f t="shared" si="218"/>
        <v>#N/A</v>
      </c>
      <c r="N126" s="17" t="e">
        <f t="shared" si="219"/>
        <v>#N/A</v>
      </c>
      <c r="O126" s="17" t="e">
        <f t="shared" si="220"/>
        <v>#N/A</v>
      </c>
      <c r="P126" s="2"/>
      <c r="Q126" s="4">
        <v>18</v>
      </c>
      <c r="R126" s="4">
        <f t="shared" si="221"/>
        <v>-90</v>
      </c>
      <c r="S126" s="17" t="e">
        <f t="shared" si="222"/>
        <v>#N/A</v>
      </c>
      <c r="T126" s="17" t="e">
        <f t="shared" si="223"/>
        <v>#N/A</v>
      </c>
      <c r="U126" s="17" t="e">
        <f t="shared" si="224"/>
        <v>#N/A</v>
      </c>
      <c r="V126" s="17" t="e">
        <f t="shared" si="225"/>
        <v>#N/A</v>
      </c>
      <c r="W126" s="17" t="e">
        <f t="shared" si="226"/>
        <v>#N/A</v>
      </c>
      <c r="X126" s="17" t="e">
        <f t="shared" si="227"/>
        <v>#N/A</v>
      </c>
      <c r="Y126" s="17" t="e">
        <f t="shared" si="228"/>
        <v>#N/A</v>
      </c>
      <c r="Z126" s="17" t="e">
        <f t="shared" si="229"/>
        <v>#N/A</v>
      </c>
      <c r="AA126" s="17" t="e">
        <f t="shared" si="230"/>
        <v>#N/A</v>
      </c>
      <c r="AB126" s="17" t="e">
        <f t="shared" si="231"/>
        <v>#N/A</v>
      </c>
      <c r="AC126" s="17" t="e">
        <f t="shared" si="232"/>
        <v>#N/A</v>
      </c>
      <c r="AD126" s="17" t="e">
        <f t="shared" si="233"/>
        <v>#N/A</v>
      </c>
      <c r="AE126" s="2"/>
      <c r="AF126" s="4">
        <v>18</v>
      </c>
      <c r="AG126" s="4">
        <f t="shared" si="234"/>
        <v>-90</v>
      </c>
      <c r="AH126" s="17" t="e">
        <f t="shared" si="235"/>
        <v>#N/A</v>
      </c>
      <c r="AI126" s="17" t="e">
        <f t="shared" si="236"/>
        <v>#N/A</v>
      </c>
      <c r="AJ126" s="17" t="e">
        <f t="shared" si="237"/>
        <v>#N/A</v>
      </c>
      <c r="AK126" s="17" t="e">
        <f t="shared" si="238"/>
        <v>#N/A</v>
      </c>
      <c r="AL126" s="17" t="e">
        <f t="shared" si="239"/>
        <v>#N/A</v>
      </c>
      <c r="AM126" s="17" t="e">
        <f t="shared" si="240"/>
        <v>#N/A</v>
      </c>
      <c r="AN126" s="17" t="e">
        <f t="shared" si="241"/>
        <v>#N/A</v>
      </c>
      <c r="AO126" s="17" t="e">
        <f t="shared" si="242"/>
        <v>#N/A</v>
      </c>
      <c r="AP126" s="17" t="e">
        <f t="shared" si="243"/>
        <v>#N/A</v>
      </c>
      <c r="AQ126" s="17" t="e">
        <f t="shared" si="244"/>
        <v>#N/A</v>
      </c>
      <c r="AR126" s="17" t="e">
        <f t="shared" si="245"/>
        <v>#N/A</v>
      </c>
      <c r="AS126" s="17" t="e">
        <f t="shared" si="246"/>
        <v>#N/A</v>
      </c>
      <c r="AT126" s="66"/>
      <c r="AU126" s="4">
        <v>18</v>
      </c>
      <c r="AV126" s="4">
        <f t="shared" si="247"/>
        <v>-90</v>
      </c>
      <c r="AW126" s="17" t="e">
        <f t="shared" si="248"/>
        <v>#N/A</v>
      </c>
      <c r="AX126" s="17" t="e">
        <f t="shared" si="249"/>
        <v>#N/A</v>
      </c>
      <c r="AY126" s="17" t="e">
        <f t="shared" si="250"/>
        <v>#N/A</v>
      </c>
      <c r="AZ126" s="17" t="e">
        <f t="shared" si="251"/>
        <v>#N/A</v>
      </c>
      <c r="BA126" s="17" t="e">
        <f t="shared" si="252"/>
        <v>#N/A</v>
      </c>
      <c r="BB126" s="17" t="e">
        <f t="shared" si="253"/>
        <v>#N/A</v>
      </c>
      <c r="BC126" s="17" t="e">
        <f t="shared" si="254"/>
        <v>#N/A</v>
      </c>
      <c r="BD126" s="17" t="e">
        <f t="shared" si="255"/>
        <v>#N/A</v>
      </c>
      <c r="BE126" s="17" t="e">
        <f t="shared" si="256"/>
        <v>#N/A</v>
      </c>
      <c r="BF126" s="17" t="e">
        <f t="shared" si="257"/>
        <v>#N/A</v>
      </c>
      <c r="BG126" s="17" t="e">
        <f t="shared" si="258"/>
        <v>#N/A</v>
      </c>
      <c r="BH126" s="65" t="e">
        <f t="shared" si="259"/>
        <v>#N/A</v>
      </c>
    </row>
    <row r="127" spans="2:60">
      <c r="B127" s="57">
        <v>19</v>
      </c>
      <c r="C127" s="4">
        <f t="shared" si="208"/>
        <v>-105</v>
      </c>
      <c r="D127" s="17">
        <f t="shared" si="209"/>
        <v>0</v>
      </c>
      <c r="E127" s="17">
        <f t="shared" si="210"/>
        <v>0</v>
      </c>
      <c r="F127" s="17">
        <f t="shared" si="211"/>
        <v>0</v>
      </c>
      <c r="G127" s="17">
        <f t="shared" si="212"/>
        <v>0</v>
      </c>
      <c r="H127" s="17">
        <f t="shared" si="213"/>
        <v>0</v>
      </c>
      <c r="I127" s="17">
        <f t="shared" si="214"/>
        <v>0</v>
      </c>
      <c r="J127" s="17">
        <f t="shared" si="215"/>
        <v>0</v>
      </c>
      <c r="K127" s="17">
        <f t="shared" si="216"/>
        <v>0</v>
      </c>
      <c r="L127" s="17">
        <f t="shared" si="217"/>
        <v>0</v>
      </c>
      <c r="M127" s="17">
        <f t="shared" si="218"/>
        <v>0</v>
      </c>
      <c r="N127" s="17">
        <f t="shared" si="219"/>
        <v>0</v>
      </c>
      <c r="O127" s="17">
        <f t="shared" si="220"/>
        <v>0</v>
      </c>
      <c r="P127" s="2"/>
      <c r="Q127" s="4">
        <v>19</v>
      </c>
      <c r="R127" s="4">
        <f t="shared" si="221"/>
        <v>-105</v>
      </c>
      <c r="S127" s="17">
        <f t="shared" si="222"/>
        <v>0</v>
      </c>
      <c r="T127" s="17">
        <f t="shared" si="223"/>
        <v>0</v>
      </c>
      <c r="U127" s="17">
        <f t="shared" si="224"/>
        <v>0</v>
      </c>
      <c r="V127" s="17">
        <f t="shared" si="225"/>
        <v>0</v>
      </c>
      <c r="W127" s="17">
        <f t="shared" si="226"/>
        <v>0</v>
      </c>
      <c r="X127" s="17">
        <f t="shared" si="227"/>
        <v>0</v>
      </c>
      <c r="Y127" s="17">
        <f t="shared" si="228"/>
        <v>0</v>
      </c>
      <c r="Z127" s="17">
        <f t="shared" si="229"/>
        <v>0</v>
      </c>
      <c r="AA127" s="17">
        <f t="shared" si="230"/>
        <v>0</v>
      </c>
      <c r="AB127" s="17">
        <f t="shared" si="231"/>
        <v>0</v>
      </c>
      <c r="AC127" s="17">
        <f t="shared" si="232"/>
        <v>0</v>
      </c>
      <c r="AD127" s="17">
        <f t="shared" si="233"/>
        <v>0</v>
      </c>
      <c r="AE127" s="2"/>
      <c r="AF127" s="4">
        <v>19</v>
      </c>
      <c r="AG127" s="4">
        <f t="shared" si="234"/>
        <v>-105</v>
      </c>
      <c r="AH127" s="17">
        <f t="shared" si="235"/>
        <v>0</v>
      </c>
      <c r="AI127" s="17">
        <f t="shared" si="236"/>
        <v>0</v>
      </c>
      <c r="AJ127" s="17">
        <f t="shared" si="237"/>
        <v>0</v>
      </c>
      <c r="AK127" s="17">
        <f t="shared" si="238"/>
        <v>0</v>
      </c>
      <c r="AL127" s="17">
        <f t="shared" si="239"/>
        <v>0</v>
      </c>
      <c r="AM127" s="17">
        <f t="shared" si="240"/>
        <v>0</v>
      </c>
      <c r="AN127" s="17">
        <f t="shared" si="241"/>
        <v>0</v>
      </c>
      <c r="AO127" s="17">
        <f t="shared" si="242"/>
        <v>0</v>
      </c>
      <c r="AP127" s="17">
        <f t="shared" si="243"/>
        <v>0</v>
      </c>
      <c r="AQ127" s="17">
        <f t="shared" si="244"/>
        <v>0</v>
      </c>
      <c r="AR127" s="17">
        <f t="shared" si="245"/>
        <v>0</v>
      </c>
      <c r="AS127" s="17">
        <f t="shared" si="246"/>
        <v>0</v>
      </c>
      <c r="AT127" s="66"/>
      <c r="AU127" s="4">
        <v>19</v>
      </c>
      <c r="AV127" s="4">
        <f t="shared" si="247"/>
        <v>-105</v>
      </c>
      <c r="AW127" s="17">
        <f t="shared" si="248"/>
        <v>0</v>
      </c>
      <c r="AX127" s="17">
        <f t="shared" si="249"/>
        <v>0</v>
      </c>
      <c r="AY127" s="17">
        <f t="shared" si="250"/>
        <v>0</v>
      </c>
      <c r="AZ127" s="17">
        <f t="shared" si="251"/>
        <v>0</v>
      </c>
      <c r="BA127" s="17">
        <f t="shared" si="252"/>
        <v>0</v>
      </c>
      <c r="BB127" s="17">
        <f t="shared" si="253"/>
        <v>0</v>
      </c>
      <c r="BC127" s="17">
        <f t="shared" si="254"/>
        <v>0</v>
      </c>
      <c r="BD127" s="17">
        <f t="shared" si="255"/>
        <v>0</v>
      </c>
      <c r="BE127" s="17">
        <f t="shared" si="256"/>
        <v>0</v>
      </c>
      <c r="BF127" s="17">
        <f t="shared" si="257"/>
        <v>0</v>
      </c>
      <c r="BG127" s="17">
        <f t="shared" si="258"/>
        <v>0</v>
      </c>
      <c r="BH127" s="65">
        <f t="shared" si="259"/>
        <v>0</v>
      </c>
    </row>
    <row r="128" spans="2:60">
      <c r="B128" s="57">
        <v>20</v>
      </c>
      <c r="C128" s="4">
        <f t="shared" si="208"/>
        <v>-120</v>
      </c>
      <c r="D128" s="17">
        <f t="shared" si="209"/>
        <v>0</v>
      </c>
      <c r="E128" s="17">
        <f t="shared" si="210"/>
        <v>0</v>
      </c>
      <c r="F128" s="17">
        <f t="shared" si="211"/>
        <v>0</v>
      </c>
      <c r="G128" s="17">
        <f t="shared" si="212"/>
        <v>0</v>
      </c>
      <c r="H128" s="17">
        <f t="shared" si="213"/>
        <v>0</v>
      </c>
      <c r="I128" s="17">
        <f t="shared" si="214"/>
        <v>0</v>
      </c>
      <c r="J128" s="17">
        <f t="shared" si="215"/>
        <v>0</v>
      </c>
      <c r="K128" s="17">
        <f t="shared" si="216"/>
        <v>0</v>
      </c>
      <c r="L128" s="17">
        <f t="shared" si="217"/>
        <v>0</v>
      </c>
      <c r="M128" s="17">
        <f t="shared" si="218"/>
        <v>0</v>
      </c>
      <c r="N128" s="17">
        <f t="shared" si="219"/>
        <v>0</v>
      </c>
      <c r="O128" s="17">
        <f t="shared" si="220"/>
        <v>0</v>
      </c>
      <c r="P128" s="2"/>
      <c r="Q128" s="4">
        <v>20</v>
      </c>
      <c r="R128" s="4">
        <f t="shared" si="221"/>
        <v>-120</v>
      </c>
      <c r="S128" s="17">
        <f t="shared" si="222"/>
        <v>0</v>
      </c>
      <c r="T128" s="17">
        <f t="shared" si="223"/>
        <v>0</v>
      </c>
      <c r="U128" s="17">
        <f t="shared" si="224"/>
        <v>0</v>
      </c>
      <c r="V128" s="17">
        <f t="shared" si="225"/>
        <v>0</v>
      </c>
      <c r="W128" s="17">
        <f t="shared" si="226"/>
        <v>0</v>
      </c>
      <c r="X128" s="17">
        <f t="shared" si="227"/>
        <v>0</v>
      </c>
      <c r="Y128" s="17">
        <f t="shared" si="228"/>
        <v>0</v>
      </c>
      <c r="Z128" s="17">
        <f t="shared" si="229"/>
        <v>0</v>
      </c>
      <c r="AA128" s="17">
        <f t="shared" si="230"/>
        <v>0</v>
      </c>
      <c r="AB128" s="17">
        <f t="shared" si="231"/>
        <v>0</v>
      </c>
      <c r="AC128" s="17">
        <f t="shared" si="232"/>
        <v>0</v>
      </c>
      <c r="AD128" s="17">
        <f t="shared" si="233"/>
        <v>0</v>
      </c>
      <c r="AE128" s="2"/>
      <c r="AF128" s="4">
        <v>20</v>
      </c>
      <c r="AG128" s="4">
        <f t="shared" si="234"/>
        <v>-120</v>
      </c>
      <c r="AH128" s="17">
        <f t="shared" si="235"/>
        <v>0</v>
      </c>
      <c r="AI128" s="17">
        <f t="shared" si="236"/>
        <v>0</v>
      </c>
      <c r="AJ128" s="17">
        <f t="shared" si="237"/>
        <v>0</v>
      </c>
      <c r="AK128" s="17">
        <f t="shared" si="238"/>
        <v>0</v>
      </c>
      <c r="AL128" s="17">
        <f t="shared" si="239"/>
        <v>0</v>
      </c>
      <c r="AM128" s="17">
        <f t="shared" si="240"/>
        <v>0</v>
      </c>
      <c r="AN128" s="17">
        <f t="shared" si="241"/>
        <v>0</v>
      </c>
      <c r="AO128" s="17">
        <f t="shared" si="242"/>
        <v>0</v>
      </c>
      <c r="AP128" s="17">
        <f t="shared" si="243"/>
        <v>0</v>
      </c>
      <c r="AQ128" s="17">
        <f t="shared" si="244"/>
        <v>0</v>
      </c>
      <c r="AR128" s="17">
        <f t="shared" si="245"/>
        <v>0</v>
      </c>
      <c r="AS128" s="17">
        <f t="shared" si="246"/>
        <v>0</v>
      </c>
      <c r="AT128" s="66"/>
      <c r="AU128" s="4">
        <v>20</v>
      </c>
      <c r="AV128" s="4">
        <f t="shared" si="247"/>
        <v>-120</v>
      </c>
      <c r="AW128" s="17">
        <f t="shared" si="248"/>
        <v>0</v>
      </c>
      <c r="AX128" s="17">
        <f t="shared" si="249"/>
        <v>0</v>
      </c>
      <c r="AY128" s="17">
        <f t="shared" si="250"/>
        <v>0</v>
      </c>
      <c r="AZ128" s="17">
        <f t="shared" si="251"/>
        <v>0</v>
      </c>
      <c r="BA128" s="17">
        <f t="shared" si="252"/>
        <v>0</v>
      </c>
      <c r="BB128" s="17">
        <f t="shared" si="253"/>
        <v>0</v>
      </c>
      <c r="BC128" s="17">
        <f t="shared" si="254"/>
        <v>0</v>
      </c>
      <c r="BD128" s="17">
        <f t="shared" si="255"/>
        <v>0</v>
      </c>
      <c r="BE128" s="17">
        <f t="shared" si="256"/>
        <v>0</v>
      </c>
      <c r="BF128" s="17">
        <f t="shared" si="257"/>
        <v>0</v>
      </c>
      <c r="BG128" s="17">
        <f t="shared" si="258"/>
        <v>0</v>
      </c>
      <c r="BH128" s="65">
        <f t="shared" si="259"/>
        <v>0</v>
      </c>
    </row>
    <row r="129" spans="2:60">
      <c r="B129" s="57">
        <v>21</v>
      </c>
      <c r="C129" s="4">
        <f t="shared" si="208"/>
        <v>-135</v>
      </c>
      <c r="D129" s="17">
        <f t="shared" si="209"/>
        <v>0</v>
      </c>
      <c r="E129" s="17">
        <f t="shared" si="210"/>
        <v>0</v>
      </c>
      <c r="F129" s="17">
        <f t="shared" si="211"/>
        <v>0</v>
      </c>
      <c r="G129" s="17">
        <f t="shared" si="212"/>
        <v>0</v>
      </c>
      <c r="H129" s="17">
        <f t="shared" si="213"/>
        <v>0</v>
      </c>
      <c r="I129" s="17">
        <f t="shared" si="214"/>
        <v>0</v>
      </c>
      <c r="J129" s="17">
        <f t="shared" si="215"/>
        <v>0</v>
      </c>
      <c r="K129" s="17">
        <f t="shared" si="216"/>
        <v>0</v>
      </c>
      <c r="L129" s="17">
        <f t="shared" si="217"/>
        <v>0</v>
      </c>
      <c r="M129" s="17">
        <f t="shared" si="218"/>
        <v>0</v>
      </c>
      <c r="N129" s="17">
        <f t="shared" si="219"/>
        <v>0</v>
      </c>
      <c r="O129" s="17">
        <f t="shared" si="220"/>
        <v>0</v>
      </c>
      <c r="P129" s="2"/>
      <c r="Q129" s="4">
        <v>21</v>
      </c>
      <c r="R129" s="4">
        <f t="shared" si="221"/>
        <v>-135</v>
      </c>
      <c r="S129" s="17">
        <f t="shared" si="222"/>
        <v>0</v>
      </c>
      <c r="T129" s="17">
        <f t="shared" si="223"/>
        <v>0</v>
      </c>
      <c r="U129" s="17">
        <f t="shared" si="224"/>
        <v>0</v>
      </c>
      <c r="V129" s="17">
        <f t="shared" si="225"/>
        <v>0</v>
      </c>
      <c r="W129" s="17">
        <f t="shared" si="226"/>
        <v>0</v>
      </c>
      <c r="X129" s="17">
        <f t="shared" si="227"/>
        <v>0</v>
      </c>
      <c r="Y129" s="17">
        <f t="shared" si="228"/>
        <v>0</v>
      </c>
      <c r="Z129" s="17">
        <f t="shared" si="229"/>
        <v>0</v>
      </c>
      <c r="AA129" s="17">
        <f t="shared" si="230"/>
        <v>0</v>
      </c>
      <c r="AB129" s="17">
        <f t="shared" si="231"/>
        <v>0</v>
      </c>
      <c r="AC129" s="17">
        <f t="shared" si="232"/>
        <v>0</v>
      </c>
      <c r="AD129" s="17">
        <f t="shared" si="233"/>
        <v>0</v>
      </c>
      <c r="AE129" s="2"/>
      <c r="AF129" s="4">
        <v>21</v>
      </c>
      <c r="AG129" s="4">
        <f t="shared" si="234"/>
        <v>-135</v>
      </c>
      <c r="AH129" s="17">
        <f t="shared" si="235"/>
        <v>0</v>
      </c>
      <c r="AI129" s="17">
        <f t="shared" si="236"/>
        <v>0</v>
      </c>
      <c r="AJ129" s="17">
        <f t="shared" si="237"/>
        <v>0</v>
      </c>
      <c r="AK129" s="17">
        <f t="shared" si="238"/>
        <v>0</v>
      </c>
      <c r="AL129" s="17">
        <f t="shared" si="239"/>
        <v>0</v>
      </c>
      <c r="AM129" s="17">
        <f t="shared" si="240"/>
        <v>0</v>
      </c>
      <c r="AN129" s="17">
        <f t="shared" si="241"/>
        <v>0</v>
      </c>
      <c r="AO129" s="17">
        <f t="shared" si="242"/>
        <v>0</v>
      </c>
      <c r="AP129" s="17">
        <f t="shared" si="243"/>
        <v>0</v>
      </c>
      <c r="AQ129" s="17">
        <f t="shared" si="244"/>
        <v>0</v>
      </c>
      <c r="AR129" s="17">
        <f t="shared" si="245"/>
        <v>0</v>
      </c>
      <c r="AS129" s="17">
        <f t="shared" si="246"/>
        <v>0</v>
      </c>
      <c r="AT129" s="66"/>
      <c r="AU129" s="4">
        <v>21</v>
      </c>
      <c r="AV129" s="4">
        <f t="shared" si="247"/>
        <v>-135</v>
      </c>
      <c r="AW129" s="17">
        <f t="shared" si="248"/>
        <v>0</v>
      </c>
      <c r="AX129" s="17">
        <f t="shared" si="249"/>
        <v>0</v>
      </c>
      <c r="AY129" s="17">
        <f t="shared" si="250"/>
        <v>0</v>
      </c>
      <c r="AZ129" s="17">
        <f t="shared" si="251"/>
        <v>0</v>
      </c>
      <c r="BA129" s="17">
        <f t="shared" si="252"/>
        <v>0</v>
      </c>
      <c r="BB129" s="17">
        <f t="shared" si="253"/>
        <v>0</v>
      </c>
      <c r="BC129" s="17">
        <f t="shared" si="254"/>
        <v>0</v>
      </c>
      <c r="BD129" s="17">
        <f t="shared" si="255"/>
        <v>0</v>
      </c>
      <c r="BE129" s="17">
        <f t="shared" si="256"/>
        <v>0</v>
      </c>
      <c r="BF129" s="17">
        <f t="shared" si="257"/>
        <v>0</v>
      </c>
      <c r="BG129" s="17">
        <f t="shared" si="258"/>
        <v>0</v>
      </c>
      <c r="BH129" s="65">
        <f t="shared" si="259"/>
        <v>0</v>
      </c>
    </row>
    <row r="130" spans="2:60">
      <c r="B130" s="57">
        <v>22</v>
      </c>
      <c r="C130" s="4">
        <f t="shared" si="208"/>
        <v>-150</v>
      </c>
      <c r="D130" s="17">
        <f t="shared" si="209"/>
        <v>0</v>
      </c>
      <c r="E130" s="17">
        <f t="shared" si="210"/>
        <v>0</v>
      </c>
      <c r="F130" s="17">
        <f t="shared" si="211"/>
        <v>0</v>
      </c>
      <c r="G130" s="17">
        <f t="shared" si="212"/>
        <v>0</v>
      </c>
      <c r="H130" s="17">
        <f t="shared" si="213"/>
        <v>0</v>
      </c>
      <c r="I130" s="17">
        <f t="shared" si="214"/>
        <v>0</v>
      </c>
      <c r="J130" s="17">
        <f t="shared" si="215"/>
        <v>0</v>
      </c>
      <c r="K130" s="17">
        <f t="shared" si="216"/>
        <v>0</v>
      </c>
      <c r="L130" s="17">
        <f t="shared" si="217"/>
        <v>0</v>
      </c>
      <c r="M130" s="17">
        <f t="shared" si="218"/>
        <v>0</v>
      </c>
      <c r="N130" s="17">
        <f t="shared" si="219"/>
        <v>0</v>
      </c>
      <c r="O130" s="17">
        <f t="shared" si="220"/>
        <v>0</v>
      </c>
      <c r="P130" s="2"/>
      <c r="Q130" s="4">
        <v>22</v>
      </c>
      <c r="R130" s="4">
        <f t="shared" si="221"/>
        <v>-150</v>
      </c>
      <c r="S130" s="17">
        <f t="shared" si="222"/>
        <v>0</v>
      </c>
      <c r="T130" s="17">
        <f t="shared" si="223"/>
        <v>0</v>
      </c>
      <c r="U130" s="17">
        <f t="shared" si="224"/>
        <v>0</v>
      </c>
      <c r="V130" s="17">
        <f t="shared" si="225"/>
        <v>0</v>
      </c>
      <c r="W130" s="17">
        <f t="shared" si="226"/>
        <v>0</v>
      </c>
      <c r="X130" s="17">
        <f t="shared" si="227"/>
        <v>0</v>
      </c>
      <c r="Y130" s="17">
        <f t="shared" si="228"/>
        <v>0</v>
      </c>
      <c r="Z130" s="17">
        <f t="shared" si="229"/>
        <v>0</v>
      </c>
      <c r="AA130" s="17">
        <f t="shared" si="230"/>
        <v>0</v>
      </c>
      <c r="AB130" s="17">
        <f t="shared" si="231"/>
        <v>0</v>
      </c>
      <c r="AC130" s="17">
        <f t="shared" si="232"/>
        <v>0</v>
      </c>
      <c r="AD130" s="17">
        <f t="shared" si="233"/>
        <v>0</v>
      </c>
      <c r="AE130" s="2"/>
      <c r="AF130" s="4">
        <v>22</v>
      </c>
      <c r="AG130" s="4">
        <f t="shared" si="234"/>
        <v>-150</v>
      </c>
      <c r="AH130" s="17">
        <f t="shared" si="235"/>
        <v>0</v>
      </c>
      <c r="AI130" s="17">
        <f t="shared" si="236"/>
        <v>0</v>
      </c>
      <c r="AJ130" s="17">
        <f t="shared" si="237"/>
        <v>0</v>
      </c>
      <c r="AK130" s="17">
        <f t="shared" si="238"/>
        <v>0</v>
      </c>
      <c r="AL130" s="17">
        <f t="shared" si="239"/>
        <v>0</v>
      </c>
      <c r="AM130" s="17">
        <f t="shared" si="240"/>
        <v>0</v>
      </c>
      <c r="AN130" s="17">
        <f t="shared" si="241"/>
        <v>0</v>
      </c>
      <c r="AO130" s="17">
        <f t="shared" si="242"/>
        <v>0</v>
      </c>
      <c r="AP130" s="17">
        <f t="shared" si="243"/>
        <v>0</v>
      </c>
      <c r="AQ130" s="17">
        <f t="shared" si="244"/>
        <v>0</v>
      </c>
      <c r="AR130" s="17">
        <f t="shared" si="245"/>
        <v>0</v>
      </c>
      <c r="AS130" s="17">
        <f t="shared" si="246"/>
        <v>0</v>
      </c>
      <c r="AT130" s="66"/>
      <c r="AU130" s="4">
        <v>22</v>
      </c>
      <c r="AV130" s="4">
        <f t="shared" si="247"/>
        <v>-150</v>
      </c>
      <c r="AW130" s="17">
        <f t="shared" si="248"/>
        <v>0</v>
      </c>
      <c r="AX130" s="17">
        <f t="shared" si="249"/>
        <v>0</v>
      </c>
      <c r="AY130" s="17">
        <f t="shared" si="250"/>
        <v>0</v>
      </c>
      <c r="AZ130" s="17">
        <f t="shared" si="251"/>
        <v>0</v>
      </c>
      <c r="BA130" s="17">
        <f t="shared" si="252"/>
        <v>0</v>
      </c>
      <c r="BB130" s="17">
        <f t="shared" si="253"/>
        <v>0</v>
      </c>
      <c r="BC130" s="17">
        <f t="shared" si="254"/>
        <v>0</v>
      </c>
      <c r="BD130" s="17">
        <f t="shared" si="255"/>
        <v>0</v>
      </c>
      <c r="BE130" s="17">
        <f t="shared" si="256"/>
        <v>0</v>
      </c>
      <c r="BF130" s="17">
        <f t="shared" si="257"/>
        <v>0</v>
      </c>
      <c r="BG130" s="17">
        <f t="shared" si="258"/>
        <v>0</v>
      </c>
      <c r="BH130" s="65">
        <f t="shared" si="259"/>
        <v>0</v>
      </c>
    </row>
    <row r="131" spans="2:60">
      <c r="B131" s="57">
        <v>23</v>
      </c>
      <c r="C131" s="4">
        <f t="shared" si="208"/>
        <v>-165</v>
      </c>
      <c r="D131" s="17">
        <f t="shared" si="209"/>
        <v>0</v>
      </c>
      <c r="E131" s="17">
        <f t="shared" si="210"/>
        <v>0</v>
      </c>
      <c r="F131" s="17">
        <f t="shared" si="211"/>
        <v>0</v>
      </c>
      <c r="G131" s="17">
        <f t="shared" si="212"/>
        <v>0</v>
      </c>
      <c r="H131" s="17">
        <f t="shared" si="213"/>
        <v>0</v>
      </c>
      <c r="I131" s="17">
        <f t="shared" si="214"/>
        <v>0</v>
      </c>
      <c r="J131" s="17">
        <f t="shared" si="215"/>
        <v>0</v>
      </c>
      <c r="K131" s="17">
        <f t="shared" si="216"/>
        <v>0</v>
      </c>
      <c r="L131" s="17">
        <f t="shared" si="217"/>
        <v>0</v>
      </c>
      <c r="M131" s="17">
        <f t="shared" si="218"/>
        <v>0</v>
      </c>
      <c r="N131" s="17">
        <f t="shared" si="219"/>
        <v>0</v>
      </c>
      <c r="O131" s="17">
        <f t="shared" si="220"/>
        <v>0</v>
      </c>
      <c r="P131" s="2"/>
      <c r="Q131" s="4">
        <v>23</v>
      </c>
      <c r="R131" s="4">
        <f t="shared" si="221"/>
        <v>-165</v>
      </c>
      <c r="S131" s="17">
        <f t="shared" si="222"/>
        <v>0</v>
      </c>
      <c r="T131" s="17">
        <f t="shared" si="223"/>
        <v>0</v>
      </c>
      <c r="U131" s="17">
        <f t="shared" si="224"/>
        <v>0</v>
      </c>
      <c r="V131" s="17">
        <f t="shared" si="225"/>
        <v>0</v>
      </c>
      <c r="W131" s="17">
        <f t="shared" si="226"/>
        <v>0</v>
      </c>
      <c r="X131" s="17">
        <f t="shared" si="227"/>
        <v>0</v>
      </c>
      <c r="Y131" s="17">
        <f t="shared" si="228"/>
        <v>0</v>
      </c>
      <c r="Z131" s="17">
        <f t="shared" si="229"/>
        <v>0</v>
      </c>
      <c r="AA131" s="17">
        <f t="shared" si="230"/>
        <v>0</v>
      </c>
      <c r="AB131" s="17">
        <f t="shared" si="231"/>
        <v>0</v>
      </c>
      <c r="AC131" s="17">
        <f t="shared" si="232"/>
        <v>0</v>
      </c>
      <c r="AD131" s="17">
        <f t="shared" si="233"/>
        <v>0</v>
      </c>
      <c r="AE131" s="2"/>
      <c r="AF131" s="4">
        <v>23</v>
      </c>
      <c r="AG131" s="4">
        <f t="shared" si="234"/>
        <v>-165</v>
      </c>
      <c r="AH131" s="17">
        <f t="shared" si="235"/>
        <v>0</v>
      </c>
      <c r="AI131" s="17">
        <f t="shared" si="236"/>
        <v>0</v>
      </c>
      <c r="AJ131" s="17">
        <f t="shared" si="237"/>
        <v>0</v>
      </c>
      <c r="AK131" s="17">
        <f t="shared" si="238"/>
        <v>0</v>
      </c>
      <c r="AL131" s="17">
        <f t="shared" si="239"/>
        <v>0</v>
      </c>
      <c r="AM131" s="17">
        <f t="shared" si="240"/>
        <v>0</v>
      </c>
      <c r="AN131" s="17">
        <f t="shared" si="241"/>
        <v>0</v>
      </c>
      <c r="AO131" s="17">
        <f t="shared" si="242"/>
        <v>0</v>
      </c>
      <c r="AP131" s="17">
        <f t="shared" si="243"/>
        <v>0</v>
      </c>
      <c r="AQ131" s="17">
        <f t="shared" si="244"/>
        <v>0</v>
      </c>
      <c r="AR131" s="17">
        <f t="shared" si="245"/>
        <v>0</v>
      </c>
      <c r="AS131" s="17">
        <f t="shared" si="246"/>
        <v>0</v>
      </c>
      <c r="AT131" s="66"/>
      <c r="AU131" s="4">
        <v>23</v>
      </c>
      <c r="AV131" s="4">
        <f t="shared" si="247"/>
        <v>-165</v>
      </c>
      <c r="AW131" s="17">
        <f t="shared" si="248"/>
        <v>0</v>
      </c>
      <c r="AX131" s="17">
        <f t="shared" si="249"/>
        <v>0</v>
      </c>
      <c r="AY131" s="17">
        <f t="shared" si="250"/>
        <v>0</v>
      </c>
      <c r="AZ131" s="17">
        <f t="shared" si="251"/>
        <v>0</v>
      </c>
      <c r="BA131" s="17">
        <f t="shared" si="252"/>
        <v>0</v>
      </c>
      <c r="BB131" s="17">
        <f t="shared" si="253"/>
        <v>0</v>
      </c>
      <c r="BC131" s="17">
        <f t="shared" si="254"/>
        <v>0</v>
      </c>
      <c r="BD131" s="17">
        <f t="shared" si="255"/>
        <v>0</v>
      </c>
      <c r="BE131" s="17">
        <f t="shared" si="256"/>
        <v>0</v>
      </c>
      <c r="BF131" s="17">
        <f t="shared" si="257"/>
        <v>0</v>
      </c>
      <c r="BG131" s="17">
        <f t="shared" si="258"/>
        <v>0</v>
      </c>
      <c r="BH131" s="65">
        <f t="shared" si="259"/>
        <v>0</v>
      </c>
    </row>
    <row r="132" spans="2:60">
      <c r="B132" s="61"/>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66"/>
      <c r="AU132" s="2"/>
      <c r="AV132" s="2"/>
      <c r="AW132" s="2"/>
      <c r="AX132" s="2"/>
      <c r="AY132" s="2"/>
      <c r="AZ132" s="2"/>
      <c r="BA132" s="2"/>
      <c r="BB132" s="2"/>
      <c r="BC132" s="2"/>
      <c r="BD132" s="2"/>
      <c r="BE132" s="2"/>
      <c r="BF132" s="2"/>
      <c r="BG132" s="2"/>
      <c r="BH132" s="62"/>
    </row>
    <row r="133" spans="2:60">
      <c r="B133" s="61"/>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66"/>
      <c r="AU133" s="2"/>
      <c r="AV133" s="2"/>
      <c r="AW133" s="2"/>
      <c r="AX133" s="2"/>
      <c r="AY133" s="2"/>
      <c r="AZ133" s="2"/>
      <c r="BA133" s="2"/>
      <c r="BB133" s="2"/>
      <c r="BC133" s="2"/>
      <c r="BD133" s="2"/>
      <c r="BE133" s="2"/>
      <c r="BF133" s="2"/>
      <c r="BG133" s="2"/>
      <c r="BH133" s="62"/>
    </row>
    <row r="134" spans="2:60">
      <c r="B134" s="1235" t="s">
        <v>924</v>
      </c>
      <c r="C134" s="1234"/>
      <c r="D134" s="1222" t="s">
        <v>968</v>
      </c>
      <c r="E134" s="1223"/>
      <c r="F134" s="1223"/>
      <c r="G134" s="1223"/>
      <c r="H134" s="1223"/>
      <c r="I134" s="1223"/>
      <c r="J134" s="1223"/>
      <c r="K134" s="1223"/>
      <c r="L134" s="1224"/>
      <c r="M134" s="48" t="s">
        <v>929</v>
      </c>
      <c r="N134" s="48" t="str">
        <f>D11</f>
        <v>Claro</v>
      </c>
      <c r="O134" s="16" t="e">
        <f>BR7</f>
        <v>#N/A</v>
      </c>
      <c r="P134" s="2"/>
      <c r="Q134" s="1233" t="s">
        <v>924</v>
      </c>
      <c r="R134" s="1234"/>
      <c r="S134" s="1222" t="s">
        <v>968</v>
      </c>
      <c r="T134" s="1223"/>
      <c r="U134" s="1223"/>
      <c r="V134" s="1223"/>
      <c r="W134" s="1223"/>
      <c r="X134" s="1223"/>
      <c r="Y134" s="1223"/>
      <c r="Z134" s="1223"/>
      <c r="AA134" s="1224"/>
      <c r="AB134" s="48" t="s">
        <v>929</v>
      </c>
      <c r="AC134" s="48" t="str">
        <f>N134</f>
        <v>Claro</v>
      </c>
      <c r="AD134" s="16" t="e">
        <f>BS7</f>
        <v>#N/A</v>
      </c>
      <c r="AE134" s="2"/>
      <c r="AF134" s="1233" t="s">
        <v>924</v>
      </c>
      <c r="AG134" s="1234"/>
      <c r="AH134" s="1222" t="s">
        <v>968</v>
      </c>
      <c r="AI134" s="1223"/>
      <c r="AJ134" s="1223"/>
      <c r="AK134" s="1223"/>
      <c r="AL134" s="1223"/>
      <c r="AM134" s="1223"/>
      <c r="AN134" s="1223"/>
      <c r="AO134" s="1223"/>
      <c r="AP134" s="1224"/>
      <c r="AQ134" s="48" t="s">
        <v>929</v>
      </c>
      <c r="AR134" s="48" t="str">
        <f>AC134</f>
        <v>Claro</v>
      </c>
      <c r="AS134" s="16" t="e">
        <f>BT7</f>
        <v>#N/A</v>
      </c>
      <c r="AT134" s="66"/>
      <c r="AU134" s="1233" t="s">
        <v>924</v>
      </c>
      <c r="AV134" s="1234"/>
      <c r="AW134" s="1222" t="s">
        <v>968</v>
      </c>
      <c r="AX134" s="1223"/>
      <c r="AY134" s="1223"/>
      <c r="AZ134" s="1223"/>
      <c r="BA134" s="1223"/>
      <c r="BB134" s="1223"/>
      <c r="BC134" s="1223"/>
      <c r="BD134" s="1223"/>
      <c r="BE134" s="1224"/>
      <c r="BF134" s="48" t="s">
        <v>929</v>
      </c>
      <c r="BG134" s="48" t="str">
        <f>AR134</f>
        <v>Claro</v>
      </c>
      <c r="BH134" s="67" t="e">
        <f>BU7</f>
        <v>#N/A</v>
      </c>
    </row>
    <row r="135" spans="2:60">
      <c r="B135" s="57">
        <v>0</v>
      </c>
      <c r="C135" s="4">
        <f t="shared" ref="C135:C158" si="260">180-15*B135</f>
        <v>180</v>
      </c>
      <c r="D135" s="19">
        <f t="shared" ref="D135:D158" si="261">D108+AH25+AH52</f>
        <v>0</v>
      </c>
      <c r="E135" s="19">
        <f t="shared" ref="E135:E158" si="262">E108+AI25+AI52</f>
        <v>0</v>
      </c>
      <c r="F135" s="19">
        <f t="shared" ref="F135:F158" si="263">F108+AJ25+AJ52</f>
        <v>0</v>
      </c>
      <c r="G135" s="19">
        <f t="shared" ref="G135:G158" si="264">G108+AK25+AK52</f>
        <v>0</v>
      </c>
      <c r="H135" s="19">
        <f t="shared" ref="H135:H158" si="265">H108+AL25+AL52</f>
        <v>0</v>
      </c>
      <c r="I135" s="19">
        <f t="shared" ref="I135:I158" si="266">I108+AM25+AM52</f>
        <v>0</v>
      </c>
      <c r="J135" s="19">
        <f t="shared" ref="J135:J158" si="267">J108+AN25+AN52</f>
        <v>0</v>
      </c>
      <c r="K135" s="19">
        <f t="shared" ref="K135:K158" si="268">K108+AO25+AO52</f>
        <v>0</v>
      </c>
      <c r="L135" s="19">
        <f t="shared" ref="L135:L158" si="269">L108+AP25+AP52</f>
        <v>0</v>
      </c>
      <c r="M135" s="19">
        <f t="shared" ref="M135:M158" si="270">M108+AQ25+AQ52</f>
        <v>0</v>
      </c>
      <c r="N135" s="19">
        <f t="shared" ref="N135:N158" si="271">N108+AR25+AR52</f>
        <v>0</v>
      </c>
      <c r="O135" s="19">
        <f t="shared" ref="O135:O158" si="272">O108+AS25+AS52</f>
        <v>0</v>
      </c>
      <c r="P135" s="2"/>
      <c r="Q135" s="4">
        <v>0</v>
      </c>
      <c r="R135" s="4">
        <f t="shared" ref="R135:R158" si="273">180-15*Q135</f>
        <v>180</v>
      </c>
      <c r="S135" s="19">
        <f t="shared" ref="S135:S158" si="274">S108+AH25+AH52</f>
        <v>0</v>
      </c>
      <c r="T135" s="19">
        <f t="shared" ref="T135:T158" si="275">T108+AI25+AI52</f>
        <v>0</v>
      </c>
      <c r="U135" s="19">
        <f t="shared" ref="U135:U158" si="276">U108+AJ25+AJ52</f>
        <v>0</v>
      </c>
      <c r="V135" s="19">
        <f t="shared" ref="V135:V158" si="277">V108+AK25+AK52</f>
        <v>0</v>
      </c>
      <c r="W135" s="19">
        <f t="shared" ref="W135:W158" si="278">W108+AL25+AL52</f>
        <v>0</v>
      </c>
      <c r="X135" s="19">
        <f t="shared" ref="X135:X158" si="279">X108+AM25+AM52</f>
        <v>0</v>
      </c>
      <c r="Y135" s="19">
        <f t="shared" ref="Y135:Y158" si="280">Y108+AN25+AN52</f>
        <v>0</v>
      </c>
      <c r="Z135" s="19">
        <f t="shared" ref="Z135:Z158" si="281">Z108+AO25+AO52</f>
        <v>0</v>
      </c>
      <c r="AA135" s="19">
        <f t="shared" ref="AA135:AA158" si="282">AA108+AP25+AP52</f>
        <v>0</v>
      </c>
      <c r="AB135" s="19">
        <f t="shared" ref="AB135:AB158" si="283">AB108+AQ25+AQ52</f>
        <v>0</v>
      </c>
      <c r="AC135" s="19">
        <f t="shared" ref="AC135:AC158" si="284">AC108+AR25+AR52</f>
        <v>0</v>
      </c>
      <c r="AD135" s="19">
        <f t="shared" ref="AD135:AD158" si="285">AD108+AS25+AS52</f>
        <v>0</v>
      </c>
      <c r="AE135" s="2"/>
      <c r="AF135" s="4">
        <v>0</v>
      </c>
      <c r="AG135" s="4">
        <f t="shared" ref="AG135:AG158" si="286">180-15*AF135</f>
        <v>180</v>
      </c>
      <c r="AH135" s="19">
        <f t="shared" ref="AH135:AS135" si="287">AH108+AH25+AH52</f>
        <v>0</v>
      </c>
      <c r="AI135" s="19">
        <f t="shared" si="287"/>
        <v>0</v>
      </c>
      <c r="AJ135" s="19">
        <f t="shared" si="287"/>
        <v>0</v>
      </c>
      <c r="AK135" s="19">
        <f t="shared" si="287"/>
        <v>0</v>
      </c>
      <c r="AL135" s="19">
        <f t="shared" si="287"/>
        <v>0</v>
      </c>
      <c r="AM135" s="19">
        <f t="shared" si="287"/>
        <v>0</v>
      </c>
      <c r="AN135" s="19">
        <f t="shared" si="287"/>
        <v>0</v>
      </c>
      <c r="AO135" s="19">
        <f t="shared" si="287"/>
        <v>0</v>
      </c>
      <c r="AP135" s="19">
        <f t="shared" si="287"/>
        <v>0</v>
      </c>
      <c r="AQ135" s="19">
        <f t="shared" si="287"/>
        <v>0</v>
      </c>
      <c r="AR135" s="19">
        <f t="shared" si="287"/>
        <v>0</v>
      </c>
      <c r="AS135" s="19">
        <f t="shared" si="287"/>
        <v>0</v>
      </c>
      <c r="AT135" s="66"/>
      <c r="AU135" s="4">
        <v>0</v>
      </c>
      <c r="AV135" s="4">
        <f t="shared" ref="AV135:AV158" si="288">180-15*AU135</f>
        <v>180</v>
      </c>
      <c r="AW135" s="19">
        <f t="shared" ref="AW135:AW158" si="289">AW108+AH25+AH52</f>
        <v>0</v>
      </c>
      <c r="AX135" s="19">
        <f t="shared" ref="AX135:AX158" si="290">AX108+AI25+AI52</f>
        <v>0</v>
      </c>
      <c r="AY135" s="19">
        <f t="shared" ref="AY135:AY158" si="291">AY108+AJ25+AJ52</f>
        <v>0</v>
      </c>
      <c r="AZ135" s="19">
        <f t="shared" ref="AZ135:AZ158" si="292">AZ108+AK25+AK52</f>
        <v>0</v>
      </c>
      <c r="BA135" s="19">
        <f t="shared" ref="BA135:BA158" si="293">BA108+AL25+AL52</f>
        <v>0</v>
      </c>
      <c r="BB135" s="19">
        <f t="shared" ref="BB135:BB158" si="294">BB108+AM25+AM52</f>
        <v>0</v>
      </c>
      <c r="BC135" s="19">
        <f t="shared" ref="BC135:BC158" si="295">BC108+AN25+AN52</f>
        <v>0</v>
      </c>
      <c r="BD135" s="19">
        <f t="shared" ref="BD135:BD158" si="296">BD108+AO25+AO52</f>
        <v>0</v>
      </c>
      <c r="BE135" s="19">
        <f t="shared" ref="BE135:BE158" si="297">BE108+AP25+AP52</f>
        <v>0</v>
      </c>
      <c r="BF135" s="19">
        <f t="shared" ref="BF135:BF158" si="298">BF108+AQ25+AQ52</f>
        <v>0</v>
      </c>
      <c r="BG135" s="19">
        <f t="shared" ref="BG135:BG158" si="299">BG108+AR25+AR52</f>
        <v>0</v>
      </c>
      <c r="BH135" s="68">
        <f t="shared" ref="BH135:BH158" si="300">BH108+AS25+AS52</f>
        <v>0</v>
      </c>
    </row>
    <row r="136" spans="2:60">
      <c r="B136" s="57">
        <v>1</v>
      </c>
      <c r="C136" s="4">
        <f t="shared" si="260"/>
        <v>165</v>
      </c>
      <c r="D136" s="19">
        <f t="shared" si="261"/>
        <v>0</v>
      </c>
      <c r="E136" s="19">
        <f t="shared" si="262"/>
        <v>0</v>
      </c>
      <c r="F136" s="19">
        <f t="shared" si="263"/>
        <v>0</v>
      </c>
      <c r="G136" s="19">
        <f t="shared" si="264"/>
        <v>0</v>
      </c>
      <c r="H136" s="19">
        <f t="shared" si="265"/>
        <v>0</v>
      </c>
      <c r="I136" s="19">
        <f t="shared" si="266"/>
        <v>0</v>
      </c>
      <c r="J136" s="19">
        <f t="shared" si="267"/>
        <v>0</v>
      </c>
      <c r="K136" s="19">
        <f t="shared" si="268"/>
        <v>0</v>
      </c>
      <c r="L136" s="19">
        <f t="shared" si="269"/>
        <v>0</v>
      </c>
      <c r="M136" s="19">
        <f t="shared" si="270"/>
        <v>0</v>
      </c>
      <c r="N136" s="19">
        <f t="shared" si="271"/>
        <v>0</v>
      </c>
      <c r="O136" s="19">
        <f t="shared" si="272"/>
        <v>0</v>
      </c>
      <c r="P136" s="2"/>
      <c r="Q136" s="4">
        <v>1</v>
      </c>
      <c r="R136" s="4">
        <f t="shared" si="273"/>
        <v>165</v>
      </c>
      <c r="S136" s="19">
        <f t="shared" si="274"/>
        <v>0</v>
      </c>
      <c r="T136" s="19">
        <f t="shared" si="275"/>
        <v>0</v>
      </c>
      <c r="U136" s="19">
        <f t="shared" si="276"/>
        <v>0</v>
      </c>
      <c r="V136" s="19">
        <f t="shared" si="277"/>
        <v>0</v>
      </c>
      <c r="W136" s="19">
        <f t="shared" si="278"/>
        <v>0</v>
      </c>
      <c r="X136" s="19">
        <f t="shared" si="279"/>
        <v>0</v>
      </c>
      <c r="Y136" s="19">
        <f t="shared" si="280"/>
        <v>0</v>
      </c>
      <c r="Z136" s="19">
        <f t="shared" si="281"/>
        <v>0</v>
      </c>
      <c r="AA136" s="19">
        <f t="shared" si="282"/>
        <v>0</v>
      </c>
      <c r="AB136" s="19">
        <f t="shared" si="283"/>
        <v>0</v>
      </c>
      <c r="AC136" s="19">
        <f t="shared" si="284"/>
        <v>0</v>
      </c>
      <c r="AD136" s="19">
        <f t="shared" si="285"/>
        <v>0</v>
      </c>
      <c r="AE136" s="2"/>
      <c r="AF136" s="4">
        <v>1</v>
      </c>
      <c r="AG136" s="4">
        <f t="shared" si="286"/>
        <v>165</v>
      </c>
      <c r="AH136" s="19">
        <f t="shared" ref="AH136:AS136" si="301">AH109+AH26+AH53</f>
        <v>0</v>
      </c>
      <c r="AI136" s="19">
        <f t="shared" si="301"/>
        <v>0</v>
      </c>
      <c r="AJ136" s="19">
        <f t="shared" si="301"/>
        <v>0</v>
      </c>
      <c r="AK136" s="19">
        <f t="shared" si="301"/>
        <v>0</v>
      </c>
      <c r="AL136" s="19">
        <f t="shared" si="301"/>
        <v>0</v>
      </c>
      <c r="AM136" s="19">
        <f t="shared" si="301"/>
        <v>0</v>
      </c>
      <c r="AN136" s="19">
        <f t="shared" si="301"/>
        <v>0</v>
      </c>
      <c r="AO136" s="19">
        <f t="shared" si="301"/>
        <v>0</v>
      </c>
      <c r="AP136" s="19">
        <f t="shared" si="301"/>
        <v>0</v>
      </c>
      <c r="AQ136" s="19">
        <f t="shared" si="301"/>
        <v>0</v>
      </c>
      <c r="AR136" s="19">
        <f t="shared" si="301"/>
        <v>0</v>
      </c>
      <c r="AS136" s="19">
        <f t="shared" si="301"/>
        <v>0</v>
      </c>
      <c r="AT136" s="66"/>
      <c r="AU136" s="4">
        <v>1</v>
      </c>
      <c r="AV136" s="4">
        <f t="shared" si="288"/>
        <v>165</v>
      </c>
      <c r="AW136" s="19">
        <f t="shared" si="289"/>
        <v>0</v>
      </c>
      <c r="AX136" s="19">
        <f t="shared" si="290"/>
        <v>0</v>
      </c>
      <c r="AY136" s="19">
        <f t="shared" si="291"/>
        <v>0</v>
      </c>
      <c r="AZ136" s="19">
        <f t="shared" si="292"/>
        <v>0</v>
      </c>
      <c r="BA136" s="19">
        <f t="shared" si="293"/>
        <v>0</v>
      </c>
      <c r="BB136" s="19">
        <f t="shared" si="294"/>
        <v>0</v>
      </c>
      <c r="BC136" s="19">
        <f t="shared" si="295"/>
        <v>0</v>
      </c>
      <c r="BD136" s="19">
        <f t="shared" si="296"/>
        <v>0</v>
      </c>
      <c r="BE136" s="19">
        <f t="shared" si="297"/>
        <v>0</v>
      </c>
      <c r="BF136" s="19">
        <f t="shared" si="298"/>
        <v>0</v>
      </c>
      <c r="BG136" s="19">
        <f t="shared" si="299"/>
        <v>0</v>
      </c>
      <c r="BH136" s="68">
        <f t="shared" si="300"/>
        <v>0</v>
      </c>
    </row>
    <row r="137" spans="2:60">
      <c r="B137" s="57">
        <v>2</v>
      </c>
      <c r="C137" s="4">
        <f t="shared" si="260"/>
        <v>150</v>
      </c>
      <c r="D137" s="19">
        <f t="shared" si="261"/>
        <v>0</v>
      </c>
      <c r="E137" s="19">
        <f t="shared" si="262"/>
        <v>0</v>
      </c>
      <c r="F137" s="19">
        <f t="shared" si="263"/>
        <v>0</v>
      </c>
      <c r="G137" s="19">
        <f t="shared" si="264"/>
        <v>0</v>
      </c>
      <c r="H137" s="19">
        <f t="shared" si="265"/>
        <v>0</v>
      </c>
      <c r="I137" s="19">
        <f t="shared" si="266"/>
        <v>0</v>
      </c>
      <c r="J137" s="19">
        <f t="shared" si="267"/>
        <v>0</v>
      </c>
      <c r="K137" s="19">
        <f t="shared" si="268"/>
        <v>0</v>
      </c>
      <c r="L137" s="19">
        <f t="shared" si="269"/>
        <v>0</v>
      </c>
      <c r="M137" s="19">
        <f t="shared" si="270"/>
        <v>0</v>
      </c>
      <c r="N137" s="19">
        <f t="shared" si="271"/>
        <v>0</v>
      </c>
      <c r="O137" s="19">
        <f t="shared" si="272"/>
        <v>0</v>
      </c>
      <c r="P137" s="2"/>
      <c r="Q137" s="4">
        <v>2</v>
      </c>
      <c r="R137" s="4">
        <f t="shared" si="273"/>
        <v>150</v>
      </c>
      <c r="S137" s="19">
        <f t="shared" si="274"/>
        <v>0</v>
      </c>
      <c r="T137" s="19">
        <f t="shared" si="275"/>
        <v>0</v>
      </c>
      <c r="U137" s="19">
        <f t="shared" si="276"/>
        <v>0</v>
      </c>
      <c r="V137" s="19">
        <f t="shared" si="277"/>
        <v>0</v>
      </c>
      <c r="W137" s="19">
        <f t="shared" si="278"/>
        <v>0</v>
      </c>
      <c r="X137" s="19">
        <f t="shared" si="279"/>
        <v>0</v>
      </c>
      <c r="Y137" s="19">
        <f t="shared" si="280"/>
        <v>0</v>
      </c>
      <c r="Z137" s="19">
        <f t="shared" si="281"/>
        <v>0</v>
      </c>
      <c r="AA137" s="19">
        <f t="shared" si="282"/>
        <v>0</v>
      </c>
      <c r="AB137" s="19">
        <f t="shared" si="283"/>
        <v>0</v>
      </c>
      <c r="AC137" s="19">
        <f t="shared" si="284"/>
        <v>0</v>
      </c>
      <c r="AD137" s="19">
        <f t="shared" si="285"/>
        <v>0</v>
      </c>
      <c r="AE137" s="2"/>
      <c r="AF137" s="4">
        <v>2</v>
      </c>
      <c r="AG137" s="4">
        <f t="shared" si="286"/>
        <v>150</v>
      </c>
      <c r="AH137" s="19">
        <f t="shared" ref="AH137:AS137" si="302">AH110+AH27+AH54</f>
        <v>0</v>
      </c>
      <c r="AI137" s="19">
        <f t="shared" si="302"/>
        <v>0</v>
      </c>
      <c r="AJ137" s="19">
        <f t="shared" si="302"/>
        <v>0</v>
      </c>
      <c r="AK137" s="19">
        <f t="shared" si="302"/>
        <v>0</v>
      </c>
      <c r="AL137" s="19">
        <f t="shared" si="302"/>
        <v>0</v>
      </c>
      <c r="AM137" s="19">
        <f t="shared" si="302"/>
        <v>0</v>
      </c>
      <c r="AN137" s="19">
        <f t="shared" si="302"/>
        <v>0</v>
      </c>
      <c r="AO137" s="19">
        <f t="shared" si="302"/>
        <v>0</v>
      </c>
      <c r="AP137" s="19">
        <f t="shared" si="302"/>
        <v>0</v>
      </c>
      <c r="AQ137" s="19">
        <f t="shared" si="302"/>
        <v>0</v>
      </c>
      <c r="AR137" s="19">
        <f t="shared" si="302"/>
        <v>0</v>
      </c>
      <c r="AS137" s="19">
        <f t="shared" si="302"/>
        <v>0</v>
      </c>
      <c r="AT137" s="66"/>
      <c r="AU137" s="4">
        <v>2</v>
      </c>
      <c r="AV137" s="4">
        <f t="shared" si="288"/>
        <v>150</v>
      </c>
      <c r="AW137" s="19">
        <f t="shared" si="289"/>
        <v>0</v>
      </c>
      <c r="AX137" s="19">
        <f t="shared" si="290"/>
        <v>0</v>
      </c>
      <c r="AY137" s="19">
        <f t="shared" si="291"/>
        <v>0</v>
      </c>
      <c r="AZ137" s="19">
        <f t="shared" si="292"/>
        <v>0</v>
      </c>
      <c r="BA137" s="19">
        <f t="shared" si="293"/>
        <v>0</v>
      </c>
      <c r="BB137" s="19">
        <f t="shared" si="294"/>
        <v>0</v>
      </c>
      <c r="BC137" s="19">
        <f t="shared" si="295"/>
        <v>0</v>
      </c>
      <c r="BD137" s="19">
        <f t="shared" si="296"/>
        <v>0</v>
      </c>
      <c r="BE137" s="19">
        <f t="shared" si="297"/>
        <v>0</v>
      </c>
      <c r="BF137" s="19">
        <f t="shared" si="298"/>
        <v>0</v>
      </c>
      <c r="BG137" s="19">
        <f t="shared" si="299"/>
        <v>0</v>
      </c>
      <c r="BH137" s="68">
        <f t="shared" si="300"/>
        <v>0</v>
      </c>
    </row>
    <row r="138" spans="2:60">
      <c r="B138" s="57">
        <v>3</v>
      </c>
      <c r="C138" s="4">
        <f t="shared" si="260"/>
        <v>135</v>
      </c>
      <c r="D138" s="19">
        <f t="shared" si="261"/>
        <v>0</v>
      </c>
      <c r="E138" s="19">
        <f t="shared" si="262"/>
        <v>0</v>
      </c>
      <c r="F138" s="19">
        <f t="shared" si="263"/>
        <v>0</v>
      </c>
      <c r="G138" s="19">
        <f t="shared" si="264"/>
        <v>0</v>
      </c>
      <c r="H138" s="19">
        <f t="shared" si="265"/>
        <v>0</v>
      </c>
      <c r="I138" s="19">
        <f t="shared" si="266"/>
        <v>0</v>
      </c>
      <c r="J138" s="19">
        <f t="shared" si="267"/>
        <v>0</v>
      </c>
      <c r="K138" s="19">
        <f t="shared" si="268"/>
        <v>0</v>
      </c>
      <c r="L138" s="19">
        <f t="shared" si="269"/>
        <v>0</v>
      </c>
      <c r="M138" s="19">
        <f t="shared" si="270"/>
        <v>0</v>
      </c>
      <c r="N138" s="19">
        <f t="shared" si="271"/>
        <v>0</v>
      </c>
      <c r="O138" s="19">
        <f t="shared" si="272"/>
        <v>0</v>
      </c>
      <c r="P138" s="2"/>
      <c r="Q138" s="4">
        <v>3</v>
      </c>
      <c r="R138" s="4">
        <f t="shared" si="273"/>
        <v>135</v>
      </c>
      <c r="S138" s="19">
        <f t="shared" si="274"/>
        <v>0</v>
      </c>
      <c r="T138" s="19">
        <f t="shared" si="275"/>
        <v>0</v>
      </c>
      <c r="U138" s="19">
        <f t="shared" si="276"/>
        <v>0</v>
      </c>
      <c r="V138" s="19">
        <f t="shared" si="277"/>
        <v>0</v>
      </c>
      <c r="W138" s="19">
        <f t="shared" si="278"/>
        <v>0</v>
      </c>
      <c r="X138" s="19">
        <f t="shared" si="279"/>
        <v>0</v>
      </c>
      <c r="Y138" s="19">
        <f t="shared" si="280"/>
        <v>0</v>
      </c>
      <c r="Z138" s="19">
        <f t="shared" si="281"/>
        <v>0</v>
      </c>
      <c r="AA138" s="19">
        <f t="shared" si="282"/>
        <v>0</v>
      </c>
      <c r="AB138" s="19">
        <f t="shared" si="283"/>
        <v>0</v>
      </c>
      <c r="AC138" s="19">
        <f t="shared" si="284"/>
        <v>0</v>
      </c>
      <c r="AD138" s="19">
        <f t="shared" si="285"/>
        <v>0</v>
      </c>
      <c r="AE138" s="2"/>
      <c r="AF138" s="4">
        <v>3</v>
      </c>
      <c r="AG138" s="4">
        <f t="shared" si="286"/>
        <v>135</v>
      </c>
      <c r="AH138" s="19">
        <f t="shared" ref="AH138:AS138" si="303">AH111+AH28+AH55</f>
        <v>0</v>
      </c>
      <c r="AI138" s="19">
        <f t="shared" si="303"/>
        <v>0</v>
      </c>
      <c r="AJ138" s="19">
        <f t="shared" si="303"/>
        <v>0</v>
      </c>
      <c r="AK138" s="19">
        <f t="shared" si="303"/>
        <v>0</v>
      </c>
      <c r="AL138" s="19">
        <f t="shared" si="303"/>
        <v>0</v>
      </c>
      <c r="AM138" s="19">
        <f t="shared" si="303"/>
        <v>0</v>
      </c>
      <c r="AN138" s="19">
        <f t="shared" si="303"/>
        <v>0</v>
      </c>
      <c r="AO138" s="19">
        <f t="shared" si="303"/>
        <v>0</v>
      </c>
      <c r="AP138" s="19">
        <f t="shared" si="303"/>
        <v>0</v>
      </c>
      <c r="AQ138" s="19">
        <f t="shared" si="303"/>
        <v>0</v>
      </c>
      <c r="AR138" s="19">
        <f t="shared" si="303"/>
        <v>0</v>
      </c>
      <c r="AS138" s="19">
        <f t="shared" si="303"/>
        <v>0</v>
      </c>
      <c r="AT138" s="2"/>
      <c r="AU138" s="4">
        <v>3</v>
      </c>
      <c r="AV138" s="4">
        <f t="shared" si="288"/>
        <v>135</v>
      </c>
      <c r="AW138" s="19">
        <f t="shared" si="289"/>
        <v>0</v>
      </c>
      <c r="AX138" s="19">
        <f t="shared" si="290"/>
        <v>0</v>
      </c>
      <c r="AY138" s="19">
        <f t="shared" si="291"/>
        <v>0</v>
      </c>
      <c r="AZ138" s="19">
        <f t="shared" si="292"/>
        <v>0</v>
      </c>
      <c r="BA138" s="19">
        <f t="shared" si="293"/>
        <v>0</v>
      </c>
      <c r="BB138" s="19">
        <f t="shared" si="294"/>
        <v>0</v>
      </c>
      <c r="BC138" s="19">
        <f t="shared" si="295"/>
        <v>0</v>
      </c>
      <c r="BD138" s="19">
        <f t="shared" si="296"/>
        <v>0</v>
      </c>
      <c r="BE138" s="19">
        <f t="shared" si="297"/>
        <v>0</v>
      </c>
      <c r="BF138" s="19">
        <f t="shared" si="298"/>
        <v>0</v>
      </c>
      <c r="BG138" s="19">
        <f t="shared" si="299"/>
        <v>0</v>
      </c>
      <c r="BH138" s="68">
        <f t="shared" si="300"/>
        <v>0</v>
      </c>
    </row>
    <row r="139" spans="2:60">
      <c r="B139" s="57">
        <v>4</v>
      </c>
      <c r="C139" s="4">
        <f t="shared" si="260"/>
        <v>120</v>
      </c>
      <c r="D139" s="19">
        <f t="shared" si="261"/>
        <v>0</v>
      </c>
      <c r="E139" s="19">
        <f t="shared" si="262"/>
        <v>0</v>
      </c>
      <c r="F139" s="19">
        <f t="shared" si="263"/>
        <v>0</v>
      </c>
      <c r="G139" s="19">
        <f t="shared" si="264"/>
        <v>0</v>
      </c>
      <c r="H139" s="19">
        <f t="shared" si="265"/>
        <v>0</v>
      </c>
      <c r="I139" s="19">
        <f t="shared" si="266"/>
        <v>0</v>
      </c>
      <c r="J139" s="19">
        <f t="shared" si="267"/>
        <v>0</v>
      </c>
      <c r="K139" s="19">
        <f t="shared" si="268"/>
        <v>0</v>
      </c>
      <c r="L139" s="19">
        <f t="shared" si="269"/>
        <v>0</v>
      </c>
      <c r="M139" s="19">
        <f t="shared" si="270"/>
        <v>0</v>
      </c>
      <c r="N139" s="19">
        <f t="shared" si="271"/>
        <v>0</v>
      </c>
      <c r="O139" s="19">
        <f t="shared" si="272"/>
        <v>0</v>
      </c>
      <c r="P139" s="2"/>
      <c r="Q139" s="4">
        <v>4</v>
      </c>
      <c r="R139" s="4">
        <f t="shared" si="273"/>
        <v>120</v>
      </c>
      <c r="S139" s="19">
        <f t="shared" si="274"/>
        <v>0</v>
      </c>
      <c r="T139" s="19">
        <f t="shared" si="275"/>
        <v>0</v>
      </c>
      <c r="U139" s="19">
        <f t="shared" si="276"/>
        <v>0</v>
      </c>
      <c r="V139" s="19">
        <f t="shared" si="277"/>
        <v>0</v>
      </c>
      <c r="W139" s="19">
        <f t="shared" si="278"/>
        <v>0</v>
      </c>
      <c r="X139" s="19">
        <f t="shared" si="279"/>
        <v>0</v>
      </c>
      <c r="Y139" s="19">
        <f t="shared" si="280"/>
        <v>0</v>
      </c>
      <c r="Z139" s="19">
        <f t="shared" si="281"/>
        <v>0</v>
      </c>
      <c r="AA139" s="19">
        <f t="shared" si="282"/>
        <v>0</v>
      </c>
      <c r="AB139" s="19">
        <f t="shared" si="283"/>
        <v>0</v>
      </c>
      <c r="AC139" s="19">
        <f t="shared" si="284"/>
        <v>0</v>
      </c>
      <c r="AD139" s="19">
        <f t="shared" si="285"/>
        <v>0</v>
      </c>
      <c r="AE139" s="2"/>
      <c r="AF139" s="4">
        <v>4</v>
      </c>
      <c r="AG139" s="4">
        <f t="shared" si="286"/>
        <v>120</v>
      </c>
      <c r="AH139" s="19">
        <f t="shared" ref="AH139:AS139" si="304">AH112+AH29+AH56</f>
        <v>0</v>
      </c>
      <c r="AI139" s="19">
        <f t="shared" si="304"/>
        <v>0</v>
      </c>
      <c r="AJ139" s="19">
        <f t="shared" si="304"/>
        <v>0</v>
      </c>
      <c r="AK139" s="19">
        <f t="shared" si="304"/>
        <v>0</v>
      </c>
      <c r="AL139" s="19">
        <f t="shared" si="304"/>
        <v>0</v>
      </c>
      <c r="AM139" s="19">
        <f t="shared" si="304"/>
        <v>0</v>
      </c>
      <c r="AN139" s="19">
        <f t="shared" si="304"/>
        <v>0</v>
      </c>
      <c r="AO139" s="19">
        <f t="shared" si="304"/>
        <v>0</v>
      </c>
      <c r="AP139" s="19">
        <f t="shared" si="304"/>
        <v>0</v>
      </c>
      <c r="AQ139" s="19">
        <f t="shared" si="304"/>
        <v>0</v>
      </c>
      <c r="AR139" s="19">
        <f t="shared" si="304"/>
        <v>0</v>
      </c>
      <c r="AS139" s="19">
        <f t="shared" si="304"/>
        <v>0</v>
      </c>
      <c r="AT139" s="2"/>
      <c r="AU139" s="4">
        <v>4</v>
      </c>
      <c r="AV139" s="4">
        <f t="shared" si="288"/>
        <v>120</v>
      </c>
      <c r="AW139" s="19">
        <f t="shared" si="289"/>
        <v>0</v>
      </c>
      <c r="AX139" s="19">
        <f t="shared" si="290"/>
        <v>0</v>
      </c>
      <c r="AY139" s="19">
        <f t="shared" si="291"/>
        <v>0</v>
      </c>
      <c r="AZ139" s="19">
        <f t="shared" si="292"/>
        <v>0</v>
      </c>
      <c r="BA139" s="19">
        <f t="shared" si="293"/>
        <v>0</v>
      </c>
      <c r="BB139" s="19">
        <f t="shared" si="294"/>
        <v>0</v>
      </c>
      <c r="BC139" s="19">
        <f t="shared" si="295"/>
        <v>0</v>
      </c>
      <c r="BD139" s="19">
        <f t="shared" si="296"/>
        <v>0</v>
      </c>
      <c r="BE139" s="19">
        <f t="shared" si="297"/>
        <v>0</v>
      </c>
      <c r="BF139" s="19">
        <f t="shared" si="298"/>
        <v>0</v>
      </c>
      <c r="BG139" s="19">
        <f t="shared" si="299"/>
        <v>0</v>
      </c>
      <c r="BH139" s="68">
        <f t="shared" si="300"/>
        <v>0</v>
      </c>
    </row>
    <row r="140" spans="2:60">
      <c r="B140" s="57">
        <v>5</v>
      </c>
      <c r="C140" s="4">
        <f t="shared" si="260"/>
        <v>105</v>
      </c>
      <c r="D140" s="19">
        <f t="shared" si="261"/>
        <v>0</v>
      </c>
      <c r="E140" s="19">
        <f t="shared" si="262"/>
        <v>0</v>
      </c>
      <c r="F140" s="19">
        <f t="shared" si="263"/>
        <v>0</v>
      </c>
      <c r="G140" s="19">
        <f t="shared" si="264"/>
        <v>0</v>
      </c>
      <c r="H140" s="19">
        <f t="shared" si="265"/>
        <v>0</v>
      </c>
      <c r="I140" s="19">
        <f t="shared" si="266"/>
        <v>0</v>
      </c>
      <c r="J140" s="19">
        <f t="shared" si="267"/>
        <v>0</v>
      </c>
      <c r="K140" s="19">
        <f t="shared" si="268"/>
        <v>0</v>
      </c>
      <c r="L140" s="19">
        <f t="shared" si="269"/>
        <v>0</v>
      </c>
      <c r="M140" s="19">
        <f t="shared" si="270"/>
        <v>0</v>
      </c>
      <c r="N140" s="19">
        <f t="shared" si="271"/>
        <v>0</v>
      </c>
      <c r="O140" s="19">
        <f t="shared" si="272"/>
        <v>0</v>
      </c>
      <c r="P140" s="2"/>
      <c r="Q140" s="4">
        <v>5</v>
      </c>
      <c r="R140" s="4">
        <f t="shared" si="273"/>
        <v>105</v>
      </c>
      <c r="S140" s="19">
        <f t="shared" si="274"/>
        <v>0</v>
      </c>
      <c r="T140" s="19">
        <f t="shared" si="275"/>
        <v>0</v>
      </c>
      <c r="U140" s="19">
        <f t="shared" si="276"/>
        <v>0</v>
      </c>
      <c r="V140" s="19">
        <f t="shared" si="277"/>
        <v>0</v>
      </c>
      <c r="W140" s="19">
        <f t="shared" si="278"/>
        <v>0</v>
      </c>
      <c r="X140" s="19">
        <f t="shared" si="279"/>
        <v>0</v>
      </c>
      <c r="Y140" s="19">
        <f t="shared" si="280"/>
        <v>0</v>
      </c>
      <c r="Z140" s="19">
        <f t="shared" si="281"/>
        <v>0</v>
      </c>
      <c r="AA140" s="19">
        <f t="shared" si="282"/>
        <v>0</v>
      </c>
      <c r="AB140" s="19">
        <f t="shared" si="283"/>
        <v>0</v>
      </c>
      <c r="AC140" s="19">
        <f t="shared" si="284"/>
        <v>0</v>
      </c>
      <c r="AD140" s="19">
        <f t="shared" si="285"/>
        <v>0</v>
      </c>
      <c r="AE140" s="2"/>
      <c r="AF140" s="4">
        <v>5</v>
      </c>
      <c r="AG140" s="4">
        <f t="shared" si="286"/>
        <v>105</v>
      </c>
      <c r="AH140" s="19">
        <f t="shared" ref="AH140:AS140" si="305">AH113+AH30+AH57</f>
        <v>0</v>
      </c>
      <c r="AI140" s="19">
        <f t="shared" si="305"/>
        <v>0</v>
      </c>
      <c r="AJ140" s="19">
        <f t="shared" si="305"/>
        <v>0</v>
      </c>
      <c r="AK140" s="19">
        <f t="shared" si="305"/>
        <v>0</v>
      </c>
      <c r="AL140" s="19">
        <f t="shared" si="305"/>
        <v>0</v>
      </c>
      <c r="AM140" s="19">
        <f t="shared" si="305"/>
        <v>0</v>
      </c>
      <c r="AN140" s="19">
        <f t="shared" si="305"/>
        <v>0</v>
      </c>
      <c r="AO140" s="19">
        <f t="shared" si="305"/>
        <v>0</v>
      </c>
      <c r="AP140" s="19">
        <f t="shared" si="305"/>
        <v>0</v>
      </c>
      <c r="AQ140" s="19">
        <f t="shared" si="305"/>
        <v>0</v>
      </c>
      <c r="AR140" s="19">
        <f t="shared" si="305"/>
        <v>0</v>
      </c>
      <c r="AS140" s="19">
        <f t="shared" si="305"/>
        <v>0</v>
      </c>
      <c r="AT140" s="66"/>
      <c r="AU140" s="4">
        <v>5</v>
      </c>
      <c r="AV140" s="4">
        <f t="shared" si="288"/>
        <v>105</v>
      </c>
      <c r="AW140" s="19">
        <f t="shared" si="289"/>
        <v>0</v>
      </c>
      <c r="AX140" s="19">
        <f t="shared" si="290"/>
        <v>0</v>
      </c>
      <c r="AY140" s="19">
        <f t="shared" si="291"/>
        <v>0</v>
      </c>
      <c r="AZ140" s="19">
        <f t="shared" si="292"/>
        <v>0</v>
      </c>
      <c r="BA140" s="19">
        <f t="shared" si="293"/>
        <v>0</v>
      </c>
      <c r="BB140" s="19">
        <f t="shared" si="294"/>
        <v>0</v>
      </c>
      <c r="BC140" s="19">
        <f t="shared" si="295"/>
        <v>0</v>
      </c>
      <c r="BD140" s="19">
        <f t="shared" si="296"/>
        <v>0</v>
      </c>
      <c r="BE140" s="19">
        <f t="shared" si="297"/>
        <v>0</v>
      </c>
      <c r="BF140" s="19">
        <f t="shared" si="298"/>
        <v>0</v>
      </c>
      <c r="BG140" s="19">
        <f t="shared" si="299"/>
        <v>0</v>
      </c>
      <c r="BH140" s="68">
        <f t="shared" si="300"/>
        <v>0</v>
      </c>
    </row>
    <row r="141" spans="2:60">
      <c r="B141" s="57">
        <v>6</v>
      </c>
      <c r="C141" s="4">
        <f t="shared" si="260"/>
        <v>90</v>
      </c>
      <c r="D141" s="19">
        <f t="shared" si="261"/>
        <v>0</v>
      </c>
      <c r="E141" s="19">
        <f t="shared" si="262"/>
        <v>0</v>
      </c>
      <c r="F141" s="19">
        <f t="shared" si="263"/>
        <v>0</v>
      </c>
      <c r="G141" s="19">
        <f t="shared" si="264"/>
        <v>0</v>
      </c>
      <c r="H141" s="19">
        <f t="shared" si="265"/>
        <v>0</v>
      </c>
      <c r="I141" s="19">
        <f t="shared" si="266"/>
        <v>0</v>
      </c>
      <c r="J141" s="19">
        <f t="shared" si="267"/>
        <v>0</v>
      </c>
      <c r="K141" s="19">
        <f t="shared" si="268"/>
        <v>0</v>
      </c>
      <c r="L141" s="19">
        <f t="shared" si="269"/>
        <v>0</v>
      </c>
      <c r="M141" s="19">
        <f t="shared" si="270"/>
        <v>0</v>
      </c>
      <c r="N141" s="19">
        <f t="shared" si="271"/>
        <v>0</v>
      </c>
      <c r="O141" s="19">
        <f t="shared" si="272"/>
        <v>0</v>
      </c>
      <c r="P141" s="2"/>
      <c r="Q141" s="4">
        <v>6</v>
      </c>
      <c r="R141" s="4">
        <f t="shared" si="273"/>
        <v>90</v>
      </c>
      <c r="S141" s="19">
        <f t="shared" si="274"/>
        <v>0</v>
      </c>
      <c r="T141" s="19">
        <f t="shared" si="275"/>
        <v>0</v>
      </c>
      <c r="U141" s="19">
        <f t="shared" si="276"/>
        <v>0</v>
      </c>
      <c r="V141" s="19">
        <f t="shared" si="277"/>
        <v>0</v>
      </c>
      <c r="W141" s="19">
        <f t="shared" si="278"/>
        <v>0</v>
      </c>
      <c r="X141" s="19">
        <f t="shared" si="279"/>
        <v>0</v>
      </c>
      <c r="Y141" s="19">
        <f t="shared" si="280"/>
        <v>0</v>
      </c>
      <c r="Z141" s="19">
        <f t="shared" si="281"/>
        <v>0</v>
      </c>
      <c r="AA141" s="19">
        <f t="shared" si="282"/>
        <v>0</v>
      </c>
      <c r="AB141" s="19">
        <f t="shared" si="283"/>
        <v>0</v>
      </c>
      <c r="AC141" s="19">
        <f t="shared" si="284"/>
        <v>0</v>
      </c>
      <c r="AD141" s="19">
        <f t="shared" si="285"/>
        <v>0</v>
      </c>
      <c r="AE141" s="2"/>
      <c r="AF141" s="4">
        <v>6</v>
      </c>
      <c r="AG141" s="4">
        <f t="shared" si="286"/>
        <v>90</v>
      </c>
      <c r="AH141" s="19">
        <f t="shared" ref="AH141:AS141" si="306">AH114+AH31+AH58</f>
        <v>0</v>
      </c>
      <c r="AI141" s="19">
        <f t="shared" si="306"/>
        <v>0</v>
      </c>
      <c r="AJ141" s="19">
        <f t="shared" si="306"/>
        <v>0</v>
      </c>
      <c r="AK141" s="19">
        <f t="shared" si="306"/>
        <v>0</v>
      </c>
      <c r="AL141" s="19">
        <f t="shared" si="306"/>
        <v>0</v>
      </c>
      <c r="AM141" s="19">
        <f t="shared" si="306"/>
        <v>0</v>
      </c>
      <c r="AN141" s="19">
        <f t="shared" si="306"/>
        <v>0</v>
      </c>
      <c r="AO141" s="19">
        <f t="shared" si="306"/>
        <v>0</v>
      </c>
      <c r="AP141" s="19">
        <f t="shared" si="306"/>
        <v>0</v>
      </c>
      <c r="AQ141" s="19">
        <f t="shared" si="306"/>
        <v>0</v>
      </c>
      <c r="AR141" s="19">
        <f t="shared" si="306"/>
        <v>0</v>
      </c>
      <c r="AS141" s="19">
        <f t="shared" si="306"/>
        <v>0</v>
      </c>
      <c r="AT141" s="66"/>
      <c r="AU141" s="4">
        <v>6</v>
      </c>
      <c r="AV141" s="4">
        <f t="shared" si="288"/>
        <v>90</v>
      </c>
      <c r="AW141" s="19">
        <f t="shared" si="289"/>
        <v>0</v>
      </c>
      <c r="AX141" s="19">
        <f t="shared" si="290"/>
        <v>0</v>
      </c>
      <c r="AY141" s="19">
        <f t="shared" si="291"/>
        <v>0</v>
      </c>
      <c r="AZ141" s="19">
        <f t="shared" si="292"/>
        <v>0</v>
      </c>
      <c r="BA141" s="19">
        <f t="shared" si="293"/>
        <v>0</v>
      </c>
      <c r="BB141" s="19">
        <f t="shared" si="294"/>
        <v>0</v>
      </c>
      <c r="BC141" s="19">
        <f t="shared" si="295"/>
        <v>0</v>
      </c>
      <c r="BD141" s="19">
        <f t="shared" si="296"/>
        <v>0</v>
      </c>
      <c r="BE141" s="19">
        <f t="shared" si="297"/>
        <v>0</v>
      </c>
      <c r="BF141" s="19">
        <f t="shared" si="298"/>
        <v>0</v>
      </c>
      <c r="BG141" s="19">
        <f t="shared" si="299"/>
        <v>0</v>
      </c>
      <c r="BH141" s="68">
        <f t="shared" si="300"/>
        <v>0</v>
      </c>
    </row>
    <row r="142" spans="2:60">
      <c r="B142" s="57">
        <v>7</v>
      </c>
      <c r="C142" s="4">
        <f t="shared" si="260"/>
        <v>75</v>
      </c>
      <c r="D142" s="19" t="e">
        <f t="shared" si="261"/>
        <v>#N/A</v>
      </c>
      <c r="E142" s="19" t="e">
        <f t="shared" si="262"/>
        <v>#N/A</v>
      </c>
      <c r="F142" s="19" t="e">
        <f t="shared" si="263"/>
        <v>#N/A</v>
      </c>
      <c r="G142" s="19" t="e">
        <f t="shared" si="264"/>
        <v>#N/A</v>
      </c>
      <c r="H142" s="19" t="e">
        <f t="shared" si="265"/>
        <v>#N/A</v>
      </c>
      <c r="I142" s="19" t="e">
        <f t="shared" si="266"/>
        <v>#N/A</v>
      </c>
      <c r="J142" s="19" t="e">
        <f t="shared" si="267"/>
        <v>#N/A</v>
      </c>
      <c r="K142" s="19" t="e">
        <f t="shared" si="268"/>
        <v>#N/A</v>
      </c>
      <c r="L142" s="19" t="e">
        <f t="shared" si="269"/>
        <v>#N/A</v>
      </c>
      <c r="M142" s="19" t="e">
        <f t="shared" si="270"/>
        <v>#N/A</v>
      </c>
      <c r="N142" s="19" t="e">
        <f t="shared" si="271"/>
        <v>#N/A</v>
      </c>
      <c r="O142" s="19" t="e">
        <f t="shared" si="272"/>
        <v>#N/A</v>
      </c>
      <c r="P142" s="2"/>
      <c r="Q142" s="4">
        <v>7</v>
      </c>
      <c r="R142" s="4">
        <f t="shared" si="273"/>
        <v>75</v>
      </c>
      <c r="S142" s="19" t="e">
        <f t="shared" si="274"/>
        <v>#N/A</v>
      </c>
      <c r="T142" s="19" t="e">
        <f t="shared" si="275"/>
        <v>#N/A</v>
      </c>
      <c r="U142" s="19" t="e">
        <f t="shared" si="276"/>
        <v>#N/A</v>
      </c>
      <c r="V142" s="19" t="e">
        <f t="shared" si="277"/>
        <v>#N/A</v>
      </c>
      <c r="W142" s="19" t="e">
        <f t="shared" si="278"/>
        <v>#N/A</v>
      </c>
      <c r="X142" s="19" t="e">
        <f t="shared" si="279"/>
        <v>#N/A</v>
      </c>
      <c r="Y142" s="19" t="e">
        <f t="shared" si="280"/>
        <v>#N/A</v>
      </c>
      <c r="Z142" s="19" t="e">
        <f t="shared" si="281"/>
        <v>#N/A</v>
      </c>
      <c r="AA142" s="19" t="e">
        <f t="shared" si="282"/>
        <v>#N/A</v>
      </c>
      <c r="AB142" s="19" t="e">
        <f t="shared" si="283"/>
        <v>#N/A</v>
      </c>
      <c r="AC142" s="19" t="e">
        <f t="shared" si="284"/>
        <v>#N/A</v>
      </c>
      <c r="AD142" s="19" t="e">
        <f t="shared" si="285"/>
        <v>#N/A</v>
      </c>
      <c r="AE142" s="2"/>
      <c r="AF142" s="4">
        <v>7</v>
      </c>
      <c r="AG142" s="4">
        <f t="shared" si="286"/>
        <v>75</v>
      </c>
      <c r="AH142" s="19" t="e">
        <f t="shared" ref="AH142:AS142" si="307">AH115+AH32+AH59</f>
        <v>#N/A</v>
      </c>
      <c r="AI142" s="19" t="e">
        <f t="shared" si="307"/>
        <v>#N/A</v>
      </c>
      <c r="AJ142" s="19" t="e">
        <f t="shared" si="307"/>
        <v>#N/A</v>
      </c>
      <c r="AK142" s="19" t="e">
        <f t="shared" si="307"/>
        <v>#N/A</v>
      </c>
      <c r="AL142" s="19" t="e">
        <f t="shared" si="307"/>
        <v>#N/A</v>
      </c>
      <c r="AM142" s="19" t="e">
        <f t="shared" si="307"/>
        <v>#N/A</v>
      </c>
      <c r="AN142" s="19" t="e">
        <f t="shared" si="307"/>
        <v>#N/A</v>
      </c>
      <c r="AO142" s="19" t="e">
        <f t="shared" si="307"/>
        <v>#N/A</v>
      </c>
      <c r="AP142" s="19" t="e">
        <f t="shared" si="307"/>
        <v>#N/A</v>
      </c>
      <c r="AQ142" s="19" t="e">
        <f t="shared" si="307"/>
        <v>#N/A</v>
      </c>
      <c r="AR142" s="19" t="e">
        <f t="shared" si="307"/>
        <v>#N/A</v>
      </c>
      <c r="AS142" s="19" t="e">
        <f t="shared" si="307"/>
        <v>#N/A</v>
      </c>
      <c r="AT142" s="66"/>
      <c r="AU142" s="4">
        <v>7</v>
      </c>
      <c r="AV142" s="4">
        <f t="shared" si="288"/>
        <v>75</v>
      </c>
      <c r="AW142" s="19" t="e">
        <f t="shared" si="289"/>
        <v>#N/A</v>
      </c>
      <c r="AX142" s="19" t="e">
        <f t="shared" si="290"/>
        <v>#N/A</v>
      </c>
      <c r="AY142" s="19" t="e">
        <f t="shared" si="291"/>
        <v>#N/A</v>
      </c>
      <c r="AZ142" s="19" t="e">
        <f t="shared" si="292"/>
        <v>#N/A</v>
      </c>
      <c r="BA142" s="19" t="e">
        <f t="shared" si="293"/>
        <v>#N/A</v>
      </c>
      <c r="BB142" s="19" t="e">
        <f t="shared" si="294"/>
        <v>#N/A</v>
      </c>
      <c r="BC142" s="19" t="e">
        <f t="shared" si="295"/>
        <v>#N/A</v>
      </c>
      <c r="BD142" s="19" t="e">
        <f t="shared" si="296"/>
        <v>#N/A</v>
      </c>
      <c r="BE142" s="19" t="e">
        <f t="shared" si="297"/>
        <v>#N/A</v>
      </c>
      <c r="BF142" s="19" t="e">
        <f t="shared" si="298"/>
        <v>#N/A</v>
      </c>
      <c r="BG142" s="19" t="e">
        <f t="shared" si="299"/>
        <v>#N/A</v>
      </c>
      <c r="BH142" s="68" t="e">
        <f t="shared" si="300"/>
        <v>#N/A</v>
      </c>
    </row>
    <row r="143" spans="2:60">
      <c r="B143" s="57">
        <v>8</v>
      </c>
      <c r="C143" s="4">
        <f t="shared" si="260"/>
        <v>60</v>
      </c>
      <c r="D143" s="19" t="e">
        <f t="shared" si="261"/>
        <v>#N/A</v>
      </c>
      <c r="E143" s="19" t="e">
        <f t="shared" si="262"/>
        <v>#N/A</v>
      </c>
      <c r="F143" s="19" t="e">
        <f t="shared" si="263"/>
        <v>#N/A</v>
      </c>
      <c r="G143" s="19" t="e">
        <f t="shared" si="264"/>
        <v>#N/A</v>
      </c>
      <c r="H143" s="19" t="e">
        <f t="shared" si="265"/>
        <v>#N/A</v>
      </c>
      <c r="I143" s="19" t="e">
        <f t="shared" si="266"/>
        <v>#N/A</v>
      </c>
      <c r="J143" s="19" t="e">
        <f t="shared" si="267"/>
        <v>#N/A</v>
      </c>
      <c r="K143" s="19" t="e">
        <f t="shared" si="268"/>
        <v>#N/A</v>
      </c>
      <c r="L143" s="19" t="e">
        <f t="shared" si="269"/>
        <v>#N/A</v>
      </c>
      <c r="M143" s="19" t="e">
        <f t="shared" si="270"/>
        <v>#N/A</v>
      </c>
      <c r="N143" s="19" t="e">
        <f t="shared" si="271"/>
        <v>#N/A</v>
      </c>
      <c r="O143" s="19" t="e">
        <f t="shared" si="272"/>
        <v>#N/A</v>
      </c>
      <c r="P143" s="2"/>
      <c r="Q143" s="4">
        <v>8</v>
      </c>
      <c r="R143" s="4">
        <f t="shared" si="273"/>
        <v>60</v>
      </c>
      <c r="S143" s="19" t="e">
        <f t="shared" si="274"/>
        <v>#N/A</v>
      </c>
      <c r="T143" s="19" t="e">
        <f t="shared" si="275"/>
        <v>#N/A</v>
      </c>
      <c r="U143" s="19" t="e">
        <f t="shared" si="276"/>
        <v>#N/A</v>
      </c>
      <c r="V143" s="19" t="e">
        <f t="shared" si="277"/>
        <v>#N/A</v>
      </c>
      <c r="W143" s="19" t="e">
        <f t="shared" si="278"/>
        <v>#N/A</v>
      </c>
      <c r="X143" s="19" t="e">
        <f t="shared" si="279"/>
        <v>#N/A</v>
      </c>
      <c r="Y143" s="19" t="e">
        <f t="shared" si="280"/>
        <v>#N/A</v>
      </c>
      <c r="Z143" s="19" t="e">
        <f t="shared" si="281"/>
        <v>#N/A</v>
      </c>
      <c r="AA143" s="19" t="e">
        <f t="shared" si="282"/>
        <v>#N/A</v>
      </c>
      <c r="AB143" s="19" t="e">
        <f t="shared" si="283"/>
        <v>#N/A</v>
      </c>
      <c r="AC143" s="19" t="e">
        <f t="shared" si="284"/>
        <v>#N/A</v>
      </c>
      <c r="AD143" s="19" t="e">
        <f t="shared" si="285"/>
        <v>#N/A</v>
      </c>
      <c r="AE143" s="2"/>
      <c r="AF143" s="4">
        <v>8</v>
      </c>
      <c r="AG143" s="4">
        <f t="shared" si="286"/>
        <v>60</v>
      </c>
      <c r="AH143" s="19" t="e">
        <f t="shared" ref="AH143:AS143" si="308">AH116+AH33+AH60</f>
        <v>#N/A</v>
      </c>
      <c r="AI143" s="19" t="e">
        <f t="shared" si="308"/>
        <v>#N/A</v>
      </c>
      <c r="AJ143" s="19" t="e">
        <f t="shared" si="308"/>
        <v>#N/A</v>
      </c>
      <c r="AK143" s="19" t="e">
        <f t="shared" si="308"/>
        <v>#N/A</v>
      </c>
      <c r="AL143" s="19" t="e">
        <f t="shared" si="308"/>
        <v>#N/A</v>
      </c>
      <c r="AM143" s="19" t="e">
        <f t="shared" si="308"/>
        <v>#N/A</v>
      </c>
      <c r="AN143" s="19" t="e">
        <f t="shared" si="308"/>
        <v>#N/A</v>
      </c>
      <c r="AO143" s="19" t="e">
        <f t="shared" si="308"/>
        <v>#N/A</v>
      </c>
      <c r="AP143" s="19" t="e">
        <f t="shared" si="308"/>
        <v>#N/A</v>
      </c>
      <c r="AQ143" s="19" t="e">
        <f t="shared" si="308"/>
        <v>#N/A</v>
      </c>
      <c r="AR143" s="19" t="e">
        <f t="shared" si="308"/>
        <v>#N/A</v>
      </c>
      <c r="AS143" s="19" t="e">
        <f t="shared" si="308"/>
        <v>#N/A</v>
      </c>
      <c r="AT143" s="66"/>
      <c r="AU143" s="4">
        <v>8</v>
      </c>
      <c r="AV143" s="4">
        <f t="shared" si="288"/>
        <v>60</v>
      </c>
      <c r="AW143" s="19" t="e">
        <f t="shared" si="289"/>
        <v>#N/A</v>
      </c>
      <c r="AX143" s="19" t="e">
        <f t="shared" si="290"/>
        <v>#N/A</v>
      </c>
      <c r="AY143" s="19" t="e">
        <f t="shared" si="291"/>
        <v>#N/A</v>
      </c>
      <c r="AZ143" s="19" t="e">
        <f t="shared" si="292"/>
        <v>#N/A</v>
      </c>
      <c r="BA143" s="19" t="e">
        <f t="shared" si="293"/>
        <v>#N/A</v>
      </c>
      <c r="BB143" s="19" t="e">
        <f t="shared" si="294"/>
        <v>#N/A</v>
      </c>
      <c r="BC143" s="19" t="e">
        <f t="shared" si="295"/>
        <v>#N/A</v>
      </c>
      <c r="BD143" s="19" t="e">
        <f t="shared" si="296"/>
        <v>#N/A</v>
      </c>
      <c r="BE143" s="19" t="e">
        <f t="shared" si="297"/>
        <v>#N/A</v>
      </c>
      <c r="BF143" s="19" t="e">
        <f t="shared" si="298"/>
        <v>#N/A</v>
      </c>
      <c r="BG143" s="19" t="e">
        <f t="shared" si="299"/>
        <v>#N/A</v>
      </c>
      <c r="BH143" s="68" t="e">
        <f t="shared" si="300"/>
        <v>#N/A</v>
      </c>
    </row>
    <row r="144" spans="2:60">
      <c r="B144" s="57">
        <v>9</v>
      </c>
      <c r="C144" s="4">
        <f t="shared" si="260"/>
        <v>45</v>
      </c>
      <c r="D144" s="19" t="e">
        <f t="shared" si="261"/>
        <v>#N/A</v>
      </c>
      <c r="E144" s="19" t="e">
        <f t="shared" si="262"/>
        <v>#N/A</v>
      </c>
      <c r="F144" s="19" t="e">
        <f t="shared" si="263"/>
        <v>#N/A</v>
      </c>
      <c r="G144" s="19" t="e">
        <f t="shared" si="264"/>
        <v>#N/A</v>
      </c>
      <c r="H144" s="19" t="e">
        <f t="shared" si="265"/>
        <v>#N/A</v>
      </c>
      <c r="I144" s="19" t="e">
        <f t="shared" si="266"/>
        <v>#N/A</v>
      </c>
      <c r="J144" s="19" t="e">
        <f t="shared" si="267"/>
        <v>#N/A</v>
      </c>
      <c r="K144" s="19" t="e">
        <f t="shared" si="268"/>
        <v>#N/A</v>
      </c>
      <c r="L144" s="19" t="e">
        <f t="shared" si="269"/>
        <v>#N/A</v>
      </c>
      <c r="M144" s="19" t="e">
        <f t="shared" si="270"/>
        <v>#N/A</v>
      </c>
      <c r="N144" s="19" t="e">
        <f t="shared" si="271"/>
        <v>#N/A</v>
      </c>
      <c r="O144" s="19" t="e">
        <f t="shared" si="272"/>
        <v>#N/A</v>
      </c>
      <c r="P144" s="2"/>
      <c r="Q144" s="4">
        <v>9</v>
      </c>
      <c r="R144" s="4">
        <f t="shared" si="273"/>
        <v>45</v>
      </c>
      <c r="S144" s="19" t="e">
        <f t="shared" si="274"/>
        <v>#N/A</v>
      </c>
      <c r="T144" s="19" t="e">
        <f t="shared" si="275"/>
        <v>#N/A</v>
      </c>
      <c r="U144" s="19" t="e">
        <f t="shared" si="276"/>
        <v>#N/A</v>
      </c>
      <c r="V144" s="19" t="e">
        <f t="shared" si="277"/>
        <v>#N/A</v>
      </c>
      <c r="W144" s="19" t="e">
        <f t="shared" si="278"/>
        <v>#N/A</v>
      </c>
      <c r="X144" s="19" t="e">
        <f t="shared" si="279"/>
        <v>#N/A</v>
      </c>
      <c r="Y144" s="19" t="e">
        <f t="shared" si="280"/>
        <v>#N/A</v>
      </c>
      <c r="Z144" s="19" t="e">
        <f t="shared" si="281"/>
        <v>#N/A</v>
      </c>
      <c r="AA144" s="19" t="e">
        <f t="shared" si="282"/>
        <v>#N/A</v>
      </c>
      <c r="AB144" s="19" t="e">
        <f t="shared" si="283"/>
        <v>#N/A</v>
      </c>
      <c r="AC144" s="19" t="e">
        <f t="shared" si="284"/>
        <v>#N/A</v>
      </c>
      <c r="AD144" s="19" t="e">
        <f t="shared" si="285"/>
        <v>#N/A</v>
      </c>
      <c r="AE144" s="2"/>
      <c r="AF144" s="4">
        <v>9</v>
      </c>
      <c r="AG144" s="4">
        <f t="shared" si="286"/>
        <v>45</v>
      </c>
      <c r="AH144" s="19" t="e">
        <f t="shared" ref="AH144:AS144" si="309">AH117+AH34+AH61</f>
        <v>#N/A</v>
      </c>
      <c r="AI144" s="19" t="e">
        <f t="shared" si="309"/>
        <v>#N/A</v>
      </c>
      <c r="AJ144" s="19" t="e">
        <f t="shared" si="309"/>
        <v>#N/A</v>
      </c>
      <c r="AK144" s="19" t="e">
        <f t="shared" si="309"/>
        <v>#N/A</v>
      </c>
      <c r="AL144" s="19" t="e">
        <f t="shared" si="309"/>
        <v>#N/A</v>
      </c>
      <c r="AM144" s="19" t="e">
        <f t="shared" si="309"/>
        <v>#N/A</v>
      </c>
      <c r="AN144" s="19" t="e">
        <f t="shared" si="309"/>
        <v>#N/A</v>
      </c>
      <c r="AO144" s="19" t="e">
        <f t="shared" si="309"/>
        <v>#N/A</v>
      </c>
      <c r="AP144" s="19" t="e">
        <f t="shared" si="309"/>
        <v>#N/A</v>
      </c>
      <c r="AQ144" s="19" t="e">
        <f t="shared" si="309"/>
        <v>#N/A</v>
      </c>
      <c r="AR144" s="19" t="e">
        <f t="shared" si="309"/>
        <v>#N/A</v>
      </c>
      <c r="AS144" s="19" t="e">
        <f t="shared" si="309"/>
        <v>#N/A</v>
      </c>
      <c r="AT144" s="66"/>
      <c r="AU144" s="4">
        <v>9</v>
      </c>
      <c r="AV144" s="4">
        <f t="shared" si="288"/>
        <v>45</v>
      </c>
      <c r="AW144" s="19" t="e">
        <f t="shared" si="289"/>
        <v>#N/A</v>
      </c>
      <c r="AX144" s="19" t="e">
        <f t="shared" si="290"/>
        <v>#N/A</v>
      </c>
      <c r="AY144" s="19" t="e">
        <f t="shared" si="291"/>
        <v>#N/A</v>
      </c>
      <c r="AZ144" s="19" t="e">
        <f t="shared" si="292"/>
        <v>#N/A</v>
      </c>
      <c r="BA144" s="19" t="e">
        <f t="shared" si="293"/>
        <v>#N/A</v>
      </c>
      <c r="BB144" s="19" t="e">
        <f t="shared" si="294"/>
        <v>#N/A</v>
      </c>
      <c r="BC144" s="19" t="e">
        <f t="shared" si="295"/>
        <v>#N/A</v>
      </c>
      <c r="BD144" s="19" t="e">
        <f t="shared" si="296"/>
        <v>#N/A</v>
      </c>
      <c r="BE144" s="19" t="e">
        <f t="shared" si="297"/>
        <v>#N/A</v>
      </c>
      <c r="BF144" s="19" t="e">
        <f t="shared" si="298"/>
        <v>#N/A</v>
      </c>
      <c r="BG144" s="19" t="e">
        <f t="shared" si="299"/>
        <v>#N/A</v>
      </c>
      <c r="BH144" s="68" t="e">
        <f t="shared" si="300"/>
        <v>#N/A</v>
      </c>
    </row>
    <row r="145" spans="2:60">
      <c r="B145" s="57">
        <v>10</v>
      </c>
      <c r="C145" s="4">
        <f t="shared" si="260"/>
        <v>30</v>
      </c>
      <c r="D145" s="19" t="e">
        <f t="shared" si="261"/>
        <v>#N/A</v>
      </c>
      <c r="E145" s="19" t="e">
        <f t="shared" si="262"/>
        <v>#N/A</v>
      </c>
      <c r="F145" s="19" t="e">
        <f t="shared" si="263"/>
        <v>#N/A</v>
      </c>
      <c r="G145" s="19" t="e">
        <f t="shared" si="264"/>
        <v>#N/A</v>
      </c>
      <c r="H145" s="19" t="e">
        <f t="shared" si="265"/>
        <v>#N/A</v>
      </c>
      <c r="I145" s="19" t="e">
        <f t="shared" si="266"/>
        <v>#N/A</v>
      </c>
      <c r="J145" s="19" t="e">
        <f t="shared" si="267"/>
        <v>#N/A</v>
      </c>
      <c r="K145" s="19" t="e">
        <f t="shared" si="268"/>
        <v>#N/A</v>
      </c>
      <c r="L145" s="19" t="e">
        <f t="shared" si="269"/>
        <v>#N/A</v>
      </c>
      <c r="M145" s="19" t="e">
        <f t="shared" si="270"/>
        <v>#N/A</v>
      </c>
      <c r="N145" s="19" t="e">
        <f t="shared" si="271"/>
        <v>#N/A</v>
      </c>
      <c r="O145" s="19" t="e">
        <f t="shared" si="272"/>
        <v>#N/A</v>
      </c>
      <c r="P145" s="2"/>
      <c r="Q145" s="4">
        <v>10</v>
      </c>
      <c r="R145" s="4">
        <f t="shared" si="273"/>
        <v>30</v>
      </c>
      <c r="S145" s="19" t="e">
        <f t="shared" si="274"/>
        <v>#N/A</v>
      </c>
      <c r="T145" s="19" t="e">
        <f t="shared" si="275"/>
        <v>#N/A</v>
      </c>
      <c r="U145" s="19" t="e">
        <f t="shared" si="276"/>
        <v>#N/A</v>
      </c>
      <c r="V145" s="19" t="e">
        <f t="shared" si="277"/>
        <v>#N/A</v>
      </c>
      <c r="W145" s="19" t="e">
        <f t="shared" si="278"/>
        <v>#N/A</v>
      </c>
      <c r="X145" s="19" t="e">
        <f t="shared" si="279"/>
        <v>#N/A</v>
      </c>
      <c r="Y145" s="19" t="e">
        <f t="shared" si="280"/>
        <v>#N/A</v>
      </c>
      <c r="Z145" s="19" t="e">
        <f t="shared" si="281"/>
        <v>#N/A</v>
      </c>
      <c r="AA145" s="19" t="e">
        <f t="shared" si="282"/>
        <v>#N/A</v>
      </c>
      <c r="AB145" s="19" t="e">
        <f t="shared" si="283"/>
        <v>#N/A</v>
      </c>
      <c r="AC145" s="19" t="e">
        <f t="shared" si="284"/>
        <v>#N/A</v>
      </c>
      <c r="AD145" s="19" t="e">
        <f t="shared" si="285"/>
        <v>#N/A</v>
      </c>
      <c r="AE145" s="2"/>
      <c r="AF145" s="4">
        <v>10</v>
      </c>
      <c r="AG145" s="4">
        <f t="shared" si="286"/>
        <v>30</v>
      </c>
      <c r="AH145" s="19" t="e">
        <f t="shared" ref="AH145:AS145" si="310">AH118+AH35+AH62</f>
        <v>#N/A</v>
      </c>
      <c r="AI145" s="19" t="e">
        <f t="shared" si="310"/>
        <v>#N/A</v>
      </c>
      <c r="AJ145" s="19" t="e">
        <f t="shared" si="310"/>
        <v>#N/A</v>
      </c>
      <c r="AK145" s="19" t="e">
        <f t="shared" si="310"/>
        <v>#N/A</v>
      </c>
      <c r="AL145" s="19" t="e">
        <f t="shared" si="310"/>
        <v>#N/A</v>
      </c>
      <c r="AM145" s="19" t="e">
        <f t="shared" si="310"/>
        <v>#N/A</v>
      </c>
      <c r="AN145" s="19" t="e">
        <f t="shared" si="310"/>
        <v>#N/A</v>
      </c>
      <c r="AO145" s="19" t="e">
        <f t="shared" si="310"/>
        <v>#N/A</v>
      </c>
      <c r="AP145" s="19" t="e">
        <f t="shared" si="310"/>
        <v>#N/A</v>
      </c>
      <c r="AQ145" s="19" t="e">
        <f t="shared" si="310"/>
        <v>#N/A</v>
      </c>
      <c r="AR145" s="19" t="e">
        <f t="shared" si="310"/>
        <v>#N/A</v>
      </c>
      <c r="AS145" s="19" t="e">
        <f t="shared" si="310"/>
        <v>#N/A</v>
      </c>
      <c r="AT145" s="66"/>
      <c r="AU145" s="4">
        <v>10</v>
      </c>
      <c r="AV145" s="4">
        <f t="shared" si="288"/>
        <v>30</v>
      </c>
      <c r="AW145" s="19" t="e">
        <f t="shared" si="289"/>
        <v>#N/A</v>
      </c>
      <c r="AX145" s="19" t="e">
        <f t="shared" si="290"/>
        <v>#N/A</v>
      </c>
      <c r="AY145" s="19" t="e">
        <f t="shared" si="291"/>
        <v>#N/A</v>
      </c>
      <c r="AZ145" s="19" t="e">
        <f t="shared" si="292"/>
        <v>#N/A</v>
      </c>
      <c r="BA145" s="19" t="e">
        <f t="shared" si="293"/>
        <v>#N/A</v>
      </c>
      <c r="BB145" s="19" t="e">
        <f t="shared" si="294"/>
        <v>#N/A</v>
      </c>
      <c r="BC145" s="19" t="e">
        <f t="shared" si="295"/>
        <v>#N/A</v>
      </c>
      <c r="BD145" s="19" t="e">
        <f t="shared" si="296"/>
        <v>#N/A</v>
      </c>
      <c r="BE145" s="19" t="e">
        <f t="shared" si="297"/>
        <v>#N/A</v>
      </c>
      <c r="BF145" s="19" t="e">
        <f t="shared" si="298"/>
        <v>#N/A</v>
      </c>
      <c r="BG145" s="19" t="e">
        <f t="shared" si="299"/>
        <v>#N/A</v>
      </c>
      <c r="BH145" s="68" t="e">
        <f t="shared" si="300"/>
        <v>#N/A</v>
      </c>
    </row>
    <row r="146" spans="2:60">
      <c r="B146" s="57">
        <v>11</v>
      </c>
      <c r="C146" s="4">
        <f t="shared" si="260"/>
        <v>15</v>
      </c>
      <c r="D146" s="19" t="e">
        <f t="shared" si="261"/>
        <v>#N/A</v>
      </c>
      <c r="E146" s="19" t="e">
        <f t="shared" si="262"/>
        <v>#N/A</v>
      </c>
      <c r="F146" s="19" t="e">
        <f t="shared" si="263"/>
        <v>#N/A</v>
      </c>
      <c r="G146" s="19" t="e">
        <f t="shared" si="264"/>
        <v>#N/A</v>
      </c>
      <c r="H146" s="19" t="e">
        <f t="shared" si="265"/>
        <v>#N/A</v>
      </c>
      <c r="I146" s="19" t="e">
        <f t="shared" si="266"/>
        <v>#N/A</v>
      </c>
      <c r="J146" s="19" t="e">
        <f t="shared" si="267"/>
        <v>#N/A</v>
      </c>
      <c r="K146" s="19" t="e">
        <f t="shared" si="268"/>
        <v>#N/A</v>
      </c>
      <c r="L146" s="19" t="e">
        <f t="shared" si="269"/>
        <v>#N/A</v>
      </c>
      <c r="M146" s="19" t="e">
        <f t="shared" si="270"/>
        <v>#N/A</v>
      </c>
      <c r="N146" s="19" t="e">
        <f t="shared" si="271"/>
        <v>#N/A</v>
      </c>
      <c r="O146" s="19" t="e">
        <f t="shared" si="272"/>
        <v>#N/A</v>
      </c>
      <c r="P146" s="2"/>
      <c r="Q146" s="4">
        <v>11</v>
      </c>
      <c r="R146" s="4">
        <f t="shared" si="273"/>
        <v>15</v>
      </c>
      <c r="S146" s="19" t="e">
        <f t="shared" si="274"/>
        <v>#N/A</v>
      </c>
      <c r="T146" s="19" t="e">
        <f t="shared" si="275"/>
        <v>#N/A</v>
      </c>
      <c r="U146" s="19" t="e">
        <f t="shared" si="276"/>
        <v>#N/A</v>
      </c>
      <c r="V146" s="19" t="e">
        <f t="shared" si="277"/>
        <v>#N/A</v>
      </c>
      <c r="W146" s="19" t="e">
        <f t="shared" si="278"/>
        <v>#N/A</v>
      </c>
      <c r="X146" s="19" t="e">
        <f t="shared" si="279"/>
        <v>#N/A</v>
      </c>
      <c r="Y146" s="19" t="e">
        <f t="shared" si="280"/>
        <v>#N/A</v>
      </c>
      <c r="Z146" s="19" t="e">
        <f t="shared" si="281"/>
        <v>#N/A</v>
      </c>
      <c r="AA146" s="19" t="e">
        <f t="shared" si="282"/>
        <v>#N/A</v>
      </c>
      <c r="AB146" s="19" t="e">
        <f t="shared" si="283"/>
        <v>#N/A</v>
      </c>
      <c r="AC146" s="19" t="e">
        <f t="shared" si="284"/>
        <v>#N/A</v>
      </c>
      <c r="AD146" s="19" t="e">
        <f t="shared" si="285"/>
        <v>#N/A</v>
      </c>
      <c r="AE146" s="2"/>
      <c r="AF146" s="4">
        <v>11</v>
      </c>
      <c r="AG146" s="4">
        <f t="shared" si="286"/>
        <v>15</v>
      </c>
      <c r="AH146" s="19" t="e">
        <f t="shared" ref="AH146:AS146" si="311">AH119+AH36+AH63</f>
        <v>#N/A</v>
      </c>
      <c r="AI146" s="19" t="e">
        <f t="shared" si="311"/>
        <v>#N/A</v>
      </c>
      <c r="AJ146" s="19" t="e">
        <f t="shared" si="311"/>
        <v>#N/A</v>
      </c>
      <c r="AK146" s="19" t="e">
        <f t="shared" si="311"/>
        <v>#N/A</v>
      </c>
      <c r="AL146" s="19" t="e">
        <f t="shared" si="311"/>
        <v>#N/A</v>
      </c>
      <c r="AM146" s="19" t="e">
        <f t="shared" si="311"/>
        <v>#N/A</v>
      </c>
      <c r="AN146" s="19" t="e">
        <f t="shared" si="311"/>
        <v>#N/A</v>
      </c>
      <c r="AO146" s="19" t="e">
        <f t="shared" si="311"/>
        <v>#N/A</v>
      </c>
      <c r="AP146" s="19" t="e">
        <f t="shared" si="311"/>
        <v>#N/A</v>
      </c>
      <c r="AQ146" s="19" t="e">
        <f t="shared" si="311"/>
        <v>#N/A</v>
      </c>
      <c r="AR146" s="19" t="e">
        <f t="shared" si="311"/>
        <v>#N/A</v>
      </c>
      <c r="AS146" s="19" t="e">
        <f t="shared" si="311"/>
        <v>#N/A</v>
      </c>
      <c r="AT146" s="66"/>
      <c r="AU146" s="4">
        <v>11</v>
      </c>
      <c r="AV146" s="4">
        <f t="shared" si="288"/>
        <v>15</v>
      </c>
      <c r="AW146" s="19" t="e">
        <f t="shared" si="289"/>
        <v>#N/A</v>
      </c>
      <c r="AX146" s="19" t="e">
        <f t="shared" si="290"/>
        <v>#N/A</v>
      </c>
      <c r="AY146" s="19" t="e">
        <f t="shared" si="291"/>
        <v>#N/A</v>
      </c>
      <c r="AZ146" s="19" t="e">
        <f t="shared" si="292"/>
        <v>#N/A</v>
      </c>
      <c r="BA146" s="19" t="e">
        <f t="shared" si="293"/>
        <v>#N/A</v>
      </c>
      <c r="BB146" s="19" t="e">
        <f t="shared" si="294"/>
        <v>#N/A</v>
      </c>
      <c r="BC146" s="19" t="e">
        <f t="shared" si="295"/>
        <v>#N/A</v>
      </c>
      <c r="BD146" s="19" t="e">
        <f t="shared" si="296"/>
        <v>#N/A</v>
      </c>
      <c r="BE146" s="19" t="e">
        <f t="shared" si="297"/>
        <v>#N/A</v>
      </c>
      <c r="BF146" s="19" t="e">
        <f t="shared" si="298"/>
        <v>#N/A</v>
      </c>
      <c r="BG146" s="19" t="e">
        <f t="shared" si="299"/>
        <v>#N/A</v>
      </c>
      <c r="BH146" s="68" t="e">
        <f t="shared" si="300"/>
        <v>#N/A</v>
      </c>
    </row>
    <row r="147" spans="2:60">
      <c r="B147" s="57">
        <v>12</v>
      </c>
      <c r="C147" s="4">
        <f t="shared" si="260"/>
        <v>0</v>
      </c>
      <c r="D147" s="19" t="e">
        <f t="shared" si="261"/>
        <v>#N/A</v>
      </c>
      <c r="E147" s="19" t="e">
        <f t="shared" si="262"/>
        <v>#N/A</v>
      </c>
      <c r="F147" s="19" t="e">
        <f t="shared" si="263"/>
        <v>#N/A</v>
      </c>
      <c r="G147" s="19" t="e">
        <f t="shared" si="264"/>
        <v>#N/A</v>
      </c>
      <c r="H147" s="19" t="e">
        <f t="shared" si="265"/>
        <v>#N/A</v>
      </c>
      <c r="I147" s="19" t="e">
        <f t="shared" si="266"/>
        <v>#N/A</v>
      </c>
      <c r="J147" s="19" t="e">
        <f t="shared" si="267"/>
        <v>#N/A</v>
      </c>
      <c r="K147" s="19" t="e">
        <f t="shared" si="268"/>
        <v>#N/A</v>
      </c>
      <c r="L147" s="19" t="e">
        <f t="shared" si="269"/>
        <v>#N/A</v>
      </c>
      <c r="M147" s="19" t="e">
        <f t="shared" si="270"/>
        <v>#N/A</v>
      </c>
      <c r="N147" s="19" t="e">
        <f t="shared" si="271"/>
        <v>#N/A</v>
      </c>
      <c r="O147" s="19" t="e">
        <f t="shared" si="272"/>
        <v>#N/A</v>
      </c>
      <c r="P147" s="2"/>
      <c r="Q147" s="4">
        <v>12</v>
      </c>
      <c r="R147" s="4">
        <f t="shared" si="273"/>
        <v>0</v>
      </c>
      <c r="S147" s="19" t="e">
        <f t="shared" si="274"/>
        <v>#N/A</v>
      </c>
      <c r="T147" s="19" t="e">
        <f t="shared" si="275"/>
        <v>#N/A</v>
      </c>
      <c r="U147" s="19" t="e">
        <f t="shared" si="276"/>
        <v>#N/A</v>
      </c>
      <c r="V147" s="19" t="e">
        <f t="shared" si="277"/>
        <v>#N/A</v>
      </c>
      <c r="W147" s="19" t="e">
        <f t="shared" si="278"/>
        <v>#N/A</v>
      </c>
      <c r="X147" s="19" t="e">
        <f t="shared" si="279"/>
        <v>#N/A</v>
      </c>
      <c r="Y147" s="19" t="e">
        <f t="shared" si="280"/>
        <v>#N/A</v>
      </c>
      <c r="Z147" s="19" t="e">
        <f t="shared" si="281"/>
        <v>#N/A</v>
      </c>
      <c r="AA147" s="19" t="e">
        <f t="shared" si="282"/>
        <v>#N/A</v>
      </c>
      <c r="AB147" s="19" t="e">
        <f t="shared" si="283"/>
        <v>#N/A</v>
      </c>
      <c r="AC147" s="19" t="e">
        <f t="shared" si="284"/>
        <v>#N/A</v>
      </c>
      <c r="AD147" s="19" t="e">
        <f t="shared" si="285"/>
        <v>#N/A</v>
      </c>
      <c r="AE147" s="2"/>
      <c r="AF147" s="4">
        <v>12</v>
      </c>
      <c r="AG147" s="4">
        <f t="shared" si="286"/>
        <v>0</v>
      </c>
      <c r="AH147" s="19" t="e">
        <f t="shared" ref="AH147:AS147" si="312">AH120+AH37+AH64</f>
        <v>#N/A</v>
      </c>
      <c r="AI147" s="19" t="e">
        <f t="shared" si="312"/>
        <v>#N/A</v>
      </c>
      <c r="AJ147" s="19" t="e">
        <f t="shared" si="312"/>
        <v>#N/A</v>
      </c>
      <c r="AK147" s="19" t="e">
        <f t="shared" si="312"/>
        <v>#N/A</v>
      </c>
      <c r="AL147" s="19" t="e">
        <f t="shared" si="312"/>
        <v>#N/A</v>
      </c>
      <c r="AM147" s="19" t="e">
        <f t="shared" si="312"/>
        <v>#N/A</v>
      </c>
      <c r="AN147" s="19" t="e">
        <f t="shared" si="312"/>
        <v>#N/A</v>
      </c>
      <c r="AO147" s="19" t="e">
        <f t="shared" si="312"/>
        <v>#N/A</v>
      </c>
      <c r="AP147" s="19" t="e">
        <f t="shared" si="312"/>
        <v>#N/A</v>
      </c>
      <c r="AQ147" s="19" t="e">
        <f t="shared" si="312"/>
        <v>#N/A</v>
      </c>
      <c r="AR147" s="19" t="e">
        <f t="shared" si="312"/>
        <v>#N/A</v>
      </c>
      <c r="AS147" s="19" t="e">
        <f t="shared" si="312"/>
        <v>#N/A</v>
      </c>
      <c r="AT147" s="66"/>
      <c r="AU147" s="4">
        <v>12</v>
      </c>
      <c r="AV147" s="4">
        <f t="shared" si="288"/>
        <v>0</v>
      </c>
      <c r="AW147" s="19" t="e">
        <f t="shared" si="289"/>
        <v>#N/A</v>
      </c>
      <c r="AX147" s="19" t="e">
        <f t="shared" si="290"/>
        <v>#N/A</v>
      </c>
      <c r="AY147" s="19" t="e">
        <f t="shared" si="291"/>
        <v>#N/A</v>
      </c>
      <c r="AZ147" s="19" t="e">
        <f t="shared" si="292"/>
        <v>#N/A</v>
      </c>
      <c r="BA147" s="19" t="e">
        <f t="shared" si="293"/>
        <v>#N/A</v>
      </c>
      <c r="BB147" s="19" t="e">
        <f t="shared" si="294"/>
        <v>#N/A</v>
      </c>
      <c r="BC147" s="19" t="e">
        <f t="shared" si="295"/>
        <v>#N/A</v>
      </c>
      <c r="BD147" s="19" t="e">
        <f t="shared" si="296"/>
        <v>#N/A</v>
      </c>
      <c r="BE147" s="19" t="e">
        <f t="shared" si="297"/>
        <v>#N/A</v>
      </c>
      <c r="BF147" s="19" t="e">
        <f t="shared" si="298"/>
        <v>#N/A</v>
      </c>
      <c r="BG147" s="19" t="e">
        <f t="shared" si="299"/>
        <v>#N/A</v>
      </c>
      <c r="BH147" s="68" t="e">
        <f t="shared" si="300"/>
        <v>#N/A</v>
      </c>
    </row>
    <row r="148" spans="2:60">
      <c r="B148" s="57">
        <v>13</v>
      </c>
      <c r="C148" s="4">
        <f t="shared" si="260"/>
        <v>-15</v>
      </c>
      <c r="D148" s="19" t="e">
        <f t="shared" si="261"/>
        <v>#N/A</v>
      </c>
      <c r="E148" s="19" t="e">
        <f t="shared" si="262"/>
        <v>#N/A</v>
      </c>
      <c r="F148" s="19" t="e">
        <f t="shared" si="263"/>
        <v>#N/A</v>
      </c>
      <c r="G148" s="19" t="e">
        <f t="shared" si="264"/>
        <v>#N/A</v>
      </c>
      <c r="H148" s="19" t="e">
        <f t="shared" si="265"/>
        <v>#N/A</v>
      </c>
      <c r="I148" s="19" t="e">
        <f t="shared" si="266"/>
        <v>#N/A</v>
      </c>
      <c r="J148" s="19" t="e">
        <f t="shared" si="267"/>
        <v>#N/A</v>
      </c>
      <c r="K148" s="19" t="e">
        <f t="shared" si="268"/>
        <v>#N/A</v>
      </c>
      <c r="L148" s="19" t="e">
        <f t="shared" si="269"/>
        <v>#N/A</v>
      </c>
      <c r="M148" s="19" t="e">
        <f t="shared" si="270"/>
        <v>#N/A</v>
      </c>
      <c r="N148" s="19" t="e">
        <f t="shared" si="271"/>
        <v>#N/A</v>
      </c>
      <c r="O148" s="19" t="e">
        <f t="shared" si="272"/>
        <v>#N/A</v>
      </c>
      <c r="P148" s="2"/>
      <c r="Q148" s="4">
        <v>13</v>
      </c>
      <c r="R148" s="4">
        <f t="shared" si="273"/>
        <v>-15</v>
      </c>
      <c r="S148" s="19" t="e">
        <f t="shared" si="274"/>
        <v>#N/A</v>
      </c>
      <c r="T148" s="19" t="e">
        <f t="shared" si="275"/>
        <v>#N/A</v>
      </c>
      <c r="U148" s="19" t="e">
        <f t="shared" si="276"/>
        <v>#N/A</v>
      </c>
      <c r="V148" s="19" t="e">
        <f t="shared" si="277"/>
        <v>#N/A</v>
      </c>
      <c r="W148" s="19" t="e">
        <f t="shared" si="278"/>
        <v>#N/A</v>
      </c>
      <c r="X148" s="19" t="e">
        <f t="shared" si="279"/>
        <v>#N/A</v>
      </c>
      <c r="Y148" s="19" t="e">
        <f t="shared" si="280"/>
        <v>#N/A</v>
      </c>
      <c r="Z148" s="19" t="e">
        <f t="shared" si="281"/>
        <v>#N/A</v>
      </c>
      <c r="AA148" s="19" t="e">
        <f t="shared" si="282"/>
        <v>#N/A</v>
      </c>
      <c r="AB148" s="19" t="e">
        <f t="shared" si="283"/>
        <v>#N/A</v>
      </c>
      <c r="AC148" s="19" t="e">
        <f t="shared" si="284"/>
        <v>#N/A</v>
      </c>
      <c r="AD148" s="19" t="e">
        <f t="shared" si="285"/>
        <v>#N/A</v>
      </c>
      <c r="AE148" s="2"/>
      <c r="AF148" s="4">
        <v>13</v>
      </c>
      <c r="AG148" s="4">
        <f t="shared" si="286"/>
        <v>-15</v>
      </c>
      <c r="AH148" s="19" t="e">
        <f t="shared" ref="AH148:AS148" si="313">AH121+AH38+AH65</f>
        <v>#N/A</v>
      </c>
      <c r="AI148" s="19" t="e">
        <f t="shared" si="313"/>
        <v>#N/A</v>
      </c>
      <c r="AJ148" s="19" t="e">
        <f t="shared" si="313"/>
        <v>#N/A</v>
      </c>
      <c r="AK148" s="19" t="e">
        <f t="shared" si="313"/>
        <v>#N/A</v>
      </c>
      <c r="AL148" s="19" t="e">
        <f t="shared" si="313"/>
        <v>#N/A</v>
      </c>
      <c r="AM148" s="19" t="e">
        <f t="shared" si="313"/>
        <v>#N/A</v>
      </c>
      <c r="AN148" s="19" t="e">
        <f t="shared" si="313"/>
        <v>#N/A</v>
      </c>
      <c r="AO148" s="19" t="e">
        <f t="shared" si="313"/>
        <v>#N/A</v>
      </c>
      <c r="AP148" s="19" t="e">
        <f t="shared" si="313"/>
        <v>#N/A</v>
      </c>
      <c r="AQ148" s="19" t="e">
        <f t="shared" si="313"/>
        <v>#N/A</v>
      </c>
      <c r="AR148" s="19" t="e">
        <f t="shared" si="313"/>
        <v>#N/A</v>
      </c>
      <c r="AS148" s="19" t="e">
        <f t="shared" si="313"/>
        <v>#N/A</v>
      </c>
      <c r="AT148" s="66"/>
      <c r="AU148" s="4">
        <v>13</v>
      </c>
      <c r="AV148" s="4">
        <f t="shared" si="288"/>
        <v>-15</v>
      </c>
      <c r="AW148" s="19" t="e">
        <f t="shared" si="289"/>
        <v>#N/A</v>
      </c>
      <c r="AX148" s="19" t="e">
        <f t="shared" si="290"/>
        <v>#N/A</v>
      </c>
      <c r="AY148" s="19" t="e">
        <f t="shared" si="291"/>
        <v>#N/A</v>
      </c>
      <c r="AZ148" s="19" t="e">
        <f t="shared" si="292"/>
        <v>#N/A</v>
      </c>
      <c r="BA148" s="19" t="e">
        <f t="shared" si="293"/>
        <v>#N/A</v>
      </c>
      <c r="BB148" s="19" t="e">
        <f t="shared" si="294"/>
        <v>#N/A</v>
      </c>
      <c r="BC148" s="19" t="e">
        <f t="shared" si="295"/>
        <v>#N/A</v>
      </c>
      <c r="BD148" s="19" t="e">
        <f t="shared" si="296"/>
        <v>#N/A</v>
      </c>
      <c r="BE148" s="19" t="e">
        <f t="shared" si="297"/>
        <v>#N/A</v>
      </c>
      <c r="BF148" s="19" t="e">
        <f t="shared" si="298"/>
        <v>#N/A</v>
      </c>
      <c r="BG148" s="19" t="e">
        <f t="shared" si="299"/>
        <v>#N/A</v>
      </c>
      <c r="BH148" s="68" t="e">
        <f t="shared" si="300"/>
        <v>#N/A</v>
      </c>
    </row>
    <row r="149" spans="2:60">
      <c r="B149" s="57">
        <v>14</v>
      </c>
      <c r="C149" s="4">
        <f t="shared" si="260"/>
        <v>-30</v>
      </c>
      <c r="D149" s="19" t="e">
        <f t="shared" si="261"/>
        <v>#N/A</v>
      </c>
      <c r="E149" s="19" t="e">
        <f t="shared" si="262"/>
        <v>#N/A</v>
      </c>
      <c r="F149" s="19" t="e">
        <f t="shared" si="263"/>
        <v>#N/A</v>
      </c>
      <c r="G149" s="19" t="e">
        <f t="shared" si="264"/>
        <v>#N/A</v>
      </c>
      <c r="H149" s="19" t="e">
        <f t="shared" si="265"/>
        <v>#N/A</v>
      </c>
      <c r="I149" s="19" t="e">
        <f t="shared" si="266"/>
        <v>#N/A</v>
      </c>
      <c r="J149" s="19" t="e">
        <f t="shared" si="267"/>
        <v>#N/A</v>
      </c>
      <c r="K149" s="19" t="e">
        <f t="shared" si="268"/>
        <v>#N/A</v>
      </c>
      <c r="L149" s="19" t="e">
        <f t="shared" si="269"/>
        <v>#N/A</v>
      </c>
      <c r="M149" s="19" t="e">
        <f t="shared" si="270"/>
        <v>#N/A</v>
      </c>
      <c r="N149" s="19" t="e">
        <f t="shared" si="271"/>
        <v>#N/A</v>
      </c>
      <c r="O149" s="19" t="e">
        <f t="shared" si="272"/>
        <v>#N/A</v>
      </c>
      <c r="P149" s="2"/>
      <c r="Q149" s="4">
        <v>14</v>
      </c>
      <c r="R149" s="4">
        <f t="shared" si="273"/>
        <v>-30</v>
      </c>
      <c r="S149" s="19" t="e">
        <f t="shared" si="274"/>
        <v>#N/A</v>
      </c>
      <c r="T149" s="19" t="e">
        <f t="shared" si="275"/>
        <v>#N/A</v>
      </c>
      <c r="U149" s="19" t="e">
        <f t="shared" si="276"/>
        <v>#N/A</v>
      </c>
      <c r="V149" s="19" t="e">
        <f t="shared" si="277"/>
        <v>#N/A</v>
      </c>
      <c r="W149" s="19" t="e">
        <f t="shared" si="278"/>
        <v>#N/A</v>
      </c>
      <c r="X149" s="19" t="e">
        <f t="shared" si="279"/>
        <v>#N/A</v>
      </c>
      <c r="Y149" s="19" t="e">
        <f t="shared" si="280"/>
        <v>#N/A</v>
      </c>
      <c r="Z149" s="19" t="e">
        <f t="shared" si="281"/>
        <v>#N/A</v>
      </c>
      <c r="AA149" s="19" t="e">
        <f t="shared" si="282"/>
        <v>#N/A</v>
      </c>
      <c r="AB149" s="19" t="e">
        <f t="shared" si="283"/>
        <v>#N/A</v>
      </c>
      <c r="AC149" s="19" t="e">
        <f t="shared" si="284"/>
        <v>#N/A</v>
      </c>
      <c r="AD149" s="19" t="e">
        <f t="shared" si="285"/>
        <v>#N/A</v>
      </c>
      <c r="AE149" s="2"/>
      <c r="AF149" s="4">
        <v>14</v>
      </c>
      <c r="AG149" s="4">
        <f t="shared" si="286"/>
        <v>-30</v>
      </c>
      <c r="AH149" s="19" t="e">
        <f t="shared" ref="AH149:AS149" si="314">AH122+AH39+AH66</f>
        <v>#N/A</v>
      </c>
      <c r="AI149" s="19" t="e">
        <f t="shared" si="314"/>
        <v>#N/A</v>
      </c>
      <c r="AJ149" s="19" t="e">
        <f t="shared" si="314"/>
        <v>#N/A</v>
      </c>
      <c r="AK149" s="19" t="e">
        <f t="shared" si="314"/>
        <v>#N/A</v>
      </c>
      <c r="AL149" s="19" t="e">
        <f t="shared" si="314"/>
        <v>#N/A</v>
      </c>
      <c r="AM149" s="19" t="e">
        <f t="shared" si="314"/>
        <v>#N/A</v>
      </c>
      <c r="AN149" s="19" t="e">
        <f t="shared" si="314"/>
        <v>#N/A</v>
      </c>
      <c r="AO149" s="19" t="e">
        <f t="shared" si="314"/>
        <v>#N/A</v>
      </c>
      <c r="AP149" s="19" t="e">
        <f t="shared" si="314"/>
        <v>#N/A</v>
      </c>
      <c r="AQ149" s="19" t="e">
        <f t="shared" si="314"/>
        <v>#N/A</v>
      </c>
      <c r="AR149" s="19" t="e">
        <f t="shared" si="314"/>
        <v>#N/A</v>
      </c>
      <c r="AS149" s="19" t="e">
        <f t="shared" si="314"/>
        <v>#N/A</v>
      </c>
      <c r="AT149" s="66"/>
      <c r="AU149" s="4">
        <v>14</v>
      </c>
      <c r="AV149" s="4">
        <f t="shared" si="288"/>
        <v>-30</v>
      </c>
      <c r="AW149" s="19" t="e">
        <f t="shared" si="289"/>
        <v>#N/A</v>
      </c>
      <c r="AX149" s="19" t="e">
        <f t="shared" si="290"/>
        <v>#N/A</v>
      </c>
      <c r="AY149" s="19" t="e">
        <f t="shared" si="291"/>
        <v>#N/A</v>
      </c>
      <c r="AZ149" s="19" t="e">
        <f t="shared" si="292"/>
        <v>#N/A</v>
      </c>
      <c r="BA149" s="19" t="e">
        <f t="shared" si="293"/>
        <v>#N/A</v>
      </c>
      <c r="BB149" s="19" t="e">
        <f t="shared" si="294"/>
        <v>#N/A</v>
      </c>
      <c r="BC149" s="19" t="e">
        <f t="shared" si="295"/>
        <v>#N/A</v>
      </c>
      <c r="BD149" s="19" t="e">
        <f t="shared" si="296"/>
        <v>#N/A</v>
      </c>
      <c r="BE149" s="19" t="e">
        <f t="shared" si="297"/>
        <v>#N/A</v>
      </c>
      <c r="BF149" s="19" t="e">
        <f t="shared" si="298"/>
        <v>#N/A</v>
      </c>
      <c r="BG149" s="19" t="e">
        <f t="shared" si="299"/>
        <v>#N/A</v>
      </c>
      <c r="BH149" s="68" t="e">
        <f t="shared" si="300"/>
        <v>#N/A</v>
      </c>
    </row>
    <row r="150" spans="2:60">
      <c r="B150" s="57">
        <v>15</v>
      </c>
      <c r="C150" s="4">
        <f t="shared" si="260"/>
        <v>-45</v>
      </c>
      <c r="D150" s="19" t="e">
        <f t="shared" si="261"/>
        <v>#N/A</v>
      </c>
      <c r="E150" s="19" t="e">
        <f t="shared" si="262"/>
        <v>#N/A</v>
      </c>
      <c r="F150" s="19" t="e">
        <f t="shared" si="263"/>
        <v>#N/A</v>
      </c>
      <c r="G150" s="19" t="e">
        <f t="shared" si="264"/>
        <v>#N/A</v>
      </c>
      <c r="H150" s="19" t="e">
        <f t="shared" si="265"/>
        <v>#N/A</v>
      </c>
      <c r="I150" s="19" t="e">
        <f t="shared" si="266"/>
        <v>#N/A</v>
      </c>
      <c r="J150" s="19" t="e">
        <f t="shared" si="267"/>
        <v>#N/A</v>
      </c>
      <c r="K150" s="19" t="e">
        <f t="shared" si="268"/>
        <v>#N/A</v>
      </c>
      <c r="L150" s="19" t="e">
        <f t="shared" si="269"/>
        <v>#N/A</v>
      </c>
      <c r="M150" s="19" t="e">
        <f t="shared" si="270"/>
        <v>#N/A</v>
      </c>
      <c r="N150" s="19" t="e">
        <f t="shared" si="271"/>
        <v>#N/A</v>
      </c>
      <c r="O150" s="19" t="e">
        <f t="shared" si="272"/>
        <v>#N/A</v>
      </c>
      <c r="P150" s="2"/>
      <c r="Q150" s="4">
        <v>15</v>
      </c>
      <c r="R150" s="4">
        <f t="shared" si="273"/>
        <v>-45</v>
      </c>
      <c r="S150" s="19" t="e">
        <f t="shared" si="274"/>
        <v>#N/A</v>
      </c>
      <c r="T150" s="19" t="e">
        <f t="shared" si="275"/>
        <v>#N/A</v>
      </c>
      <c r="U150" s="19" t="e">
        <f t="shared" si="276"/>
        <v>#N/A</v>
      </c>
      <c r="V150" s="19" t="e">
        <f t="shared" si="277"/>
        <v>#N/A</v>
      </c>
      <c r="W150" s="19" t="e">
        <f t="shared" si="278"/>
        <v>#N/A</v>
      </c>
      <c r="X150" s="19" t="e">
        <f t="shared" si="279"/>
        <v>#N/A</v>
      </c>
      <c r="Y150" s="19" t="e">
        <f t="shared" si="280"/>
        <v>#N/A</v>
      </c>
      <c r="Z150" s="19" t="e">
        <f t="shared" si="281"/>
        <v>#N/A</v>
      </c>
      <c r="AA150" s="19" t="e">
        <f t="shared" si="282"/>
        <v>#N/A</v>
      </c>
      <c r="AB150" s="19" t="e">
        <f t="shared" si="283"/>
        <v>#N/A</v>
      </c>
      <c r="AC150" s="19" t="e">
        <f t="shared" si="284"/>
        <v>#N/A</v>
      </c>
      <c r="AD150" s="19" t="e">
        <f t="shared" si="285"/>
        <v>#N/A</v>
      </c>
      <c r="AE150" s="2"/>
      <c r="AF150" s="4">
        <v>15</v>
      </c>
      <c r="AG150" s="4">
        <f t="shared" si="286"/>
        <v>-45</v>
      </c>
      <c r="AH150" s="19" t="e">
        <f t="shared" ref="AH150:AS150" si="315">AH123+AH40+AH67</f>
        <v>#N/A</v>
      </c>
      <c r="AI150" s="19" t="e">
        <f t="shared" si="315"/>
        <v>#N/A</v>
      </c>
      <c r="AJ150" s="19" t="e">
        <f t="shared" si="315"/>
        <v>#N/A</v>
      </c>
      <c r="AK150" s="19" t="e">
        <f t="shared" si="315"/>
        <v>#N/A</v>
      </c>
      <c r="AL150" s="19" t="e">
        <f t="shared" si="315"/>
        <v>#N/A</v>
      </c>
      <c r="AM150" s="19" t="e">
        <f t="shared" si="315"/>
        <v>#N/A</v>
      </c>
      <c r="AN150" s="19" t="e">
        <f t="shared" si="315"/>
        <v>#N/A</v>
      </c>
      <c r="AO150" s="19" t="e">
        <f t="shared" si="315"/>
        <v>#N/A</v>
      </c>
      <c r="AP150" s="19" t="e">
        <f t="shared" si="315"/>
        <v>#N/A</v>
      </c>
      <c r="AQ150" s="19" t="e">
        <f t="shared" si="315"/>
        <v>#N/A</v>
      </c>
      <c r="AR150" s="19" t="e">
        <f t="shared" si="315"/>
        <v>#N/A</v>
      </c>
      <c r="AS150" s="19" t="e">
        <f t="shared" si="315"/>
        <v>#N/A</v>
      </c>
      <c r="AT150" s="66"/>
      <c r="AU150" s="4">
        <v>15</v>
      </c>
      <c r="AV150" s="4">
        <f t="shared" si="288"/>
        <v>-45</v>
      </c>
      <c r="AW150" s="19" t="e">
        <f t="shared" si="289"/>
        <v>#N/A</v>
      </c>
      <c r="AX150" s="19" t="e">
        <f t="shared" si="290"/>
        <v>#N/A</v>
      </c>
      <c r="AY150" s="19" t="e">
        <f t="shared" si="291"/>
        <v>#N/A</v>
      </c>
      <c r="AZ150" s="19" t="e">
        <f t="shared" si="292"/>
        <v>#N/A</v>
      </c>
      <c r="BA150" s="19" t="e">
        <f t="shared" si="293"/>
        <v>#N/A</v>
      </c>
      <c r="BB150" s="19" t="e">
        <f t="shared" si="294"/>
        <v>#N/A</v>
      </c>
      <c r="BC150" s="19" t="e">
        <f t="shared" si="295"/>
        <v>#N/A</v>
      </c>
      <c r="BD150" s="19" t="e">
        <f t="shared" si="296"/>
        <v>#N/A</v>
      </c>
      <c r="BE150" s="19" t="e">
        <f t="shared" si="297"/>
        <v>#N/A</v>
      </c>
      <c r="BF150" s="19" t="e">
        <f t="shared" si="298"/>
        <v>#N/A</v>
      </c>
      <c r="BG150" s="19" t="e">
        <f t="shared" si="299"/>
        <v>#N/A</v>
      </c>
      <c r="BH150" s="68" t="e">
        <f t="shared" si="300"/>
        <v>#N/A</v>
      </c>
    </row>
    <row r="151" spans="2:60">
      <c r="B151" s="57">
        <v>16</v>
      </c>
      <c r="C151" s="4">
        <f t="shared" si="260"/>
        <v>-60</v>
      </c>
      <c r="D151" s="19" t="e">
        <f t="shared" si="261"/>
        <v>#N/A</v>
      </c>
      <c r="E151" s="19" t="e">
        <f t="shared" si="262"/>
        <v>#N/A</v>
      </c>
      <c r="F151" s="19" t="e">
        <f t="shared" si="263"/>
        <v>#N/A</v>
      </c>
      <c r="G151" s="19" t="e">
        <f t="shared" si="264"/>
        <v>#N/A</v>
      </c>
      <c r="H151" s="19" t="e">
        <f t="shared" si="265"/>
        <v>#N/A</v>
      </c>
      <c r="I151" s="19" t="e">
        <f t="shared" si="266"/>
        <v>#N/A</v>
      </c>
      <c r="J151" s="19" t="e">
        <f t="shared" si="267"/>
        <v>#N/A</v>
      </c>
      <c r="K151" s="19" t="e">
        <f t="shared" si="268"/>
        <v>#N/A</v>
      </c>
      <c r="L151" s="19" t="e">
        <f t="shared" si="269"/>
        <v>#N/A</v>
      </c>
      <c r="M151" s="19" t="e">
        <f t="shared" si="270"/>
        <v>#N/A</v>
      </c>
      <c r="N151" s="19" t="e">
        <f t="shared" si="271"/>
        <v>#N/A</v>
      </c>
      <c r="O151" s="19" t="e">
        <f t="shared" si="272"/>
        <v>#N/A</v>
      </c>
      <c r="P151" s="2"/>
      <c r="Q151" s="4">
        <v>16</v>
      </c>
      <c r="R151" s="4">
        <f t="shared" si="273"/>
        <v>-60</v>
      </c>
      <c r="S151" s="19" t="e">
        <f t="shared" si="274"/>
        <v>#N/A</v>
      </c>
      <c r="T151" s="19" t="e">
        <f t="shared" si="275"/>
        <v>#N/A</v>
      </c>
      <c r="U151" s="19" t="e">
        <f t="shared" si="276"/>
        <v>#N/A</v>
      </c>
      <c r="V151" s="19" t="e">
        <f t="shared" si="277"/>
        <v>#N/A</v>
      </c>
      <c r="W151" s="19" t="e">
        <f t="shared" si="278"/>
        <v>#N/A</v>
      </c>
      <c r="X151" s="19" t="e">
        <f t="shared" si="279"/>
        <v>#N/A</v>
      </c>
      <c r="Y151" s="19" t="e">
        <f t="shared" si="280"/>
        <v>#N/A</v>
      </c>
      <c r="Z151" s="19" t="e">
        <f t="shared" si="281"/>
        <v>#N/A</v>
      </c>
      <c r="AA151" s="19" t="e">
        <f t="shared" si="282"/>
        <v>#N/A</v>
      </c>
      <c r="AB151" s="19" t="e">
        <f t="shared" si="283"/>
        <v>#N/A</v>
      </c>
      <c r="AC151" s="19" t="e">
        <f t="shared" si="284"/>
        <v>#N/A</v>
      </c>
      <c r="AD151" s="19" t="e">
        <f t="shared" si="285"/>
        <v>#N/A</v>
      </c>
      <c r="AE151" s="2"/>
      <c r="AF151" s="4">
        <v>16</v>
      </c>
      <c r="AG151" s="4">
        <f t="shared" si="286"/>
        <v>-60</v>
      </c>
      <c r="AH151" s="19" t="e">
        <f t="shared" ref="AH151:AS151" si="316">AH124+AH41+AH68</f>
        <v>#N/A</v>
      </c>
      <c r="AI151" s="19" t="e">
        <f t="shared" si="316"/>
        <v>#N/A</v>
      </c>
      <c r="AJ151" s="19" t="e">
        <f t="shared" si="316"/>
        <v>#N/A</v>
      </c>
      <c r="AK151" s="19" t="e">
        <f t="shared" si="316"/>
        <v>#N/A</v>
      </c>
      <c r="AL151" s="19" t="e">
        <f t="shared" si="316"/>
        <v>#N/A</v>
      </c>
      <c r="AM151" s="19" t="e">
        <f t="shared" si="316"/>
        <v>#N/A</v>
      </c>
      <c r="AN151" s="19" t="e">
        <f t="shared" si="316"/>
        <v>#N/A</v>
      </c>
      <c r="AO151" s="19" t="e">
        <f t="shared" si="316"/>
        <v>#N/A</v>
      </c>
      <c r="AP151" s="19" t="e">
        <f t="shared" si="316"/>
        <v>#N/A</v>
      </c>
      <c r="AQ151" s="19" t="e">
        <f t="shared" si="316"/>
        <v>#N/A</v>
      </c>
      <c r="AR151" s="19" t="e">
        <f t="shared" si="316"/>
        <v>#N/A</v>
      </c>
      <c r="AS151" s="19" t="e">
        <f t="shared" si="316"/>
        <v>#N/A</v>
      </c>
      <c r="AT151" s="66"/>
      <c r="AU151" s="4">
        <v>16</v>
      </c>
      <c r="AV151" s="4">
        <f t="shared" si="288"/>
        <v>-60</v>
      </c>
      <c r="AW151" s="19" t="e">
        <f t="shared" si="289"/>
        <v>#N/A</v>
      </c>
      <c r="AX151" s="19" t="e">
        <f t="shared" si="290"/>
        <v>#N/A</v>
      </c>
      <c r="AY151" s="19" t="e">
        <f t="shared" si="291"/>
        <v>#N/A</v>
      </c>
      <c r="AZ151" s="19" t="e">
        <f t="shared" si="292"/>
        <v>#N/A</v>
      </c>
      <c r="BA151" s="19" t="e">
        <f t="shared" si="293"/>
        <v>#N/A</v>
      </c>
      <c r="BB151" s="19" t="e">
        <f t="shared" si="294"/>
        <v>#N/A</v>
      </c>
      <c r="BC151" s="19" t="e">
        <f t="shared" si="295"/>
        <v>#N/A</v>
      </c>
      <c r="BD151" s="19" t="e">
        <f t="shared" si="296"/>
        <v>#N/A</v>
      </c>
      <c r="BE151" s="19" t="e">
        <f t="shared" si="297"/>
        <v>#N/A</v>
      </c>
      <c r="BF151" s="19" t="e">
        <f t="shared" si="298"/>
        <v>#N/A</v>
      </c>
      <c r="BG151" s="19" t="e">
        <f t="shared" si="299"/>
        <v>#N/A</v>
      </c>
      <c r="BH151" s="68" t="e">
        <f t="shared" si="300"/>
        <v>#N/A</v>
      </c>
    </row>
    <row r="152" spans="2:60">
      <c r="B152" s="57">
        <v>17</v>
      </c>
      <c r="C152" s="4">
        <f t="shared" si="260"/>
        <v>-75</v>
      </c>
      <c r="D152" s="19" t="e">
        <f t="shared" si="261"/>
        <v>#N/A</v>
      </c>
      <c r="E152" s="19" t="e">
        <f t="shared" si="262"/>
        <v>#N/A</v>
      </c>
      <c r="F152" s="19" t="e">
        <f t="shared" si="263"/>
        <v>#N/A</v>
      </c>
      <c r="G152" s="19" t="e">
        <f t="shared" si="264"/>
        <v>#N/A</v>
      </c>
      <c r="H152" s="19" t="e">
        <f t="shared" si="265"/>
        <v>#N/A</v>
      </c>
      <c r="I152" s="19" t="e">
        <f t="shared" si="266"/>
        <v>#N/A</v>
      </c>
      <c r="J152" s="19" t="e">
        <f t="shared" si="267"/>
        <v>#N/A</v>
      </c>
      <c r="K152" s="19" t="e">
        <f t="shared" si="268"/>
        <v>#N/A</v>
      </c>
      <c r="L152" s="19" t="e">
        <f t="shared" si="269"/>
        <v>#N/A</v>
      </c>
      <c r="M152" s="19" t="e">
        <f t="shared" si="270"/>
        <v>#N/A</v>
      </c>
      <c r="N152" s="19" t="e">
        <f t="shared" si="271"/>
        <v>#N/A</v>
      </c>
      <c r="O152" s="19" t="e">
        <f t="shared" si="272"/>
        <v>#N/A</v>
      </c>
      <c r="P152" s="2"/>
      <c r="Q152" s="4">
        <v>17</v>
      </c>
      <c r="R152" s="4">
        <f t="shared" si="273"/>
        <v>-75</v>
      </c>
      <c r="S152" s="19" t="e">
        <f t="shared" si="274"/>
        <v>#N/A</v>
      </c>
      <c r="T152" s="19" t="e">
        <f t="shared" si="275"/>
        <v>#N/A</v>
      </c>
      <c r="U152" s="19" t="e">
        <f t="shared" si="276"/>
        <v>#N/A</v>
      </c>
      <c r="V152" s="19" t="e">
        <f t="shared" si="277"/>
        <v>#N/A</v>
      </c>
      <c r="W152" s="19" t="e">
        <f t="shared" si="278"/>
        <v>#N/A</v>
      </c>
      <c r="X152" s="19" t="e">
        <f t="shared" si="279"/>
        <v>#N/A</v>
      </c>
      <c r="Y152" s="19" t="e">
        <f t="shared" si="280"/>
        <v>#N/A</v>
      </c>
      <c r="Z152" s="19" t="e">
        <f t="shared" si="281"/>
        <v>#N/A</v>
      </c>
      <c r="AA152" s="19" t="e">
        <f t="shared" si="282"/>
        <v>#N/A</v>
      </c>
      <c r="AB152" s="19" t="e">
        <f t="shared" si="283"/>
        <v>#N/A</v>
      </c>
      <c r="AC152" s="19" t="e">
        <f t="shared" si="284"/>
        <v>#N/A</v>
      </c>
      <c r="AD152" s="19" t="e">
        <f t="shared" si="285"/>
        <v>#N/A</v>
      </c>
      <c r="AE152" s="2"/>
      <c r="AF152" s="4">
        <v>17</v>
      </c>
      <c r="AG152" s="4">
        <f t="shared" si="286"/>
        <v>-75</v>
      </c>
      <c r="AH152" s="19" t="e">
        <f t="shared" ref="AH152:AS152" si="317">AH125+AH42+AH69</f>
        <v>#N/A</v>
      </c>
      <c r="AI152" s="19" t="e">
        <f t="shared" si="317"/>
        <v>#N/A</v>
      </c>
      <c r="AJ152" s="19" t="e">
        <f t="shared" si="317"/>
        <v>#N/A</v>
      </c>
      <c r="AK152" s="19" t="e">
        <f t="shared" si="317"/>
        <v>#N/A</v>
      </c>
      <c r="AL152" s="19" t="e">
        <f t="shared" si="317"/>
        <v>#N/A</v>
      </c>
      <c r="AM152" s="19" t="e">
        <f t="shared" si="317"/>
        <v>#N/A</v>
      </c>
      <c r="AN152" s="19" t="e">
        <f t="shared" si="317"/>
        <v>#N/A</v>
      </c>
      <c r="AO152" s="19" t="e">
        <f t="shared" si="317"/>
        <v>#N/A</v>
      </c>
      <c r="AP152" s="19" t="e">
        <f t="shared" si="317"/>
        <v>#N/A</v>
      </c>
      <c r="AQ152" s="19" t="e">
        <f t="shared" si="317"/>
        <v>#N/A</v>
      </c>
      <c r="AR152" s="19" t="e">
        <f t="shared" si="317"/>
        <v>#N/A</v>
      </c>
      <c r="AS152" s="19" t="e">
        <f t="shared" si="317"/>
        <v>#N/A</v>
      </c>
      <c r="AT152" s="66"/>
      <c r="AU152" s="4">
        <v>17</v>
      </c>
      <c r="AV152" s="4">
        <f t="shared" si="288"/>
        <v>-75</v>
      </c>
      <c r="AW152" s="19" t="e">
        <f t="shared" si="289"/>
        <v>#N/A</v>
      </c>
      <c r="AX152" s="19" t="e">
        <f t="shared" si="290"/>
        <v>#N/A</v>
      </c>
      <c r="AY152" s="19" t="e">
        <f t="shared" si="291"/>
        <v>#N/A</v>
      </c>
      <c r="AZ152" s="19" t="e">
        <f t="shared" si="292"/>
        <v>#N/A</v>
      </c>
      <c r="BA152" s="19" t="e">
        <f t="shared" si="293"/>
        <v>#N/A</v>
      </c>
      <c r="BB152" s="19" t="e">
        <f t="shared" si="294"/>
        <v>#N/A</v>
      </c>
      <c r="BC152" s="19" t="e">
        <f t="shared" si="295"/>
        <v>#N/A</v>
      </c>
      <c r="BD152" s="19" t="e">
        <f t="shared" si="296"/>
        <v>#N/A</v>
      </c>
      <c r="BE152" s="19" t="e">
        <f t="shared" si="297"/>
        <v>#N/A</v>
      </c>
      <c r="BF152" s="19" t="e">
        <f t="shared" si="298"/>
        <v>#N/A</v>
      </c>
      <c r="BG152" s="19" t="e">
        <f t="shared" si="299"/>
        <v>#N/A</v>
      </c>
      <c r="BH152" s="68" t="e">
        <f t="shared" si="300"/>
        <v>#N/A</v>
      </c>
    </row>
    <row r="153" spans="2:60">
      <c r="B153" s="57">
        <v>18</v>
      </c>
      <c r="C153" s="4">
        <f t="shared" si="260"/>
        <v>-90</v>
      </c>
      <c r="D153" s="19" t="e">
        <f t="shared" si="261"/>
        <v>#N/A</v>
      </c>
      <c r="E153" s="19" t="e">
        <f t="shared" si="262"/>
        <v>#N/A</v>
      </c>
      <c r="F153" s="19" t="e">
        <f t="shared" si="263"/>
        <v>#N/A</v>
      </c>
      <c r="G153" s="19" t="e">
        <f t="shared" si="264"/>
        <v>#N/A</v>
      </c>
      <c r="H153" s="19" t="e">
        <f t="shared" si="265"/>
        <v>#N/A</v>
      </c>
      <c r="I153" s="19" t="e">
        <f t="shared" si="266"/>
        <v>#N/A</v>
      </c>
      <c r="J153" s="19" t="e">
        <f t="shared" si="267"/>
        <v>#N/A</v>
      </c>
      <c r="K153" s="19" t="e">
        <f t="shared" si="268"/>
        <v>#N/A</v>
      </c>
      <c r="L153" s="19" t="e">
        <f t="shared" si="269"/>
        <v>#N/A</v>
      </c>
      <c r="M153" s="19" t="e">
        <f t="shared" si="270"/>
        <v>#N/A</v>
      </c>
      <c r="N153" s="19" t="e">
        <f t="shared" si="271"/>
        <v>#N/A</v>
      </c>
      <c r="O153" s="19" t="e">
        <f t="shared" si="272"/>
        <v>#N/A</v>
      </c>
      <c r="P153" s="2"/>
      <c r="Q153" s="4">
        <v>18</v>
      </c>
      <c r="R153" s="4">
        <f t="shared" si="273"/>
        <v>-90</v>
      </c>
      <c r="S153" s="19" t="e">
        <f t="shared" si="274"/>
        <v>#N/A</v>
      </c>
      <c r="T153" s="19" t="e">
        <f t="shared" si="275"/>
        <v>#N/A</v>
      </c>
      <c r="U153" s="19" t="e">
        <f t="shared" si="276"/>
        <v>#N/A</v>
      </c>
      <c r="V153" s="19" t="e">
        <f t="shared" si="277"/>
        <v>#N/A</v>
      </c>
      <c r="W153" s="19" t="e">
        <f t="shared" si="278"/>
        <v>#N/A</v>
      </c>
      <c r="X153" s="19" t="e">
        <f t="shared" si="279"/>
        <v>#N/A</v>
      </c>
      <c r="Y153" s="19" t="e">
        <f t="shared" si="280"/>
        <v>#N/A</v>
      </c>
      <c r="Z153" s="19" t="e">
        <f t="shared" si="281"/>
        <v>#N/A</v>
      </c>
      <c r="AA153" s="19" t="e">
        <f t="shared" si="282"/>
        <v>#N/A</v>
      </c>
      <c r="AB153" s="19" t="e">
        <f t="shared" si="283"/>
        <v>#N/A</v>
      </c>
      <c r="AC153" s="19" t="e">
        <f t="shared" si="284"/>
        <v>#N/A</v>
      </c>
      <c r="AD153" s="19" t="e">
        <f t="shared" si="285"/>
        <v>#N/A</v>
      </c>
      <c r="AE153" s="2"/>
      <c r="AF153" s="4">
        <v>18</v>
      </c>
      <c r="AG153" s="4">
        <f t="shared" si="286"/>
        <v>-90</v>
      </c>
      <c r="AH153" s="19" t="e">
        <f t="shared" ref="AH153:AS153" si="318">AH126+AH43+AH70</f>
        <v>#N/A</v>
      </c>
      <c r="AI153" s="19" t="e">
        <f t="shared" si="318"/>
        <v>#N/A</v>
      </c>
      <c r="AJ153" s="19" t="e">
        <f t="shared" si="318"/>
        <v>#N/A</v>
      </c>
      <c r="AK153" s="19" t="e">
        <f t="shared" si="318"/>
        <v>#N/A</v>
      </c>
      <c r="AL153" s="19" t="e">
        <f t="shared" si="318"/>
        <v>#N/A</v>
      </c>
      <c r="AM153" s="19" t="e">
        <f t="shared" si="318"/>
        <v>#N/A</v>
      </c>
      <c r="AN153" s="19" t="e">
        <f t="shared" si="318"/>
        <v>#N/A</v>
      </c>
      <c r="AO153" s="19" t="e">
        <f t="shared" si="318"/>
        <v>#N/A</v>
      </c>
      <c r="AP153" s="19" t="e">
        <f t="shared" si="318"/>
        <v>#N/A</v>
      </c>
      <c r="AQ153" s="19" t="e">
        <f t="shared" si="318"/>
        <v>#N/A</v>
      </c>
      <c r="AR153" s="19" t="e">
        <f t="shared" si="318"/>
        <v>#N/A</v>
      </c>
      <c r="AS153" s="19" t="e">
        <f t="shared" si="318"/>
        <v>#N/A</v>
      </c>
      <c r="AT153" s="66"/>
      <c r="AU153" s="4">
        <v>18</v>
      </c>
      <c r="AV153" s="4">
        <f t="shared" si="288"/>
        <v>-90</v>
      </c>
      <c r="AW153" s="19" t="e">
        <f t="shared" si="289"/>
        <v>#N/A</v>
      </c>
      <c r="AX153" s="19" t="e">
        <f t="shared" si="290"/>
        <v>#N/A</v>
      </c>
      <c r="AY153" s="19" t="e">
        <f t="shared" si="291"/>
        <v>#N/A</v>
      </c>
      <c r="AZ153" s="19" t="e">
        <f t="shared" si="292"/>
        <v>#N/A</v>
      </c>
      <c r="BA153" s="19" t="e">
        <f t="shared" si="293"/>
        <v>#N/A</v>
      </c>
      <c r="BB153" s="19" t="e">
        <f t="shared" si="294"/>
        <v>#N/A</v>
      </c>
      <c r="BC153" s="19" t="e">
        <f t="shared" si="295"/>
        <v>#N/A</v>
      </c>
      <c r="BD153" s="19" t="e">
        <f t="shared" si="296"/>
        <v>#N/A</v>
      </c>
      <c r="BE153" s="19" t="e">
        <f t="shared" si="297"/>
        <v>#N/A</v>
      </c>
      <c r="BF153" s="19" t="e">
        <f t="shared" si="298"/>
        <v>#N/A</v>
      </c>
      <c r="BG153" s="19" t="e">
        <f t="shared" si="299"/>
        <v>#N/A</v>
      </c>
      <c r="BH153" s="68" t="e">
        <f t="shared" si="300"/>
        <v>#N/A</v>
      </c>
    </row>
    <row r="154" spans="2:60">
      <c r="B154" s="57">
        <v>19</v>
      </c>
      <c r="C154" s="4">
        <f t="shared" si="260"/>
        <v>-105</v>
      </c>
      <c r="D154" s="19">
        <f t="shared" si="261"/>
        <v>0</v>
      </c>
      <c r="E154" s="19">
        <f t="shared" si="262"/>
        <v>0</v>
      </c>
      <c r="F154" s="19">
        <f t="shared" si="263"/>
        <v>0</v>
      </c>
      <c r="G154" s="19">
        <f t="shared" si="264"/>
        <v>0</v>
      </c>
      <c r="H154" s="19">
        <f t="shared" si="265"/>
        <v>0</v>
      </c>
      <c r="I154" s="19">
        <f t="shared" si="266"/>
        <v>0</v>
      </c>
      <c r="J154" s="19">
        <f t="shared" si="267"/>
        <v>0</v>
      </c>
      <c r="K154" s="19">
        <f t="shared" si="268"/>
        <v>0</v>
      </c>
      <c r="L154" s="19">
        <f t="shared" si="269"/>
        <v>0</v>
      </c>
      <c r="M154" s="19">
        <f t="shared" si="270"/>
        <v>0</v>
      </c>
      <c r="N154" s="19">
        <f t="shared" si="271"/>
        <v>0</v>
      </c>
      <c r="O154" s="19">
        <f t="shared" si="272"/>
        <v>0</v>
      </c>
      <c r="P154" s="2"/>
      <c r="Q154" s="4">
        <v>19</v>
      </c>
      <c r="R154" s="4">
        <f t="shared" si="273"/>
        <v>-105</v>
      </c>
      <c r="S154" s="19">
        <f t="shared" si="274"/>
        <v>0</v>
      </c>
      <c r="T154" s="19">
        <f t="shared" si="275"/>
        <v>0</v>
      </c>
      <c r="U154" s="19">
        <f t="shared" si="276"/>
        <v>0</v>
      </c>
      <c r="V154" s="19">
        <f t="shared" si="277"/>
        <v>0</v>
      </c>
      <c r="W154" s="19">
        <f t="shared" si="278"/>
        <v>0</v>
      </c>
      <c r="X154" s="19">
        <f t="shared" si="279"/>
        <v>0</v>
      </c>
      <c r="Y154" s="19">
        <f t="shared" si="280"/>
        <v>0</v>
      </c>
      <c r="Z154" s="19">
        <f t="shared" si="281"/>
        <v>0</v>
      </c>
      <c r="AA154" s="19">
        <f t="shared" si="282"/>
        <v>0</v>
      </c>
      <c r="AB154" s="19">
        <f t="shared" si="283"/>
        <v>0</v>
      </c>
      <c r="AC154" s="19">
        <f t="shared" si="284"/>
        <v>0</v>
      </c>
      <c r="AD154" s="19">
        <f t="shared" si="285"/>
        <v>0</v>
      </c>
      <c r="AE154" s="2"/>
      <c r="AF154" s="4">
        <v>19</v>
      </c>
      <c r="AG154" s="4">
        <f t="shared" si="286"/>
        <v>-105</v>
      </c>
      <c r="AH154" s="19">
        <f t="shared" ref="AH154:AS154" si="319">AH127+AH44+AH71</f>
        <v>0</v>
      </c>
      <c r="AI154" s="19">
        <f t="shared" si="319"/>
        <v>0</v>
      </c>
      <c r="AJ154" s="19">
        <f t="shared" si="319"/>
        <v>0</v>
      </c>
      <c r="AK154" s="19">
        <f t="shared" si="319"/>
        <v>0</v>
      </c>
      <c r="AL154" s="19">
        <f t="shared" si="319"/>
        <v>0</v>
      </c>
      <c r="AM154" s="19">
        <f t="shared" si="319"/>
        <v>0</v>
      </c>
      <c r="AN154" s="19">
        <f t="shared" si="319"/>
        <v>0</v>
      </c>
      <c r="AO154" s="19">
        <f t="shared" si="319"/>
        <v>0</v>
      </c>
      <c r="AP154" s="19">
        <f t="shared" si="319"/>
        <v>0</v>
      </c>
      <c r="AQ154" s="19">
        <f t="shared" si="319"/>
        <v>0</v>
      </c>
      <c r="AR154" s="19">
        <f t="shared" si="319"/>
        <v>0</v>
      </c>
      <c r="AS154" s="19">
        <f t="shared" si="319"/>
        <v>0</v>
      </c>
      <c r="AT154" s="66"/>
      <c r="AU154" s="4">
        <v>19</v>
      </c>
      <c r="AV154" s="4">
        <f t="shared" si="288"/>
        <v>-105</v>
      </c>
      <c r="AW154" s="19">
        <f t="shared" si="289"/>
        <v>0</v>
      </c>
      <c r="AX154" s="19">
        <f t="shared" si="290"/>
        <v>0</v>
      </c>
      <c r="AY154" s="19">
        <f t="shared" si="291"/>
        <v>0</v>
      </c>
      <c r="AZ154" s="19">
        <f t="shared" si="292"/>
        <v>0</v>
      </c>
      <c r="BA154" s="19">
        <f t="shared" si="293"/>
        <v>0</v>
      </c>
      <c r="BB154" s="19">
        <f t="shared" si="294"/>
        <v>0</v>
      </c>
      <c r="BC154" s="19">
        <f t="shared" si="295"/>
        <v>0</v>
      </c>
      <c r="BD154" s="19">
        <f t="shared" si="296"/>
        <v>0</v>
      </c>
      <c r="BE154" s="19">
        <f t="shared" si="297"/>
        <v>0</v>
      </c>
      <c r="BF154" s="19">
        <f t="shared" si="298"/>
        <v>0</v>
      </c>
      <c r="BG154" s="19">
        <f t="shared" si="299"/>
        <v>0</v>
      </c>
      <c r="BH154" s="68">
        <f t="shared" si="300"/>
        <v>0</v>
      </c>
    </row>
    <row r="155" spans="2:60">
      <c r="B155" s="57">
        <v>20</v>
      </c>
      <c r="C155" s="4">
        <f t="shared" si="260"/>
        <v>-120</v>
      </c>
      <c r="D155" s="19">
        <f t="shared" si="261"/>
        <v>0</v>
      </c>
      <c r="E155" s="19">
        <f t="shared" si="262"/>
        <v>0</v>
      </c>
      <c r="F155" s="19">
        <f t="shared" si="263"/>
        <v>0</v>
      </c>
      <c r="G155" s="19">
        <f t="shared" si="264"/>
        <v>0</v>
      </c>
      <c r="H155" s="19">
        <f t="shared" si="265"/>
        <v>0</v>
      </c>
      <c r="I155" s="19">
        <f t="shared" si="266"/>
        <v>0</v>
      </c>
      <c r="J155" s="19">
        <f t="shared" si="267"/>
        <v>0</v>
      </c>
      <c r="K155" s="19">
        <f t="shared" si="268"/>
        <v>0</v>
      </c>
      <c r="L155" s="19">
        <f t="shared" si="269"/>
        <v>0</v>
      </c>
      <c r="M155" s="19">
        <f t="shared" si="270"/>
        <v>0</v>
      </c>
      <c r="N155" s="19">
        <f t="shared" si="271"/>
        <v>0</v>
      </c>
      <c r="O155" s="19">
        <f t="shared" si="272"/>
        <v>0</v>
      </c>
      <c r="P155" s="2"/>
      <c r="Q155" s="4">
        <v>20</v>
      </c>
      <c r="R155" s="4">
        <f t="shared" si="273"/>
        <v>-120</v>
      </c>
      <c r="S155" s="19">
        <f t="shared" si="274"/>
        <v>0</v>
      </c>
      <c r="T155" s="19">
        <f t="shared" si="275"/>
        <v>0</v>
      </c>
      <c r="U155" s="19">
        <f t="shared" si="276"/>
        <v>0</v>
      </c>
      <c r="V155" s="19">
        <f t="shared" si="277"/>
        <v>0</v>
      </c>
      <c r="W155" s="19">
        <f t="shared" si="278"/>
        <v>0</v>
      </c>
      <c r="X155" s="19">
        <f t="shared" si="279"/>
        <v>0</v>
      </c>
      <c r="Y155" s="19">
        <f t="shared" si="280"/>
        <v>0</v>
      </c>
      <c r="Z155" s="19">
        <f t="shared" si="281"/>
        <v>0</v>
      </c>
      <c r="AA155" s="19">
        <f t="shared" si="282"/>
        <v>0</v>
      </c>
      <c r="AB155" s="19">
        <f t="shared" si="283"/>
        <v>0</v>
      </c>
      <c r="AC155" s="19">
        <f t="shared" si="284"/>
        <v>0</v>
      </c>
      <c r="AD155" s="19">
        <f t="shared" si="285"/>
        <v>0</v>
      </c>
      <c r="AE155" s="2"/>
      <c r="AF155" s="4">
        <v>20</v>
      </c>
      <c r="AG155" s="4">
        <f t="shared" si="286"/>
        <v>-120</v>
      </c>
      <c r="AH155" s="19">
        <f t="shared" ref="AH155:AS155" si="320">AH128+AH45+AH72</f>
        <v>0</v>
      </c>
      <c r="AI155" s="19">
        <f t="shared" si="320"/>
        <v>0</v>
      </c>
      <c r="AJ155" s="19">
        <f t="shared" si="320"/>
        <v>0</v>
      </c>
      <c r="AK155" s="19">
        <f t="shared" si="320"/>
        <v>0</v>
      </c>
      <c r="AL155" s="19">
        <f t="shared" si="320"/>
        <v>0</v>
      </c>
      <c r="AM155" s="19">
        <f t="shared" si="320"/>
        <v>0</v>
      </c>
      <c r="AN155" s="19">
        <f t="shared" si="320"/>
        <v>0</v>
      </c>
      <c r="AO155" s="19">
        <f t="shared" si="320"/>
        <v>0</v>
      </c>
      <c r="AP155" s="19">
        <f t="shared" si="320"/>
        <v>0</v>
      </c>
      <c r="AQ155" s="19">
        <f t="shared" si="320"/>
        <v>0</v>
      </c>
      <c r="AR155" s="19">
        <f t="shared" si="320"/>
        <v>0</v>
      </c>
      <c r="AS155" s="19">
        <f t="shared" si="320"/>
        <v>0</v>
      </c>
      <c r="AT155" s="66"/>
      <c r="AU155" s="4">
        <v>20</v>
      </c>
      <c r="AV155" s="4">
        <f t="shared" si="288"/>
        <v>-120</v>
      </c>
      <c r="AW155" s="19">
        <f t="shared" si="289"/>
        <v>0</v>
      </c>
      <c r="AX155" s="19">
        <f t="shared" si="290"/>
        <v>0</v>
      </c>
      <c r="AY155" s="19">
        <f t="shared" si="291"/>
        <v>0</v>
      </c>
      <c r="AZ155" s="19">
        <f t="shared" si="292"/>
        <v>0</v>
      </c>
      <c r="BA155" s="19">
        <f t="shared" si="293"/>
        <v>0</v>
      </c>
      <c r="BB155" s="19">
        <f t="shared" si="294"/>
        <v>0</v>
      </c>
      <c r="BC155" s="19">
        <f t="shared" si="295"/>
        <v>0</v>
      </c>
      <c r="BD155" s="19">
        <f t="shared" si="296"/>
        <v>0</v>
      </c>
      <c r="BE155" s="19">
        <f t="shared" si="297"/>
        <v>0</v>
      </c>
      <c r="BF155" s="19">
        <f t="shared" si="298"/>
        <v>0</v>
      </c>
      <c r="BG155" s="19">
        <f t="shared" si="299"/>
        <v>0</v>
      </c>
      <c r="BH155" s="68">
        <f t="shared" si="300"/>
        <v>0</v>
      </c>
    </row>
    <row r="156" spans="2:60">
      <c r="B156" s="57">
        <v>21</v>
      </c>
      <c r="C156" s="4">
        <f t="shared" si="260"/>
        <v>-135</v>
      </c>
      <c r="D156" s="19">
        <f t="shared" si="261"/>
        <v>0</v>
      </c>
      <c r="E156" s="19">
        <f t="shared" si="262"/>
        <v>0</v>
      </c>
      <c r="F156" s="19">
        <f t="shared" si="263"/>
        <v>0</v>
      </c>
      <c r="G156" s="19">
        <f t="shared" si="264"/>
        <v>0</v>
      </c>
      <c r="H156" s="19">
        <f t="shared" si="265"/>
        <v>0</v>
      </c>
      <c r="I156" s="19">
        <f t="shared" si="266"/>
        <v>0</v>
      </c>
      <c r="J156" s="19">
        <f t="shared" si="267"/>
        <v>0</v>
      </c>
      <c r="K156" s="19">
        <f t="shared" si="268"/>
        <v>0</v>
      </c>
      <c r="L156" s="19">
        <f t="shared" si="269"/>
        <v>0</v>
      </c>
      <c r="M156" s="19">
        <f t="shared" si="270"/>
        <v>0</v>
      </c>
      <c r="N156" s="19">
        <f t="shared" si="271"/>
        <v>0</v>
      </c>
      <c r="O156" s="19">
        <f t="shared" si="272"/>
        <v>0</v>
      </c>
      <c r="P156" s="2"/>
      <c r="Q156" s="4">
        <v>21</v>
      </c>
      <c r="R156" s="4">
        <f t="shared" si="273"/>
        <v>-135</v>
      </c>
      <c r="S156" s="19">
        <f t="shared" si="274"/>
        <v>0</v>
      </c>
      <c r="T156" s="19">
        <f t="shared" si="275"/>
        <v>0</v>
      </c>
      <c r="U156" s="19">
        <f t="shared" si="276"/>
        <v>0</v>
      </c>
      <c r="V156" s="19">
        <f t="shared" si="277"/>
        <v>0</v>
      </c>
      <c r="W156" s="19">
        <f t="shared" si="278"/>
        <v>0</v>
      </c>
      <c r="X156" s="19">
        <f t="shared" si="279"/>
        <v>0</v>
      </c>
      <c r="Y156" s="19">
        <f t="shared" si="280"/>
        <v>0</v>
      </c>
      <c r="Z156" s="19">
        <f t="shared" si="281"/>
        <v>0</v>
      </c>
      <c r="AA156" s="19">
        <f t="shared" si="282"/>
        <v>0</v>
      </c>
      <c r="AB156" s="19">
        <f t="shared" si="283"/>
        <v>0</v>
      </c>
      <c r="AC156" s="19">
        <f t="shared" si="284"/>
        <v>0</v>
      </c>
      <c r="AD156" s="19">
        <f t="shared" si="285"/>
        <v>0</v>
      </c>
      <c r="AE156" s="2"/>
      <c r="AF156" s="4">
        <v>21</v>
      </c>
      <c r="AG156" s="4">
        <f t="shared" si="286"/>
        <v>-135</v>
      </c>
      <c r="AH156" s="19">
        <f t="shared" ref="AH156:AS156" si="321">AH129+AH46+AH73</f>
        <v>0</v>
      </c>
      <c r="AI156" s="19">
        <f t="shared" si="321"/>
        <v>0</v>
      </c>
      <c r="AJ156" s="19">
        <f t="shared" si="321"/>
        <v>0</v>
      </c>
      <c r="AK156" s="19">
        <f t="shared" si="321"/>
        <v>0</v>
      </c>
      <c r="AL156" s="19">
        <f t="shared" si="321"/>
        <v>0</v>
      </c>
      <c r="AM156" s="19">
        <f t="shared" si="321"/>
        <v>0</v>
      </c>
      <c r="AN156" s="19">
        <f t="shared" si="321"/>
        <v>0</v>
      </c>
      <c r="AO156" s="19">
        <f t="shared" si="321"/>
        <v>0</v>
      </c>
      <c r="AP156" s="19">
        <f t="shared" si="321"/>
        <v>0</v>
      </c>
      <c r="AQ156" s="19">
        <f t="shared" si="321"/>
        <v>0</v>
      </c>
      <c r="AR156" s="19">
        <f t="shared" si="321"/>
        <v>0</v>
      </c>
      <c r="AS156" s="19">
        <f t="shared" si="321"/>
        <v>0</v>
      </c>
      <c r="AT156" s="66"/>
      <c r="AU156" s="4">
        <v>21</v>
      </c>
      <c r="AV156" s="4">
        <f t="shared" si="288"/>
        <v>-135</v>
      </c>
      <c r="AW156" s="19">
        <f t="shared" si="289"/>
        <v>0</v>
      </c>
      <c r="AX156" s="19">
        <f t="shared" si="290"/>
        <v>0</v>
      </c>
      <c r="AY156" s="19">
        <f t="shared" si="291"/>
        <v>0</v>
      </c>
      <c r="AZ156" s="19">
        <f t="shared" si="292"/>
        <v>0</v>
      </c>
      <c r="BA156" s="19">
        <f t="shared" si="293"/>
        <v>0</v>
      </c>
      <c r="BB156" s="19">
        <f t="shared" si="294"/>
        <v>0</v>
      </c>
      <c r="BC156" s="19">
        <f t="shared" si="295"/>
        <v>0</v>
      </c>
      <c r="BD156" s="19">
        <f t="shared" si="296"/>
        <v>0</v>
      </c>
      <c r="BE156" s="19">
        <f t="shared" si="297"/>
        <v>0</v>
      </c>
      <c r="BF156" s="19">
        <f t="shared" si="298"/>
        <v>0</v>
      </c>
      <c r="BG156" s="19">
        <f t="shared" si="299"/>
        <v>0</v>
      </c>
      <c r="BH156" s="68">
        <f t="shared" si="300"/>
        <v>0</v>
      </c>
    </row>
    <row r="157" spans="2:60">
      <c r="B157" s="57">
        <v>22</v>
      </c>
      <c r="C157" s="4">
        <f t="shared" si="260"/>
        <v>-150</v>
      </c>
      <c r="D157" s="19">
        <f t="shared" si="261"/>
        <v>0</v>
      </c>
      <c r="E157" s="19">
        <f t="shared" si="262"/>
        <v>0</v>
      </c>
      <c r="F157" s="19">
        <f t="shared" si="263"/>
        <v>0</v>
      </c>
      <c r="G157" s="19">
        <f t="shared" si="264"/>
        <v>0</v>
      </c>
      <c r="H157" s="19">
        <f t="shared" si="265"/>
        <v>0</v>
      </c>
      <c r="I157" s="19">
        <f t="shared" si="266"/>
        <v>0</v>
      </c>
      <c r="J157" s="19">
        <f t="shared" si="267"/>
        <v>0</v>
      </c>
      <c r="K157" s="19">
        <f t="shared" si="268"/>
        <v>0</v>
      </c>
      <c r="L157" s="19">
        <f t="shared" si="269"/>
        <v>0</v>
      </c>
      <c r="M157" s="19">
        <f t="shared" si="270"/>
        <v>0</v>
      </c>
      <c r="N157" s="19">
        <f t="shared" si="271"/>
        <v>0</v>
      </c>
      <c r="O157" s="19">
        <f t="shared" si="272"/>
        <v>0</v>
      </c>
      <c r="P157" s="2"/>
      <c r="Q157" s="4">
        <v>22</v>
      </c>
      <c r="R157" s="4">
        <f t="shared" si="273"/>
        <v>-150</v>
      </c>
      <c r="S157" s="19">
        <f t="shared" si="274"/>
        <v>0</v>
      </c>
      <c r="T157" s="19">
        <f t="shared" si="275"/>
        <v>0</v>
      </c>
      <c r="U157" s="19">
        <f t="shared" si="276"/>
        <v>0</v>
      </c>
      <c r="V157" s="19">
        <f t="shared" si="277"/>
        <v>0</v>
      </c>
      <c r="W157" s="19">
        <f t="shared" si="278"/>
        <v>0</v>
      </c>
      <c r="X157" s="19">
        <f t="shared" si="279"/>
        <v>0</v>
      </c>
      <c r="Y157" s="19">
        <f t="shared" si="280"/>
        <v>0</v>
      </c>
      <c r="Z157" s="19">
        <f t="shared" si="281"/>
        <v>0</v>
      </c>
      <c r="AA157" s="19">
        <f t="shared" si="282"/>
        <v>0</v>
      </c>
      <c r="AB157" s="19">
        <f t="shared" si="283"/>
        <v>0</v>
      </c>
      <c r="AC157" s="19">
        <f t="shared" si="284"/>
        <v>0</v>
      </c>
      <c r="AD157" s="19">
        <f t="shared" si="285"/>
        <v>0</v>
      </c>
      <c r="AE157" s="2"/>
      <c r="AF157" s="4">
        <v>22</v>
      </c>
      <c r="AG157" s="4">
        <f t="shared" si="286"/>
        <v>-150</v>
      </c>
      <c r="AH157" s="19">
        <f t="shared" ref="AH157:AS157" si="322">AH130+AH47+AH74</f>
        <v>0</v>
      </c>
      <c r="AI157" s="19">
        <f t="shared" si="322"/>
        <v>0</v>
      </c>
      <c r="AJ157" s="19">
        <f t="shared" si="322"/>
        <v>0</v>
      </c>
      <c r="AK157" s="19">
        <f t="shared" si="322"/>
        <v>0</v>
      </c>
      <c r="AL157" s="19">
        <f t="shared" si="322"/>
        <v>0</v>
      </c>
      <c r="AM157" s="19">
        <f t="shared" si="322"/>
        <v>0</v>
      </c>
      <c r="AN157" s="19">
        <f t="shared" si="322"/>
        <v>0</v>
      </c>
      <c r="AO157" s="19">
        <f t="shared" si="322"/>
        <v>0</v>
      </c>
      <c r="AP157" s="19">
        <f t="shared" si="322"/>
        <v>0</v>
      </c>
      <c r="AQ157" s="19">
        <f t="shared" si="322"/>
        <v>0</v>
      </c>
      <c r="AR157" s="19">
        <f t="shared" si="322"/>
        <v>0</v>
      </c>
      <c r="AS157" s="19">
        <f t="shared" si="322"/>
        <v>0</v>
      </c>
      <c r="AT157" s="66"/>
      <c r="AU157" s="4">
        <v>22</v>
      </c>
      <c r="AV157" s="4">
        <f t="shared" si="288"/>
        <v>-150</v>
      </c>
      <c r="AW157" s="19">
        <f t="shared" si="289"/>
        <v>0</v>
      </c>
      <c r="AX157" s="19">
        <f t="shared" si="290"/>
        <v>0</v>
      </c>
      <c r="AY157" s="19">
        <f t="shared" si="291"/>
        <v>0</v>
      </c>
      <c r="AZ157" s="19">
        <f t="shared" si="292"/>
        <v>0</v>
      </c>
      <c r="BA157" s="19">
        <f t="shared" si="293"/>
        <v>0</v>
      </c>
      <c r="BB157" s="19">
        <f t="shared" si="294"/>
        <v>0</v>
      </c>
      <c r="BC157" s="19">
        <f t="shared" si="295"/>
        <v>0</v>
      </c>
      <c r="BD157" s="19">
        <f t="shared" si="296"/>
        <v>0</v>
      </c>
      <c r="BE157" s="19">
        <f t="shared" si="297"/>
        <v>0</v>
      </c>
      <c r="BF157" s="19">
        <f t="shared" si="298"/>
        <v>0</v>
      </c>
      <c r="BG157" s="19">
        <f t="shared" si="299"/>
        <v>0</v>
      </c>
      <c r="BH157" s="68">
        <f t="shared" si="300"/>
        <v>0</v>
      </c>
    </row>
    <row r="158" spans="2:60">
      <c r="B158" s="57">
        <v>23</v>
      </c>
      <c r="C158" s="4">
        <f t="shared" si="260"/>
        <v>-165</v>
      </c>
      <c r="D158" s="19">
        <f t="shared" si="261"/>
        <v>0</v>
      </c>
      <c r="E158" s="19">
        <f t="shared" si="262"/>
        <v>0</v>
      </c>
      <c r="F158" s="19">
        <f t="shared" si="263"/>
        <v>0</v>
      </c>
      <c r="G158" s="19">
        <f t="shared" si="264"/>
        <v>0</v>
      </c>
      <c r="H158" s="19">
        <f t="shared" si="265"/>
        <v>0</v>
      </c>
      <c r="I158" s="19">
        <f t="shared" si="266"/>
        <v>0</v>
      </c>
      <c r="J158" s="19">
        <f t="shared" si="267"/>
        <v>0</v>
      </c>
      <c r="K158" s="19">
        <f t="shared" si="268"/>
        <v>0</v>
      </c>
      <c r="L158" s="19">
        <f t="shared" si="269"/>
        <v>0</v>
      </c>
      <c r="M158" s="19">
        <f t="shared" si="270"/>
        <v>0</v>
      </c>
      <c r="N158" s="19">
        <f t="shared" si="271"/>
        <v>0</v>
      </c>
      <c r="O158" s="19">
        <f t="shared" si="272"/>
        <v>0</v>
      </c>
      <c r="P158" s="2"/>
      <c r="Q158" s="4">
        <v>23</v>
      </c>
      <c r="R158" s="4">
        <f t="shared" si="273"/>
        <v>-165</v>
      </c>
      <c r="S158" s="19">
        <f t="shared" si="274"/>
        <v>0</v>
      </c>
      <c r="T158" s="19">
        <f t="shared" si="275"/>
        <v>0</v>
      </c>
      <c r="U158" s="19">
        <f t="shared" si="276"/>
        <v>0</v>
      </c>
      <c r="V158" s="19">
        <f t="shared" si="277"/>
        <v>0</v>
      </c>
      <c r="W158" s="19">
        <f t="shared" si="278"/>
        <v>0</v>
      </c>
      <c r="X158" s="19">
        <f t="shared" si="279"/>
        <v>0</v>
      </c>
      <c r="Y158" s="19">
        <f t="shared" si="280"/>
        <v>0</v>
      </c>
      <c r="Z158" s="19">
        <f t="shared" si="281"/>
        <v>0</v>
      </c>
      <c r="AA158" s="19">
        <f t="shared" si="282"/>
        <v>0</v>
      </c>
      <c r="AB158" s="19">
        <f t="shared" si="283"/>
        <v>0</v>
      </c>
      <c r="AC158" s="19">
        <f t="shared" si="284"/>
        <v>0</v>
      </c>
      <c r="AD158" s="19">
        <f t="shared" si="285"/>
        <v>0</v>
      </c>
      <c r="AE158" s="2"/>
      <c r="AF158" s="4">
        <v>23</v>
      </c>
      <c r="AG158" s="4">
        <f t="shared" si="286"/>
        <v>-165</v>
      </c>
      <c r="AH158" s="19">
        <f t="shared" ref="AH158:AS158" si="323">AH131+AH48+AH75</f>
        <v>0</v>
      </c>
      <c r="AI158" s="19">
        <f t="shared" si="323"/>
        <v>0</v>
      </c>
      <c r="AJ158" s="19">
        <f t="shared" si="323"/>
        <v>0</v>
      </c>
      <c r="AK158" s="19">
        <f t="shared" si="323"/>
        <v>0</v>
      </c>
      <c r="AL158" s="19">
        <f t="shared" si="323"/>
        <v>0</v>
      </c>
      <c r="AM158" s="19">
        <f t="shared" si="323"/>
        <v>0</v>
      </c>
      <c r="AN158" s="19">
        <f t="shared" si="323"/>
        <v>0</v>
      </c>
      <c r="AO158" s="19">
        <f t="shared" si="323"/>
        <v>0</v>
      </c>
      <c r="AP158" s="19">
        <f t="shared" si="323"/>
        <v>0</v>
      </c>
      <c r="AQ158" s="19">
        <f t="shared" si="323"/>
        <v>0</v>
      </c>
      <c r="AR158" s="19">
        <f t="shared" si="323"/>
        <v>0</v>
      </c>
      <c r="AS158" s="19">
        <f t="shared" si="323"/>
        <v>0</v>
      </c>
      <c r="AT158" s="66"/>
      <c r="AU158" s="4">
        <v>23</v>
      </c>
      <c r="AV158" s="4">
        <f t="shared" si="288"/>
        <v>-165</v>
      </c>
      <c r="AW158" s="19">
        <f t="shared" si="289"/>
        <v>0</v>
      </c>
      <c r="AX158" s="19">
        <f t="shared" si="290"/>
        <v>0</v>
      </c>
      <c r="AY158" s="19">
        <f t="shared" si="291"/>
        <v>0</v>
      </c>
      <c r="AZ158" s="19">
        <f t="shared" si="292"/>
        <v>0</v>
      </c>
      <c r="BA158" s="19">
        <f t="shared" si="293"/>
        <v>0</v>
      </c>
      <c r="BB158" s="19">
        <f t="shared" si="294"/>
        <v>0</v>
      </c>
      <c r="BC158" s="19">
        <f t="shared" si="295"/>
        <v>0</v>
      </c>
      <c r="BD158" s="19">
        <f t="shared" si="296"/>
        <v>0</v>
      </c>
      <c r="BE158" s="19">
        <f t="shared" si="297"/>
        <v>0</v>
      </c>
      <c r="BF158" s="19">
        <f t="shared" si="298"/>
        <v>0</v>
      </c>
      <c r="BG158" s="19">
        <f t="shared" si="299"/>
        <v>0</v>
      </c>
      <c r="BH158" s="68">
        <f t="shared" si="300"/>
        <v>0</v>
      </c>
    </row>
    <row r="159" spans="2:60">
      <c r="B159" s="1235" t="s">
        <v>896</v>
      </c>
      <c r="C159" s="1234"/>
      <c r="D159" s="18" t="e">
        <f t="shared" ref="D159:O159" si="324">SUM(D135:D158)</f>
        <v>#N/A</v>
      </c>
      <c r="E159" s="18" t="e">
        <f t="shared" si="324"/>
        <v>#N/A</v>
      </c>
      <c r="F159" s="18" t="e">
        <f t="shared" si="324"/>
        <v>#N/A</v>
      </c>
      <c r="G159" s="18" t="e">
        <f t="shared" si="324"/>
        <v>#N/A</v>
      </c>
      <c r="H159" s="18" t="e">
        <f t="shared" si="324"/>
        <v>#N/A</v>
      </c>
      <c r="I159" s="18" t="e">
        <f t="shared" si="324"/>
        <v>#N/A</v>
      </c>
      <c r="J159" s="18" t="e">
        <f t="shared" si="324"/>
        <v>#N/A</v>
      </c>
      <c r="K159" s="18" t="e">
        <f t="shared" si="324"/>
        <v>#N/A</v>
      </c>
      <c r="L159" s="18" t="e">
        <f t="shared" si="324"/>
        <v>#N/A</v>
      </c>
      <c r="M159" s="18" t="e">
        <f t="shared" si="324"/>
        <v>#N/A</v>
      </c>
      <c r="N159" s="18" t="e">
        <f t="shared" si="324"/>
        <v>#N/A</v>
      </c>
      <c r="O159" s="18" t="e">
        <f t="shared" si="324"/>
        <v>#N/A</v>
      </c>
      <c r="P159" s="2"/>
      <c r="Q159" s="1233" t="s">
        <v>896</v>
      </c>
      <c r="R159" s="1234"/>
      <c r="S159" s="18" t="e">
        <f t="shared" ref="S159:AD159" si="325">SUM(S135:S158)</f>
        <v>#N/A</v>
      </c>
      <c r="T159" s="18" t="e">
        <f t="shared" si="325"/>
        <v>#N/A</v>
      </c>
      <c r="U159" s="18" t="e">
        <f t="shared" si="325"/>
        <v>#N/A</v>
      </c>
      <c r="V159" s="18" t="e">
        <f t="shared" si="325"/>
        <v>#N/A</v>
      </c>
      <c r="W159" s="18" t="e">
        <f t="shared" si="325"/>
        <v>#N/A</v>
      </c>
      <c r="X159" s="18" t="e">
        <f t="shared" si="325"/>
        <v>#N/A</v>
      </c>
      <c r="Y159" s="18" t="e">
        <f t="shared" si="325"/>
        <v>#N/A</v>
      </c>
      <c r="Z159" s="18" t="e">
        <f t="shared" si="325"/>
        <v>#N/A</v>
      </c>
      <c r="AA159" s="18" t="e">
        <f t="shared" si="325"/>
        <v>#N/A</v>
      </c>
      <c r="AB159" s="18" t="e">
        <f t="shared" si="325"/>
        <v>#N/A</v>
      </c>
      <c r="AC159" s="18" t="e">
        <f t="shared" si="325"/>
        <v>#N/A</v>
      </c>
      <c r="AD159" s="18" t="e">
        <f t="shared" si="325"/>
        <v>#N/A</v>
      </c>
      <c r="AE159" s="2"/>
      <c r="AF159" s="1233" t="s">
        <v>896</v>
      </c>
      <c r="AG159" s="1234"/>
      <c r="AH159" s="18" t="e">
        <f t="shared" ref="AH159:AS159" si="326">SUM(AH135:AH158)</f>
        <v>#N/A</v>
      </c>
      <c r="AI159" s="18" t="e">
        <f t="shared" si="326"/>
        <v>#N/A</v>
      </c>
      <c r="AJ159" s="18" t="e">
        <f t="shared" si="326"/>
        <v>#N/A</v>
      </c>
      <c r="AK159" s="18" t="e">
        <f t="shared" si="326"/>
        <v>#N/A</v>
      </c>
      <c r="AL159" s="18" t="e">
        <f t="shared" si="326"/>
        <v>#N/A</v>
      </c>
      <c r="AM159" s="18" t="e">
        <f t="shared" si="326"/>
        <v>#N/A</v>
      </c>
      <c r="AN159" s="18" t="e">
        <f t="shared" si="326"/>
        <v>#N/A</v>
      </c>
      <c r="AO159" s="18" t="e">
        <f t="shared" si="326"/>
        <v>#N/A</v>
      </c>
      <c r="AP159" s="18" t="e">
        <f t="shared" si="326"/>
        <v>#N/A</v>
      </c>
      <c r="AQ159" s="18" t="e">
        <f t="shared" si="326"/>
        <v>#N/A</v>
      </c>
      <c r="AR159" s="18" t="e">
        <f t="shared" si="326"/>
        <v>#N/A</v>
      </c>
      <c r="AS159" s="18" t="e">
        <f t="shared" si="326"/>
        <v>#N/A</v>
      </c>
      <c r="AT159" s="66"/>
      <c r="AU159" s="1233" t="s">
        <v>896</v>
      </c>
      <c r="AV159" s="1234"/>
      <c r="AW159" s="18" t="e">
        <f t="shared" ref="AW159:BH159" si="327">SUM(AW135:AW158)</f>
        <v>#N/A</v>
      </c>
      <c r="AX159" s="18" t="e">
        <f t="shared" si="327"/>
        <v>#N/A</v>
      </c>
      <c r="AY159" s="18" t="e">
        <f t="shared" si="327"/>
        <v>#N/A</v>
      </c>
      <c r="AZ159" s="18" t="e">
        <f t="shared" si="327"/>
        <v>#N/A</v>
      </c>
      <c r="BA159" s="18" t="e">
        <f t="shared" si="327"/>
        <v>#N/A</v>
      </c>
      <c r="BB159" s="18" t="e">
        <f t="shared" si="327"/>
        <v>#N/A</v>
      </c>
      <c r="BC159" s="18" t="e">
        <f t="shared" si="327"/>
        <v>#N/A</v>
      </c>
      <c r="BD159" s="18" t="e">
        <f t="shared" si="327"/>
        <v>#N/A</v>
      </c>
      <c r="BE159" s="18" t="e">
        <f t="shared" si="327"/>
        <v>#N/A</v>
      </c>
      <c r="BF159" s="18" t="e">
        <f t="shared" si="327"/>
        <v>#N/A</v>
      </c>
      <c r="BG159" s="18" t="e">
        <f t="shared" si="327"/>
        <v>#N/A</v>
      </c>
      <c r="BH159" s="69" t="e">
        <f t="shared" si="327"/>
        <v>#N/A</v>
      </c>
    </row>
    <row r="160" spans="2:60">
      <c r="B160" s="1235" t="s">
        <v>969</v>
      </c>
      <c r="C160" s="1234"/>
      <c r="D160" s="18" t="e">
        <f t="shared" ref="D160:O160" si="328">SUM(D135:D158)/24</f>
        <v>#N/A</v>
      </c>
      <c r="E160" s="18" t="e">
        <f t="shared" si="328"/>
        <v>#N/A</v>
      </c>
      <c r="F160" s="18" t="e">
        <f t="shared" si="328"/>
        <v>#N/A</v>
      </c>
      <c r="G160" s="18" t="e">
        <f t="shared" si="328"/>
        <v>#N/A</v>
      </c>
      <c r="H160" s="18" t="e">
        <f t="shared" si="328"/>
        <v>#N/A</v>
      </c>
      <c r="I160" s="18" t="e">
        <f t="shared" si="328"/>
        <v>#N/A</v>
      </c>
      <c r="J160" s="18" t="e">
        <f t="shared" si="328"/>
        <v>#N/A</v>
      </c>
      <c r="K160" s="18" t="e">
        <f t="shared" si="328"/>
        <v>#N/A</v>
      </c>
      <c r="L160" s="18" t="e">
        <f t="shared" si="328"/>
        <v>#N/A</v>
      </c>
      <c r="M160" s="18" t="e">
        <f t="shared" si="328"/>
        <v>#N/A</v>
      </c>
      <c r="N160" s="18" t="e">
        <f t="shared" si="328"/>
        <v>#N/A</v>
      </c>
      <c r="O160" s="18" t="e">
        <f t="shared" si="328"/>
        <v>#N/A</v>
      </c>
      <c r="P160" s="2"/>
      <c r="Q160" s="1233" t="s">
        <v>969</v>
      </c>
      <c r="R160" s="1234"/>
      <c r="S160" s="18" t="e">
        <f t="shared" ref="S160:AD160" si="329">SUM(S135:S158)/24</f>
        <v>#N/A</v>
      </c>
      <c r="T160" s="18" t="e">
        <f t="shared" si="329"/>
        <v>#N/A</v>
      </c>
      <c r="U160" s="18" t="e">
        <f t="shared" si="329"/>
        <v>#N/A</v>
      </c>
      <c r="V160" s="18" t="e">
        <f t="shared" si="329"/>
        <v>#N/A</v>
      </c>
      <c r="W160" s="18" t="e">
        <f t="shared" si="329"/>
        <v>#N/A</v>
      </c>
      <c r="X160" s="18" t="e">
        <f t="shared" si="329"/>
        <v>#N/A</v>
      </c>
      <c r="Y160" s="18" t="e">
        <f t="shared" si="329"/>
        <v>#N/A</v>
      </c>
      <c r="Z160" s="18" t="e">
        <f t="shared" si="329"/>
        <v>#N/A</v>
      </c>
      <c r="AA160" s="18" t="e">
        <f t="shared" si="329"/>
        <v>#N/A</v>
      </c>
      <c r="AB160" s="18" t="e">
        <f t="shared" si="329"/>
        <v>#N/A</v>
      </c>
      <c r="AC160" s="18" t="e">
        <f t="shared" si="329"/>
        <v>#N/A</v>
      </c>
      <c r="AD160" s="18" t="e">
        <f t="shared" si="329"/>
        <v>#N/A</v>
      </c>
      <c r="AE160" s="2"/>
      <c r="AF160" s="1233" t="s">
        <v>969</v>
      </c>
      <c r="AG160" s="1234"/>
      <c r="AH160" s="18" t="e">
        <f t="shared" ref="AH160:AS160" si="330">SUM(AH135:AH158)/24</f>
        <v>#N/A</v>
      </c>
      <c r="AI160" s="18" t="e">
        <f t="shared" si="330"/>
        <v>#N/A</v>
      </c>
      <c r="AJ160" s="18" t="e">
        <f t="shared" si="330"/>
        <v>#N/A</v>
      </c>
      <c r="AK160" s="18" t="e">
        <f t="shared" si="330"/>
        <v>#N/A</v>
      </c>
      <c r="AL160" s="18" t="e">
        <f t="shared" si="330"/>
        <v>#N/A</v>
      </c>
      <c r="AM160" s="18" t="e">
        <f t="shared" si="330"/>
        <v>#N/A</v>
      </c>
      <c r="AN160" s="18" t="e">
        <f t="shared" si="330"/>
        <v>#N/A</v>
      </c>
      <c r="AO160" s="18" t="e">
        <f t="shared" si="330"/>
        <v>#N/A</v>
      </c>
      <c r="AP160" s="18" t="e">
        <f t="shared" si="330"/>
        <v>#N/A</v>
      </c>
      <c r="AQ160" s="18" t="e">
        <f t="shared" si="330"/>
        <v>#N/A</v>
      </c>
      <c r="AR160" s="18" t="e">
        <f t="shared" si="330"/>
        <v>#N/A</v>
      </c>
      <c r="AS160" s="18" t="e">
        <f t="shared" si="330"/>
        <v>#N/A</v>
      </c>
      <c r="AT160" s="66"/>
      <c r="AU160" s="1233" t="s">
        <v>969</v>
      </c>
      <c r="AV160" s="1234"/>
      <c r="AW160" s="18" t="e">
        <f t="shared" ref="AW160:BH160" si="331">SUM(AW135:AW158)/24</f>
        <v>#N/A</v>
      </c>
      <c r="AX160" s="18" t="e">
        <f t="shared" si="331"/>
        <v>#N/A</v>
      </c>
      <c r="AY160" s="18" t="e">
        <f t="shared" si="331"/>
        <v>#N/A</v>
      </c>
      <c r="AZ160" s="18" t="e">
        <f t="shared" si="331"/>
        <v>#N/A</v>
      </c>
      <c r="BA160" s="18" t="e">
        <f t="shared" si="331"/>
        <v>#N/A</v>
      </c>
      <c r="BB160" s="18" t="e">
        <f t="shared" si="331"/>
        <v>#N/A</v>
      </c>
      <c r="BC160" s="18" t="e">
        <f t="shared" si="331"/>
        <v>#N/A</v>
      </c>
      <c r="BD160" s="18" t="e">
        <f t="shared" si="331"/>
        <v>#N/A</v>
      </c>
      <c r="BE160" s="18" t="e">
        <f t="shared" si="331"/>
        <v>#N/A</v>
      </c>
      <c r="BF160" s="18" t="e">
        <f t="shared" si="331"/>
        <v>#N/A</v>
      </c>
      <c r="BG160" s="18" t="e">
        <f t="shared" si="331"/>
        <v>#N/A</v>
      </c>
      <c r="BH160" s="69" t="e">
        <f t="shared" si="331"/>
        <v>#N/A</v>
      </c>
    </row>
    <row r="161" spans="2:60">
      <c r="B161" s="70"/>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c r="BH161" s="72"/>
    </row>
    <row r="162" spans="2:60" s="24" customFormat="1"/>
    <row r="163" spans="2:60" s="24" customFormat="1"/>
    <row r="164" spans="2:60" s="24" customFormat="1"/>
    <row r="165" spans="2:60" s="24" customFormat="1"/>
    <row r="166" spans="2:60" s="24" customFormat="1"/>
    <row r="167" spans="2:60" s="24" customFormat="1"/>
    <row r="168" spans="2:60" s="24" customFormat="1"/>
    <row r="169" spans="2:60" s="24" customFormat="1"/>
    <row r="170" spans="2:60" s="24" customFormat="1"/>
    <row r="171" spans="2:60" s="24" customFormat="1"/>
    <row r="172" spans="2:60" s="24" customFormat="1"/>
    <row r="173" spans="2:60" s="24" customFormat="1"/>
    <row r="174" spans="2:60" s="24" customFormat="1"/>
    <row r="175" spans="2:60" s="24" customFormat="1"/>
    <row r="176" spans="2:60" s="24" customFormat="1"/>
    <row r="177" s="24" customFormat="1"/>
    <row r="178" s="24" customFormat="1"/>
    <row r="179" s="24" customFormat="1"/>
    <row r="180" s="24" customFormat="1"/>
    <row r="181" s="24" customFormat="1"/>
    <row r="182" s="24" customFormat="1"/>
    <row r="183" s="24" customFormat="1"/>
    <row r="184" s="24" customFormat="1"/>
    <row r="185" s="24" customFormat="1"/>
    <row r="186" s="24" customFormat="1"/>
    <row r="187" s="24" customFormat="1"/>
    <row r="188" s="24" customFormat="1"/>
    <row r="189" s="24" customFormat="1"/>
    <row r="190" s="24" customFormat="1"/>
    <row r="191" s="24" customFormat="1"/>
    <row r="192" s="24" customFormat="1"/>
    <row r="193" s="24" customFormat="1"/>
    <row r="194" s="24" customFormat="1"/>
    <row r="195" s="24" customFormat="1"/>
    <row r="196" s="24" customFormat="1"/>
    <row r="197" s="24" customFormat="1"/>
    <row r="198" s="24" customFormat="1"/>
    <row r="199" s="24" customFormat="1"/>
    <row r="200" s="24" customFormat="1"/>
    <row r="201" s="24" customFormat="1"/>
    <row r="202" s="24" customFormat="1"/>
    <row r="203" s="24" customFormat="1"/>
    <row r="204" s="24" customFormat="1"/>
    <row r="205" s="24" customFormat="1"/>
    <row r="206" s="24" customFormat="1"/>
    <row r="207" s="24" customFormat="1"/>
    <row r="208" s="24" customFormat="1"/>
    <row r="209" s="24" customFormat="1"/>
    <row r="210" s="24" customFormat="1"/>
    <row r="211" s="24" customFormat="1"/>
    <row r="212" s="24" customFormat="1"/>
    <row r="213" s="24" customFormat="1"/>
    <row r="214" s="24" customFormat="1"/>
    <row r="215" s="24" customFormat="1"/>
    <row r="216" s="24" customFormat="1"/>
    <row r="217" s="24" customFormat="1"/>
    <row r="218" s="24" customFormat="1"/>
    <row r="219" s="24" customFormat="1"/>
    <row r="220" s="24" customFormat="1"/>
    <row r="221" s="24" customFormat="1"/>
    <row r="222" s="24" customFormat="1"/>
    <row r="223" s="24" customFormat="1"/>
    <row r="224" s="24" customFormat="1"/>
    <row r="225" s="24" customFormat="1"/>
    <row r="226" s="24" customFormat="1"/>
    <row r="227" s="24" customFormat="1"/>
    <row r="228" s="24" customFormat="1"/>
    <row r="229" s="24" customFormat="1"/>
    <row r="230" s="24" customFormat="1"/>
    <row r="231" s="24" customFormat="1"/>
    <row r="232" s="24" customFormat="1"/>
    <row r="233" s="24" customFormat="1"/>
    <row r="234" s="24" customFormat="1"/>
    <row r="235" s="24" customFormat="1"/>
    <row r="236" s="24" customFormat="1"/>
    <row r="237" s="24" customFormat="1"/>
    <row r="238" s="24" customFormat="1"/>
    <row r="239" s="24" customFormat="1"/>
    <row r="240" s="24" customFormat="1"/>
    <row r="241" s="24" customFormat="1"/>
    <row r="242" s="24" customFormat="1"/>
    <row r="243" s="24" customFormat="1"/>
    <row r="244" s="24" customFormat="1"/>
    <row r="245" s="24" customFormat="1"/>
    <row r="246" s="24" customFormat="1"/>
    <row r="247" s="24" customFormat="1"/>
    <row r="248" s="24" customFormat="1"/>
    <row r="249" s="24" customFormat="1"/>
    <row r="250" s="24" customFormat="1"/>
    <row r="251" s="24" customFormat="1"/>
    <row r="252" s="24" customFormat="1"/>
    <row r="253" s="24" customFormat="1"/>
    <row r="254" s="24" customFormat="1"/>
    <row r="255" s="24" customFormat="1"/>
    <row r="256" s="24" customFormat="1"/>
    <row r="257" s="24" customFormat="1"/>
    <row r="258" s="24" customFormat="1"/>
    <row r="259" s="24" customFormat="1"/>
    <row r="260" s="24" customFormat="1"/>
    <row r="261" s="24" customFormat="1"/>
    <row r="262" s="24" customFormat="1"/>
  </sheetData>
  <sheetProtection password="ACCE" sheet="1" objects="1" scenarios="1" selectLockedCells="1" selectUnlockedCells="1"/>
  <mergeCells count="123">
    <mergeCell ref="AU12:AV12"/>
    <mergeCell ref="T5:AD20"/>
    <mergeCell ref="AW5:BH5"/>
    <mergeCell ref="AU5:AV5"/>
    <mergeCell ref="B24:C24"/>
    <mergeCell ref="AU7:BH7"/>
    <mergeCell ref="AU11:BH11"/>
    <mergeCell ref="AU8:AV8"/>
    <mergeCell ref="AU9:AV9"/>
    <mergeCell ref="AU10:AV10"/>
    <mergeCell ref="AF5:AG5"/>
    <mergeCell ref="I5:O5"/>
    <mergeCell ref="B5:D5"/>
    <mergeCell ref="B6:C6"/>
    <mergeCell ref="I6:K6"/>
    <mergeCell ref="B8:C8"/>
    <mergeCell ref="B9:C9"/>
    <mergeCell ref="B21:C21"/>
    <mergeCell ref="B10:C10"/>
    <mergeCell ref="B11:C11"/>
    <mergeCell ref="B13:C13"/>
    <mergeCell ref="B14:C14"/>
    <mergeCell ref="B18:C18"/>
    <mergeCell ref="B19:C19"/>
    <mergeCell ref="Q160:R160"/>
    <mergeCell ref="AF159:AG159"/>
    <mergeCell ref="AF160:AG160"/>
    <mergeCell ref="AU159:AV159"/>
    <mergeCell ref="AU160:AV160"/>
    <mergeCell ref="Q134:R134"/>
    <mergeCell ref="D134:L134"/>
    <mergeCell ref="Q159:R159"/>
    <mergeCell ref="B7:C7"/>
    <mergeCell ref="D51:O51"/>
    <mergeCell ref="AU24:AV24"/>
    <mergeCell ref="B159:C159"/>
    <mergeCell ref="B160:C160"/>
    <mergeCell ref="I7:K7"/>
    <mergeCell ref="AH24:AQ24"/>
    <mergeCell ref="AH51:AQ51"/>
    <mergeCell ref="AF10:AG10"/>
    <mergeCell ref="AF12:AG12"/>
    <mergeCell ref="B51:C51"/>
    <mergeCell ref="S51:AD51"/>
    <mergeCell ref="AF15:AG15"/>
    <mergeCell ref="B17:C17"/>
    <mergeCell ref="I9:K9"/>
    <mergeCell ref="M9:O9"/>
    <mergeCell ref="B20:C20"/>
    <mergeCell ref="B16:C16"/>
    <mergeCell ref="AW51:BH51"/>
    <mergeCell ref="BL51:BW51"/>
    <mergeCell ref="B80:C80"/>
    <mergeCell ref="AU13:AV13"/>
    <mergeCell ref="AU14:AV14"/>
    <mergeCell ref="D24:O24"/>
    <mergeCell ref="S24:AD24"/>
    <mergeCell ref="B107:C107"/>
    <mergeCell ref="D107:M107"/>
    <mergeCell ref="AH80:AS80"/>
    <mergeCell ref="BJ81:BK81"/>
    <mergeCell ref="BX22:BX24"/>
    <mergeCell ref="BJ98:BK98"/>
    <mergeCell ref="BJ96:BW96"/>
    <mergeCell ref="D80:O80"/>
    <mergeCell ref="S80:AD80"/>
    <mergeCell ref="BJ80:BW80"/>
    <mergeCell ref="Q107:R107"/>
    <mergeCell ref="S107:AB107"/>
    <mergeCell ref="AU107:AV107"/>
    <mergeCell ref="BJ51:BK51"/>
    <mergeCell ref="AF51:AG51"/>
    <mergeCell ref="Q51:R51"/>
    <mergeCell ref="Q24:R24"/>
    <mergeCell ref="AF24:AG24"/>
    <mergeCell ref="BO10:BQ10"/>
    <mergeCell ref="BO7:BQ7"/>
    <mergeCell ref="BO8:BQ8"/>
    <mergeCell ref="BO9:BQ9"/>
    <mergeCell ref="AF8:AG8"/>
    <mergeCell ref="AF9:AG9"/>
    <mergeCell ref="BJ24:BK24"/>
    <mergeCell ref="BJ22:BW22"/>
    <mergeCell ref="BJ49:BK49"/>
    <mergeCell ref="BW7:BX7"/>
    <mergeCell ref="AF13:AG13"/>
    <mergeCell ref="AF14:AG14"/>
    <mergeCell ref="AF7:AS7"/>
    <mergeCell ref="BK7:BM7"/>
    <mergeCell ref="BK8:BL8"/>
    <mergeCell ref="BK9:BL9"/>
    <mergeCell ref="BO13:BP13"/>
    <mergeCell ref="BO14:BP14"/>
    <mergeCell ref="BO16:BP16"/>
    <mergeCell ref="BO17:BP17"/>
    <mergeCell ref="AF17:AS17"/>
    <mergeCell ref="AF18:AG18"/>
    <mergeCell ref="AF19:AG19"/>
    <mergeCell ref="AF20:AG20"/>
    <mergeCell ref="B3:BX3"/>
    <mergeCell ref="AW107:BF107"/>
    <mergeCell ref="AH134:AP134"/>
    <mergeCell ref="AW134:BE134"/>
    <mergeCell ref="AU80:AV80"/>
    <mergeCell ref="AU51:AV51"/>
    <mergeCell ref="AW24:BH24"/>
    <mergeCell ref="AW80:BH80"/>
    <mergeCell ref="BJ85:BK85"/>
    <mergeCell ref="BJ86:BK86"/>
    <mergeCell ref="BJ89:BK89"/>
    <mergeCell ref="BJ90:BK90"/>
    <mergeCell ref="BJ93:BK93"/>
    <mergeCell ref="BJ94:BK94"/>
    <mergeCell ref="S134:AA134"/>
    <mergeCell ref="AF134:AG134"/>
    <mergeCell ref="AF107:AG107"/>
    <mergeCell ref="B134:C134"/>
    <mergeCell ref="Q80:R80"/>
    <mergeCell ref="AF80:AG80"/>
    <mergeCell ref="BK11:BL11"/>
    <mergeCell ref="BK5:BX5"/>
    <mergeCell ref="AU134:AV134"/>
    <mergeCell ref="AH107:AQ107"/>
  </mergeCells>
  <conditionalFormatting sqref="D25:O48">
    <cfRule type="colorScale" priority="14">
      <colorScale>
        <cfvo type="min"/>
        <cfvo type="max"/>
        <color theme="0"/>
        <color rgb="FFFFFF00"/>
      </colorScale>
    </cfRule>
  </conditionalFormatting>
  <conditionalFormatting sqref="D52:O75">
    <cfRule type="colorScale" priority="13">
      <colorScale>
        <cfvo type="min"/>
        <cfvo type="max"/>
        <color theme="0"/>
        <color rgb="FF92D050"/>
      </colorScale>
    </cfRule>
  </conditionalFormatting>
  <conditionalFormatting sqref="AH25:AS50">
    <cfRule type="colorScale" priority="12">
      <colorScale>
        <cfvo type="min"/>
        <cfvo type="max"/>
        <color theme="0"/>
        <color rgb="FF00B0F0"/>
      </colorScale>
    </cfRule>
  </conditionalFormatting>
  <conditionalFormatting sqref="AH52:AS75">
    <cfRule type="colorScale" priority="11">
      <colorScale>
        <cfvo type="min"/>
        <cfvo type="max"/>
        <color theme="0"/>
        <color rgb="FF00B0F0"/>
      </colorScale>
    </cfRule>
  </conditionalFormatting>
  <conditionalFormatting sqref="BL52:BW75">
    <cfRule type="colorScale" priority="10">
      <colorScale>
        <cfvo type="min"/>
        <cfvo type="max"/>
        <color theme="0"/>
        <color rgb="FFFFC000"/>
      </colorScale>
    </cfRule>
  </conditionalFormatting>
  <conditionalFormatting sqref="D108:O131">
    <cfRule type="colorScale" priority="9">
      <colorScale>
        <cfvo type="min"/>
        <cfvo type="max"/>
        <color theme="0"/>
        <color rgb="FF00B0F0"/>
      </colorScale>
    </cfRule>
  </conditionalFormatting>
  <conditionalFormatting sqref="D135:O158">
    <cfRule type="colorScale" priority="8">
      <colorScale>
        <cfvo type="min"/>
        <cfvo type="max"/>
        <color theme="0"/>
        <color rgb="FFFFFF00"/>
      </colorScale>
    </cfRule>
  </conditionalFormatting>
  <conditionalFormatting sqref="S108:AD131">
    <cfRule type="colorScale" priority="7">
      <colorScale>
        <cfvo type="min"/>
        <cfvo type="max"/>
        <color theme="0"/>
        <color rgb="FF00B0F0"/>
      </colorScale>
    </cfRule>
  </conditionalFormatting>
  <conditionalFormatting sqref="S135:AD158">
    <cfRule type="colorScale" priority="6">
      <colorScale>
        <cfvo type="min"/>
        <cfvo type="max"/>
        <color theme="0"/>
        <color rgb="FFFFFF00"/>
      </colorScale>
    </cfRule>
  </conditionalFormatting>
  <conditionalFormatting sqref="AH108:AS131">
    <cfRule type="colorScale" priority="5">
      <colorScale>
        <cfvo type="min"/>
        <cfvo type="max"/>
        <color theme="0"/>
        <color rgb="FF00B0F0"/>
      </colorScale>
    </cfRule>
  </conditionalFormatting>
  <conditionalFormatting sqref="AH135:AS158">
    <cfRule type="colorScale" priority="4">
      <colorScale>
        <cfvo type="min"/>
        <cfvo type="max"/>
        <color theme="0"/>
        <color rgb="FFFFFF00"/>
      </colorScale>
    </cfRule>
  </conditionalFormatting>
  <conditionalFormatting sqref="AW108:BH131">
    <cfRule type="colorScale" priority="3">
      <colorScale>
        <cfvo type="min"/>
        <cfvo type="max"/>
        <color theme="0"/>
        <color rgb="FF00B0F0"/>
      </colorScale>
    </cfRule>
  </conditionalFormatting>
  <conditionalFormatting sqref="AW135:BH158">
    <cfRule type="colorScale" priority="2">
      <colorScale>
        <cfvo type="min"/>
        <cfvo type="max"/>
        <color theme="0"/>
        <color rgb="FFFFFF00"/>
      </colorScale>
    </cfRule>
  </conditionalFormatting>
  <conditionalFormatting sqref="BL25:BW48">
    <cfRule type="colorScale" priority="1">
      <colorScale>
        <cfvo type="min"/>
        <cfvo type="max"/>
        <color theme="0"/>
        <color rgb="FFFFFF00"/>
      </colorScale>
    </cfRule>
  </conditionalFormatting>
  <pageMargins left="0.7" right="0.7" top="0.75" bottom="0.75" header="0.3" footer="0.3"/>
  <pageSetup paperSize="9" orientation="portrait" horizontalDpi="0" verticalDpi="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HK206"/>
  <sheetViews>
    <sheetView workbookViewId="0">
      <selection activeCell="N14" sqref="N14"/>
    </sheetView>
  </sheetViews>
  <sheetFormatPr baseColWidth="10" defaultColWidth="10.83203125" defaultRowHeight="15"/>
  <cols>
    <col min="1" max="1" width="2.83203125" style="546" customWidth="1"/>
    <col min="2" max="2" width="5.5" style="546" bestFit="1" customWidth="1"/>
    <col min="3" max="3" width="24.83203125" style="546" bestFit="1" customWidth="1"/>
    <col min="4" max="5" width="6.1640625" style="546" bestFit="1" customWidth="1"/>
    <col min="6" max="6" width="6.33203125" style="546" bestFit="1" customWidth="1"/>
    <col min="7" max="7" width="15.6640625" style="546" bestFit="1" customWidth="1"/>
    <col min="8" max="8" width="5.83203125" style="546" bestFit="1" customWidth="1"/>
    <col min="9" max="9" width="7.6640625" style="546" bestFit="1" customWidth="1"/>
    <col min="10" max="10" width="7" style="546" bestFit="1" customWidth="1"/>
    <col min="11" max="11" width="7.5" style="546" bestFit="1" customWidth="1"/>
    <col min="12" max="12" width="3.83203125" style="546" bestFit="1" customWidth="1"/>
    <col min="13" max="13" width="6.83203125" style="546" bestFit="1" customWidth="1"/>
    <col min="14" max="14" width="7.1640625" style="546" bestFit="1" customWidth="1"/>
    <col min="15" max="15" width="7.6640625" style="546" bestFit="1" customWidth="1"/>
    <col min="16" max="16" width="7" style="546" bestFit="1" customWidth="1"/>
    <col min="17" max="17" width="5.33203125" style="546" bestFit="1" customWidth="1"/>
    <col min="18" max="18" width="6.33203125" style="546" bestFit="1" customWidth="1"/>
    <col min="19" max="19" width="5.1640625" style="546" bestFit="1" customWidth="1"/>
    <col min="20" max="20" width="6.83203125" style="546" bestFit="1" customWidth="1"/>
    <col min="21" max="21" width="6.6640625" style="546" bestFit="1" customWidth="1"/>
    <col min="22" max="23" width="7.83203125" style="546" bestFit="1" customWidth="1"/>
    <col min="24" max="25" width="6.1640625" style="546" bestFit="1" customWidth="1"/>
    <col min="26" max="26" width="4.1640625" style="546" bestFit="1" customWidth="1"/>
    <col min="27" max="27" width="5.83203125" style="546" bestFit="1" customWidth="1"/>
    <col min="28" max="28" width="18.83203125" style="546" bestFit="1" customWidth="1"/>
    <col min="29" max="29" width="2.83203125" style="546" customWidth="1"/>
    <col min="30" max="30" width="24.83203125" style="546" bestFit="1" customWidth="1"/>
    <col min="31" max="35" width="5.6640625" style="546" bestFit="1" customWidth="1"/>
    <col min="36" max="38" width="6.33203125" style="546" bestFit="1" customWidth="1"/>
    <col min="39" max="42" width="5.6640625" style="546" bestFit="1" customWidth="1"/>
    <col min="43" max="43" width="2.83203125" style="546" customWidth="1"/>
    <col min="44" max="44" width="5.33203125" style="546" bestFit="1" customWidth="1"/>
    <col min="45" max="45" width="24.83203125" style="546" bestFit="1" customWidth="1"/>
    <col min="46" max="53" width="7.83203125" style="546" bestFit="1" customWidth="1"/>
    <col min="54" max="54" width="10.33203125" style="546" bestFit="1" customWidth="1"/>
    <col min="55" max="55" width="7.83203125" style="546" bestFit="1" customWidth="1"/>
    <col min="56" max="56" width="10" style="546" bestFit="1" customWidth="1"/>
    <col min="57" max="57" width="9.33203125" style="546" bestFit="1" customWidth="1"/>
    <col min="58" max="58" width="2.83203125" style="546" customWidth="1"/>
    <col min="59" max="59" width="5.33203125" style="546" bestFit="1" customWidth="1"/>
    <col min="60" max="60" width="24.83203125" style="546" bestFit="1" customWidth="1"/>
    <col min="61" max="61" width="4.33203125" style="546" bestFit="1" customWidth="1"/>
    <col min="62" max="64" width="5.1640625" style="546" bestFit="1" customWidth="1"/>
    <col min="65" max="65" width="5.6640625" style="546" bestFit="1" customWidth="1"/>
    <col min="66" max="66" width="5.5" style="546" bestFit="1" customWidth="1"/>
    <col min="67" max="67" width="5.1640625" style="546" bestFit="1" customWidth="1"/>
    <col min="68" max="68" width="4.33203125" style="546" bestFit="1" customWidth="1"/>
    <col min="69" max="70" width="5.1640625" style="546" bestFit="1" customWidth="1"/>
    <col min="71" max="71" width="4.5" style="546" bestFit="1" customWidth="1"/>
    <col min="72" max="72" width="5.1640625" style="546" bestFit="1" customWidth="1"/>
    <col min="73" max="73" width="2.83203125" style="546" customWidth="1"/>
    <col min="74" max="74" width="18" style="546" bestFit="1" customWidth="1"/>
    <col min="75" max="75" width="6.1640625" style="546" bestFit="1" customWidth="1"/>
    <col min="76" max="76" width="4.5" style="546" bestFit="1" customWidth="1"/>
    <col min="77" max="77" width="5" style="546" bestFit="1" customWidth="1"/>
    <col min="78" max="93" width="3.1640625" style="546" bestFit="1" customWidth="1"/>
    <col min="94" max="94" width="4.5" style="546" bestFit="1" customWidth="1"/>
    <col min="95" max="96" width="3.1640625" style="546" bestFit="1" customWidth="1"/>
    <col min="97" max="97" width="4.5" style="546" bestFit="1" customWidth="1"/>
    <col min="98" max="99" width="3.1640625" style="546" bestFit="1" customWidth="1"/>
    <col min="100" max="100" width="2.83203125" style="546" customWidth="1"/>
    <col min="101" max="101" width="4.6640625" style="546" bestFit="1" customWidth="1"/>
    <col min="102" max="102" width="23.6640625" style="546" bestFit="1" customWidth="1"/>
    <col min="103" max="103" width="2.83203125" style="546" customWidth="1"/>
    <col min="104" max="104" width="3.6640625" style="546" bestFit="1" customWidth="1"/>
    <col min="105" max="105" width="18.1640625" style="546" bestFit="1" customWidth="1"/>
    <col min="106" max="106" width="2.83203125" style="546" customWidth="1"/>
    <col min="107" max="107" width="3.83203125" style="546" bestFit="1" customWidth="1"/>
    <col min="108" max="108" width="20.83203125" style="546" bestFit="1" customWidth="1"/>
    <col min="109" max="109" width="2.83203125" style="546" customWidth="1"/>
    <col min="110" max="110" width="3.83203125" style="546" bestFit="1" customWidth="1"/>
    <col min="111" max="111" width="21" style="546" bestFit="1" customWidth="1"/>
    <col min="112" max="112" width="2.83203125" style="546" customWidth="1"/>
    <col min="113" max="113" width="5.1640625" style="546" bestFit="1" customWidth="1"/>
    <col min="114" max="114" width="24.6640625" style="546" bestFit="1" customWidth="1"/>
    <col min="115" max="115" width="2.83203125" style="546" customWidth="1"/>
    <col min="116" max="116" width="5" style="546" bestFit="1" customWidth="1"/>
    <col min="117" max="117" width="23.5" style="546" bestFit="1" customWidth="1"/>
    <col min="118" max="118" width="2.83203125" style="546" customWidth="1"/>
    <col min="119" max="119" width="3.6640625" style="546" bestFit="1" customWidth="1"/>
    <col min="120" max="120" width="23" style="546" bestFit="1" customWidth="1"/>
    <col min="121" max="121" width="2.83203125" style="546" customWidth="1"/>
    <col min="122" max="122" width="3.83203125" style="546" bestFit="1" customWidth="1"/>
    <col min="123" max="123" width="16.6640625" style="546" bestFit="1" customWidth="1"/>
    <col min="124" max="124" width="2.83203125" style="546" customWidth="1"/>
    <col min="125" max="125" width="3.1640625" style="546" bestFit="1" customWidth="1"/>
    <col min="126" max="126" width="22.1640625" style="546" bestFit="1" customWidth="1"/>
    <col min="127" max="127" width="2.83203125" style="546" customWidth="1"/>
    <col min="128" max="128" width="3.5" style="546" bestFit="1" customWidth="1"/>
    <col min="129" max="129" width="11.1640625" style="546" bestFit="1" customWidth="1"/>
    <col min="130" max="130" width="2.83203125" style="546" customWidth="1"/>
    <col min="131" max="131" width="3.33203125" style="546" bestFit="1" customWidth="1"/>
    <col min="132" max="132" width="15.33203125" style="546" bestFit="1" customWidth="1"/>
    <col min="133" max="133" width="2.83203125" style="546" customWidth="1"/>
    <col min="134" max="134" width="3.83203125" style="546" bestFit="1" customWidth="1"/>
    <col min="135" max="135" width="24.83203125" style="546" bestFit="1" customWidth="1"/>
    <col min="136" max="136" width="2.83203125" style="546" customWidth="1"/>
    <col min="137" max="137" width="3.83203125" style="546" bestFit="1" customWidth="1"/>
    <col min="138" max="138" width="13.33203125" style="546" bestFit="1" customWidth="1"/>
    <col min="139" max="139" width="2.83203125" style="546" customWidth="1"/>
    <col min="140" max="140" width="4" style="546" bestFit="1" customWidth="1"/>
    <col min="141" max="141" width="12.1640625" style="546" bestFit="1" customWidth="1"/>
    <col min="142" max="142" width="2.83203125" style="546" customWidth="1"/>
    <col min="143" max="143" width="3.83203125" style="546" bestFit="1" customWidth="1"/>
    <col min="144" max="144" width="21" style="546" bestFit="1" customWidth="1"/>
    <col min="145" max="145" width="2.83203125" style="546" customWidth="1"/>
    <col min="146" max="146" width="3.5" style="546" bestFit="1" customWidth="1"/>
    <col min="147" max="147" width="18.6640625" style="546" bestFit="1" customWidth="1"/>
    <col min="148" max="148" width="2.83203125" style="546" customWidth="1"/>
    <col min="149" max="149" width="3.5" style="546" bestFit="1" customWidth="1"/>
    <col min="150" max="150" width="7.33203125" style="546" bestFit="1" customWidth="1"/>
    <col min="151" max="151" width="2.83203125" style="546" customWidth="1"/>
    <col min="152" max="152" width="3.33203125" style="546" bestFit="1" customWidth="1"/>
    <col min="153" max="153" width="16.5" style="546" bestFit="1" customWidth="1"/>
    <col min="154" max="154" width="2.83203125" style="546" customWidth="1"/>
    <col min="155" max="155" width="3.33203125" style="546" bestFit="1" customWidth="1"/>
    <col min="156" max="156" width="17.33203125" style="546" bestFit="1" customWidth="1"/>
    <col min="157" max="157" width="2.83203125" style="546" customWidth="1"/>
    <col min="158" max="158" width="3.6640625" style="546" bestFit="1" customWidth="1"/>
    <col min="159" max="159" width="18.5" style="546" bestFit="1" customWidth="1"/>
    <col min="160" max="160" width="2.83203125" style="546" customWidth="1"/>
    <col min="161" max="161" width="3.5" style="546" bestFit="1" customWidth="1"/>
    <col min="162" max="162" width="23.5" style="546" bestFit="1" customWidth="1"/>
    <col min="163" max="163" width="2.83203125" style="546" customWidth="1"/>
    <col min="164" max="164" width="3.6640625" style="546" bestFit="1" customWidth="1"/>
    <col min="165" max="165" width="16.33203125" style="546" bestFit="1" customWidth="1"/>
    <col min="166" max="166" width="2.83203125" style="546" customWidth="1"/>
    <col min="167" max="167" width="3.5" style="546" bestFit="1" customWidth="1"/>
    <col min="168" max="168" width="18" style="546" bestFit="1" customWidth="1"/>
    <col min="169" max="169" width="2.83203125" style="546" customWidth="1"/>
    <col min="170" max="170" width="24.33203125" style="546" bestFit="1" customWidth="1"/>
    <col min="171" max="171" width="5.1640625" style="546" bestFit="1" customWidth="1"/>
    <col min="172" max="172" width="5.1640625" style="546" customWidth="1"/>
    <col min="173" max="173" width="102.83203125" style="546" bestFit="1" customWidth="1"/>
    <col min="174" max="175" width="5.1640625" style="546" bestFit="1" customWidth="1"/>
    <col min="176" max="176" width="2.83203125" style="546" customWidth="1"/>
    <col min="177" max="177" width="80.5" style="546" bestFit="1" customWidth="1"/>
    <col min="178" max="178" width="6.1640625" style="546" bestFit="1" customWidth="1"/>
    <col min="179" max="179" width="50" style="546" bestFit="1" customWidth="1"/>
    <col min="180" max="180" width="6.1640625" style="546" bestFit="1" customWidth="1"/>
    <col min="181" max="181" width="2.83203125" style="546" customWidth="1"/>
    <col min="182" max="182" width="50" style="546" bestFit="1" customWidth="1"/>
    <col min="183" max="183" width="6.1640625" style="546" bestFit="1" customWidth="1"/>
    <col min="184" max="184" width="2.83203125" style="546" customWidth="1"/>
    <col min="185" max="185" width="35.83203125" style="546" bestFit="1" customWidth="1"/>
    <col min="186" max="187" width="5.1640625" style="546" bestFit="1" customWidth="1"/>
    <col min="188" max="188" width="2.83203125" style="546" customWidth="1"/>
    <col min="189" max="191" width="19.5" style="731" customWidth="1"/>
    <col min="192" max="192" width="3" style="731" customWidth="1"/>
    <col min="193" max="195" width="18.33203125" style="731" customWidth="1"/>
    <col min="196" max="196" width="2.83203125" style="546" customWidth="1"/>
    <col min="197" max="197" width="12.5" style="740" bestFit="1" customWidth="1"/>
    <col min="198" max="198" width="22.6640625" style="740" bestFit="1" customWidth="1"/>
    <col min="199" max="199" width="15.83203125" style="740" bestFit="1" customWidth="1"/>
    <col min="200" max="200" width="10.83203125" style="740"/>
    <col min="201" max="201" width="18.83203125" style="740" bestFit="1" customWidth="1"/>
    <col min="202" max="202" width="13.5" style="740" bestFit="1" customWidth="1"/>
    <col min="203" max="203" width="10" style="740" bestFit="1" customWidth="1"/>
    <col min="204" max="204" width="2.83203125" style="546" customWidth="1"/>
    <col min="205" max="214" width="10.83203125" style="546"/>
    <col min="215" max="216" width="13.1640625" style="546" bestFit="1" customWidth="1"/>
    <col min="217" max="217" width="14.6640625" style="546" bestFit="1" customWidth="1"/>
    <col min="218" max="16384" width="10.83203125" style="546"/>
  </cols>
  <sheetData>
    <row r="2" spans="2:219" ht="20">
      <c r="B2" s="1204" t="s">
        <v>1279</v>
      </c>
      <c r="C2" s="1204"/>
      <c r="D2" s="1204"/>
      <c r="E2" s="1204"/>
      <c r="F2" s="1204"/>
      <c r="G2" s="1204"/>
      <c r="H2" s="1204"/>
      <c r="I2" s="1204"/>
      <c r="J2" s="1204"/>
      <c r="K2" s="1204"/>
      <c r="L2" s="1204"/>
      <c r="M2" s="1204"/>
      <c r="N2" s="1204"/>
      <c r="O2" s="1204"/>
      <c r="P2" s="1204"/>
      <c r="Q2" s="1204"/>
      <c r="R2" s="1204"/>
      <c r="S2" s="1204"/>
      <c r="T2" s="1204"/>
      <c r="U2" s="1204"/>
      <c r="V2" s="1204"/>
      <c r="W2" s="1204"/>
      <c r="X2" s="1204"/>
      <c r="Y2" s="1204"/>
      <c r="Z2" s="1204"/>
      <c r="AA2" s="1204"/>
      <c r="AB2" s="1204"/>
      <c r="AC2" s="537"/>
      <c r="AD2" s="1204" t="s">
        <v>1040</v>
      </c>
      <c r="AE2" s="1204"/>
      <c r="AF2" s="1204"/>
      <c r="AG2" s="1204"/>
      <c r="AH2" s="1204"/>
      <c r="AI2" s="1204"/>
      <c r="AJ2" s="1204"/>
      <c r="AK2" s="1204"/>
      <c r="AL2" s="1204"/>
      <c r="AM2" s="1204"/>
      <c r="AN2" s="1204"/>
      <c r="AO2" s="1204"/>
      <c r="AP2" s="1204"/>
      <c r="AQ2" s="537"/>
      <c r="AR2" s="1204" t="s">
        <v>1280</v>
      </c>
      <c r="AS2" s="1204"/>
      <c r="AT2" s="1204"/>
      <c r="AU2" s="1204"/>
      <c r="AV2" s="1204"/>
      <c r="AW2" s="1204"/>
      <c r="AX2" s="1204"/>
      <c r="AY2" s="1204"/>
      <c r="AZ2" s="1204"/>
      <c r="BA2" s="1204"/>
      <c r="BB2" s="1204"/>
      <c r="BC2" s="1204"/>
      <c r="BD2" s="1204"/>
      <c r="BE2" s="1204"/>
      <c r="BG2" s="1204" t="s">
        <v>1409</v>
      </c>
      <c r="BH2" s="1204"/>
      <c r="BI2" s="1204"/>
      <c r="BJ2" s="1204"/>
      <c r="BK2" s="1204"/>
      <c r="BL2" s="1204"/>
      <c r="BM2" s="1204"/>
      <c r="BN2" s="1204"/>
      <c r="BO2" s="1204"/>
      <c r="BP2" s="1204"/>
      <c r="BQ2" s="1204"/>
      <c r="BR2" s="1204"/>
      <c r="BS2" s="1204"/>
      <c r="BT2" s="1204"/>
      <c r="BV2" s="1204" t="s">
        <v>1844</v>
      </c>
      <c r="BW2" s="1204"/>
      <c r="BX2" s="1204"/>
      <c r="BY2" s="1204"/>
      <c r="BZ2" s="1204"/>
      <c r="CA2" s="1204"/>
      <c r="CB2" s="1204"/>
      <c r="CC2" s="1204"/>
      <c r="CD2" s="1204"/>
      <c r="CE2" s="1204"/>
      <c r="CF2" s="1204"/>
      <c r="CG2" s="1204"/>
      <c r="CH2" s="1204"/>
      <c r="CI2" s="1204"/>
      <c r="CJ2" s="1204"/>
      <c r="CK2" s="1204"/>
      <c r="CL2" s="1204"/>
      <c r="CM2" s="1204"/>
      <c r="CN2" s="1204"/>
      <c r="CO2" s="1204"/>
      <c r="CP2" s="1204"/>
      <c r="CQ2" s="1204"/>
      <c r="CR2" s="1204"/>
      <c r="CS2" s="1204"/>
      <c r="CT2" s="1204"/>
      <c r="CU2" s="1204"/>
      <c r="CW2" s="1204" t="s">
        <v>2088</v>
      </c>
      <c r="CX2" s="1204"/>
      <c r="CY2" s="1204"/>
      <c r="CZ2" s="1204"/>
      <c r="DA2" s="1204"/>
      <c r="DB2" s="1204"/>
      <c r="DC2" s="1204"/>
      <c r="DD2" s="1204"/>
      <c r="DE2" s="1204"/>
      <c r="DF2" s="1204"/>
      <c r="DG2" s="1204"/>
      <c r="DH2" s="1204"/>
      <c r="DI2" s="1204"/>
      <c r="DJ2" s="1204"/>
      <c r="DK2" s="1204"/>
      <c r="DL2" s="1204"/>
      <c r="DM2" s="1204"/>
      <c r="DN2" s="1204"/>
      <c r="DO2" s="1204"/>
      <c r="DP2" s="1204"/>
      <c r="DQ2" s="1204"/>
      <c r="DR2" s="1204"/>
      <c r="DS2" s="1204"/>
      <c r="DT2" s="1204"/>
      <c r="DU2" s="1204"/>
      <c r="DV2" s="1204"/>
      <c r="DW2" s="1204"/>
      <c r="DX2" s="1204"/>
      <c r="DY2" s="1204"/>
      <c r="DZ2" s="1204"/>
      <c r="EA2" s="1204"/>
      <c r="EB2" s="1204"/>
      <c r="EC2" s="1204"/>
      <c r="ED2" s="1204"/>
      <c r="EE2" s="1204"/>
      <c r="EF2" s="1204"/>
      <c r="EG2" s="1204"/>
      <c r="EH2" s="1204"/>
      <c r="EI2" s="1204"/>
      <c r="EJ2" s="1204"/>
      <c r="EK2" s="1204"/>
      <c r="EL2" s="1204"/>
      <c r="EM2" s="1204"/>
      <c r="EN2" s="1204"/>
      <c r="EO2" s="1204"/>
      <c r="EP2" s="1204"/>
      <c r="EQ2" s="1204"/>
      <c r="ER2" s="1204"/>
      <c r="ES2" s="1204"/>
      <c r="ET2" s="1204"/>
      <c r="EU2" s="1204"/>
      <c r="EV2" s="1204"/>
      <c r="EW2" s="1204"/>
      <c r="EX2" s="1204"/>
      <c r="EY2" s="1204"/>
      <c r="EZ2" s="1204"/>
      <c r="FA2" s="1204"/>
      <c r="FB2" s="1204"/>
      <c r="FC2" s="1204"/>
      <c r="FD2" s="1204"/>
      <c r="FE2" s="1204"/>
      <c r="FF2" s="1204"/>
      <c r="FG2" s="1204"/>
      <c r="FH2" s="1204"/>
      <c r="FI2" s="1204"/>
      <c r="FJ2" s="1204"/>
      <c r="FK2" s="1204"/>
      <c r="FL2" s="1204"/>
      <c r="FM2" s="1204"/>
      <c r="FN2" s="1204"/>
      <c r="FO2" s="1204"/>
      <c r="FP2" s="537"/>
      <c r="FQ2" s="1204" t="s">
        <v>771</v>
      </c>
      <c r="FR2" s="1204"/>
      <c r="FS2" s="1204"/>
      <c r="FT2" s="1204"/>
      <c r="FU2" s="1204"/>
      <c r="FV2" s="1204"/>
      <c r="FW2" s="1204"/>
      <c r="FX2" s="1204"/>
      <c r="FY2" s="1204"/>
      <c r="FZ2" s="1204"/>
      <c r="GA2" s="1204"/>
      <c r="GB2" s="1204"/>
      <c r="GC2" s="1204"/>
      <c r="GD2" s="1204"/>
      <c r="GE2" s="1204"/>
      <c r="GG2" s="1204" t="s">
        <v>2063</v>
      </c>
      <c r="GH2" s="1204"/>
      <c r="GI2" s="1204"/>
      <c r="GJ2" s="1204"/>
      <c r="GK2" s="1204"/>
      <c r="GL2" s="1204"/>
      <c r="GM2" s="1204"/>
      <c r="GO2" s="1204" t="s">
        <v>2074</v>
      </c>
      <c r="GP2" s="1204"/>
      <c r="GQ2" s="1204"/>
      <c r="GR2" s="1204"/>
      <c r="GS2" s="1204"/>
      <c r="GT2" s="1204"/>
      <c r="GU2" s="1204"/>
      <c r="GW2" s="1204" t="s">
        <v>2080</v>
      </c>
      <c r="GX2" s="1204"/>
      <c r="GY2" s="1204"/>
      <c r="GZ2" s="1204"/>
      <c r="HA2" s="1204"/>
      <c r="HB2" s="1204"/>
      <c r="HC2" s="1204"/>
      <c r="HF2" s="1268" t="s">
        <v>1820</v>
      </c>
      <c r="HG2" s="1268"/>
      <c r="HH2" s="1268"/>
      <c r="HI2" s="1268"/>
      <c r="HJ2" s="1268"/>
      <c r="HK2" s="1268"/>
    </row>
    <row r="3" spans="2:219" ht="19">
      <c r="B3" s="734"/>
      <c r="C3" s="734">
        <v>1</v>
      </c>
      <c r="D3" s="734">
        <v>2</v>
      </c>
      <c r="E3" s="734">
        <v>3</v>
      </c>
      <c r="F3" s="734">
        <v>4</v>
      </c>
      <c r="G3" s="734">
        <v>5</v>
      </c>
      <c r="H3" s="734">
        <v>6</v>
      </c>
      <c r="I3" s="734">
        <v>7</v>
      </c>
      <c r="J3" s="734">
        <v>8</v>
      </c>
      <c r="K3" s="734">
        <v>9</v>
      </c>
      <c r="L3" s="734">
        <v>10</v>
      </c>
      <c r="M3" s="734">
        <v>11</v>
      </c>
      <c r="N3" s="734">
        <v>12</v>
      </c>
      <c r="O3" s="734">
        <v>13</v>
      </c>
      <c r="P3" s="734">
        <v>14</v>
      </c>
      <c r="Q3" s="734">
        <v>15</v>
      </c>
      <c r="R3" s="734">
        <v>16</v>
      </c>
      <c r="S3" s="734">
        <v>17</v>
      </c>
      <c r="T3" s="734">
        <v>18</v>
      </c>
      <c r="U3" s="734">
        <v>19</v>
      </c>
      <c r="V3" s="734">
        <v>20</v>
      </c>
      <c r="W3" s="734">
        <v>21</v>
      </c>
      <c r="X3" s="734">
        <v>22</v>
      </c>
      <c r="Y3" s="734">
        <v>23</v>
      </c>
      <c r="Z3" s="734">
        <v>24</v>
      </c>
      <c r="AA3" s="734">
        <v>25</v>
      </c>
      <c r="AB3" s="734">
        <v>26</v>
      </c>
      <c r="AC3" s="538"/>
      <c r="AD3" s="734">
        <v>1</v>
      </c>
      <c r="AE3" s="734">
        <v>2</v>
      </c>
      <c r="AF3" s="734">
        <v>3</v>
      </c>
      <c r="AG3" s="734">
        <v>4</v>
      </c>
      <c r="AH3" s="734">
        <v>5</v>
      </c>
      <c r="AI3" s="734">
        <v>6</v>
      </c>
      <c r="AJ3" s="734">
        <v>7</v>
      </c>
      <c r="AK3" s="734">
        <v>8</v>
      </c>
      <c r="AL3" s="734">
        <v>9</v>
      </c>
      <c r="AM3" s="734">
        <v>10</v>
      </c>
      <c r="AN3" s="734">
        <v>11</v>
      </c>
      <c r="AO3" s="734">
        <v>12</v>
      </c>
      <c r="AP3" s="734">
        <v>13</v>
      </c>
      <c r="AQ3" s="538"/>
      <c r="AR3" s="734"/>
      <c r="AS3" s="734">
        <v>1</v>
      </c>
      <c r="AT3" s="734">
        <v>2</v>
      </c>
      <c r="AU3" s="734">
        <v>3</v>
      </c>
      <c r="AV3" s="734">
        <v>4</v>
      </c>
      <c r="AW3" s="734">
        <v>5</v>
      </c>
      <c r="AX3" s="734">
        <v>6</v>
      </c>
      <c r="AY3" s="734">
        <v>7</v>
      </c>
      <c r="AZ3" s="734">
        <v>8</v>
      </c>
      <c r="BA3" s="734">
        <v>9</v>
      </c>
      <c r="BB3" s="734">
        <v>10</v>
      </c>
      <c r="BC3" s="734">
        <v>11</v>
      </c>
      <c r="BD3" s="734">
        <v>12</v>
      </c>
      <c r="BE3" s="734">
        <v>13</v>
      </c>
      <c r="BG3" s="1207">
        <v>1</v>
      </c>
      <c r="BH3" s="1207"/>
      <c r="BI3" s="734">
        <v>2</v>
      </c>
      <c r="BJ3" s="734">
        <v>3</v>
      </c>
      <c r="BK3" s="734">
        <v>4</v>
      </c>
      <c r="BL3" s="734">
        <v>5</v>
      </c>
      <c r="BM3" s="734">
        <v>6</v>
      </c>
      <c r="BN3" s="734">
        <v>7</v>
      </c>
      <c r="BO3" s="734">
        <v>8</v>
      </c>
      <c r="BP3" s="734">
        <v>9</v>
      </c>
      <c r="BQ3" s="734">
        <v>10</v>
      </c>
      <c r="BR3" s="734">
        <v>11</v>
      </c>
      <c r="BS3" s="734">
        <v>12</v>
      </c>
      <c r="BT3" s="734">
        <v>13</v>
      </c>
      <c r="BV3" s="1202" t="s">
        <v>1820</v>
      </c>
      <c r="BW3" s="1202"/>
      <c r="BX3" s="1203" t="s">
        <v>1792</v>
      </c>
      <c r="BY3" s="1203"/>
      <c r="BZ3" s="1203"/>
      <c r="CA3" s="1203"/>
      <c r="CB3" s="1203"/>
      <c r="CC3" s="1203"/>
      <c r="CD3" s="1203"/>
      <c r="CE3" s="1203"/>
      <c r="CF3" s="1203"/>
      <c r="CG3" s="1203"/>
      <c r="CH3" s="1203"/>
      <c r="CI3" s="1203"/>
      <c r="CJ3" s="1203"/>
      <c r="CK3" s="1203"/>
      <c r="CL3" s="1203"/>
      <c r="CM3" s="1203"/>
      <c r="CN3" s="1203"/>
      <c r="CO3" s="1203"/>
      <c r="CP3" s="1203"/>
      <c r="CQ3" s="1203"/>
      <c r="CR3" s="1203"/>
      <c r="CS3" s="1203"/>
      <c r="CT3" s="1203"/>
      <c r="CU3" s="1203"/>
      <c r="FP3" s="538"/>
      <c r="FQ3" s="1186" t="s">
        <v>217</v>
      </c>
      <c r="FR3" s="1186"/>
      <c r="FS3" s="1186"/>
      <c r="FT3" s="727"/>
      <c r="FU3" s="1186" t="s">
        <v>635</v>
      </c>
      <c r="FV3" s="1186"/>
      <c r="FW3" s="1186"/>
      <c r="FX3" s="1186"/>
      <c r="FY3" s="727"/>
      <c r="FZ3" s="1186" t="s">
        <v>634</v>
      </c>
      <c r="GA3" s="1186"/>
      <c r="GB3" s="727"/>
      <c r="GC3" s="1186" t="s">
        <v>1059</v>
      </c>
      <c r="GD3" s="1186"/>
      <c r="GE3" s="1186"/>
      <c r="GG3" s="1269" t="s">
        <v>2041</v>
      </c>
      <c r="GH3" s="1269"/>
      <c r="GI3" s="1269"/>
      <c r="GJ3" s="1269"/>
      <c r="GK3" s="1269"/>
      <c r="GL3" s="1269"/>
      <c r="GM3" s="1269"/>
      <c r="GO3" s="1269" t="s">
        <v>2041</v>
      </c>
      <c r="GP3" s="1269"/>
      <c r="GQ3" s="1269"/>
      <c r="GR3" s="1269"/>
      <c r="GS3" s="1269"/>
      <c r="GT3" s="1269"/>
      <c r="GU3" s="1269"/>
      <c r="GW3" s="1269" t="s">
        <v>2041</v>
      </c>
      <c r="GX3" s="1269"/>
      <c r="GY3" s="1269"/>
      <c r="GZ3" s="1269"/>
      <c r="HA3" s="1269"/>
      <c r="HB3" s="1269"/>
      <c r="HC3" s="1269"/>
    </row>
    <row r="4" spans="2:219" ht="17" customHeight="1">
      <c r="B4" s="1207" t="s">
        <v>1285</v>
      </c>
      <c r="C4" s="1211" t="s">
        <v>785</v>
      </c>
      <c r="D4" s="1207" t="s">
        <v>1286</v>
      </c>
      <c r="E4" s="1207" t="s">
        <v>548</v>
      </c>
      <c r="F4" s="734" t="s">
        <v>11</v>
      </c>
      <c r="G4" s="1216" t="s">
        <v>1287</v>
      </c>
      <c r="H4" s="734" t="s">
        <v>13</v>
      </c>
      <c r="I4" s="1215" t="s">
        <v>820</v>
      </c>
      <c r="J4" s="1215"/>
      <c r="K4" s="735" t="s">
        <v>15</v>
      </c>
      <c r="L4" s="545" t="s">
        <v>16</v>
      </c>
      <c r="M4" s="736" t="s">
        <v>567</v>
      </c>
      <c r="N4" s="736" t="s">
        <v>568</v>
      </c>
      <c r="O4" s="1214" t="s">
        <v>569</v>
      </c>
      <c r="P4" s="1214"/>
      <c r="Q4" s="1213" t="s">
        <v>12</v>
      </c>
      <c r="R4" s="737" t="s">
        <v>1012</v>
      </c>
      <c r="S4" s="1213" t="s">
        <v>1066</v>
      </c>
      <c r="T4" s="737" t="s">
        <v>1206</v>
      </c>
      <c r="U4" s="737" t="s">
        <v>1207</v>
      </c>
      <c r="V4" s="737" t="s">
        <v>1209</v>
      </c>
      <c r="W4" s="737" t="s">
        <v>1205</v>
      </c>
      <c r="X4" s="737" t="s">
        <v>1401</v>
      </c>
      <c r="Y4" s="737" t="s">
        <v>1402</v>
      </c>
      <c r="Z4" s="1217" t="s">
        <v>1451</v>
      </c>
      <c r="AA4" s="1217"/>
      <c r="AB4" s="1212" t="s">
        <v>786</v>
      </c>
      <c r="AC4" s="538"/>
      <c r="AD4" s="1211" t="s">
        <v>1288</v>
      </c>
      <c r="AE4" s="734" t="s">
        <v>838</v>
      </c>
      <c r="AF4" s="734" t="s">
        <v>839</v>
      </c>
      <c r="AG4" s="734" t="s">
        <v>840</v>
      </c>
      <c r="AH4" s="734" t="s">
        <v>841</v>
      </c>
      <c r="AI4" s="734" t="s">
        <v>827</v>
      </c>
      <c r="AJ4" s="734" t="s">
        <v>828</v>
      </c>
      <c r="AK4" s="734" t="s">
        <v>829</v>
      </c>
      <c r="AL4" s="734" t="s">
        <v>842</v>
      </c>
      <c r="AM4" s="734" t="s">
        <v>843</v>
      </c>
      <c r="AN4" s="734" t="s">
        <v>844</v>
      </c>
      <c r="AO4" s="734" t="s">
        <v>880</v>
      </c>
      <c r="AP4" s="734" t="s">
        <v>845</v>
      </c>
      <c r="AQ4" s="538"/>
      <c r="AR4" s="1211" t="s">
        <v>1288</v>
      </c>
      <c r="AS4" s="1211"/>
      <c r="AT4" s="734" t="s">
        <v>823</v>
      </c>
      <c r="AU4" s="734" t="s">
        <v>824</v>
      </c>
      <c r="AV4" s="734" t="s">
        <v>825</v>
      </c>
      <c r="AW4" s="734" t="s">
        <v>826</v>
      </c>
      <c r="AX4" s="734" t="s">
        <v>827</v>
      </c>
      <c r="AY4" s="734" t="s">
        <v>828</v>
      </c>
      <c r="AZ4" s="734" t="s">
        <v>829</v>
      </c>
      <c r="BA4" s="734" t="s">
        <v>830</v>
      </c>
      <c r="BB4" s="734" t="s">
        <v>831</v>
      </c>
      <c r="BC4" s="734" t="s">
        <v>832</v>
      </c>
      <c r="BD4" s="734" t="s">
        <v>833</v>
      </c>
      <c r="BE4" s="734" t="s">
        <v>834</v>
      </c>
      <c r="BG4" s="1211" t="s">
        <v>1288</v>
      </c>
      <c r="BH4" s="1211"/>
      <c r="BI4" s="734" t="s">
        <v>838</v>
      </c>
      <c r="BJ4" s="734" t="s">
        <v>839</v>
      </c>
      <c r="BK4" s="734" t="s">
        <v>840</v>
      </c>
      <c r="BL4" s="734" t="s">
        <v>841</v>
      </c>
      <c r="BM4" s="734" t="s">
        <v>827</v>
      </c>
      <c r="BN4" s="734" t="s">
        <v>828</v>
      </c>
      <c r="BO4" s="734" t="s">
        <v>829</v>
      </c>
      <c r="BP4" s="734" t="s">
        <v>842</v>
      </c>
      <c r="BQ4" s="734" t="s">
        <v>843</v>
      </c>
      <c r="BR4" s="734" t="s">
        <v>844</v>
      </c>
      <c r="BS4" s="734" t="s">
        <v>880</v>
      </c>
      <c r="BT4" s="734" t="s">
        <v>845</v>
      </c>
      <c r="BV4" s="1202"/>
      <c r="BW4" s="1202"/>
      <c r="BX4" s="1206" t="s">
        <v>1821</v>
      </c>
      <c r="BY4" s="1206"/>
      <c r="BZ4" s="1206" t="s">
        <v>1822</v>
      </c>
      <c r="CA4" s="1206"/>
      <c r="CB4" s="1206"/>
      <c r="CC4" s="1202"/>
      <c r="CD4" s="1206" t="s">
        <v>1823</v>
      </c>
      <c r="CE4" s="1206"/>
      <c r="CF4" s="1206"/>
      <c r="CG4" s="1202"/>
      <c r="CH4" s="1206" t="s">
        <v>1824</v>
      </c>
      <c r="CI4" s="1206"/>
      <c r="CJ4" s="1206"/>
      <c r="CK4" s="1202"/>
      <c r="CL4" s="1206" t="s">
        <v>1825</v>
      </c>
      <c r="CM4" s="1206"/>
      <c r="CN4" s="1206"/>
      <c r="CO4" s="1202"/>
      <c r="CP4" s="1206" t="s">
        <v>1826</v>
      </c>
      <c r="CQ4" s="1206"/>
      <c r="CR4" s="1202"/>
      <c r="CS4" s="1206" t="s">
        <v>1827</v>
      </c>
      <c r="CT4" s="1206"/>
      <c r="CU4" s="1202"/>
      <c r="CW4" s="734" t="s">
        <v>27</v>
      </c>
      <c r="CX4" s="733" t="s">
        <v>25</v>
      </c>
      <c r="CY4" s="537"/>
      <c r="CZ4" s="734" t="s">
        <v>2037</v>
      </c>
      <c r="DA4" s="733" t="s">
        <v>68</v>
      </c>
      <c r="DB4" s="537"/>
      <c r="DC4" s="734" t="s">
        <v>73</v>
      </c>
      <c r="DD4" s="733" t="s">
        <v>74</v>
      </c>
      <c r="DE4" s="537"/>
      <c r="DF4" s="734" t="s">
        <v>86</v>
      </c>
      <c r="DG4" s="733" t="s">
        <v>87</v>
      </c>
      <c r="DH4" s="537"/>
      <c r="DI4" s="734" t="s">
        <v>96</v>
      </c>
      <c r="DJ4" s="733" t="s">
        <v>97</v>
      </c>
      <c r="DK4" s="537"/>
      <c r="DL4" s="734" t="s">
        <v>104</v>
      </c>
      <c r="DM4" s="733" t="s">
        <v>105</v>
      </c>
      <c r="DN4" s="537"/>
      <c r="DO4" s="734" t="s">
        <v>111</v>
      </c>
      <c r="DP4" s="733" t="s">
        <v>112</v>
      </c>
      <c r="DR4" s="734" t="s">
        <v>117</v>
      </c>
      <c r="DS4" s="733" t="s">
        <v>118</v>
      </c>
      <c r="DU4" s="734" t="s">
        <v>122</v>
      </c>
      <c r="DV4" s="733" t="s">
        <v>123</v>
      </c>
      <c r="DW4" s="537"/>
      <c r="DX4" s="734" t="s">
        <v>135</v>
      </c>
      <c r="DY4" s="733" t="s">
        <v>136</v>
      </c>
      <c r="DZ4" s="537"/>
      <c r="EA4" s="734" t="s">
        <v>128</v>
      </c>
      <c r="EB4" s="733" t="s">
        <v>129</v>
      </c>
      <c r="ED4" s="734" t="s">
        <v>140</v>
      </c>
      <c r="EE4" s="733" t="s">
        <v>141</v>
      </c>
      <c r="EG4" s="734" t="s">
        <v>153</v>
      </c>
      <c r="EH4" s="733" t="s">
        <v>154</v>
      </c>
      <c r="EI4" s="537"/>
      <c r="EJ4" s="734" t="s">
        <v>158</v>
      </c>
      <c r="EK4" s="733" t="s">
        <v>159</v>
      </c>
      <c r="EL4" s="537"/>
      <c r="EM4" s="734" t="s">
        <v>161</v>
      </c>
      <c r="EN4" s="733" t="s">
        <v>162</v>
      </c>
      <c r="EO4" s="537"/>
      <c r="EP4" s="734" t="s">
        <v>188</v>
      </c>
      <c r="EQ4" s="733" t="s">
        <v>1276</v>
      </c>
      <c r="ER4" s="537"/>
      <c r="ES4" s="734" t="s">
        <v>172</v>
      </c>
      <c r="ET4" s="733" t="s">
        <v>173</v>
      </c>
      <c r="EU4" s="537"/>
      <c r="EV4" s="734" t="s">
        <v>175</v>
      </c>
      <c r="EW4" s="733" t="s">
        <v>176</v>
      </c>
      <c r="EX4" s="537"/>
      <c r="EY4" s="734" t="s">
        <v>181</v>
      </c>
      <c r="EZ4" s="733" t="s">
        <v>182</v>
      </c>
      <c r="FA4" s="537"/>
      <c r="FB4" s="734" t="s">
        <v>184</v>
      </c>
      <c r="FC4" s="733" t="s">
        <v>185</v>
      </c>
      <c r="FD4" s="537"/>
      <c r="FE4" s="734" t="s">
        <v>196</v>
      </c>
      <c r="FF4" s="733" t="s">
        <v>197</v>
      </c>
      <c r="FG4" s="537"/>
      <c r="FH4" s="734" t="s">
        <v>200</v>
      </c>
      <c r="FI4" s="733" t="s">
        <v>780</v>
      </c>
      <c r="FJ4" s="537"/>
      <c r="FK4" s="734" t="s">
        <v>202</v>
      </c>
      <c r="FL4" s="733" t="s">
        <v>203</v>
      </c>
      <c r="FM4" s="537"/>
      <c r="FN4" s="537"/>
      <c r="FO4" s="537"/>
      <c r="FP4" s="538"/>
      <c r="FQ4" s="728" t="s">
        <v>232</v>
      </c>
      <c r="FR4" s="728" t="s">
        <v>231</v>
      </c>
      <c r="FS4" s="728" t="s">
        <v>234</v>
      </c>
      <c r="FT4" s="727"/>
      <c r="FU4" s="728" t="s">
        <v>241</v>
      </c>
      <c r="FV4" s="728" t="s">
        <v>231</v>
      </c>
      <c r="FW4" s="728" t="s">
        <v>230</v>
      </c>
      <c r="FX4" s="728" t="s">
        <v>231</v>
      </c>
      <c r="FY4" s="727"/>
      <c r="FZ4" s="728" t="s">
        <v>633</v>
      </c>
      <c r="GA4" s="728" t="s">
        <v>234</v>
      </c>
      <c r="GB4" s="727"/>
      <c r="GC4" s="727"/>
      <c r="GD4" s="727" t="s">
        <v>234</v>
      </c>
      <c r="GE4" s="727" t="s">
        <v>1211</v>
      </c>
      <c r="GG4" s="1205" t="s">
        <v>592</v>
      </c>
      <c r="GH4" s="1205"/>
      <c r="GI4" s="1205"/>
      <c r="GK4" s="1205" t="s">
        <v>2065</v>
      </c>
      <c r="GL4" s="1205"/>
      <c r="GM4" s="1205"/>
      <c r="GO4" s="1205" t="s">
        <v>592</v>
      </c>
      <c r="GP4" s="1205"/>
      <c r="GQ4" s="1205"/>
      <c r="GR4" s="731"/>
      <c r="GS4" s="1205" t="s">
        <v>2065</v>
      </c>
      <c r="GT4" s="1205"/>
      <c r="GU4" s="1205"/>
      <c r="GW4" s="1205" t="s">
        <v>592</v>
      </c>
      <c r="GX4" s="1205"/>
      <c r="GY4" s="1205"/>
      <c r="GZ4" s="731"/>
      <c r="HA4" s="1205" t="s">
        <v>2065</v>
      </c>
      <c r="HB4" s="1205"/>
      <c r="HC4" s="1205"/>
      <c r="HG4" s="546" t="str">
        <f>BASE!GR55</f>
        <v>Línea Base 2007</v>
      </c>
      <c r="HH4" s="546" t="str">
        <f>BASE!GS55</f>
        <v>Línea Base 2019</v>
      </c>
      <c r="HI4" s="546" t="str">
        <f>BASE!GT55</f>
        <v>Vivienda Evaluada</v>
      </c>
    </row>
    <row r="5" spans="2:219" ht="16">
      <c r="B5" s="1207"/>
      <c r="C5" s="1211"/>
      <c r="D5" s="1207"/>
      <c r="E5" s="1207"/>
      <c r="F5" s="734" t="s">
        <v>18</v>
      </c>
      <c r="G5" s="1216"/>
      <c r="H5" s="734" t="s">
        <v>19</v>
      </c>
      <c r="I5" s="736" t="s">
        <v>233</v>
      </c>
      <c r="J5" s="736" t="s">
        <v>235</v>
      </c>
      <c r="K5" s="735" t="s">
        <v>20</v>
      </c>
      <c r="L5" s="736" t="s">
        <v>21</v>
      </c>
      <c r="M5" s="736" t="s">
        <v>21</v>
      </c>
      <c r="N5" s="736" t="s">
        <v>21</v>
      </c>
      <c r="O5" s="736" t="s">
        <v>233</v>
      </c>
      <c r="P5" s="736" t="s">
        <v>235</v>
      </c>
      <c r="Q5" s="1213"/>
      <c r="R5" s="735" t="s">
        <v>20</v>
      </c>
      <c r="S5" s="1213"/>
      <c r="T5" s="737" t="s">
        <v>1208</v>
      </c>
      <c r="U5" s="737" t="s">
        <v>1208</v>
      </c>
      <c r="V5" s="737" t="s">
        <v>1041</v>
      </c>
      <c r="W5" s="737" t="s">
        <v>1041</v>
      </c>
      <c r="X5" s="737"/>
      <c r="Y5" s="737"/>
      <c r="Z5" s="738" t="s">
        <v>1452</v>
      </c>
      <c r="AA5" s="738" t="s">
        <v>1453</v>
      </c>
      <c r="AB5" s="1212"/>
      <c r="AC5" s="538"/>
      <c r="AD5" s="1211"/>
      <c r="AE5" s="734" t="s">
        <v>20</v>
      </c>
      <c r="AF5" s="734" t="s">
        <v>20</v>
      </c>
      <c r="AG5" s="734" t="s">
        <v>20</v>
      </c>
      <c r="AH5" s="734" t="s">
        <v>20</v>
      </c>
      <c r="AI5" s="734" t="s">
        <v>20</v>
      </c>
      <c r="AJ5" s="734" t="s">
        <v>20</v>
      </c>
      <c r="AK5" s="734" t="s">
        <v>20</v>
      </c>
      <c r="AL5" s="734" t="s">
        <v>20</v>
      </c>
      <c r="AM5" s="734" t="s">
        <v>20</v>
      </c>
      <c r="AN5" s="734" t="s">
        <v>20</v>
      </c>
      <c r="AO5" s="734" t="s">
        <v>20</v>
      </c>
      <c r="AP5" s="734" t="s">
        <v>20</v>
      </c>
      <c r="AQ5" s="538"/>
      <c r="AR5" s="1211"/>
      <c r="AS5" s="1211"/>
      <c r="AT5" s="734" t="s">
        <v>1041</v>
      </c>
      <c r="AU5" s="734" t="s">
        <v>1041</v>
      </c>
      <c r="AV5" s="734" t="s">
        <v>1041</v>
      </c>
      <c r="AW5" s="734" t="s">
        <v>1041</v>
      </c>
      <c r="AX5" s="734" t="s">
        <v>1041</v>
      </c>
      <c r="AY5" s="734" t="s">
        <v>1041</v>
      </c>
      <c r="AZ5" s="734" t="s">
        <v>1041</v>
      </c>
      <c r="BA5" s="734" t="s">
        <v>1041</v>
      </c>
      <c r="BB5" s="734" t="s">
        <v>1041</v>
      </c>
      <c r="BC5" s="734" t="s">
        <v>1041</v>
      </c>
      <c r="BD5" s="734" t="s">
        <v>1041</v>
      </c>
      <c r="BE5" s="734" t="s">
        <v>1041</v>
      </c>
      <c r="BG5" s="1211"/>
      <c r="BH5" s="1211"/>
      <c r="BI5" s="734" t="s">
        <v>1410</v>
      </c>
      <c r="BJ5" s="734" t="s">
        <v>1410</v>
      </c>
      <c r="BK5" s="734" t="s">
        <v>1410</v>
      </c>
      <c r="BL5" s="734" t="s">
        <v>1410</v>
      </c>
      <c r="BM5" s="734" t="s">
        <v>1410</v>
      </c>
      <c r="BN5" s="734" t="s">
        <v>1410</v>
      </c>
      <c r="BO5" s="734" t="s">
        <v>1410</v>
      </c>
      <c r="BP5" s="734" t="s">
        <v>1410</v>
      </c>
      <c r="BQ5" s="734" t="s">
        <v>1410</v>
      </c>
      <c r="BR5" s="734" t="s">
        <v>1410</v>
      </c>
      <c r="BS5" s="734" t="s">
        <v>1410</v>
      </c>
      <c r="BT5" s="734" t="s">
        <v>1410</v>
      </c>
      <c r="BV5" s="1202"/>
      <c r="BW5" s="1202"/>
      <c r="BX5" s="1203" t="s">
        <v>1828</v>
      </c>
      <c r="BY5" s="1203"/>
      <c r="BZ5" s="1203"/>
      <c r="CA5" s="1203"/>
      <c r="CB5" s="1203"/>
      <c r="CC5" s="1203"/>
      <c r="CD5" s="1203"/>
      <c r="CE5" s="1203"/>
      <c r="CF5" s="1203"/>
      <c r="CG5" s="1203"/>
      <c r="CH5" s="1203"/>
      <c r="CI5" s="1203"/>
      <c r="CJ5" s="1203"/>
      <c r="CK5" s="1203"/>
      <c r="CL5" s="1203"/>
      <c r="CM5" s="1203"/>
      <c r="CN5" s="1203"/>
      <c r="CO5" s="1203"/>
      <c r="CP5" s="1203"/>
      <c r="CQ5" s="1203"/>
      <c r="CR5" s="1203"/>
      <c r="CS5" s="1203"/>
      <c r="CT5" s="1203"/>
      <c r="CU5" s="1203"/>
      <c r="CW5" s="734" t="s">
        <v>27</v>
      </c>
      <c r="CX5" s="733" t="s">
        <v>37</v>
      </c>
      <c r="CY5" s="538"/>
      <c r="CZ5" s="734" t="s">
        <v>2037</v>
      </c>
      <c r="DA5" s="733" t="s">
        <v>70</v>
      </c>
      <c r="DB5" s="538"/>
      <c r="DC5" s="734" t="s">
        <v>73</v>
      </c>
      <c r="DD5" s="733" t="s">
        <v>1264</v>
      </c>
      <c r="DE5" s="538"/>
      <c r="DF5" s="734" t="s">
        <v>86</v>
      </c>
      <c r="DG5" s="733" t="s">
        <v>89</v>
      </c>
      <c r="DH5" s="538"/>
      <c r="DI5" s="734" t="s">
        <v>96</v>
      </c>
      <c r="DJ5" s="733" t="s">
        <v>99</v>
      </c>
      <c r="DK5" s="538"/>
      <c r="DL5" s="734" t="s">
        <v>104</v>
      </c>
      <c r="DM5" s="733" t="s">
        <v>107</v>
      </c>
      <c r="DN5" s="538"/>
      <c r="DO5" s="734" t="s">
        <v>111</v>
      </c>
      <c r="DP5" s="733" t="s">
        <v>1268</v>
      </c>
      <c r="DR5" s="734" t="s">
        <v>117</v>
      </c>
      <c r="DS5" s="733" t="s">
        <v>119</v>
      </c>
      <c r="DU5" s="734" t="s">
        <v>122</v>
      </c>
      <c r="DV5" s="733" t="s">
        <v>124</v>
      </c>
      <c r="DW5" s="538"/>
      <c r="DX5" s="734" t="s">
        <v>135</v>
      </c>
      <c r="DY5" s="733" t="s">
        <v>137</v>
      </c>
      <c r="DZ5" s="538"/>
      <c r="EA5" s="734" t="s">
        <v>128</v>
      </c>
      <c r="EB5" s="733" t="s">
        <v>130</v>
      </c>
      <c r="ED5" s="734" t="s">
        <v>140</v>
      </c>
      <c r="EE5" s="733" t="s">
        <v>142</v>
      </c>
      <c r="EG5" s="734" t="s">
        <v>153</v>
      </c>
      <c r="EH5" s="733" t="s">
        <v>1272</v>
      </c>
      <c r="EI5" s="538"/>
      <c r="EJ5" s="734" t="s">
        <v>158</v>
      </c>
      <c r="EK5" s="733" t="s">
        <v>160</v>
      </c>
      <c r="EL5" s="538"/>
      <c r="EM5" s="734" t="s">
        <v>161</v>
      </c>
      <c r="EN5" s="733" t="s">
        <v>163</v>
      </c>
      <c r="EO5" s="538"/>
      <c r="EP5" s="734" t="s">
        <v>188</v>
      </c>
      <c r="EQ5" s="733" t="s">
        <v>189</v>
      </c>
      <c r="ER5" s="538"/>
      <c r="ES5" s="734" t="s">
        <v>172</v>
      </c>
      <c r="ET5" s="733" t="s">
        <v>174</v>
      </c>
      <c r="EU5" s="538"/>
      <c r="EV5" s="734" t="s">
        <v>175</v>
      </c>
      <c r="EW5" s="733" t="s">
        <v>177</v>
      </c>
      <c r="EX5" s="538"/>
      <c r="EY5" s="734" t="s">
        <v>181</v>
      </c>
      <c r="EZ5" s="733" t="s">
        <v>1275</v>
      </c>
      <c r="FA5" s="538"/>
      <c r="FB5" s="734" t="s">
        <v>184</v>
      </c>
      <c r="FC5" s="733" t="s">
        <v>186</v>
      </c>
      <c r="FD5" s="538"/>
      <c r="FE5" s="734" t="s">
        <v>196</v>
      </c>
      <c r="FF5" s="733" t="s">
        <v>198</v>
      </c>
      <c r="FG5" s="538"/>
      <c r="FH5" s="734" t="s">
        <v>200</v>
      </c>
      <c r="FI5" s="733" t="s">
        <v>781</v>
      </c>
      <c r="FJ5" s="538"/>
      <c r="FK5" s="734" t="s">
        <v>202</v>
      </c>
      <c r="FL5" s="733" t="s">
        <v>204</v>
      </c>
      <c r="FM5" s="538"/>
      <c r="FN5" s="538"/>
      <c r="FO5" s="538"/>
      <c r="FP5" s="538"/>
      <c r="FQ5" s="727"/>
      <c r="FR5" s="727"/>
      <c r="FS5" s="727"/>
      <c r="FT5" s="727"/>
      <c r="FU5" s="727"/>
      <c r="FV5" s="727"/>
      <c r="FW5" s="727"/>
      <c r="FX5" s="727"/>
      <c r="FY5" s="727"/>
      <c r="FZ5" s="727"/>
      <c r="GA5" s="727"/>
      <c r="GB5" s="727"/>
      <c r="GC5" s="727" t="s">
        <v>215</v>
      </c>
      <c r="GD5" s="727">
        <v>6</v>
      </c>
      <c r="GE5" s="727">
        <v>0.82</v>
      </c>
      <c r="GI5" s="731" t="s">
        <v>2064</v>
      </c>
      <c r="GL5" s="731" t="s">
        <v>2064</v>
      </c>
      <c r="GM5" s="731" t="s">
        <v>1221</v>
      </c>
      <c r="GO5" s="1205" t="s">
        <v>2075</v>
      </c>
      <c r="GP5" s="1205"/>
      <c r="GQ5" s="1205"/>
      <c r="GR5" s="1205"/>
      <c r="GS5" s="1205"/>
      <c r="GT5" s="1205"/>
      <c r="GU5" s="1205"/>
      <c r="GW5" s="731"/>
      <c r="GX5" s="731" t="s">
        <v>2064</v>
      </c>
      <c r="GY5" s="740" t="s">
        <v>644</v>
      </c>
      <c r="GZ5" s="731"/>
      <c r="HA5" s="731"/>
      <c r="HB5" s="731" t="s">
        <v>2064</v>
      </c>
      <c r="HC5" s="731" t="s">
        <v>1221</v>
      </c>
    </row>
    <row r="6" spans="2:219" ht="16">
      <c r="B6" s="734" t="s">
        <v>24</v>
      </c>
      <c r="C6" s="733" t="s">
        <v>25</v>
      </c>
      <c r="D6" s="539">
        <v>34.57</v>
      </c>
      <c r="E6" s="539">
        <v>58.42</v>
      </c>
      <c r="F6" s="539">
        <v>6</v>
      </c>
      <c r="G6" s="539" t="s">
        <v>23</v>
      </c>
      <c r="H6" s="539">
        <v>3</v>
      </c>
      <c r="I6" s="539">
        <v>11.3</v>
      </c>
      <c r="J6" s="539">
        <v>23.2</v>
      </c>
      <c r="K6" s="539">
        <v>31.2</v>
      </c>
      <c r="L6" s="539">
        <v>68</v>
      </c>
      <c r="M6" s="539">
        <v>80</v>
      </c>
      <c r="N6" s="539">
        <v>68</v>
      </c>
      <c r="O6" s="539">
        <v>58</v>
      </c>
      <c r="P6" s="539">
        <v>92</v>
      </c>
      <c r="Q6" s="734">
        <v>3</v>
      </c>
      <c r="R6" s="539">
        <v>22.9</v>
      </c>
      <c r="S6" s="734">
        <v>0.53</v>
      </c>
      <c r="T6" s="734">
        <v>36.9</v>
      </c>
      <c r="U6" s="734">
        <v>3.4</v>
      </c>
      <c r="V6" s="734">
        <v>185</v>
      </c>
      <c r="W6" s="734">
        <v>41</v>
      </c>
      <c r="X6" s="734">
        <v>1.4E-2</v>
      </c>
      <c r="Y6" s="734">
        <v>1.9E-2</v>
      </c>
      <c r="Z6" s="547">
        <v>130</v>
      </c>
      <c r="AA6" s="547">
        <f t="shared" ref="AA6:AA65" si="0">Z6*0.01</f>
        <v>1.3</v>
      </c>
      <c r="AB6" s="734">
        <v>35</v>
      </c>
      <c r="AC6" s="538"/>
      <c r="AD6" s="733" t="str">
        <f>C6</f>
        <v>AEROPARQUE</v>
      </c>
      <c r="AE6" s="737">
        <v>24.8</v>
      </c>
      <c r="AF6" s="737">
        <v>23.7</v>
      </c>
      <c r="AG6" s="737">
        <v>21.7</v>
      </c>
      <c r="AH6" s="737">
        <v>18.2</v>
      </c>
      <c r="AI6" s="737">
        <v>14.8</v>
      </c>
      <c r="AJ6" s="737">
        <v>11.5</v>
      </c>
      <c r="AK6" s="737">
        <v>11</v>
      </c>
      <c r="AL6" s="737">
        <v>12.7</v>
      </c>
      <c r="AM6" s="737">
        <v>14</v>
      </c>
      <c r="AN6" s="737">
        <v>17.5</v>
      </c>
      <c r="AO6" s="737">
        <v>20.399999999999999</v>
      </c>
      <c r="AP6" s="737">
        <v>23</v>
      </c>
      <c r="AQ6" s="538"/>
      <c r="AR6" s="733" t="str">
        <f t="shared" ref="AR6:AR69" si="1">B6</f>
        <v>BAC</v>
      </c>
      <c r="AS6" s="733" t="str">
        <f>AD6</f>
        <v>AEROPARQUE</v>
      </c>
      <c r="AT6" s="731">
        <v>6.5</v>
      </c>
      <c r="AU6" s="731">
        <v>5.5</v>
      </c>
      <c r="AV6" s="731">
        <v>4.5</v>
      </c>
      <c r="AW6" s="731">
        <v>3</v>
      </c>
      <c r="AX6" s="731">
        <v>2.5</v>
      </c>
      <c r="AY6" s="731">
        <v>2</v>
      </c>
      <c r="AZ6" s="731">
        <v>2</v>
      </c>
      <c r="BA6" s="731">
        <v>3</v>
      </c>
      <c r="BB6" s="731">
        <v>4</v>
      </c>
      <c r="BC6" s="731">
        <v>5</v>
      </c>
      <c r="BD6" s="731">
        <v>6</v>
      </c>
      <c r="BE6" s="731">
        <v>6.5</v>
      </c>
      <c r="BG6" s="733" t="str">
        <f>+AR6</f>
        <v>BAC</v>
      </c>
      <c r="BH6" s="733" t="str">
        <f>+AS6</f>
        <v>AEROPARQUE</v>
      </c>
      <c r="BI6" s="731">
        <v>104</v>
      </c>
      <c r="BJ6" s="731">
        <v>98</v>
      </c>
      <c r="BK6" s="731">
        <v>115</v>
      </c>
      <c r="BL6" s="731">
        <v>97</v>
      </c>
      <c r="BM6" s="731">
        <v>80</v>
      </c>
      <c r="BN6" s="731">
        <v>61</v>
      </c>
      <c r="BO6" s="731">
        <v>59</v>
      </c>
      <c r="BP6" s="731">
        <v>63</v>
      </c>
      <c r="BQ6" s="731">
        <v>68</v>
      </c>
      <c r="BR6" s="731">
        <v>104</v>
      </c>
      <c r="BS6" s="731">
        <v>98</v>
      </c>
      <c r="BT6" s="731">
        <v>93</v>
      </c>
      <c r="BV6" s="1202"/>
      <c r="BW6" s="1202"/>
      <c r="BX6" s="739" t="s">
        <v>1829</v>
      </c>
      <c r="BY6" s="739" t="s">
        <v>1830</v>
      </c>
      <c r="BZ6" s="1202" t="s">
        <v>1829</v>
      </c>
      <c r="CA6" s="1202"/>
      <c r="CB6" s="1202" t="s">
        <v>1830</v>
      </c>
      <c r="CC6" s="1202"/>
      <c r="CD6" s="1202" t="s">
        <v>1829</v>
      </c>
      <c r="CE6" s="1202"/>
      <c r="CF6" s="1202" t="s">
        <v>1830</v>
      </c>
      <c r="CG6" s="1202"/>
      <c r="CH6" s="1202" t="s">
        <v>1829</v>
      </c>
      <c r="CI6" s="1202"/>
      <c r="CJ6" s="1202" t="s">
        <v>1830</v>
      </c>
      <c r="CK6" s="1202"/>
      <c r="CL6" s="1202" t="s">
        <v>1829</v>
      </c>
      <c r="CM6" s="1202"/>
      <c r="CN6" s="1202" t="s">
        <v>1830</v>
      </c>
      <c r="CO6" s="1202"/>
      <c r="CP6" s="739" t="s">
        <v>1829</v>
      </c>
      <c r="CQ6" s="1202" t="s">
        <v>1830</v>
      </c>
      <c r="CR6" s="1202"/>
      <c r="CS6" s="739" t="s">
        <v>1829</v>
      </c>
      <c r="CT6" s="1202" t="s">
        <v>1830</v>
      </c>
      <c r="CU6" s="1202"/>
      <c r="CW6" s="734" t="s">
        <v>27</v>
      </c>
      <c r="CX6" s="733" t="s">
        <v>39</v>
      </c>
      <c r="CY6" s="538"/>
      <c r="CZ6" s="734" t="s">
        <v>2037</v>
      </c>
      <c r="DA6" s="733" t="s">
        <v>71</v>
      </c>
      <c r="DB6" s="538"/>
      <c r="DC6" s="734" t="s">
        <v>73</v>
      </c>
      <c r="DD6" s="733" t="s">
        <v>1265</v>
      </c>
      <c r="DE6" s="538"/>
      <c r="DF6" s="734" t="s">
        <v>86</v>
      </c>
      <c r="DG6" s="733" t="s">
        <v>90</v>
      </c>
      <c r="DH6" s="538"/>
      <c r="DI6" s="734" t="s">
        <v>96</v>
      </c>
      <c r="DJ6" s="733" t="s">
        <v>100</v>
      </c>
      <c r="DK6" s="538"/>
      <c r="DL6" s="734" t="s">
        <v>104</v>
      </c>
      <c r="DM6" s="733" t="s">
        <v>109</v>
      </c>
      <c r="DN6" s="538"/>
      <c r="DO6" s="734" t="s">
        <v>111</v>
      </c>
      <c r="DP6" s="733" t="s">
        <v>1269</v>
      </c>
      <c r="DR6" s="734" t="s">
        <v>117</v>
      </c>
      <c r="DS6" s="733" t="s">
        <v>120</v>
      </c>
      <c r="DU6" s="734" t="s">
        <v>122</v>
      </c>
      <c r="DV6" s="733" t="s">
        <v>125</v>
      </c>
      <c r="DW6" s="538"/>
      <c r="DX6" s="734" t="s">
        <v>135</v>
      </c>
      <c r="DY6" s="733" t="s">
        <v>138</v>
      </c>
      <c r="DZ6" s="538"/>
      <c r="EA6" s="734" t="s">
        <v>128</v>
      </c>
      <c r="EB6" s="733" t="s">
        <v>131</v>
      </c>
      <c r="EC6" s="538"/>
      <c r="ED6" s="734" t="s">
        <v>140</v>
      </c>
      <c r="EE6" s="733" t="s">
        <v>143</v>
      </c>
      <c r="EF6" s="538"/>
      <c r="EG6" s="734" t="s">
        <v>153</v>
      </c>
      <c r="EH6" s="733" t="s">
        <v>155</v>
      </c>
      <c r="EI6" s="538"/>
      <c r="EJ6" s="734" t="s">
        <v>158</v>
      </c>
      <c r="EK6" s="733" t="s">
        <v>1273</v>
      </c>
      <c r="EL6" s="538"/>
      <c r="EM6" s="734" t="s">
        <v>161</v>
      </c>
      <c r="EN6" s="733" t="s">
        <v>164</v>
      </c>
      <c r="EO6" s="538"/>
      <c r="EP6" s="734" t="s">
        <v>188</v>
      </c>
      <c r="EQ6" s="733" t="s">
        <v>190</v>
      </c>
      <c r="ER6" s="538"/>
      <c r="ES6" s="538"/>
      <c r="ET6" s="538"/>
      <c r="EU6" s="538"/>
      <c r="EV6" s="734" t="s">
        <v>175</v>
      </c>
      <c r="EW6" s="733" t="s">
        <v>178</v>
      </c>
      <c r="EX6" s="538"/>
      <c r="EY6" s="734" t="s">
        <v>181</v>
      </c>
      <c r="EZ6" s="733" t="s">
        <v>183</v>
      </c>
      <c r="FA6" s="538"/>
      <c r="FB6" s="734" t="s">
        <v>184</v>
      </c>
      <c r="FC6" s="733" t="s">
        <v>187</v>
      </c>
      <c r="FD6" s="538"/>
      <c r="FE6" s="734" t="s">
        <v>196</v>
      </c>
      <c r="FF6" s="733" t="s">
        <v>199</v>
      </c>
      <c r="FG6" s="538"/>
      <c r="FH6" s="734" t="s">
        <v>200</v>
      </c>
      <c r="FI6" s="733" t="s">
        <v>201</v>
      </c>
      <c r="FJ6" s="538"/>
      <c r="FK6" s="734" t="s">
        <v>202</v>
      </c>
      <c r="FL6" s="733" t="s">
        <v>205</v>
      </c>
      <c r="FM6" s="538"/>
      <c r="FN6" s="538"/>
      <c r="FO6" s="538"/>
      <c r="FP6" s="734"/>
      <c r="FQ6" s="727" t="s">
        <v>1696</v>
      </c>
      <c r="FR6" s="756">
        <v>0.55000000000000004</v>
      </c>
      <c r="FS6" s="727">
        <f t="shared" ref="FS6:FS15" si="2">(1-((1/FR6)*0.07))/(1/FR6)</f>
        <v>0.48</v>
      </c>
      <c r="FT6" s="727"/>
      <c r="FU6" s="727" t="s">
        <v>1697</v>
      </c>
      <c r="FV6" s="756">
        <v>2.2599999999999998</v>
      </c>
      <c r="FW6" s="727" t="s">
        <v>1322</v>
      </c>
      <c r="FX6" s="756">
        <v>1.65</v>
      </c>
      <c r="FY6" s="727"/>
      <c r="FZ6" s="727" t="s">
        <v>1345</v>
      </c>
      <c r="GA6" s="756">
        <v>1</v>
      </c>
      <c r="GB6" s="727"/>
      <c r="GC6" s="727" t="s">
        <v>216</v>
      </c>
      <c r="GD6" s="727">
        <v>5.82</v>
      </c>
      <c r="GE6" s="727">
        <v>0.82</v>
      </c>
      <c r="GH6" s="731" t="s">
        <v>218</v>
      </c>
      <c r="GI6" s="731" t="s">
        <v>1217</v>
      </c>
      <c r="GO6" s="1205"/>
      <c r="GP6" s="1205"/>
      <c r="GQ6" s="1205"/>
      <c r="GR6" s="1205"/>
      <c r="GS6" s="1205"/>
      <c r="GT6" s="1205"/>
      <c r="GU6" s="1205"/>
      <c r="GW6" s="731" t="s">
        <v>218</v>
      </c>
      <c r="GX6" s="731" t="s">
        <v>1216</v>
      </c>
      <c r="GY6" s="548" t="s">
        <v>723</v>
      </c>
      <c r="GZ6" s="731"/>
      <c r="HA6" s="731"/>
      <c r="HB6" s="731"/>
      <c r="HC6" s="731"/>
      <c r="HF6" s="767" t="str">
        <f>BASE!GQ70</f>
        <v>Sitio</v>
      </c>
      <c r="HG6" s="767">
        <f>BASE!GR70</f>
        <v>0</v>
      </c>
      <c r="HH6" s="767">
        <f>BASE!GS70</f>
        <v>0</v>
      </c>
      <c r="HI6" s="767">
        <f>BASE!GT70</f>
        <v>0</v>
      </c>
    </row>
    <row r="7" spans="2:219" ht="16">
      <c r="B7" s="734" t="s">
        <v>24</v>
      </c>
      <c r="C7" s="733" t="s">
        <v>26</v>
      </c>
      <c r="D7" s="539">
        <v>34.58</v>
      </c>
      <c r="E7" s="539">
        <v>58.48</v>
      </c>
      <c r="F7" s="539">
        <v>25</v>
      </c>
      <c r="G7" s="539" t="s">
        <v>23</v>
      </c>
      <c r="H7" s="539">
        <v>2.5</v>
      </c>
      <c r="I7" s="539">
        <v>11.4</v>
      </c>
      <c r="J7" s="539">
        <v>23.5</v>
      </c>
      <c r="K7" s="539">
        <v>32.5</v>
      </c>
      <c r="L7" s="539">
        <v>64</v>
      </c>
      <c r="M7" s="539">
        <v>79</v>
      </c>
      <c r="N7" s="539">
        <v>64</v>
      </c>
      <c r="O7" s="539">
        <v>61</v>
      </c>
      <c r="P7" s="539">
        <v>100</v>
      </c>
      <c r="Q7" s="734">
        <v>3</v>
      </c>
      <c r="R7" s="539">
        <v>23.2</v>
      </c>
      <c r="S7" s="734">
        <v>0.53</v>
      </c>
      <c r="T7" s="734">
        <v>36.9</v>
      </c>
      <c r="U7" s="734">
        <v>3.4</v>
      </c>
      <c r="V7" s="734">
        <v>185</v>
      </c>
      <c r="W7" s="734">
        <v>41</v>
      </c>
      <c r="X7" s="734">
        <v>1.4E-2</v>
      </c>
      <c r="Y7" s="734">
        <v>1.9E-2</v>
      </c>
      <c r="Z7" s="547">
        <v>130</v>
      </c>
      <c r="AA7" s="547">
        <f t="shared" si="0"/>
        <v>1.3</v>
      </c>
      <c r="AB7" s="734">
        <v>35</v>
      </c>
      <c r="AC7" s="538"/>
      <c r="AD7" s="733" t="str">
        <f t="shared" ref="AD7:AD70" si="3">C7</f>
        <v>BUENOS AIRES</v>
      </c>
      <c r="AE7" s="541">
        <v>24.2</v>
      </c>
      <c r="AF7" s="541">
        <v>23.5</v>
      </c>
      <c r="AG7" s="541">
        <v>21</v>
      </c>
      <c r="AH7" s="541">
        <v>17.5</v>
      </c>
      <c r="AI7" s="541">
        <v>14.5</v>
      </c>
      <c r="AJ7" s="541">
        <v>11.2</v>
      </c>
      <c r="AK7" s="541">
        <v>11</v>
      </c>
      <c r="AL7" s="541">
        <v>12</v>
      </c>
      <c r="AM7" s="541">
        <v>14.3</v>
      </c>
      <c r="AN7" s="541">
        <v>16.8</v>
      </c>
      <c r="AO7" s="541">
        <v>20.5</v>
      </c>
      <c r="AP7" s="541">
        <v>22.7</v>
      </c>
      <c r="AQ7" s="538"/>
      <c r="AR7" s="733" t="str">
        <f t="shared" si="1"/>
        <v>BAC</v>
      </c>
      <c r="AS7" s="733" t="str">
        <f t="shared" ref="AS7:AS70" si="4">AD7</f>
        <v>BUENOS AIRES</v>
      </c>
      <c r="AT7" s="731">
        <v>6.5</v>
      </c>
      <c r="AU7" s="731">
        <v>5.5</v>
      </c>
      <c r="AV7" s="731">
        <v>4.5</v>
      </c>
      <c r="AW7" s="731">
        <v>3</v>
      </c>
      <c r="AX7" s="731">
        <v>2.5</v>
      </c>
      <c r="AY7" s="731">
        <v>2</v>
      </c>
      <c r="AZ7" s="731">
        <v>2</v>
      </c>
      <c r="BA7" s="731">
        <v>3</v>
      </c>
      <c r="BB7" s="731">
        <v>4</v>
      </c>
      <c r="BC7" s="731">
        <v>5</v>
      </c>
      <c r="BD7" s="731">
        <v>6</v>
      </c>
      <c r="BE7" s="731">
        <v>6.5</v>
      </c>
      <c r="BG7" s="733" t="str">
        <f t="shared" ref="BG7:BG70" si="5">+AR7</f>
        <v>BAC</v>
      </c>
      <c r="BH7" s="733" t="str">
        <f t="shared" ref="BH7:BH70" si="6">+AS7</f>
        <v>BUENOS AIRES</v>
      </c>
      <c r="BI7" s="731">
        <v>104</v>
      </c>
      <c r="BJ7" s="731">
        <v>98</v>
      </c>
      <c r="BK7" s="731">
        <v>115</v>
      </c>
      <c r="BL7" s="731">
        <v>97</v>
      </c>
      <c r="BM7" s="731">
        <v>80</v>
      </c>
      <c r="BN7" s="731">
        <v>61</v>
      </c>
      <c r="BO7" s="731">
        <v>59</v>
      </c>
      <c r="BP7" s="731">
        <v>63</v>
      </c>
      <c r="BQ7" s="731">
        <v>68</v>
      </c>
      <c r="BR7" s="731">
        <v>104</v>
      </c>
      <c r="BS7" s="731">
        <v>98</v>
      </c>
      <c r="BT7" s="731">
        <v>93</v>
      </c>
      <c r="BV7" s="731" t="s">
        <v>125</v>
      </c>
      <c r="BW7" s="731">
        <v>24.18</v>
      </c>
      <c r="BX7" s="549">
        <v>8</v>
      </c>
      <c r="BY7" s="549">
        <v>49</v>
      </c>
      <c r="BZ7" s="542">
        <v>8</v>
      </c>
      <c r="CA7" s="549">
        <v>-1</v>
      </c>
      <c r="CB7" s="549">
        <v>57</v>
      </c>
      <c r="CC7" s="542">
        <v>49</v>
      </c>
      <c r="CD7" s="542"/>
      <c r="CE7" s="549"/>
      <c r="CF7" s="549">
        <v>61</v>
      </c>
      <c r="CG7" s="731">
        <v>57</v>
      </c>
      <c r="CH7" s="731"/>
      <c r="CI7" s="739"/>
      <c r="CJ7" s="739">
        <v>69</v>
      </c>
      <c r="CK7" s="731">
        <v>61</v>
      </c>
      <c r="CL7" s="731"/>
      <c r="CM7" s="739"/>
      <c r="CN7" s="739">
        <v>73</v>
      </c>
      <c r="CO7" s="731">
        <v>69</v>
      </c>
      <c r="CP7" s="731"/>
      <c r="CQ7" s="739">
        <v>79</v>
      </c>
      <c r="CR7" s="731">
        <v>73</v>
      </c>
      <c r="CS7" s="731"/>
      <c r="CT7" s="739">
        <v>82</v>
      </c>
      <c r="CU7" s="731">
        <v>79</v>
      </c>
      <c r="CW7" s="734" t="s">
        <v>27</v>
      </c>
      <c r="CX7" s="733" t="s">
        <v>1258</v>
      </c>
      <c r="CY7" s="538"/>
      <c r="CZ7" s="538"/>
      <c r="DA7" s="538"/>
      <c r="DB7" s="538"/>
      <c r="DC7" s="734" t="s">
        <v>73</v>
      </c>
      <c r="DD7" s="733" t="s">
        <v>75</v>
      </c>
      <c r="DE7" s="538"/>
      <c r="DF7" s="734" t="s">
        <v>86</v>
      </c>
      <c r="DG7" s="733" t="s">
        <v>91</v>
      </c>
      <c r="DH7" s="538"/>
      <c r="DI7" s="734" t="s">
        <v>96</v>
      </c>
      <c r="DJ7" s="733" t="s">
        <v>101</v>
      </c>
      <c r="DK7" s="538"/>
      <c r="DL7" s="734" t="s">
        <v>104</v>
      </c>
      <c r="DM7" s="733" t="s">
        <v>1038</v>
      </c>
      <c r="DN7" s="538"/>
      <c r="DO7" s="734" t="s">
        <v>111</v>
      </c>
      <c r="DP7" s="733" t="s">
        <v>113</v>
      </c>
      <c r="DR7" s="734" t="s">
        <v>117</v>
      </c>
      <c r="DS7" s="733" t="s">
        <v>121</v>
      </c>
      <c r="DU7" s="734" t="s">
        <v>122</v>
      </c>
      <c r="DV7" s="733" t="s">
        <v>126</v>
      </c>
      <c r="DW7" s="538"/>
      <c r="DX7" s="734" t="s">
        <v>135</v>
      </c>
      <c r="DY7" s="733" t="s">
        <v>139</v>
      </c>
      <c r="DZ7" s="538"/>
      <c r="EA7" s="734" t="s">
        <v>128</v>
      </c>
      <c r="EB7" s="733" t="s">
        <v>132</v>
      </c>
      <c r="EC7" s="538"/>
      <c r="ED7" s="734" t="s">
        <v>140</v>
      </c>
      <c r="EE7" s="733" t="s">
        <v>144</v>
      </c>
      <c r="EF7" s="538"/>
      <c r="EG7" s="734" t="s">
        <v>153</v>
      </c>
      <c r="EH7" s="733" t="s">
        <v>156</v>
      </c>
      <c r="EI7" s="538"/>
      <c r="EJ7" s="538"/>
      <c r="EK7" s="538"/>
      <c r="EL7" s="538"/>
      <c r="EM7" s="734" t="s">
        <v>161</v>
      </c>
      <c r="EN7" s="733" t="s">
        <v>165</v>
      </c>
      <c r="EO7" s="538"/>
      <c r="EP7" s="734" t="s">
        <v>188</v>
      </c>
      <c r="EQ7" s="733" t="s">
        <v>191</v>
      </c>
      <c r="ER7" s="538"/>
      <c r="ES7" s="538"/>
      <c r="ET7" s="538"/>
      <c r="EU7" s="538"/>
      <c r="EV7" s="734" t="s">
        <v>175</v>
      </c>
      <c r="EW7" s="733" t="s">
        <v>179</v>
      </c>
      <c r="EX7" s="538"/>
      <c r="EY7" s="538"/>
      <c r="EZ7" s="538"/>
      <c r="FA7" s="538"/>
      <c r="FB7" s="538"/>
      <c r="FC7" s="538"/>
      <c r="FD7" s="538"/>
      <c r="FE7" s="538"/>
      <c r="FF7" s="538"/>
      <c r="FG7" s="538"/>
      <c r="FH7" s="538"/>
      <c r="FI7" s="538"/>
      <c r="FJ7" s="538"/>
      <c r="FK7" s="734" t="s">
        <v>202</v>
      </c>
      <c r="FL7" s="733" t="s">
        <v>206</v>
      </c>
      <c r="FM7" s="538"/>
      <c r="FN7" s="538"/>
      <c r="FO7" s="538"/>
      <c r="FP7" s="734"/>
      <c r="FQ7" s="727" t="s">
        <v>1699</v>
      </c>
      <c r="FR7" s="756">
        <v>0.54</v>
      </c>
      <c r="FS7" s="727">
        <f t="shared" si="2"/>
        <v>0.47000000000000003</v>
      </c>
      <c r="FT7" s="727"/>
      <c r="FU7" s="727" t="s">
        <v>1333</v>
      </c>
      <c r="FV7" s="756">
        <v>3.03</v>
      </c>
      <c r="FW7" s="727" t="s">
        <v>1334</v>
      </c>
      <c r="FX7" s="756">
        <v>1.62</v>
      </c>
      <c r="FY7" s="727"/>
      <c r="FZ7" s="727" t="s">
        <v>1346</v>
      </c>
      <c r="GA7" s="756">
        <v>0.85</v>
      </c>
      <c r="GB7" s="727"/>
      <c r="GC7" s="727" t="s">
        <v>1770</v>
      </c>
      <c r="GD7" s="727">
        <v>5.82</v>
      </c>
      <c r="GE7" s="727">
        <v>0.82</v>
      </c>
      <c r="GH7" s="731" t="s">
        <v>219</v>
      </c>
      <c r="GI7" s="731" t="s">
        <v>1217</v>
      </c>
      <c r="GO7" s="1205"/>
      <c r="GP7" s="1205"/>
      <c r="GQ7" s="1205"/>
      <c r="GR7" s="1205"/>
      <c r="GS7" s="1205"/>
      <c r="GT7" s="1205"/>
      <c r="GU7" s="1205"/>
      <c r="GW7" s="731" t="s">
        <v>219</v>
      </c>
      <c r="GX7" s="731" t="s">
        <v>1216</v>
      </c>
      <c r="GY7" s="548" t="s">
        <v>723</v>
      </c>
      <c r="GZ7" s="731"/>
      <c r="HA7" s="731"/>
      <c r="HB7" s="731"/>
      <c r="HC7" s="731"/>
      <c r="HF7" s="767" t="str">
        <f>BASE!GQ71</f>
        <v>Energia</v>
      </c>
      <c r="HG7" s="767" t="e">
        <f>BASE!GR71</f>
        <v>#DIV/0!</v>
      </c>
      <c r="HH7" s="767">
        <f>BASE!GS71</f>
        <v>0</v>
      </c>
      <c r="HI7" s="767">
        <f>BASE!GT71</f>
        <v>0</v>
      </c>
    </row>
    <row r="8" spans="2:219" ht="16">
      <c r="B8" s="734" t="s">
        <v>27</v>
      </c>
      <c r="C8" s="733" t="s">
        <v>28</v>
      </c>
      <c r="D8" s="539">
        <v>34.67</v>
      </c>
      <c r="E8" s="539">
        <v>58.65</v>
      </c>
      <c r="F8" s="539">
        <v>22</v>
      </c>
      <c r="G8" s="539" t="s">
        <v>23</v>
      </c>
      <c r="H8" s="539">
        <v>-0.3</v>
      </c>
      <c r="I8" s="539">
        <v>10.5</v>
      </c>
      <c r="J8" s="539">
        <v>22.7</v>
      </c>
      <c r="K8" s="539">
        <v>32.5</v>
      </c>
      <c r="L8" s="539">
        <v>64</v>
      </c>
      <c r="M8" s="539">
        <v>78</v>
      </c>
      <c r="N8" s="539">
        <v>64</v>
      </c>
      <c r="O8" s="539">
        <v>55</v>
      </c>
      <c r="P8" s="539">
        <v>95</v>
      </c>
      <c r="Q8" s="734">
        <v>3</v>
      </c>
      <c r="R8" s="539">
        <v>22.2</v>
      </c>
      <c r="S8" s="734">
        <v>0.53</v>
      </c>
      <c r="T8" s="734">
        <v>36.9</v>
      </c>
      <c r="U8" s="734">
        <v>3.4</v>
      </c>
      <c r="V8" s="734">
        <v>185</v>
      </c>
      <c r="W8" s="734">
        <v>41</v>
      </c>
      <c r="X8" s="734">
        <v>1.4E-2</v>
      </c>
      <c r="Y8" s="734">
        <v>1.9E-2</v>
      </c>
      <c r="Z8" s="547">
        <v>130</v>
      </c>
      <c r="AA8" s="547">
        <f t="shared" si="0"/>
        <v>1.3</v>
      </c>
      <c r="AB8" s="734">
        <v>35</v>
      </c>
      <c r="AC8" s="538"/>
      <c r="AD8" s="733" t="str">
        <f t="shared" si="3"/>
        <v>CASTELAR</v>
      </c>
      <c r="AE8" s="737">
        <v>24.4</v>
      </c>
      <c r="AF8" s="737">
        <v>22.8</v>
      </c>
      <c r="AG8" s="737">
        <v>20.3</v>
      </c>
      <c r="AH8" s="737">
        <v>16.600000000000001</v>
      </c>
      <c r="AI8" s="737">
        <v>13</v>
      </c>
      <c r="AJ8" s="737">
        <v>10</v>
      </c>
      <c r="AK8" s="737">
        <v>9.8000000000000007</v>
      </c>
      <c r="AL8" s="737">
        <v>11.8</v>
      </c>
      <c r="AM8" s="737">
        <v>13.6</v>
      </c>
      <c r="AN8" s="737">
        <v>16.7</v>
      </c>
      <c r="AO8" s="737">
        <v>19.600000000000001</v>
      </c>
      <c r="AP8" s="737">
        <v>22.2</v>
      </c>
      <c r="AQ8" s="538"/>
      <c r="AR8" s="733" t="str">
        <f t="shared" si="1"/>
        <v>BAP</v>
      </c>
      <c r="AS8" s="733" t="str">
        <f t="shared" si="4"/>
        <v>CASTELAR</v>
      </c>
      <c r="AT8" s="731">
        <v>6.5</v>
      </c>
      <c r="AU8" s="731">
        <v>5.5</v>
      </c>
      <c r="AV8" s="731">
        <v>4.5</v>
      </c>
      <c r="AW8" s="731">
        <v>3</v>
      </c>
      <c r="AX8" s="731">
        <v>2.5</v>
      </c>
      <c r="AY8" s="731">
        <v>2</v>
      </c>
      <c r="AZ8" s="731">
        <v>2</v>
      </c>
      <c r="BA8" s="731">
        <v>3</v>
      </c>
      <c r="BB8" s="731">
        <v>4</v>
      </c>
      <c r="BC8" s="731">
        <v>5</v>
      </c>
      <c r="BD8" s="731">
        <v>6</v>
      </c>
      <c r="BE8" s="731">
        <v>6.5</v>
      </c>
      <c r="BG8" s="733" t="str">
        <f t="shared" si="5"/>
        <v>BAP</v>
      </c>
      <c r="BH8" s="733" t="str">
        <f t="shared" si="6"/>
        <v>CASTELAR</v>
      </c>
      <c r="BI8" s="731">
        <v>104</v>
      </c>
      <c r="BJ8" s="731">
        <v>98</v>
      </c>
      <c r="BK8" s="731">
        <v>115</v>
      </c>
      <c r="BL8" s="731">
        <v>97</v>
      </c>
      <c r="BM8" s="731">
        <v>80</v>
      </c>
      <c r="BN8" s="731">
        <v>61</v>
      </c>
      <c r="BO8" s="731">
        <v>59</v>
      </c>
      <c r="BP8" s="731">
        <v>63</v>
      </c>
      <c r="BQ8" s="731">
        <v>68</v>
      </c>
      <c r="BR8" s="731">
        <v>104</v>
      </c>
      <c r="BS8" s="731">
        <v>98</v>
      </c>
      <c r="BT8" s="731">
        <v>93</v>
      </c>
      <c r="BV8" s="731" t="s">
        <v>1837</v>
      </c>
      <c r="BW8" s="731">
        <v>25.68</v>
      </c>
      <c r="BX8" s="549">
        <v>8</v>
      </c>
      <c r="BY8" s="549">
        <v>49</v>
      </c>
      <c r="BZ8" s="542">
        <v>8</v>
      </c>
      <c r="CA8" s="549">
        <v>0</v>
      </c>
      <c r="CB8" s="549">
        <v>58</v>
      </c>
      <c r="CC8" s="542">
        <v>49</v>
      </c>
      <c r="CD8" s="542"/>
      <c r="CE8" s="549"/>
      <c r="CF8" s="549">
        <v>65</v>
      </c>
      <c r="CG8" s="731">
        <v>58</v>
      </c>
      <c r="CH8" s="731"/>
      <c r="CI8" s="739"/>
      <c r="CJ8" s="739">
        <v>70</v>
      </c>
      <c r="CK8" s="731">
        <v>65</v>
      </c>
      <c r="CL8" s="731"/>
      <c r="CM8" s="739"/>
      <c r="CN8" s="739">
        <v>75</v>
      </c>
      <c r="CO8" s="731">
        <v>70</v>
      </c>
      <c r="CP8" s="731"/>
      <c r="CQ8" s="739">
        <v>80</v>
      </c>
      <c r="CR8" s="731">
        <v>75</v>
      </c>
      <c r="CS8" s="731"/>
      <c r="CT8" s="739">
        <v>85</v>
      </c>
      <c r="CU8" s="731">
        <v>80</v>
      </c>
      <c r="CW8" s="734" t="s">
        <v>27</v>
      </c>
      <c r="CX8" s="733" t="s">
        <v>40</v>
      </c>
      <c r="CY8" s="538"/>
      <c r="CZ8" s="538"/>
      <c r="DA8" s="538"/>
      <c r="DB8" s="538"/>
      <c r="DC8" s="734" t="s">
        <v>73</v>
      </c>
      <c r="DD8" s="733" t="s">
        <v>76</v>
      </c>
      <c r="DE8" s="538"/>
      <c r="DF8" s="734" t="s">
        <v>86</v>
      </c>
      <c r="DG8" s="733" t="s">
        <v>92</v>
      </c>
      <c r="DH8" s="538"/>
      <c r="DI8" s="734" t="s">
        <v>96</v>
      </c>
      <c r="DJ8" s="733" t="s">
        <v>102</v>
      </c>
      <c r="DK8" s="538"/>
      <c r="DL8" s="734" t="s">
        <v>104</v>
      </c>
      <c r="DM8" s="733" t="s">
        <v>110</v>
      </c>
      <c r="DN8" s="538"/>
      <c r="DO8" s="734" t="s">
        <v>111</v>
      </c>
      <c r="DP8" s="733" t="s">
        <v>1270</v>
      </c>
      <c r="DU8" s="734" t="s">
        <v>122</v>
      </c>
      <c r="DV8" s="733" t="s">
        <v>127</v>
      </c>
      <c r="DW8" s="538"/>
      <c r="DX8" s="538"/>
      <c r="DY8" s="538"/>
      <c r="DZ8" s="538"/>
      <c r="EA8" s="734" t="s">
        <v>128</v>
      </c>
      <c r="EB8" s="733" t="s">
        <v>133</v>
      </c>
      <c r="ED8" s="734" t="s">
        <v>140</v>
      </c>
      <c r="EE8" s="733" t="s">
        <v>145</v>
      </c>
      <c r="EG8" s="734" t="s">
        <v>153</v>
      </c>
      <c r="EH8" s="733" t="s">
        <v>157</v>
      </c>
      <c r="EI8" s="538"/>
      <c r="EJ8" s="538"/>
      <c r="EK8" s="538"/>
      <c r="EL8" s="538"/>
      <c r="EM8" s="734" t="s">
        <v>161</v>
      </c>
      <c r="EN8" s="733" t="s">
        <v>166</v>
      </c>
      <c r="EO8" s="538"/>
      <c r="EP8" s="734" t="s">
        <v>188</v>
      </c>
      <c r="EQ8" s="733" t="s">
        <v>192</v>
      </c>
      <c r="ER8" s="538"/>
      <c r="ES8" s="538"/>
      <c r="ET8" s="538"/>
      <c r="EU8" s="538"/>
      <c r="EV8" s="734" t="s">
        <v>175</v>
      </c>
      <c r="EW8" s="733" t="s">
        <v>180</v>
      </c>
      <c r="EX8" s="538"/>
      <c r="EY8" s="538"/>
      <c r="EZ8" s="538"/>
      <c r="FA8" s="538"/>
      <c r="FB8" s="538"/>
      <c r="FC8" s="538"/>
      <c r="FD8" s="538"/>
      <c r="FE8" s="538"/>
      <c r="FF8" s="538"/>
      <c r="FG8" s="538"/>
      <c r="FH8" s="538"/>
      <c r="FI8" s="538"/>
      <c r="FJ8" s="538"/>
      <c r="FK8" s="538"/>
      <c r="FL8" s="538"/>
      <c r="FM8" s="538"/>
      <c r="FN8" s="727" t="s">
        <v>26</v>
      </c>
      <c r="FO8" s="734" t="s">
        <v>27</v>
      </c>
      <c r="FP8" s="734"/>
      <c r="FQ8" s="727" t="s">
        <v>1701</v>
      </c>
      <c r="FR8" s="756">
        <v>0.3</v>
      </c>
      <c r="FS8" s="727">
        <f t="shared" si="2"/>
        <v>0.22999999999999998</v>
      </c>
      <c r="FT8" s="727"/>
      <c r="FU8" s="727" t="s">
        <v>242</v>
      </c>
      <c r="FV8" s="756">
        <v>1.8</v>
      </c>
      <c r="FW8" s="727" t="s">
        <v>1332</v>
      </c>
      <c r="FX8" s="756">
        <v>1.84</v>
      </c>
      <c r="FY8" s="727"/>
      <c r="FZ8" s="727" t="s">
        <v>1347</v>
      </c>
      <c r="GA8" s="756">
        <v>1.28</v>
      </c>
      <c r="GB8" s="727"/>
      <c r="GC8" s="727" t="s">
        <v>1771</v>
      </c>
      <c r="GD8" s="727">
        <v>5.7</v>
      </c>
      <c r="GE8" s="727">
        <v>0.62</v>
      </c>
      <c r="GH8" s="731" t="s">
        <v>593</v>
      </c>
      <c r="GI8" s="731" t="s">
        <v>1217</v>
      </c>
      <c r="GO8" s="1205"/>
      <c r="GP8" s="1205"/>
      <c r="GQ8" s="1205"/>
      <c r="GR8" s="1205"/>
      <c r="GS8" s="1205"/>
      <c r="GT8" s="1205"/>
      <c r="GU8" s="1205"/>
      <c r="GW8" s="731" t="s">
        <v>593</v>
      </c>
      <c r="GX8" s="731" t="s">
        <v>1216</v>
      </c>
      <c r="GZ8" s="731"/>
      <c r="HA8" s="731"/>
      <c r="HB8" s="731"/>
      <c r="HC8" s="731"/>
      <c r="HF8" s="767" t="str">
        <f>BASE!GQ72</f>
        <v>Gas</v>
      </c>
      <c r="HG8" s="767" t="e">
        <f>BASE!GR72</f>
        <v>#DIV/0!</v>
      </c>
      <c r="HH8" s="767">
        <f>BASE!GS72</f>
        <v>0</v>
      </c>
      <c r="HI8" s="767">
        <f>BASE!GT72</f>
        <v>0</v>
      </c>
    </row>
    <row r="9" spans="2:219" ht="16">
      <c r="B9" s="734" t="s">
        <v>29</v>
      </c>
      <c r="C9" s="733" t="s">
        <v>30</v>
      </c>
      <c r="D9" s="539">
        <v>34.29</v>
      </c>
      <c r="E9" s="539">
        <v>58.37</v>
      </c>
      <c r="F9" s="539">
        <v>4</v>
      </c>
      <c r="G9" s="539" t="s">
        <v>23</v>
      </c>
      <c r="H9" s="539">
        <v>0</v>
      </c>
      <c r="I9" s="539">
        <v>1499</v>
      </c>
      <c r="J9" s="539">
        <v>22.2</v>
      </c>
      <c r="K9" s="539">
        <v>32.5</v>
      </c>
      <c r="L9" s="539">
        <v>64</v>
      </c>
      <c r="M9" s="539">
        <v>78</v>
      </c>
      <c r="N9" s="539">
        <v>64</v>
      </c>
      <c r="O9" s="539">
        <v>50</v>
      </c>
      <c r="P9" s="539">
        <v>100</v>
      </c>
      <c r="Q9" s="734">
        <v>3</v>
      </c>
      <c r="R9" s="539">
        <v>22.2</v>
      </c>
      <c r="S9" s="734">
        <v>0.53</v>
      </c>
      <c r="T9" s="734">
        <v>36.9</v>
      </c>
      <c r="U9" s="734">
        <v>3.4</v>
      </c>
      <c r="V9" s="734">
        <v>185</v>
      </c>
      <c r="W9" s="734">
        <v>41</v>
      </c>
      <c r="X9" s="734">
        <v>1.4E-2</v>
      </c>
      <c r="Y9" s="734">
        <v>1.9E-2</v>
      </c>
      <c r="Z9" s="547">
        <v>130</v>
      </c>
      <c r="AA9" s="547">
        <f t="shared" si="0"/>
        <v>1.3</v>
      </c>
      <c r="AB9" s="734">
        <v>35</v>
      </c>
      <c r="AC9" s="538"/>
      <c r="AD9" s="733" t="str">
        <f t="shared" si="3"/>
        <v>DON TORCUATO</v>
      </c>
      <c r="AE9" s="737">
        <v>25.1</v>
      </c>
      <c r="AF9" s="737">
        <v>23.4</v>
      </c>
      <c r="AG9" s="737">
        <v>21.1</v>
      </c>
      <c r="AH9" s="737">
        <v>17.399999999999999</v>
      </c>
      <c r="AI9" s="737">
        <v>13.4</v>
      </c>
      <c r="AJ9" s="737">
        <v>10.8</v>
      </c>
      <c r="AK9" s="737">
        <v>10.5</v>
      </c>
      <c r="AL9" s="737">
        <v>12.3</v>
      </c>
      <c r="AM9" s="737">
        <v>14.1</v>
      </c>
      <c r="AN9" s="737">
        <v>17.3</v>
      </c>
      <c r="AO9" s="737">
        <v>20.3</v>
      </c>
      <c r="AP9" s="737">
        <v>22.6</v>
      </c>
      <c r="AQ9" s="538"/>
      <c r="AR9" s="733" t="str">
        <f t="shared" si="1"/>
        <v>GBA</v>
      </c>
      <c r="AS9" s="733" t="str">
        <f t="shared" si="4"/>
        <v>DON TORCUATO</v>
      </c>
      <c r="AT9" s="731">
        <v>6.5</v>
      </c>
      <c r="AU9" s="731">
        <v>5.5</v>
      </c>
      <c r="AV9" s="731">
        <v>4.5</v>
      </c>
      <c r="AW9" s="731">
        <v>3</v>
      </c>
      <c r="AX9" s="731">
        <v>2.5</v>
      </c>
      <c r="AY9" s="731">
        <v>2</v>
      </c>
      <c r="AZ9" s="731">
        <v>2</v>
      </c>
      <c r="BA9" s="731">
        <v>3</v>
      </c>
      <c r="BB9" s="731">
        <v>4</v>
      </c>
      <c r="BC9" s="731">
        <v>5</v>
      </c>
      <c r="BD9" s="731">
        <v>6</v>
      </c>
      <c r="BE9" s="731">
        <v>6.5</v>
      </c>
      <c r="BG9" s="733" t="str">
        <f t="shared" si="5"/>
        <v>GBA</v>
      </c>
      <c r="BH9" s="733" t="str">
        <f t="shared" si="6"/>
        <v>DON TORCUATO</v>
      </c>
      <c r="BI9" s="731">
        <v>104</v>
      </c>
      <c r="BJ9" s="731">
        <v>98</v>
      </c>
      <c r="BK9" s="731">
        <v>115</v>
      </c>
      <c r="BL9" s="731">
        <v>97</v>
      </c>
      <c r="BM9" s="731">
        <v>80</v>
      </c>
      <c r="BN9" s="731">
        <v>61</v>
      </c>
      <c r="BO9" s="731">
        <v>59</v>
      </c>
      <c r="BP9" s="731">
        <v>63</v>
      </c>
      <c r="BQ9" s="731">
        <v>68</v>
      </c>
      <c r="BR9" s="731">
        <v>104</v>
      </c>
      <c r="BS9" s="731">
        <v>98</v>
      </c>
      <c r="BT9" s="731">
        <v>93</v>
      </c>
      <c r="BV9" s="731" t="s">
        <v>118</v>
      </c>
      <c r="BW9" s="731">
        <v>26.2</v>
      </c>
      <c r="BX9" s="549">
        <v>8</v>
      </c>
      <c r="BY9" s="549">
        <v>49</v>
      </c>
      <c r="BZ9" s="542">
        <v>8</v>
      </c>
      <c r="CA9" s="549">
        <v>-1</v>
      </c>
      <c r="CB9" s="549">
        <v>57</v>
      </c>
      <c r="CC9" s="542">
        <v>49</v>
      </c>
      <c r="CD9" s="542"/>
      <c r="CE9" s="549"/>
      <c r="CF9" s="549">
        <v>60</v>
      </c>
      <c r="CG9" s="731">
        <v>57</v>
      </c>
      <c r="CH9" s="731"/>
      <c r="CI9" s="739"/>
      <c r="CJ9" s="739">
        <v>68</v>
      </c>
      <c r="CK9" s="731">
        <v>60</v>
      </c>
      <c r="CL9" s="731"/>
      <c r="CM9" s="739"/>
      <c r="CN9" s="739">
        <v>71</v>
      </c>
      <c r="CO9" s="731">
        <v>68</v>
      </c>
      <c r="CP9" s="731"/>
      <c r="CQ9" s="739">
        <v>78</v>
      </c>
      <c r="CR9" s="731">
        <v>71</v>
      </c>
      <c r="CS9" s="731"/>
      <c r="CT9" s="739">
        <v>81</v>
      </c>
      <c r="CU9" s="731">
        <v>78</v>
      </c>
      <c r="CW9" s="734" t="s">
        <v>27</v>
      </c>
      <c r="CX9" s="733" t="s">
        <v>41</v>
      </c>
      <c r="CY9" s="538"/>
      <c r="DB9" s="538"/>
      <c r="DC9" s="734" t="s">
        <v>73</v>
      </c>
      <c r="DD9" s="733" t="s">
        <v>77</v>
      </c>
      <c r="DE9" s="538"/>
      <c r="DF9" s="734" t="s">
        <v>86</v>
      </c>
      <c r="DG9" s="733" t="s">
        <v>93</v>
      </c>
      <c r="DH9" s="538"/>
      <c r="DI9" s="734" t="s">
        <v>96</v>
      </c>
      <c r="DJ9" s="733" t="s">
        <v>103</v>
      </c>
      <c r="DK9" s="538"/>
      <c r="DL9" s="538"/>
      <c r="DM9" s="538"/>
      <c r="DN9" s="538"/>
      <c r="DO9" s="734" t="s">
        <v>111</v>
      </c>
      <c r="DP9" s="733" t="s">
        <v>1271</v>
      </c>
      <c r="DU9" s="538"/>
      <c r="DV9" s="538"/>
      <c r="DW9" s="538"/>
      <c r="DX9" s="538"/>
      <c r="DY9" s="538"/>
      <c r="DZ9" s="538"/>
      <c r="EA9" s="734" t="s">
        <v>128</v>
      </c>
      <c r="EB9" s="733" t="s">
        <v>134</v>
      </c>
      <c r="ED9" s="734" t="s">
        <v>140</v>
      </c>
      <c r="EE9" s="733" t="s">
        <v>146</v>
      </c>
      <c r="EH9" s="538"/>
      <c r="EI9" s="538"/>
      <c r="EJ9" s="538"/>
      <c r="EK9" s="538"/>
      <c r="EL9" s="538"/>
      <c r="EM9" s="734" t="s">
        <v>161</v>
      </c>
      <c r="EN9" s="733" t="s">
        <v>1274</v>
      </c>
      <c r="EO9" s="538"/>
      <c r="EP9" s="734" t="s">
        <v>188</v>
      </c>
      <c r="EQ9" s="733" t="s">
        <v>193</v>
      </c>
      <c r="ER9" s="538"/>
      <c r="ES9" s="538"/>
      <c r="ET9" s="538"/>
      <c r="EU9" s="538"/>
      <c r="EV9" s="538"/>
      <c r="EW9" s="538"/>
      <c r="EX9" s="538"/>
      <c r="EY9" s="538"/>
      <c r="EZ9" s="538"/>
      <c r="FA9" s="538"/>
      <c r="FB9" s="538"/>
      <c r="FC9" s="538"/>
      <c r="FD9" s="538"/>
      <c r="FE9" s="538"/>
      <c r="FF9" s="538"/>
      <c r="FG9" s="538"/>
      <c r="FH9" s="538"/>
      <c r="FI9" s="538"/>
      <c r="FJ9" s="538"/>
      <c r="FK9" s="538"/>
      <c r="FL9" s="538"/>
      <c r="FM9" s="538"/>
      <c r="FN9" s="727" t="s">
        <v>68</v>
      </c>
      <c r="FO9" s="734" t="s">
        <v>2037</v>
      </c>
      <c r="FP9" s="734"/>
      <c r="FQ9" s="727" t="s">
        <v>1311</v>
      </c>
      <c r="FR9" s="756">
        <v>0.21</v>
      </c>
      <c r="FS9" s="727">
        <f t="shared" si="2"/>
        <v>0.13999999999999999</v>
      </c>
      <c r="FT9" s="727"/>
      <c r="FU9" s="727" t="s">
        <v>1323</v>
      </c>
      <c r="FV9" s="756">
        <v>1.47</v>
      </c>
      <c r="FW9" s="727" t="s">
        <v>1330</v>
      </c>
      <c r="FX9" s="756">
        <v>1.8</v>
      </c>
      <c r="FY9" s="727"/>
      <c r="FZ9" s="727" t="s">
        <v>1910</v>
      </c>
      <c r="GA9" s="756">
        <v>0.85</v>
      </c>
      <c r="GB9" s="727"/>
      <c r="GC9" s="727" t="s">
        <v>1772</v>
      </c>
      <c r="GD9" s="727">
        <v>3.23</v>
      </c>
      <c r="GE9" s="727">
        <v>0.62</v>
      </c>
      <c r="GO9" s="731"/>
      <c r="GP9" s="731"/>
      <c r="GQ9" s="731"/>
      <c r="GR9" s="731"/>
      <c r="GS9" s="731"/>
      <c r="GT9" s="731"/>
      <c r="GU9" s="731"/>
    </row>
    <row r="10" spans="2:219" ht="16">
      <c r="B10" s="734" t="s">
        <v>29</v>
      </c>
      <c r="C10" s="733" t="s">
        <v>31</v>
      </c>
      <c r="D10" s="539">
        <v>34.6</v>
      </c>
      <c r="E10" s="539">
        <v>58.6</v>
      </c>
      <c r="F10" s="539">
        <v>21</v>
      </c>
      <c r="G10" s="539" t="s">
        <v>23</v>
      </c>
      <c r="H10" s="539">
        <v>0.3</v>
      </c>
      <c r="I10" s="539">
        <v>10.5</v>
      </c>
      <c r="J10" s="539">
        <v>22.7</v>
      </c>
      <c r="K10" s="539">
        <v>32.5</v>
      </c>
      <c r="L10" s="539">
        <v>65</v>
      </c>
      <c r="M10" s="539">
        <v>79</v>
      </c>
      <c r="N10" s="539">
        <v>65</v>
      </c>
      <c r="O10" s="539">
        <v>60</v>
      </c>
      <c r="P10" s="539">
        <v>100</v>
      </c>
      <c r="Q10" s="734">
        <v>3</v>
      </c>
      <c r="R10" s="539">
        <v>22.4</v>
      </c>
      <c r="S10" s="734">
        <v>0.53</v>
      </c>
      <c r="T10" s="734">
        <v>36.9</v>
      </c>
      <c r="U10" s="734">
        <v>3.4</v>
      </c>
      <c r="V10" s="734">
        <v>185</v>
      </c>
      <c r="W10" s="734">
        <v>41</v>
      </c>
      <c r="X10" s="734">
        <v>1.4E-2</v>
      </c>
      <c r="Y10" s="734">
        <v>1.9E-2</v>
      </c>
      <c r="Z10" s="547">
        <v>130</v>
      </c>
      <c r="AA10" s="547">
        <f t="shared" si="0"/>
        <v>1.3</v>
      </c>
      <c r="AB10" s="734">
        <v>35</v>
      </c>
      <c r="AC10" s="538"/>
      <c r="AD10" s="733" t="str">
        <f t="shared" si="3"/>
        <v>EL PALOMAR</v>
      </c>
      <c r="AE10" s="737">
        <v>24.6</v>
      </c>
      <c r="AF10" s="737">
        <v>23.3</v>
      </c>
      <c r="AG10" s="737">
        <v>20.6</v>
      </c>
      <c r="AH10" s="737">
        <v>16.899999999999999</v>
      </c>
      <c r="AI10" s="737">
        <v>13.2</v>
      </c>
      <c r="AJ10" s="737">
        <v>10.1</v>
      </c>
      <c r="AK10" s="737">
        <v>9.9</v>
      </c>
      <c r="AL10" s="737">
        <v>11.9</v>
      </c>
      <c r="AM10" s="737">
        <v>13.6</v>
      </c>
      <c r="AN10" s="737">
        <v>16.8</v>
      </c>
      <c r="AO10" s="737">
        <v>19.8</v>
      </c>
      <c r="AP10" s="737">
        <v>22.4</v>
      </c>
      <c r="AQ10" s="538"/>
      <c r="AR10" s="733" t="str">
        <f t="shared" si="1"/>
        <v>GBA</v>
      </c>
      <c r="AS10" s="733" t="str">
        <f t="shared" si="4"/>
        <v>EL PALOMAR</v>
      </c>
      <c r="AT10" s="731">
        <v>6.5</v>
      </c>
      <c r="AU10" s="731">
        <v>5.5</v>
      </c>
      <c r="AV10" s="731">
        <v>4.5</v>
      </c>
      <c r="AW10" s="731">
        <v>3</v>
      </c>
      <c r="AX10" s="731">
        <v>2.5</v>
      </c>
      <c r="AY10" s="731">
        <v>2</v>
      </c>
      <c r="AZ10" s="731">
        <v>2</v>
      </c>
      <c r="BA10" s="731">
        <v>3</v>
      </c>
      <c r="BB10" s="731">
        <v>4</v>
      </c>
      <c r="BC10" s="731">
        <v>5</v>
      </c>
      <c r="BD10" s="731">
        <v>6</v>
      </c>
      <c r="BE10" s="731">
        <v>6.5</v>
      </c>
      <c r="BG10" s="733" t="str">
        <f t="shared" si="5"/>
        <v>GBA</v>
      </c>
      <c r="BH10" s="733" t="str">
        <f t="shared" si="6"/>
        <v>EL PALOMAR</v>
      </c>
      <c r="BI10" s="731">
        <v>104</v>
      </c>
      <c r="BJ10" s="731">
        <v>98</v>
      </c>
      <c r="BK10" s="731">
        <v>115</v>
      </c>
      <c r="BL10" s="731">
        <v>97</v>
      </c>
      <c r="BM10" s="731">
        <v>80</v>
      </c>
      <c r="BN10" s="731">
        <v>61</v>
      </c>
      <c r="BO10" s="731">
        <v>59</v>
      </c>
      <c r="BP10" s="731">
        <v>63</v>
      </c>
      <c r="BQ10" s="731">
        <v>68</v>
      </c>
      <c r="BR10" s="731">
        <v>104</v>
      </c>
      <c r="BS10" s="731">
        <v>98</v>
      </c>
      <c r="BT10" s="731">
        <v>93</v>
      </c>
      <c r="BV10" s="731" t="s">
        <v>90</v>
      </c>
      <c r="BW10" s="731">
        <v>27.47</v>
      </c>
      <c r="BX10" s="739">
        <v>9</v>
      </c>
      <c r="BY10" s="739">
        <v>49</v>
      </c>
      <c r="BZ10" s="731">
        <v>9</v>
      </c>
      <c r="CA10" s="739">
        <v>0</v>
      </c>
      <c r="CB10" s="739">
        <v>58</v>
      </c>
      <c r="CC10" s="731">
        <v>49</v>
      </c>
      <c r="CD10" s="731"/>
      <c r="CE10" s="739"/>
      <c r="CF10" s="739">
        <v>61</v>
      </c>
      <c r="CG10" s="731">
        <v>58</v>
      </c>
      <c r="CH10" s="731"/>
      <c r="CI10" s="739"/>
      <c r="CJ10" s="739">
        <v>69</v>
      </c>
      <c r="CK10" s="731">
        <v>61</v>
      </c>
      <c r="CL10" s="731"/>
      <c r="CM10" s="739"/>
      <c r="CN10" s="739">
        <v>72</v>
      </c>
      <c r="CO10" s="731">
        <v>69</v>
      </c>
      <c r="CP10" s="731"/>
      <c r="CQ10" s="739">
        <v>79</v>
      </c>
      <c r="CR10" s="731">
        <v>72</v>
      </c>
      <c r="CS10" s="731"/>
      <c r="CT10" s="739">
        <v>82</v>
      </c>
      <c r="CU10" s="731">
        <v>79</v>
      </c>
      <c r="CW10" s="734" t="s">
        <v>27</v>
      </c>
      <c r="CX10" s="733" t="s">
        <v>1259</v>
      </c>
      <c r="CY10" s="538"/>
      <c r="DB10" s="538"/>
      <c r="DC10" s="734" t="s">
        <v>73</v>
      </c>
      <c r="DD10" s="733" t="s">
        <v>79</v>
      </c>
      <c r="DE10" s="538"/>
      <c r="DF10" s="734" t="s">
        <v>86</v>
      </c>
      <c r="DG10" s="733" t="s">
        <v>94</v>
      </c>
      <c r="DH10" s="538"/>
      <c r="DI10" s="734" t="s">
        <v>96</v>
      </c>
      <c r="DJ10" s="733" t="s">
        <v>1277</v>
      </c>
      <c r="DK10" s="538"/>
      <c r="DL10" s="538"/>
      <c r="DM10" s="538"/>
      <c r="DN10" s="538"/>
      <c r="DO10" s="734" t="s">
        <v>111</v>
      </c>
      <c r="DP10" s="733" t="s">
        <v>114</v>
      </c>
      <c r="DQ10" s="538"/>
      <c r="DR10" s="538"/>
      <c r="DS10" s="538"/>
      <c r="DT10" s="538"/>
      <c r="DU10" s="538"/>
      <c r="DV10" s="538"/>
      <c r="DW10" s="538"/>
      <c r="DX10" s="538"/>
      <c r="DY10" s="538"/>
      <c r="DZ10" s="538"/>
      <c r="EA10" s="538"/>
      <c r="EB10" s="538"/>
      <c r="ED10" s="734" t="s">
        <v>140</v>
      </c>
      <c r="EE10" s="733" t="s">
        <v>147</v>
      </c>
      <c r="EH10" s="538"/>
      <c r="EI10" s="538"/>
      <c r="EJ10" s="538"/>
      <c r="EK10" s="538"/>
      <c r="EL10" s="538"/>
      <c r="EM10" s="734" t="s">
        <v>161</v>
      </c>
      <c r="EN10" s="733" t="s">
        <v>167</v>
      </c>
      <c r="EO10" s="538"/>
      <c r="EP10" s="734" t="s">
        <v>188</v>
      </c>
      <c r="EQ10" s="733" t="s">
        <v>194</v>
      </c>
      <c r="ER10" s="538"/>
      <c r="ES10" s="538"/>
      <c r="ET10" s="538"/>
      <c r="EU10" s="538"/>
      <c r="EV10" s="538"/>
      <c r="EW10" s="538"/>
      <c r="EX10" s="538"/>
      <c r="EY10" s="538"/>
      <c r="EZ10" s="538"/>
      <c r="FA10" s="538"/>
      <c r="FB10" s="538"/>
      <c r="FC10" s="538"/>
      <c r="FD10" s="538"/>
      <c r="FE10" s="538"/>
      <c r="FF10" s="538"/>
      <c r="FG10" s="538"/>
      <c r="FH10" s="538"/>
      <c r="FI10" s="538"/>
      <c r="FJ10" s="538"/>
      <c r="FK10" s="538"/>
      <c r="FL10" s="538"/>
      <c r="FM10" s="538"/>
      <c r="FN10" s="727" t="s">
        <v>1833</v>
      </c>
      <c r="FO10" s="734" t="s">
        <v>96</v>
      </c>
      <c r="FP10" s="734"/>
      <c r="FQ10" s="727" t="s">
        <v>1311</v>
      </c>
      <c r="FR10" s="756">
        <v>0.21</v>
      </c>
      <c r="FS10" s="727">
        <f t="shared" si="2"/>
        <v>0.13999999999999999</v>
      </c>
      <c r="FT10" s="727"/>
      <c r="FU10" s="727" t="s">
        <v>1325</v>
      </c>
      <c r="FV10" s="756">
        <v>0.38180826472039597</v>
      </c>
      <c r="FW10" s="727" t="s">
        <v>1326</v>
      </c>
      <c r="FX10" s="756">
        <v>1.6</v>
      </c>
      <c r="FY10" s="727"/>
      <c r="FZ10" s="727" t="s">
        <v>1911</v>
      </c>
      <c r="GA10" s="756">
        <v>0.65</v>
      </c>
      <c r="GB10" s="727"/>
      <c r="GC10" s="727" t="s">
        <v>1773</v>
      </c>
      <c r="GD10" s="727">
        <v>3.23</v>
      </c>
      <c r="GE10" s="727">
        <v>0.62</v>
      </c>
      <c r="GG10" s="1205" t="s">
        <v>2066</v>
      </c>
      <c r="GH10" s="1205"/>
      <c r="GI10" s="1205"/>
      <c r="GJ10" s="1205"/>
      <c r="GK10" s="1205"/>
      <c r="GL10" s="1205"/>
      <c r="GM10" s="1205"/>
      <c r="GO10" s="1205" t="s">
        <v>2066</v>
      </c>
      <c r="GP10" s="1205"/>
      <c r="GQ10" s="1205"/>
      <c r="GR10" s="1205"/>
      <c r="GS10" s="1205"/>
      <c r="GT10" s="1205"/>
      <c r="GU10" s="1205"/>
      <c r="GW10" s="1205" t="s">
        <v>2081</v>
      </c>
      <c r="GX10" s="1205"/>
      <c r="GY10" s="1205"/>
    </row>
    <row r="11" spans="2:219" ht="16">
      <c r="B11" s="734" t="s">
        <v>29</v>
      </c>
      <c r="C11" s="733" t="s">
        <v>32</v>
      </c>
      <c r="D11" s="539">
        <v>34.82</v>
      </c>
      <c r="E11" s="539">
        <v>58.53</v>
      </c>
      <c r="F11" s="539">
        <v>20</v>
      </c>
      <c r="G11" s="539" t="s">
        <v>23</v>
      </c>
      <c r="H11" s="539">
        <v>-0.2</v>
      </c>
      <c r="I11" s="539">
        <v>10</v>
      </c>
      <c r="J11" s="539">
        <v>22.3</v>
      </c>
      <c r="K11" s="539">
        <v>32.6</v>
      </c>
      <c r="L11" s="539">
        <v>67</v>
      </c>
      <c r="M11" s="539">
        <v>81</v>
      </c>
      <c r="N11" s="539">
        <v>67</v>
      </c>
      <c r="O11" s="539">
        <v>50</v>
      </c>
      <c r="P11" s="539">
        <v>92</v>
      </c>
      <c r="Q11" s="734">
        <v>3</v>
      </c>
      <c r="R11" s="539">
        <v>22</v>
      </c>
      <c r="S11" s="734">
        <v>0.53</v>
      </c>
      <c r="T11" s="734">
        <v>36.9</v>
      </c>
      <c r="U11" s="734">
        <v>3.4</v>
      </c>
      <c r="V11" s="734">
        <v>185</v>
      </c>
      <c r="W11" s="734">
        <v>41</v>
      </c>
      <c r="X11" s="734">
        <v>1.4E-2</v>
      </c>
      <c r="Y11" s="734">
        <v>1.9E-2</v>
      </c>
      <c r="Z11" s="547">
        <v>130</v>
      </c>
      <c r="AA11" s="547">
        <f t="shared" si="0"/>
        <v>1.3</v>
      </c>
      <c r="AB11" s="734">
        <v>35</v>
      </c>
      <c r="AC11" s="538"/>
      <c r="AD11" s="733" t="str">
        <f t="shared" si="3"/>
        <v>EZEIZA</v>
      </c>
      <c r="AE11" s="737">
        <v>24.1</v>
      </c>
      <c r="AF11" s="737">
        <v>22.8</v>
      </c>
      <c r="AG11" s="737">
        <v>20.2</v>
      </c>
      <c r="AH11" s="737">
        <v>16.5</v>
      </c>
      <c r="AI11" s="737">
        <v>12.9</v>
      </c>
      <c r="AJ11" s="737">
        <v>9.8000000000000007</v>
      </c>
      <c r="AK11" s="737">
        <v>9.4</v>
      </c>
      <c r="AL11" s="737">
        <v>11.3</v>
      </c>
      <c r="AM11" s="737">
        <v>13</v>
      </c>
      <c r="AN11" s="737">
        <v>16.5</v>
      </c>
      <c r="AO11" s="737">
        <v>19.5</v>
      </c>
      <c r="AP11" s="737">
        <v>22.1</v>
      </c>
      <c r="AQ11" s="538"/>
      <c r="AR11" s="733" t="str">
        <f t="shared" si="1"/>
        <v>GBA</v>
      </c>
      <c r="AS11" s="733" t="str">
        <f t="shared" si="4"/>
        <v>EZEIZA</v>
      </c>
      <c r="AT11" s="731">
        <v>6.5</v>
      </c>
      <c r="AU11" s="731">
        <v>5.5</v>
      </c>
      <c r="AV11" s="731">
        <v>4.5</v>
      </c>
      <c r="AW11" s="731">
        <v>3</v>
      </c>
      <c r="AX11" s="731">
        <v>2.5</v>
      </c>
      <c r="AY11" s="731">
        <v>2</v>
      </c>
      <c r="AZ11" s="731">
        <v>2</v>
      </c>
      <c r="BA11" s="731">
        <v>3</v>
      </c>
      <c r="BB11" s="731">
        <v>4</v>
      </c>
      <c r="BC11" s="731">
        <v>5</v>
      </c>
      <c r="BD11" s="731">
        <v>6</v>
      </c>
      <c r="BE11" s="731">
        <v>6.5</v>
      </c>
      <c r="BG11" s="733" t="str">
        <f t="shared" si="5"/>
        <v>GBA</v>
      </c>
      <c r="BH11" s="733" t="str">
        <f t="shared" si="6"/>
        <v>EZEIZA</v>
      </c>
      <c r="BI11" s="731">
        <v>104</v>
      </c>
      <c r="BJ11" s="731">
        <v>98</v>
      </c>
      <c r="BK11" s="731">
        <v>115</v>
      </c>
      <c r="BL11" s="731">
        <v>97</v>
      </c>
      <c r="BM11" s="731">
        <v>80</v>
      </c>
      <c r="BN11" s="731">
        <v>61</v>
      </c>
      <c r="BO11" s="731">
        <v>59</v>
      </c>
      <c r="BP11" s="731">
        <v>63</v>
      </c>
      <c r="BQ11" s="731">
        <v>68</v>
      </c>
      <c r="BR11" s="731">
        <v>104</v>
      </c>
      <c r="BS11" s="731">
        <v>98</v>
      </c>
      <c r="BT11" s="731">
        <v>93</v>
      </c>
      <c r="BV11" s="731" t="s">
        <v>1833</v>
      </c>
      <c r="BW11" s="731">
        <v>27.45</v>
      </c>
      <c r="BX11" s="739">
        <v>10</v>
      </c>
      <c r="BY11" s="739">
        <v>50</v>
      </c>
      <c r="BZ11" s="731">
        <v>10</v>
      </c>
      <c r="CA11" s="739">
        <v>0</v>
      </c>
      <c r="CB11" s="739">
        <v>59</v>
      </c>
      <c r="CC11" s="731">
        <v>50</v>
      </c>
      <c r="CD11" s="731"/>
      <c r="CE11" s="739"/>
      <c r="CF11" s="739">
        <v>65</v>
      </c>
      <c r="CG11" s="731">
        <v>59</v>
      </c>
      <c r="CH11" s="731"/>
      <c r="CI11" s="739"/>
      <c r="CJ11" s="739">
        <v>70</v>
      </c>
      <c r="CK11" s="731">
        <v>65</v>
      </c>
      <c r="CL11" s="731"/>
      <c r="CM11" s="739"/>
      <c r="CN11" s="739">
        <v>74</v>
      </c>
      <c r="CO11" s="731">
        <v>70</v>
      </c>
      <c r="CP11" s="731"/>
      <c r="CQ11" s="739">
        <v>80</v>
      </c>
      <c r="CR11" s="731">
        <v>74</v>
      </c>
      <c r="CS11" s="731"/>
      <c r="CT11" s="739">
        <v>84</v>
      </c>
      <c r="CU11" s="731">
        <v>80</v>
      </c>
      <c r="CW11" s="734" t="s">
        <v>27</v>
      </c>
      <c r="CX11" s="733" t="s">
        <v>43</v>
      </c>
      <c r="CY11" s="538"/>
      <c r="DB11" s="538"/>
      <c r="DC11" s="734" t="s">
        <v>73</v>
      </c>
      <c r="DD11" s="733" t="s">
        <v>80</v>
      </c>
      <c r="DE11" s="538"/>
      <c r="DF11" s="734" t="s">
        <v>86</v>
      </c>
      <c r="DG11" s="733" t="s">
        <v>95</v>
      </c>
      <c r="DH11" s="538"/>
      <c r="DI11" s="734" t="s">
        <v>96</v>
      </c>
      <c r="DJ11" s="733" t="s">
        <v>1278</v>
      </c>
      <c r="DK11" s="538"/>
      <c r="DL11" s="538"/>
      <c r="DM11" s="538"/>
      <c r="DN11" s="538"/>
      <c r="DO11" s="734" t="s">
        <v>111</v>
      </c>
      <c r="DP11" s="733" t="s">
        <v>115</v>
      </c>
      <c r="DQ11" s="538"/>
      <c r="DR11" s="538"/>
      <c r="DS11" s="538"/>
      <c r="DT11" s="538"/>
      <c r="DU11" s="538"/>
      <c r="DV11" s="538"/>
      <c r="DW11" s="538"/>
      <c r="DX11" s="538"/>
      <c r="DY11" s="538"/>
      <c r="DZ11" s="538"/>
      <c r="EA11" s="538"/>
      <c r="EB11" s="538"/>
      <c r="ED11" s="734" t="s">
        <v>140</v>
      </c>
      <c r="EE11" s="733" t="s">
        <v>148</v>
      </c>
      <c r="EH11" s="538"/>
      <c r="EI11" s="538"/>
      <c r="EJ11" s="538"/>
      <c r="EK11" s="538"/>
      <c r="EL11" s="538"/>
      <c r="EM11" s="734" t="s">
        <v>161</v>
      </c>
      <c r="EN11" s="733" t="s">
        <v>168</v>
      </c>
      <c r="EO11" s="538"/>
      <c r="EP11" s="734" t="s">
        <v>188</v>
      </c>
      <c r="EQ11" s="733" t="s">
        <v>195</v>
      </c>
      <c r="ER11" s="538"/>
      <c r="ES11" s="538"/>
      <c r="ET11" s="538"/>
      <c r="EU11" s="538"/>
      <c r="EV11" s="538"/>
      <c r="EW11" s="538"/>
      <c r="EX11" s="538"/>
      <c r="EY11" s="538"/>
      <c r="EZ11" s="538"/>
      <c r="FA11" s="538"/>
      <c r="FB11" s="538"/>
      <c r="FC11" s="538"/>
      <c r="FD11" s="538"/>
      <c r="FE11" s="538"/>
      <c r="FF11" s="538"/>
      <c r="FG11" s="538"/>
      <c r="FH11" s="538"/>
      <c r="FI11" s="538"/>
      <c r="FJ11" s="538"/>
      <c r="FK11" s="538"/>
      <c r="FL11" s="538"/>
      <c r="FM11" s="538"/>
      <c r="FN11" s="727" t="s">
        <v>1834</v>
      </c>
      <c r="FO11" s="734" t="s">
        <v>104</v>
      </c>
      <c r="FP11" s="734"/>
      <c r="FQ11" s="727" t="s">
        <v>1312</v>
      </c>
      <c r="FR11" s="756">
        <v>0.16</v>
      </c>
      <c r="FS11" s="727">
        <f t="shared" si="2"/>
        <v>0.09</v>
      </c>
      <c r="FT11" s="727"/>
      <c r="FU11" s="727" t="s">
        <v>1341</v>
      </c>
      <c r="FV11" s="756">
        <v>0.28000000000000003</v>
      </c>
      <c r="FW11" s="727" t="s">
        <v>1328</v>
      </c>
      <c r="FX11" s="756">
        <v>1.65</v>
      </c>
      <c r="FY11" s="727"/>
      <c r="FZ11" s="727" t="s">
        <v>1912</v>
      </c>
      <c r="GA11" s="756">
        <v>2</v>
      </c>
      <c r="GB11" s="727"/>
      <c r="GC11" s="727" t="s">
        <v>1778</v>
      </c>
      <c r="GD11" s="727">
        <v>3.08</v>
      </c>
      <c r="GE11" s="727">
        <v>0.62</v>
      </c>
      <c r="GG11" s="1205" t="s">
        <v>1981</v>
      </c>
      <c r="GH11" s="1205"/>
      <c r="GI11" s="1205"/>
      <c r="GK11" s="1205" t="s">
        <v>1980</v>
      </c>
      <c r="GL11" s="1205"/>
      <c r="GM11" s="1205"/>
      <c r="GO11" s="1205" t="s">
        <v>1981</v>
      </c>
      <c r="GP11" s="1205"/>
      <c r="GQ11" s="1205"/>
      <c r="GR11" s="731"/>
      <c r="GS11" s="1205" t="s">
        <v>1980</v>
      </c>
      <c r="GT11" s="1205"/>
      <c r="GU11" s="1205"/>
      <c r="GW11" s="1270" t="s">
        <v>599</v>
      </c>
      <c r="GX11" s="1270"/>
      <c r="GY11" s="1270"/>
    </row>
    <row r="12" spans="2:219" ht="16">
      <c r="B12" s="734" t="s">
        <v>29</v>
      </c>
      <c r="C12" s="733" t="s">
        <v>33</v>
      </c>
      <c r="D12" s="539">
        <v>34.479999999999997</v>
      </c>
      <c r="E12" s="539">
        <v>58.31</v>
      </c>
      <c r="F12" s="539">
        <v>22</v>
      </c>
      <c r="G12" s="539" t="s">
        <v>23</v>
      </c>
      <c r="H12" s="539">
        <v>0</v>
      </c>
      <c r="I12" s="539">
        <v>1499</v>
      </c>
      <c r="J12" s="539">
        <v>22.2</v>
      </c>
      <c r="K12" s="539">
        <v>32.5</v>
      </c>
      <c r="L12" s="539">
        <v>64</v>
      </c>
      <c r="M12" s="539">
        <v>78</v>
      </c>
      <c r="N12" s="539">
        <v>64</v>
      </c>
      <c r="O12" s="539">
        <v>50</v>
      </c>
      <c r="P12" s="539">
        <v>100</v>
      </c>
      <c r="Q12" s="734">
        <v>3</v>
      </c>
      <c r="R12" s="539">
        <v>22.2</v>
      </c>
      <c r="S12" s="734">
        <v>0.53</v>
      </c>
      <c r="T12" s="734">
        <v>36.9</v>
      </c>
      <c r="U12" s="734">
        <v>3.4</v>
      </c>
      <c r="V12" s="734">
        <v>185</v>
      </c>
      <c r="W12" s="734">
        <v>41</v>
      </c>
      <c r="X12" s="734">
        <v>1.4E-2</v>
      </c>
      <c r="Y12" s="734">
        <v>1.9E-2</v>
      </c>
      <c r="Z12" s="547">
        <v>130</v>
      </c>
      <c r="AA12" s="547">
        <f t="shared" si="0"/>
        <v>1.3</v>
      </c>
      <c r="AB12" s="734">
        <v>35</v>
      </c>
      <c r="AC12" s="538"/>
      <c r="AD12" s="733" t="str">
        <f t="shared" si="3"/>
        <v>LOMAS DE ZAMORA</v>
      </c>
      <c r="AE12" s="737">
        <v>23.8</v>
      </c>
      <c r="AF12" s="737">
        <v>22.7</v>
      </c>
      <c r="AG12" s="737">
        <v>20.100000000000001</v>
      </c>
      <c r="AH12" s="737">
        <v>16.399999999999999</v>
      </c>
      <c r="AI12" s="737">
        <v>12.8</v>
      </c>
      <c r="AJ12" s="737">
        <v>9.8000000000000007</v>
      </c>
      <c r="AK12" s="737">
        <v>9.8000000000000007</v>
      </c>
      <c r="AL12" s="737">
        <v>11.3</v>
      </c>
      <c r="AM12" s="737">
        <v>13.3</v>
      </c>
      <c r="AN12" s="737">
        <v>16.5</v>
      </c>
      <c r="AO12" s="737">
        <v>19.3</v>
      </c>
      <c r="AP12" s="737">
        <v>21.5</v>
      </c>
      <c r="AQ12" s="538"/>
      <c r="AR12" s="733" t="str">
        <f t="shared" si="1"/>
        <v>GBA</v>
      </c>
      <c r="AS12" s="733" t="str">
        <f t="shared" si="4"/>
        <v>LOMAS DE ZAMORA</v>
      </c>
      <c r="AT12" s="731">
        <v>6.5</v>
      </c>
      <c r="AU12" s="731">
        <v>5.5</v>
      </c>
      <c r="AV12" s="731">
        <v>4.5</v>
      </c>
      <c r="AW12" s="731">
        <v>3</v>
      </c>
      <c r="AX12" s="731">
        <v>2.5</v>
      </c>
      <c r="AY12" s="731">
        <v>2</v>
      </c>
      <c r="AZ12" s="731">
        <v>2</v>
      </c>
      <c r="BA12" s="731">
        <v>3</v>
      </c>
      <c r="BB12" s="731">
        <v>4</v>
      </c>
      <c r="BC12" s="731">
        <v>5</v>
      </c>
      <c r="BD12" s="731">
        <v>6</v>
      </c>
      <c r="BE12" s="731">
        <v>6.5</v>
      </c>
      <c r="BG12" s="733" t="str">
        <f t="shared" si="5"/>
        <v>GBA</v>
      </c>
      <c r="BH12" s="733" t="str">
        <f t="shared" si="6"/>
        <v>LOMAS DE ZAMORA</v>
      </c>
      <c r="BI12" s="731">
        <v>104</v>
      </c>
      <c r="BJ12" s="731">
        <v>98</v>
      </c>
      <c r="BK12" s="731">
        <v>115</v>
      </c>
      <c r="BL12" s="731">
        <v>97</v>
      </c>
      <c r="BM12" s="731">
        <v>80</v>
      </c>
      <c r="BN12" s="731">
        <v>61</v>
      </c>
      <c r="BO12" s="731">
        <v>59</v>
      </c>
      <c r="BP12" s="731">
        <v>63</v>
      </c>
      <c r="BQ12" s="731">
        <v>68</v>
      </c>
      <c r="BR12" s="731">
        <v>104</v>
      </c>
      <c r="BS12" s="731">
        <v>98</v>
      </c>
      <c r="BT12" s="731">
        <v>93</v>
      </c>
      <c r="BV12" s="731" t="s">
        <v>199</v>
      </c>
      <c r="BW12" s="731">
        <v>27.77</v>
      </c>
      <c r="BX12" s="549">
        <v>10</v>
      </c>
      <c r="BY12" s="549">
        <v>50</v>
      </c>
      <c r="BZ12" s="542">
        <v>10</v>
      </c>
      <c r="CA12" s="549">
        <v>0</v>
      </c>
      <c r="CB12" s="549">
        <v>58</v>
      </c>
      <c r="CC12" s="542">
        <v>50</v>
      </c>
      <c r="CD12" s="542"/>
      <c r="CE12" s="549"/>
      <c r="CF12" s="549">
        <v>64</v>
      </c>
      <c r="CG12" s="731">
        <v>58</v>
      </c>
      <c r="CH12" s="731"/>
      <c r="CI12" s="739"/>
      <c r="CJ12" s="739">
        <v>70</v>
      </c>
      <c r="CK12" s="731">
        <v>64</v>
      </c>
      <c r="CL12" s="731"/>
      <c r="CM12" s="739"/>
      <c r="CN12" s="739">
        <v>76</v>
      </c>
      <c r="CO12" s="731">
        <v>70</v>
      </c>
      <c r="CP12" s="731"/>
      <c r="CQ12" s="739">
        <v>80</v>
      </c>
      <c r="CR12" s="731">
        <v>76</v>
      </c>
      <c r="CS12" s="731"/>
      <c r="CT12" s="739">
        <v>86</v>
      </c>
      <c r="CU12" s="731">
        <v>80</v>
      </c>
      <c r="CW12" s="734" t="s">
        <v>27</v>
      </c>
      <c r="CX12" s="733" t="s">
        <v>26</v>
      </c>
      <c r="CY12" s="538"/>
      <c r="DB12" s="538"/>
      <c r="DC12" s="734" t="s">
        <v>73</v>
      </c>
      <c r="DD12" s="733" t="s">
        <v>81</v>
      </c>
      <c r="DE12" s="538"/>
      <c r="DF12" s="538"/>
      <c r="DG12" s="538"/>
      <c r="DH12" s="538"/>
      <c r="DI12" s="538"/>
      <c r="DJ12" s="538"/>
      <c r="DK12" s="538"/>
      <c r="DL12" s="538"/>
      <c r="DM12" s="538"/>
      <c r="DN12" s="538"/>
      <c r="DO12" s="734" t="s">
        <v>111</v>
      </c>
      <c r="DP12" s="733" t="s">
        <v>116</v>
      </c>
      <c r="DU12" s="538"/>
      <c r="DV12" s="538"/>
      <c r="DW12" s="538"/>
      <c r="DX12" s="538"/>
      <c r="DY12" s="538"/>
      <c r="DZ12" s="538"/>
      <c r="EA12" s="538"/>
      <c r="EB12" s="538"/>
      <c r="ED12" s="734" t="s">
        <v>140</v>
      </c>
      <c r="EE12" s="733" t="s">
        <v>149</v>
      </c>
      <c r="EH12" s="538"/>
      <c r="EI12" s="538"/>
      <c r="EJ12" s="538"/>
      <c r="EK12" s="538"/>
      <c r="EL12" s="538"/>
      <c r="EM12" s="734" t="s">
        <v>161</v>
      </c>
      <c r="EN12" s="733" t="s">
        <v>169</v>
      </c>
      <c r="EO12" s="538"/>
      <c r="EP12" s="538"/>
      <c r="EQ12" s="538"/>
      <c r="ER12" s="538"/>
      <c r="ES12" s="538"/>
      <c r="ET12" s="538"/>
      <c r="EU12" s="538"/>
      <c r="EV12" s="538"/>
      <c r="EW12" s="538"/>
      <c r="EX12" s="538"/>
      <c r="EY12" s="538"/>
      <c r="EZ12" s="538"/>
      <c r="FA12" s="538"/>
      <c r="FB12" s="538"/>
      <c r="FC12" s="538"/>
      <c r="FD12" s="538"/>
      <c r="FE12" s="538"/>
      <c r="FF12" s="538"/>
      <c r="FG12" s="538"/>
      <c r="FH12" s="538"/>
      <c r="FI12" s="538"/>
      <c r="FJ12" s="538"/>
      <c r="FK12" s="538"/>
      <c r="FL12" s="538"/>
      <c r="FM12" s="538"/>
      <c r="FN12" s="727" t="s">
        <v>1832</v>
      </c>
      <c r="FO12" s="734" t="s">
        <v>73</v>
      </c>
      <c r="FP12" s="734"/>
      <c r="FQ12" s="727" t="s">
        <v>1312</v>
      </c>
      <c r="FR12" s="756">
        <v>0.16</v>
      </c>
      <c r="FS12" s="727">
        <f t="shared" si="2"/>
        <v>0.09</v>
      </c>
      <c r="FT12" s="727"/>
      <c r="FU12" s="727" t="s">
        <v>1339</v>
      </c>
      <c r="FV12" s="756">
        <v>0.78</v>
      </c>
      <c r="FW12" s="727" t="s">
        <v>1324</v>
      </c>
      <c r="FX12" s="756">
        <v>1.36</v>
      </c>
      <c r="FY12" s="727"/>
      <c r="FZ12" s="542" t="s">
        <v>1585</v>
      </c>
      <c r="GA12" s="727">
        <v>0.75</v>
      </c>
      <c r="GB12" s="727"/>
      <c r="GC12" s="727" t="s">
        <v>1779</v>
      </c>
      <c r="GD12" s="727">
        <v>3.08</v>
      </c>
      <c r="GE12" s="727">
        <v>0.62</v>
      </c>
      <c r="GG12" s="1271" t="s">
        <v>1158</v>
      </c>
      <c r="GH12" s="1271"/>
      <c r="GI12" s="1271"/>
      <c r="GK12" s="1271" t="s">
        <v>1172</v>
      </c>
      <c r="GL12" s="1271"/>
      <c r="GM12" s="1271"/>
      <c r="GO12" s="1271" t="s">
        <v>1155</v>
      </c>
      <c r="GP12" s="1271"/>
      <c r="GQ12" s="1271"/>
      <c r="GR12" s="731"/>
      <c r="GS12" s="1271" t="s">
        <v>1156</v>
      </c>
      <c r="GT12" s="1271"/>
      <c r="GU12" s="1271"/>
    </row>
    <row r="13" spans="2:219" ht="34">
      <c r="B13" s="734" t="s">
        <v>29</v>
      </c>
      <c r="C13" s="733" t="s">
        <v>34</v>
      </c>
      <c r="D13" s="539">
        <v>34.549999999999997</v>
      </c>
      <c r="E13" s="539">
        <v>58.73</v>
      </c>
      <c r="F13" s="539">
        <v>26</v>
      </c>
      <c r="G13" s="539" t="s">
        <v>23</v>
      </c>
      <c r="H13" s="539">
        <v>0</v>
      </c>
      <c r="I13" s="539">
        <v>10.3</v>
      </c>
      <c r="J13" s="539">
        <v>22.2</v>
      </c>
      <c r="K13" s="539">
        <v>32.200000000000003</v>
      </c>
      <c r="L13" s="539">
        <v>65</v>
      </c>
      <c r="M13" s="539">
        <v>79</v>
      </c>
      <c r="N13" s="539">
        <v>65</v>
      </c>
      <c r="O13" s="539">
        <v>67</v>
      </c>
      <c r="P13" s="539">
        <v>114</v>
      </c>
      <c r="Q13" s="734">
        <v>3</v>
      </c>
      <c r="R13" s="539">
        <v>21.9</v>
      </c>
      <c r="S13" s="734">
        <v>0.53</v>
      </c>
      <c r="T13" s="734">
        <v>36.9</v>
      </c>
      <c r="U13" s="734">
        <v>3.4</v>
      </c>
      <c r="V13" s="734">
        <v>185</v>
      </c>
      <c r="W13" s="734">
        <v>41</v>
      </c>
      <c r="X13" s="734">
        <v>1.4E-2</v>
      </c>
      <c r="Y13" s="734">
        <v>1.9E-2</v>
      </c>
      <c r="Z13" s="547">
        <v>130</v>
      </c>
      <c r="AA13" s="547">
        <f t="shared" si="0"/>
        <v>1.3</v>
      </c>
      <c r="AB13" s="734">
        <v>35</v>
      </c>
      <c r="AC13" s="538"/>
      <c r="AD13" s="733" t="str">
        <f t="shared" si="3"/>
        <v>SAN MIGUEL</v>
      </c>
      <c r="AE13" s="737">
        <v>24.4</v>
      </c>
      <c r="AF13" s="737">
        <v>22.8</v>
      </c>
      <c r="AG13" s="737">
        <v>20.399999999999999</v>
      </c>
      <c r="AH13" s="737">
        <v>16.8</v>
      </c>
      <c r="AI13" s="737">
        <v>13.2</v>
      </c>
      <c r="AJ13" s="737">
        <v>10.199999999999999</v>
      </c>
      <c r="AK13" s="737">
        <v>10</v>
      </c>
      <c r="AL13" s="737">
        <v>12</v>
      </c>
      <c r="AM13" s="737">
        <v>13.7</v>
      </c>
      <c r="AN13" s="737">
        <v>16.899999999999999</v>
      </c>
      <c r="AO13" s="737">
        <v>19.8</v>
      </c>
      <c r="AP13" s="737">
        <v>22.4</v>
      </c>
      <c r="AQ13" s="538"/>
      <c r="AR13" s="733" t="str">
        <f t="shared" si="1"/>
        <v>GBA</v>
      </c>
      <c r="AS13" s="733" t="str">
        <f t="shared" si="4"/>
        <v>SAN MIGUEL</v>
      </c>
      <c r="AT13" s="731">
        <v>6.5</v>
      </c>
      <c r="AU13" s="731">
        <v>5.5</v>
      </c>
      <c r="AV13" s="731">
        <v>4.5</v>
      </c>
      <c r="AW13" s="731">
        <v>3</v>
      </c>
      <c r="AX13" s="731">
        <v>2.5</v>
      </c>
      <c r="AY13" s="731">
        <v>2</v>
      </c>
      <c r="AZ13" s="731">
        <v>2</v>
      </c>
      <c r="BA13" s="731">
        <v>3</v>
      </c>
      <c r="BB13" s="731">
        <v>4</v>
      </c>
      <c r="BC13" s="731">
        <v>5</v>
      </c>
      <c r="BD13" s="731">
        <v>6</v>
      </c>
      <c r="BE13" s="731">
        <v>6.5</v>
      </c>
      <c r="BG13" s="733" t="str">
        <f t="shared" si="5"/>
        <v>GBA</v>
      </c>
      <c r="BH13" s="733" t="str">
        <f t="shared" si="6"/>
        <v>SAN MIGUEL</v>
      </c>
      <c r="BI13" s="731">
        <v>104</v>
      </c>
      <c r="BJ13" s="731">
        <v>98</v>
      </c>
      <c r="BK13" s="731">
        <v>115</v>
      </c>
      <c r="BL13" s="731">
        <v>97</v>
      </c>
      <c r="BM13" s="731">
        <v>80</v>
      </c>
      <c r="BN13" s="731">
        <v>61</v>
      </c>
      <c r="BO13" s="731">
        <v>59</v>
      </c>
      <c r="BP13" s="731">
        <v>63</v>
      </c>
      <c r="BQ13" s="731">
        <v>68</v>
      </c>
      <c r="BR13" s="731">
        <v>104</v>
      </c>
      <c r="BS13" s="731">
        <v>98</v>
      </c>
      <c r="BT13" s="731">
        <v>93</v>
      </c>
      <c r="BV13" s="731" t="s">
        <v>1843</v>
      </c>
      <c r="BW13" s="731">
        <v>26.8</v>
      </c>
      <c r="BX13" s="549">
        <v>10</v>
      </c>
      <c r="BY13" s="549">
        <v>50</v>
      </c>
      <c r="BZ13" s="542">
        <v>10</v>
      </c>
      <c r="CA13" s="549">
        <v>0</v>
      </c>
      <c r="CB13" s="549">
        <v>58</v>
      </c>
      <c r="CC13" s="542">
        <v>50</v>
      </c>
      <c r="CD13" s="542"/>
      <c r="CE13" s="549"/>
      <c r="CF13" s="549">
        <v>64</v>
      </c>
      <c r="CG13" s="731">
        <v>58</v>
      </c>
      <c r="CH13" s="731"/>
      <c r="CI13" s="739"/>
      <c r="CJ13" s="739">
        <v>70</v>
      </c>
      <c r="CK13" s="731">
        <v>64</v>
      </c>
      <c r="CL13" s="731"/>
      <c r="CM13" s="739"/>
      <c r="CN13" s="739">
        <v>76</v>
      </c>
      <c r="CO13" s="731">
        <v>70</v>
      </c>
      <c r="CP13" s="731"/>
      <c r="CQ13" s="739">
        <v>80</v>
      </c>
      <c r="CR13" s="731">
        <v>76</v>
      </c>
      <c r="CS13" s="731"/>
      <c r="CT13" s="739">
        <v>87</v>
      </c>
      <c r="CU13" s="731">
        <v>80</v>
      </c>
      <c r="CW13" s="734" t="s">
        <v>27</v>
      </c>
      <c r="CX13" s="733" t="s">
        <v>28</v>
      </c>
      <c r="CY13" s="538"/>
      <c r="DB13" s="538"/>
      <c r="DC13" s="734" t="s">
        <v>73</v>
      </c>
      <c r="DD13" s="733" t="s">
        <v>1266</v>
      </c>
      <c r="DE13" s="538"/>
      <c r="DF13" s="538"/>
      <c r="DG13" s="538"/>
      <c r="DH13" s="538"/>
      <c r="DI13" s="538"/>
      <c r="DJ13" s="538"/>
      <c r="DK13" s="538"/>
      <c r="DL13" s="538"/>
      <c r="DM13" s="538"/>
      <c r="DN13" s="538"/>
      <c r="DU13" s="538"/>
      <c r="DV13" s="538"/>
      <c r="DW13" s="538"/>
      <c r="DX13" s="538"/>
      <c r="DY13" s="538"/>
      <c r="DZ13" s="538"/>
      <c r="EA13" s="538"/>
      <c r="EB13" s="538"/>
      <c r="EC13" s="538"/>
      <c r="ED13" s="734" t="s">
        <v>140</v>
      </c>
      <c r="EE13" s="733" t="s">
        <v>150</v>
      </c>
      <c r="EF13" s="538"/>
      <c r="EG13" s="538"/>
      <c r="EH13" s="538"/>
      <c r="EI13" s="538"/>
      <c r="EJ13" s="538"/>
      <c r="EK13" s="538"/>
      <c r="EL13" s="538"/>
      <c r="EM13" s="734" t="s">
        <v>161</v>
      </c>
      <c r="EN13" s="733" t="s">
        <v>170</v>
      </c>
      <c r="EO13" s="538"/>
      <c r="EP13" s="538"/>
      <c r="EQ13" s="538"/>
      <c r="ER13" s="538"/>
      <c r="ES13" s="538"/>
      <c r="ET13" s="538"/>
      <c r="EU13" s="538"/>
      <c r="EV13" s="538"/>
      <c r="EW13" s="538"/>
      <c r="EX13" s="538"/>
      <c r="EY13" s="538"/>
      <c r="EZ13" s="538"/>
      <c r="FA13" s="538"/>
      <c r="FB13" s="538"/>
      <c r="FC13" s="538"/>
      <c r="FD13" s="538"/>
      <c r="FE13" s="538"/>
      <c r="FF13" s="538"/>
      <c r="FG13" s="538"/>
      <c r="FH13" s="538"/>
      <c r="FI13" s="538"/>
      <c r="FJ13" s="538"/>
      <c r="FK13" s="538"/>
      <c r="FL13" s="538"/>
      <c r="FM13" s="538"/>
      <c r="FN13" s="727" t="s">
        <v>90</v>
      </c>
      <c r="FO13" s="734" t="s">
        <v>86</v>
      </c>
      <c r="FP13" s="734"/>
      <c r="FQ13" s="727" t="s">
        <v>1706</v>
      </c>
      <c r="FR13" s="756">
        <v>0.38</v>
      </c>
      <c r="FS13" s="727">
        <f t="shared" si="2"/>
        <v>0.31</v>
      </c>
      <c r="FT13" s="727"/>
      <c r="FU13" s="727" t="s">
        <v>1340</v>
      </c>
      <c r="FV13" s="756">
        <v>0.49</v>
      </c>
      <c r="FW13" s="729" t="s">
        <v>1335</v>
      </c>
      <c r="FX13" s="756">
        <v>1.42</v>
      </c>
      <c r="FY13" s="727"/>
      <c r="FZ13" s="542" t="s">
        <v>1717</v>
      </c>
      <c r="GA13" s="727">
        <v>0.625</v>
      </c>
      <c r="GB13" s="727"/>
      <c r="GC13" s="727" t="s">
        <v>1776</v>
      </c>
      <c r="GD13" s="727">
        <v>2.8</v>
      </c>
      <c r="GE13" s="727">
        <v>0.51</v>
      </c>
      <c r="GO13" s="731"/>
      <c r="GP13" s="731"/>
      <c r="GQ13" s="731"/>
      <c r="GR13" s="731"/>
      <c r="GS13" s="731"/>
      <c r="GT13" s="731"/>
      <c r="GU13" s="731"/>
    </row>
    <row r="14" spans="2:219" ht="20">
      <c r="B14" s="734" t="s">
        <v>27</v>
      </c>
      <c r="C14" s="733" t="s">
        <v>35</v>
      </c>
      <c r="D14" s="539">
        <v>34.97</v>
      </c>
      <c r="E14" s="539">
        <v>57.9</v>
      </c>
      <c r="F14" s="539">
        <v>23</v>
      </c>
      <c r="G14" s="539" t="s">
        <v>23</v>
      </c>
      <c r="H14" s="539">
        <v>0.7</v>
      </c>
      <c r="I14" s="539">
        <v>9.6999999999999993</v>
      </c>
      <c r="J14" s="539">
        <v>21.7</v>
      </c>
      <c r="K14" s="539">
        <v>31.4</v>
      </c>
      <c r="L14" s="539">
        <v>70</v>
      </c>
      <c r="M14" s="539">
        <v>82</v>
      </c>
      <c r="N14" s="539">
        <v>70</v>
      </c>
      <c r="O14" s="539">
        <v>59</v>
      </c>
      <c r="P14" s="539">
        <v>79</v>
      </c>
      <c r="Q14" s="734">
        <v>3</v>
      </c>
      <c r="R14" s="539">
        <v>21.4</v>
      </c>
      <c r="S14" s="734">
        <v>0.53</v>
      </c>
      <c r="T14" s="734">
        <v>36.9</v>
      </c>
      <c r="U14" s="734">
        <v>3.4</v>
      </c>
      <c r="V14" s="734">
        <v>185</v>
      </c>
      <c r="W14" s="734">
        <v>41</v>
      </c>
      <c r="X14" s="734">
        <v>1.4E-2</v>
      </c>
      <c r="Y14" s="734">
        <v>1.9E-2</v>
      </c>
      <c r="Z14" s="547">
        <v>130</v>
      </c>
      <c r="AA14" s="547">
        <f t="shared" si="0"/>
        <v>1.3</v>
      </c>
      <c r="AB14" s="734">
        <v>35</v>
      </c>
      <c r="AC14" s="538"/>
      <c r="AD14" s="733" t="str">
        <f t="shared" si="3"/>
        <v>LA PLATA AERO</v>
      </c>
      <c r="AE14" s="737">
        <v>23.1</v>
      </c>
      <c r="AF14" s="737">
        <v>22</v>
      </c>
      <c r="AG14" s="737">
        <v>19.8</v>
      </c>
      <c r="AH14" s="737">
        <v>16.3</v>
      </c>
      <c r="AI14" s="737">
        <v>12.6</v>
      </c>
      <c r="AJ14" s="737">
        <v>9.6999999999999993</v>
      </c>
      <c r="AK14" s="737">
        <v>8.9</v>
      </c>
      <c r="AL14" s="737">
        <v>10.7</v>
      </c>
      <c r="AM14" s="737">
        <v>12.3</v>
      </c>
      <c r="AN14" s="737">
        <v>15.6</v>
      </c>
      <c r="AO14" s="737">
        <v>18.5</v>
      </c>
      <c r="AP14" s="737">
        <v>21</v>
      </c>
      <c r="AQ14" s="538"/>
      <c r="AR14" s="733" t="str">
        <f t="shared" si="1"/>
        <v>BAP</v>
      </c>
      <c r="AS14" s="733" t="str">
        <f t="shared" si="4"/>
        <v>LA PLATA AERO</v>
      </c>
      <c r="AT14" s="731">
        <v>6.5</v>
      </c>
      <c r="AU14" s="731">
        <v>5.5</v>
      </c>
      <c r="AV14" s="731">
        <v>4.5</v>
      </c>
      <c r="AW14" s="731">
        <v>3</v>
      </c>
      <c r="AX14" s="731">
        <v>2.5</v>
      </c>
      <c r="AY14" s="731">
        <v>1.5</v>
      </c>
      <c r="AZ14" s="731">
        <v>2</v>
      </c>
      <c r="BA14" s="731">
        <v>3</v>
      </c>
      <c r="BB14" s="731">
        <v>4</v>
      </c>
      <c r="BC14" s="731">
        <v>5</v>
      </c>
      <c r="BD14" s="731">
        <v>6</v>
      </c>
      <c r="BE14" s="731">
        <v>6.5</v>
      </c>
      <c r="BG14" s="733" t="str">
        <f t="shared" si="5"/>
        <v>BAP</v>
      </c>
      <c r="BH14" s="733" t="str">
        <f t="shared" si="6"/>
        <v>LA PLATA AERO</v>
      </c>
      <c r="BI14" s="731">
        <v>104</v>
      </c>
      <c r="BJ14" s="731">
        <v>98</v>
      </c>
      <c r="BK14" s="731">
        <v>115</v>
      </c>
      <c r="BL14" s="731">
        <v>97</v>
      </c>
      <c r="BM14" s="731">
        <v>80</v>
      </c>
      <c r="BN14" s="731">
        <v>61</v>
      </c>
      <c r="BO14" s="731">
        <v>59</v>
      </c>
      <c r="BP14" s="731">
        <v>63</v>
      </c>
      <c r="BQ14" s="731">
        <v>68</v>
      </c>
      <c r="BR14" s="731">
        <v>104</v>
      </c>
      <c r="BS14" s="731">
        <v>98</v>
      </c>
      <c r="BT14" s="731">
        <v>93</v>
      </c>
      <c r="BV14" s="731" t="s">
        <v>1831</v>
      </c>
      <c r="BW14" s="731">
        <v>28.45</v>
      </c>
      <c r="BX14" s="739">
        <v>10</v>
      </c>
      <c r="BY14" s="739">
        <v>50</v>
      </c>
      <c r="BZ14" s="731">
        <v>10</v>
      </c>
      <c r="CA14" s="739">
        <v>0</v>
      </c>
      <c r="CB14" s="739">
        <v>60</v>
      </c>
      <c r="CC14" s="731">
        <v>50</v>
      </c>
      <c r="CD14" s="731">
        <v>5</v>
      </c>
      <c r="CE14" s="739">
        <v>0</v>
      </c>
      <c r="CF14" s="739">
        <v>65</v>
      </c>
      <c r="CG14" s="731">
        <v>60</v>
      </c>
      <c r="CH14" s="731"/>
      <c r="CI14" s="739"/>
      <c r="CJ14" s="739">
        <v>70</v>
      </c>
      <c r="CK14" s="731">
        <v>65</v>
      </c>
      <c r="CL14" s="731"/>
      <c r="CM14" s="739"/>
      <c r="CN14" s="739">
        <v>75</v>
      </c>
      <c r="CO14" s="731">
        <v>70</v>
      </c>
      <c r="CP14" s="731"/>
      <c r="CQ14" s="739">
        <v>80</v>
      </c>
      <c r="CR14" s="731">
        <v>75</v>
      </c>
      <c r="CS14" s="731"/>
      <c r="CT14" s="739">
        <v>85</v>
      </c>
      <c r="CU14" s="731">
        <v>80</v>
      </c>
      <c r="CW14" s="734" t="s">
        <v>27</v>
      </c>
      <c r="CX14" s="733" t="s">
        <v>44</v>
      </c>
      <c r="CY14" s="538"/>
      <c r="DB14" s="538"/>
      <c r="DC14" s="734" t="s">
        <v>73</v>
      </c>
      <c r="DD14" s="733" t="s">
        <v>82</v>
      </c>
      <c r="DE14" s="538"/>
      <c r="DF14" s="538"/>
      <c r="DG14" s="538"/>
      <c r="DH14" s="538"/>
      <c r="DI14" s="538"/>
      <c r="DJ14" s="538"/>
      <c r="DK14" s="538"/>
      <c r="DL14" s="538"/>
      <c r="DM14" s="538"/>
      <c r="DN14" s="538"/>
      <c r="DU14" s="538"/>
      <c r="DV14" s="538"/>
      <c r="DW14" s="538"/>
      <c r="DX14" s="538"/>
      <c r="DY14" s="538"/>
      <c r="DZ14" s="538"/>
      <c r="EA14" s="538"/>
      <c r="EB14" s="538"/>
      <c r="EC14" s="538"/>
      <c r="ED14" s="734" t="s">
        <v>140</v>
      </c>
      <c r="EE14" s="733" t="s">
        <v>151</v>
      </c>
      <c r="EF14" s="538"/>
      <c r="EG14" s="538"/>
      <c r="EH14" s="538"/>
      <c r="EI14" s="538"/>
      <c r="EJ14" s="538"/>
      <c r="EK14" s="538"/>
      <c r="EL14" s="538"/>
      <c r="EM14" s="734" t="s">
        <v>161</v>
      </c>
      <c r="EN14" s="733" t="s">
        <v>171</v>
      </c>
      <c r="EO14" s="538"/>
      <c r="EP14" s="538"/>
      <c r="EQ14" s="538"/>
      <c r="ER14" s="538"/>
      <c r="ES14" s="538"/>
      <c r="ET14" s="538"/>
      <c r="EU14" s="538"/>
      <c r="EV14" s="538"/>
      <c r="EW14" s="538"/>
      <c r="EX14" s="538"/>
      <c r="EY14" s="538"/>
      <c r="EZ14" s="538"/>
      <c r="FA14" s="538"/>
      <c r="FB14" s="538"/>
      <c r="FC14" s="538"/>
      <c r="FD14" s="538"/>
      <c r="FE14" s="538"/>
      <c r="FF14" s="538"/>
      <c r="FG14" s="538"/>
      <c r="FH14" s="538"/>
      <c r="FI14" s="538"/>
      <c r="FJ14" s="538"/>
      <c r="FK14" s="538"/>
      <c r="FL14" s="538"/>
      <c r="FM14" s="538"/>
      <c r="FN14" s="727" t="s">
        <v>1835</v>
      </c>
      <c r="FO14" s="734" t="s">
        <v>111</v>
      </c>
      <c r="FP14" s="734"/>
      <c r="FQ14" s="727" t="s">
        <v>1707</v>
      </c>
      <c r="FR14" s="756">
        <v>3.04</v>
      </c>
      <c r="FS14" s="727">
        <f t="shared" si="2"/>
        <v>2.9699999999999998</v>
      </c>
      <c r="FT14" s="727"/>
      <c r="FU14" s="727" t="s">
        <v>1708</v>
      </c>
      <c r="FV14" s="756">
        <v>1.47</v>
      </c>
      <c r="FW14" s="727" t="s">
        <v>236</v>
      </c>
      <c r="FX14" s="756">
        <v>0.8</v>
      </c>
      <c r="FY14" s="727"/>
      <c r="FZ14" s="542" t="s">
        <v>1718</v>
      </c>
      <c r="GA14" s="727">
        <v>0.87</v>
      </c>
      <c r="GB14" s="727"/>
      <c r="GC14" s="727" t="s">
        <v>1777</v>
      </c>
      <c r="GD14" s="727">
        <v>2.8</v>
      </c>
      <c r="GE14" s="727">
        <v>0.51</v>
      </c>
      <c r="GG14" s="1205" t="s">
        <v>2067</v>
      </c>
      <c r="GH14" s="1205"/>
      <c r="GI14" s="1205"/>
      <c r="GJ14" s="1205"/>
      <c r="GK14" s="1205"/>
      <c r="GL14" s="1205"/>
      <c r="GM14" s="1205"/>
      <c r="GO14" s="1205" t="s">
        <v>2067</v>
      </c>
      <c r="GP14" s="1205"/>
      <c r="GQ14" s="1205"/>
      <c r="GR14" s="1205"/>
      <c r="GS14" s="1205"/>
      <c r="GT14" s="1205"/>
      <c r="GU14" s="1205"/>
      <c r="GW14" s="1204" t="s">
        <v>2082</v>
      </c>
      <c r="GX14" s="1204"/>
      <c r="GY14" s="1204"/>
      <c r="GZ14" s="1204"/>
      <c r="HA14" s="1204"/>
      <c r="HB14" s="1204"/>
      <c r="HC14" s="1204"/>
    </row>
    <row r="15" spans="2:219" ht="17" customHeight="1">
      <c r="B15" s="734" t="s">
        <v>27</v>
      </c>
      <c r="C15" s="733" t="s">
        <v>36</v>
      </c>
      <c r="D15" s="539">
        <v>34.97</v>
      </c>
      <c r="E15" s="539">
        <v>57.93</v>
      </c>
      <c r="F15" s="539">
        <v>15</v>
      </c>
      <c r="G15" s="539" t="s">
        <v>23</v>
      </c>
      <c r="H15" s="539">
        <v>2.5</v>
      </c>
      <c r="I15" s="539">
        <v>10.199999999999999</v>
      </c>
      <c r="J15" s="539">
        <v>21.8</v>
      </c>
      <c r="K15" s="539">
        <v>31.3</v>
      </c>
      <c r="L15" s="539">
        <v>72</v>
      </c>
      <c r="M15" s="539">
        <v>84</v>
      </c>
      <c r="N15" s="539">
        <v>72</v>
      </c>
      <c r="O15" s="539">
        <v>68</v>
      </c>
      <c r="P15" s="539">
        <v>85</v>
      </c>
      <c r="Q15" s="734">
        <v>3</v>
      </c>
      <c r="R15" s="539">
        <v>21.5</v>
      </c>
      <c r="S15" s="734">
        <v>0.53</v>
      </c>
      <c r="T15" s="734">
        <v>36.9</v>
      </c>
      <c r="U15" s="734">
        <v>3.4</v>
      </c>
      <c r="V15" s="734">
        <v>185</v>
      </c>
      <c r="W15" s="734">
        <v>41</v>
      </c>
      <c r="X15" s="734">
        <v>1.4E-2</v>
      </c>
      <c r="Y15" s="734">
        <v>1.9E-2</v>
      </c>
      <c r="Z15" s="547">
        <v>130</v>
      </c>
      <c r="AA15" s="547">
        <f t="shared" si="0"/>
        <v>1.3</v>
      </c>
      <c r="AB15" s="734">
        <v>35</v>
      </c>
      <c r="AC15" s="538"/>
      <c r="AD15" s="733" t="str">
        <f t="shared" si="3"/>
        <v>LA PLATA OBS</v>
      </c>
      <c r="AE15" s="737">
        <v>23.1</v>
      </c>
      <c r="AF15" s="737">
        <v>22.2</v>
      </c>
      <c r="AG15" s="737">
        <v>20.399999999999999</v>
      </c>
      <c r="AH15" s="737">
        <v>16.2</v>
      </c>
      <c r="AI15" s="737">
        <v>13.3</v>
      </c>
      <c r="AJ15" s="737">
        <v>10.5</v>
      </c>
      <c r="AK15" s="737">
        <v>10.199999999999999</v>
      </c>
      <c r="AL15" s="737">
        <v>11.1</v>
      </c>
      <c r="AM15" s="737">
        <v>12.9</v>
      </c>
      <c r="AN15" s="737">
        <v>15.7</v>
      </c>
      <c r="AO15" s="737">
        <v>18.600000000000001</v>
      </c>
      <c r="AP15" s="737">
        <v>21.3</v>
      </c>
      <c r="AQ15" s="538"/>
      <c r="AR15" s="733" t="str">
        <f t="shared" si="1"/>
        <v>BAP</v>
      </c>
      <c r="AS15" s="733" t="str">
        <f t="shared" si="4"/>
        <v>LA PLATA OBS</v>
      </c>
      <c r="AT15" s="731">
        <v>6.5</v>
      </c>
      <c r="AU15" s="731">
        <v>5.5</v>
      </c>
      <c r="AV15" s="731">
        <v>4.5</v>
      </c>
      <c r="AW15" s="731">
        <v>3</v>
      </c>
      <c r="AX15" s="731">
        <v>2.5</v>
      </c>
      <c r="AY15" s="731">
        <v>1.5</v>
      </c>
      <c r="AZ15" s="731">
        <v>2</v>
      </c>
      <c r="BA15" s="731">
        <v>3</v>
      </c>
      <c r="BB15" s="731">
        <v>4</v>
      </c>
      <c r="BC15" s="731">
        <v>5</v>
      </c>
      <c r="BD15" s="731">
        <v>6</v>
      </c>
      <c r="BE15" s="731">
        <v>6.5</v>
      </c>
      <c r="BG15" s="733" t="str">
        <f t="shared" si="5"/>
        <v>BAP</v>
      </c>
      <c r="BH15" s="733" t="str">
        <f t="shared" si="6"/>
        <v>LA PLATA OBS</v>
      </c>
      <c r="BI15" s="731">
        <v>104</v>
      </c>
      <c r="BJ15" s="731">
        <v>98</v>
      </c>
      <c r="BK15" s="731">
        <v>115</v>
      </c>
      <c r="BL15" s="731">
        <v>97</v>
      </c>
      <c r="BM15" s="731">
        <v>80</v>
      </c>
      <c r="BN15" s="731">
        <v>61</v>
      </c>
      <c r="BO15" s="731">
        <v>59</v>
      </c>
      <c r="BP15" s="731">
        <v>63</v>
      </c>
      <c r="BQ15" s="731">
        <v>68</v>
      </c>
      <c r="BR15" s="731">
        <v>104</v>
      </c>
      <c r="BS15" s="731">
        <v>98</v>
      </c>
      <c r="BT15" s="731">
        <v>93</v>
      </c>
      <c r="BV15" s="731" t="s">
        <v>139</v>
      </c>
      <c r="BW15" s="731">
        <v>29.38</v>
      </c>
      <c r="BX15" s="549">
        <v>10</v>
      </c>
      <c r="BY15" s="549">
        <v>51</v>
      </c>
      <c r="BZ15" s="542">
        <v>10</v>
      </c>
      <c r="CA15" s="549">
        <v>2</v>
      </c>
      <c r="CB15" s="549">
        <v>60</v>
      </c>
      <c r="CC15" s="542">
        <v>51</v>
      </c>
      <c r="CD15" s="542"/>
      <c r="CE15" s="549"/>
      <c r="CF15" s="549">
        <v>68</v>
      </c>
      <c r="CG15" s="731">
        <v>60</v>
      </c>
      <c r="CH15" s="731"/>
      <c r="CI15" s="739"/>
      <c r="CJ15" s="739">
        <v>74</v>
      </c>
      <c r="CK15" s="731">
        <v>68</v>
      </c>
      <c r="CL15" s="731"/>
      <c r="CM15" s="739"/>
      <c r="CN15" s="739">
        <v>78</v>
      </c>
      <c r="CO15" s="731">
        <v>74</v>
      </c>
      <c r="CP15" s="731"/>
      <c r="CQ15" s="739">
        <v>82</v>
      </c>
      <c r="CR15" s="731">
        <v>78</v>
      </c>
      <c r="CS15" s="731"/>
      <c r="CT15" s="739">
        <v>88</v>
      </c>
      <c r="CU15" s="731">
        <v>82</v>
      </c>
      <c r="CW15" s="734" t="s">
        <v>27</v>
      </c>
      <c r="CX15" s="733" t="s">
        <v>45</v>
      </c>
      <c r="CY15" s="538"/>
      <c r="DB15" s="538"/>
      <c r="DC15" s="734" t="s">
        <v>73</v>
      </c>
      <c r="DD15" s="733" t="s">
        <v>83</v>
      </c>
      <c r="DE15" s="538"/>
      <c r="DF15" s="538"/>
      <c r="DG15" s="538"/>
      <c r="DH15" s="538"/>
      <c r="DI15" s="538"/>
      <c r="DJ15" s="538"/>
      <c r="DK15" s="538"/>
      <c r="DL15" s="538"/>
      <c r="DM15" s="538"/>
      <c r="DN15" s="538"/>
      <c r="DU15" s="538"/>
      <c r="DV15" s="538"/>
      <c r="DW15" s="538"/>
      <c r="DX15" s="538"/>
      <c r="DY15" s="538"/>
      <c r="DZ15" s="538"/>
      <c r="EA15" s="538"/>
      <c r="EB15" s="538"/>
      <c r="ED15" s="734" t="s">
        <v>140</v>
      </c>
      <c r="EE15" s="733" t="s">
        <v>152</v>
      </c>
      <c r="EH15" s="538"/>
      <c r="EI15" s="538"/>
      <c r="EJ15" s="538"/>
      <c r="EK15" s="538"/>
      <c r="EL15" s="538"/>
      <c r="EM15" s="538"/>
      <c r="EN15" s="538"/>
      <c r="EO15" s="538"/>
      <c r="EP15" s="538"/>
      <c r="EQ15" s="538"/>
      <c r="ER15" s="538"/>
      <c r="ES15" s="538"/>
      <c r="ET15" s="538"/>
      <c r="EU15" s="538"/>
      <c r="EV15" s="538"/>
      <c r="EW15" s="538"/>
      <c r="EX15" s="538"/>
      <c r="EY15" s="538"/>
      <c r="EZ15" s="538"/>
      <c r="FA15" s="538"/>
      <c r="FB15" s="538"/>
      <c r="FC15" s="538"/>
      <c r="FD15" s="538"/>
      <c r="FE15" s="538"/>
      <c r="FF15" s="538"/>
      <c r="FG15" s="538"/>
      <c r="FH15" s="538"/>
      <c r="FI15" s="538"/>
      <c r="FJ15" s="538"/>
      <c r="FK15" s="538"/>
      <c r="FL15" s="538"/>
      <c r="FM15" s="538"/>
      <c r="FN15" s="727" t="s">
        <v>118</v>
      </c>
      <c r="FO15" s="734" t="s">
        <v>117</v>
      </c>
      <c r="FP15" s="734"/>
      <c r="FQ15" s="727" t="s">
        <v>1709</v>
      </c>
      <c r="FR15" s="756">
        <v>0.92</v>
      </c>
      <c r="FS15" s="727">
        <f t="shared" si="2"/>
        <v>0.85000000000000009</v>
      </c>
      <c r="FT15" s="727"/>
      <c r="FU15" s="727" t="s">
        <v>1710</v>
      </c>
      <c r="FV15" s="756">
        <v>1.46</v>
      </c>
      <c r="FW15" s="727" t="s">
        <v>237</v>
      </c>
      <c r="FX15" s="756">
        <v>0.52</v>
      </c>
      <c r="FY15" s="727"/>
      <c r="FZ15" s="542" t="s">
        <v>1565</v>
      </c>
      <c r="GA15" s="727">
        <v>0.41</v>
      </c>
      <c r="GB15" s="727"/>
      <c r="GC15" s="727" t="s">
        <v>1774</v>
      </c>
      <c r="GD15" s="727">
        <v>3.08</v>
      </c>
      <c r="GE15" s="727">
        <v>0.62</v>
      </c>
      <c r="GG15" s="1205" t="s">
        <v>608</v>
      </c>
      <c r="GH15" s="1205"/>
      <c r="GI15" s="1205"/>
      <c r="GK15" s="1205" t="s">
        <v>609</v>
      </c>
      <c r="GL15" s="1205"/>
      <c r="GM15" s="1205"/>
      <c r="GO15" s="1205" t="s">
        <v>608</v>
      </c>
      <c r="GP15" s="1205"/>
      <c r="GQ15" s="1205"/>
      <c r="GR15" s="731"/>
      <c r="GS15" s="1205" t="s">
        <v>609</v>
      </c>
      <c r="GT15" s="1205"/>
      <c r="GU15" s="1205"/>
      <c r="GW15" s="1269" t="s">
        <v>2041</v>
      </c>
      <c r="GX15" s="1269"/>
      <c r="GY15" s="1269"/>
      <c r="GZ15" s="1269"/>
      <c r="HA15" s="1269"/>
      <c r="HB15" s="1269"/>
      <c r="HC15" s="1269"/>
    </row>
    <row r="16" spans="2:219" ht="16">
      <c r="B16" s="734" t="s">
        <v>27</v>
      </c>
      <c r="C16" s="733" t="s">
        <v>37</v>
      </c>
      <c r="D16" s="539">
        <v>38.770000000000003</v>
      </c>
      <c r="E16" s="539">
        <v>62.6</v>
      </c>
      <c r="F16" s="539">
        <v>10</v>
      </c>
      <c r="G16" s="539" t="s">
        <v>38</v>
      </c>
      <c r="H16" s="539">
        <v>-3.5</v>
      </c>
      <c r="I16" s="539">
        <v>8.6</v>
      </c>
      <c r="J16" s="539">
        <v>22.5</v>
      </c>
      <c r="K16" s="539">
        <v>34.200000000000003</v>
      </c>
      <c r="L16" s="539">
        <v>0</v>
      </c>
      <c r="M16" s="539">
        <v>71</v>
      </c>
      <c r="N16" s="539">
        <v>52</v>
      </c>
      <c r="O16" s="539">
        <v>31</v>
      </c>
      <c r="P16" s="539">
        <v>66</v>
      </c>
      <c r="Q16" s="734">
        <v>4</v>
      </c>
      <c r="R16" s="539">
        <v>21.9</v>
      </c>
      <c r="S16" s="734">
        <v>0.53</v>
      </c>
      <c r="T16" s="734">
        <v>36.9</v>
      </c>
      <c r="U16" s="734">
        <v>3.4</v>
      </c>
      <c r="V16" s="734">
        <v>185</v>
      </c>
      <c r="W16" s="734">
        <v>41</v>
      </c>
      <c r="X16" s="734">
        <v>1.4E-2</v>
      </c>
      <c r="Y16" s="734">
        <v>1.9E-2</v>
      </c>
      <c r="Z16" s="547">
        <v>130</v>
      </c>
      <c r="AA16" s="547">
        <f t="shared" si="0"/>
        <v>1.3</v>
      </c>
      <c r="AB16" s="734">
        <v>35</v>
      </c>
      <c r="AC16" s="538"/>
      <c r="AD16" s="733" t="str">
        <f t="shared" si="3"/>
        <v>ARGERICH</v>
      </c>
      <c r="AE16" s="737">
        <v>23.5</v>
      </c>
      <c r="AF16" s="737">
        <v>22.6</v>
      </c>
      <c r="AG16" s="737">
        <v>20</v>
      </c>
      <c r="AH16" s="737">
        <v>15.5</v>
      </c>
      <c r="AI16" s="737">
        <v>11.7</v>
      </c>
      <c r="AJ16" s="737">
        <v>8.5</v>
      </c>
      <c r="AK16" s="737">
        <v>8.1999999999999993</v>
      </c>
      <c r="AL16" s="737">
        <v>9.8000000000000007</v>
      </c>
      <c r="AM16" s="737">
        <v>12</v>
      </c>
      <c r="AN16" s="737">
        <v>15.3</v>
      </c>
      <c r="AO16" s="737">
        <v>19</v>
      </c>
      <c r="AP16" s="737">
        <v>21.8</v>
      </c>
      <c r="AQ16" s="538"/>
      <c r="AR16" s="733" t="str">
        <f t="shared" si="1"/>
        <v>BAP</v>
      </c>
      <c r="AS16" s="733" t="str">
        <f t="shared" si="4"/>
        <v>ARGERICH</v>
      </c>
      <c r="AT16" s="731">
        <v>6.5</v>
      </c>
      <c r="AU16" s="731">
        <v>6</v>
      </c>
      <c r="AV16" s="731">
        <v>4.5</v>
      </c>
      <c r="AW16" s="731">
        <v>3</v>
      </c>
      <c r="AX16" s="731">
        <v>2</v>
      </c>
      <c r="AY16" s="731">
        <v>1.5</v>
      </c>
      <c r="AZ16" s="731">
        <v>1.5</v>
      </c>
      <c r="BA16" s="731">
        <v>2.5</v>
      </c>
      <c r="BB16" s="731">
        <v>3.5</v>
      </c>
      <c r="BC16" s="731">
        <v>5</v>
      </c>
      <c r="BD16" s="731">
        <v>6</v>
      </c>
      <c r="BE16" s="731">
        <v>7</v>
      </c>
      <c r="BG16" s="733" t="str">
        <f t="shared" si="5"/>
        <v>BAP</v>
      </c>
      <c r="BH16" s="733" t="str">
        <f t="shared" si="6"/>
        <v>ARGERICH</v>
      </c>
      <c r="BI16" s="731">
        <v>104</v>
      </c>
      <c r="BJ16" s="731">
        <v>98</v>
      </c>
      <c r="BK16" s="731">
        <v>115</v>
      </c>
      <c r="BL16" s="731">
        <v>97</v>
      </c>
      <c r="BM16" s="731">
        <v>80</v>
      </c>
      <c r="BN16" s="731">
        <v>61</v>
      </c>
      <c r="BO16" s="731">
        <v>59</v>
      </c>
      <c r="BP16" s="731">
        <v>63</v>
      </c>
      <c r="BQ16" s="731">
        <v>68</v>
      </c>
      <c r="BR16" s="731">
        <v>104</v>
      </c>
      <c r="BS16" s="731">
        <v>98</v>
      </c>
      <c r="BT16" s="731">
        <v>93</v>
      </c>
      <c r="BV16" s="731" t="s">
        <v>1832</v>
      </c>
      <c r="BW16" s="731">
        <v>31.4</v>
      </c>
      <c r="BX16" s="739">
        <v>11</v>
      </c>
      <c r="BY16" s="739">
        <v>50</v>
      </c>
      <c r="BZ16" s="731">
        <v>11</v>
      </c>
      <c r="CA16" s="739">
        <v>2</v>
      </c>
      <c r="CB16" s="739">
        <v>60</v>
      </c>
      <c r="CC16" s="731">
        <v>50</v>
      </c>
      <c r="CD16" s="731"/>
      <c r="CE16" s="739"/>
      <c r="CF16" s="739">
        <v>65</v>
      </c>
      <c r="CG16" s="731">
        <v>60</v>
      </c>
      <c r="CH16" s="731"/>
      <c r="CI16" s="739"/>
      <c r="CJ16" s="739">
        <v>70</v>
      </c>
      <c r="CK16" s="731">
        <v>65</v>
      </c>
      <c r="CL16" s="731"/>
      <c r="CM16" s="739"/>
      <c r="CN16" s="739">
        <v>75</v>
      </c>
      <c r="CO16" s="731">
        <v>70</v>
      </c>
      <c r="CP16" s="731"/>
      <c r="CQ16" s="739">
        <v>80</v>
      </c>
      <c r="CR16" s="731">
        <v>75</v>
      </c>
      <c r="CS16" s="731"/>
      <c r="CT16" s="739">
        <v>85</v>
      </c>
      <c r="CU16" s="731">
        <v>80</v>
      </c>
      <c r="CW16" s="734" t="s">
        <v>27</v>
      </c>
      <c r="CX16" s="733" t="s">
        <v>46</v>
      </c>
      <c r="CY16" s="538"/>
      <c r="DB16" s="538"/>
      <c r="DC16" s="734" t="s">
        <v>73</v>
      </c>
      <c r="DD16" s="733" t="s">
        <v>84</v>
      </c>
      <c r="DE16" s="538"/>
      <c r="DF16" s="538"/>
      <c r="DG16" s="538"/>
      <c r="DH16" s="538"/>
      <c r="DI16" s="538"/>
      <c r="DJ16" s="538"/>
      <c r="DK16" s="538"/>
      <c r="DL16" s="538"/>
      <c r="DM16" s="538"/>
      <c r="DN16" s="538"/>
      <c r="DU16" s="538"/>
      <c r="DV16" s="538"/>
      <c r="DW16" s="538"/>
      <c r="DX16" s="538"/>
      <c r="DY16" s="538"/>
      <c r="DZ16" s="538"/>
      <c r="EA16" s="538"/>
      <c r="EB16" s="538"/>
      <c r="EH16" s="538"/>
      <c r="EI16" s="538"/>
      <c r="EJ16" s="538"/>
      <c r="EK16" s="538"/>
      <c r="EL16" s="538"/>
      <c r="EM16" s="538"/>
      <c r="EN16" s="538"/>
      <c r="EO16" s="538"/>
      <c r="EP16" s="538"/>
      <c r="EQ16" s="538"/>
      <c r="ER16" s="538"/>
      <c r="ES16" s="538"/>
      <c r="ET16" s="538"/>
      <c r="EU16" s="538"/>
      <c r="EV16" s="538"/>
      <c r="EW16" s="538"/>
      <c r="EX16" s="538"/>
      <c r="EY16" s="538"/>
      <c r="EZ16" s="538"/>
      <c r="FA16" s="538"/>
      <c r="FB16" s="538"/>
      <c r="FC16" s="538"/>
      <c r="FD16" s="538"/>
      <c r="FE16" s="538"/>
      <c r="FF16" s="538"/>
      <c r="FG16" s="538"/>
      <c r="FH16" s="538"/>
      <c r="FI16" s="538"/>
      <c r="FJ16" s="538"/>
      <c r="FK16" s="538"/>
      <c r="FL16" s="538"/>
      <c r="FM16" s="538"/>
      <c r="FN16" s="727" t="s">
        <v>125</v>
      </c>
      <c r="FO16" s="734" t="s">
        <v>122</v>
      </c>
      <c r="FP16" s="734"/>
      <c r="FQ16" s="727" t="s">
        <v>1711</v>
      </c>
      <c r="FR16" s="727">
        <v>0.84</v>
      </c>
      <c r="FS16" s="727">
        <v>0.79</v>
      </c>
      <c r="FT16" s="727"/>
      <c r="FU16" s="727" t="s">
        <v>1712</v>
      </c>
      <c r="FV16" s="756">
        <v>0.48</v>
      </c>
      <c r="FW16" s="727" t="s">
        <v>239</v>
      </c>
      <c r="FX16" s="756">
        <v>0.39</v>
      </c>
      <c r="FY16" s="727"/>
      <c r="FZ16" s="542" t="s">
        <v>1583</v>
      </c>
      <c r="GA16" s="727">
        <v>0.91</v>
      </c>
      <c r="GB16" s="727"/>
      <c r="GC16" s="727" t="s">
        <v>1775</v>
      </c>
      <c r="GD16" s="727">
        <v>3.08</v>
      </c>
      <c r="GE16" s="727">
        <v>0.62</v>
      </c>
      <c r="GH16" s="731" t="s">
        <v>623</v>
      </c>
      <c r="GI16" s="732" t="s">
        <v>606</v>
      </c>
      <c r="GL16" s="731" t="s">
        <v>623</v>
      </c>
      <c r="GM16" s="732" t="s">
        <v>606</v>
      </c>
      <c r="GO16" s="731"/>
      <c r="GP16" s="731" t="s">
        <v>623</v>
      </c>
      <c r="GQ16" s="732" t="s">
        <v>605</v>
      </c>
      <c r="GR16" s="731"/>
      <c r="GS16" s="731"/>
      <c r="GT16" s="731" t="s">
        <v>623</v>
      </c>
      <c r="GU16" s="732" t="s">
        <v>605</v>
      </c>
      <c r="GW16" s="1205" t="s">
        <v>592</v>
      </c>
      <c r="GX16" s="1205"/>
      <c r="GY16" s="1205"/>
      <c r="GZ16" s="731"/>
      <c r="HA16" s="1205" t="s">
        <v>2065</v>
      </c>
      <c r="HB16" s="1205"/>
      <c r="HC16" s="1205"/>
    </row>
    <row r="17" spans="2:211" ht="34">
      <c r="B17" s="734" t="s">
        <v>27</v>
      </c>
      <c r="C17" s="733" t="s">
        <v>39</v>
      </c>
      <c r="D17" s="539">
        <v>36.75</v>
      </c>
      <c r="E17" s="539">
        <v>59.83</v>
      </c>
      <c r="F17" s="539">
        <v>132</v>
      </c>
      <c r="G17" s="539" t="s">
        <v>38</v>
      </c>
      <c r="H17" s="539">
        <v>-3</v>
      </c>
      <c r="I17" s="539">
        <v>7.7</v>
      </c>
      <c r="J17" s="539">
        <v>20.100000000000001</v>
      </c>
      <c r="K17" s="539">
        <v>31.7</v>
      </c>
      <c r="L17" s="539">
        <v>78</v>
      </c>
      <c r="M17" s="539">
        <v>84</v>
      </c>
      <c r="N17" s="539">
        <v>73</v>
      </c>
      <c r="O17" s="539">
        <v>42</v>
      </c>
      <c r="P17" s="539">
        <v>94</v>
      </c>
      <c r="Q17" s="734">
        <v>4</v>
      </c>
      <c r="R17" s="539">
        <v>19.899999999999999</v>
      </c>
      <c r="S17" s="734">
        <v>0.53</v>
      </c>
      <c r="T17" s="734">
        <v>36.9</v>
      </c>
      <c r="U17" s="734">
        <v>3.4</v>
      </c>
      <c r="V17" s="734">
        <v>185</v>
      </c>
      <c r="W17" s="734">
        <v>41</v>
      </c>
      <c r="X17" s="734">
        <v>1.4E-2</v>
      </c>
      <c r="Y17" s="734">
        <v>1.9E-2</v>
      </c>
      <c r="Z17" s="547">
        <v>130</v>
      </c>
      <c r="AA17" s="547">
        <f t="shared" si="0"/>
        <v>1.3</v>
      </c>
      <c r="AB17" s="734">
        <v>35</v>
      </c>
      <c r="AC17" s="538"/>
      <c r="AD17" s="733" t="str">
        <f t="shared" si="3"/>
        <v>AZUL</v>
      </c>
      <c r="AE17" s="737">
        <v>21</v>
      </c>
      <c r="AF17" s="737">
        <v>19.899999999999999</v>
      </c>
      <c r="AG17" s="737">
        <v>17.8</v>
      </c>
      <c r="AH17" s="737">
        <v>13.9</v>
      </c>
      <c r="AI17" s="737">
        <v>10.6</v>
      </c>
      <c r="AJ17" s="737">
        <v>7.4</v>
      </c>
      <c r="AK17" s="737">
        <v>7.4</v>
      </c>
      <c r="AL17" s="737">
        <v>8.3000000000000007</v>
      </c>
      <c r="AM17" s="737">
        <v>11</v>
      </c>
      <c r="AN17" s="737">
        <v>13.7</v>
      </c>
      <c r="AO17" s="737">
        <v>16.399999999999999</v>
      </c>
      <c r="AP17" s="737">
        <v>19.899999999999999</v>
      </c>
      <c r="AQ17" s="538"/>
      <c r="AR17" s="733" t="str">
        <f t="shared" si="1"/>
        <v>BAP</v>
      </c>
      <c r="AS17" s="733" t="str">
        <f t="shared" si="4"/>
        <v>AZUL</v>
      </c>
      <c r="AT17" s="731">
        <v>6.5</v>
      </c>
      <c r="AU17" s="731">
        <v>6</v>
      </c>
      <c r="AV17" s="731">
        <v>4.5</v>
      </c>
      <c r="AW17" s="731">
        <v>3</v>
      </c>
      <c r="AX17" s="731">
        <v>2</v>
      </c>
      <c r="AY17" s="731">
        <v>1.5</v>
      </c>
      <c r="AZ17" s="731">
        <v>1.5</v>
      </c>
      <c r="BA17" s="731">
        <v>2.5</v>
      </c>
      <c r="BB17" s="731">
        <v>3.5</v>
      </c>
      <c r="BC17" s="731">
        <v>5</v>
      </c>
      <c r="BD17" s="731">
        <v>6</v>
      </c>
      <c r="BE17" s="731">
        <v>6.5</v>
      </c>
      <c r="BG17" s="733" t="str">
        <f t="shared" si="5"/>
        <v>BAP</v>
      </c>
      <c r="BH17" s="733" t="str">
        <f t="shared" si="6"/>
        <v>AZUL</v>
      </c>
      <c r="BI17" s="731">
        <v>104</v>
      </c>
      <c r="BJ17" s="731">
        <v>98</v>
      </c>
      <c r="BK17" s="731">
        <v>115</v>
      </c>
      <c r="BL17" s="731">
        <v>97</v>
      </c>
      <c r="BM17" s="731">
        <v>80</v>
      </c>
      <c r="BN17" s="731">
        <v>61</v>
      </c>
      <c r="BO17" s="731">
        <v>59</v>
      </c>
      <c r="BP17" s="731">
        <v>63</v>
      </c>
      <c r="BQ17" s="731">
        <v>68</v>
      </c>
      <c r="BR17" s="731">
        <v>104</v>
      </c>
      <c r="BS17" s="731">
        <v>98</v>
      </c>
      <c r="BT17" s="731">
        <v>93</v>
      </c>
      <c r="BV17" s="731" t="s">
        <v>174</v>
      </c>
      <c r="BW17" s="731">
        <v>31.57</v>
      </c>
      <c r="BX17" s="549">
        <v>5</v>
      </c>
      <c r="BY17" s="549">
        <v>47</v>
      </c>
      <c r="BZ17" s="542">
        <v>5</v>
      </c>
      <c r="CA17" s="549">
        <v>-4</v>
      </c>
      <c r="CB17" s="549">
        <v>55</v>
      </c>
      <c r="CC17" s="542">
        <v>47</v>
      </c>
      <c r="CD17" s="542"/>
      <c r="CE17" s="549"/>
      <c r="CF17" s="549">
        <v>61</v>
      </c>
      <c r="CG17" s="731">
        <v>55</v>
      </c>
      <c r="CH17" s="731"/>
      <c r="CI17" s="739"/>
      <c r="CJ17" s="739">
        <v>68</v>
      </c>
      <c r="CK17" s="731">
        <v>61</v>
      </c>
      <c r="CL17" s="731"/>
      <c r="CM17" s="739"/>
      <c r="CN17" s="739">
        <v>72</v>
      </c>
      <c r="CO17" s="731">
        <v>68</v>
      </c>
      <c r="CP17" s="731"/>
      <c r="CQ17" s="739">
        <v>79</v>
      </c>
      <c r="CR17" s="731">
        <v>72</v>
      </c>
      <c r="CS17" s="731"/>
      <c r="CT17" s="739">
        <v>81</v>
      </c>
      <c r="CU17" s="731">
        <v>79</v>
      </c>
      <c r="CW17" s="734" t="s">
        <v>27</v>
      </c>
      <c r="CX17" s="733" t="s">
        <v>30</v>
      </c>
      <c r="CY17" s="538"/>
      <c r="CZ17" s="538"/>
      <c r="DA17" s="538"/>
      <c r="DB17" s="538"/>
      <c r="DC17" s="734" t="s">
        <v>73</v>
      </c>
      <c r="DD17" s="733" t="s">
        <v>85</v>
      </c>
      <c r="DE17" s="538"/>
      <c r="DF17" s="538"/>
      <c r="DG17" s="538"/>
      <c r="DH17" s="538"/>
      <c r="DI17" s="538"/>
      <c r="DJ17" s="538"/>
      <c r="DK17" s="538"/>
      <c r="DL17" s="538"/>
      <c r="DM17" s="538"/>
      <c r="DN17" s="538"/>
      <c r="DU17" s="538"/>
      <c r="DV17" s="538"/>
      <c r="DW17" s="538"/>
      <c r="DX17" s="538"/>
      <c r="DY17" s="538"/>
      <c r="DZ17" s="538"/>
      <c r="EA17" s="538"/>
      <c r="EB17" s="538"/>
      <c r="EH17" s="538"/>
      <c r="EI17" s="538"/>
      <c r="EJ17" s="538"/>
      <c r="EK17" s="538"/>
      <c r="EL17" s="538"/>
      <c r="EM17" s="538"/>
      <c r="EN17" s="538"/>
      <c r="EO17" s="538"/>
      <c r="EP17" s="538"/>
      <c r="EQ17" s="538"/>
      <c r="ER17" s="538"/>
      <c r="ES17" s="538"/>
      <c r="ET17" s="538"/>
      <c r="EU17" s="538"/>
      <c r="EV17" s="538"/>
      <c r="EW17" s="538"/>
      <c r="EX17" s="538"/>
      <c r="EY17" s="538"/>
      <c r="EZ17" s="538"/>
      <c r="FA17" s="538"/>
      <c r="FB17" s="538"/>
      <c r="FC17" s="538"/>
      <c r="FD17" s="538"/>
      <c r="FE17" s="538"/>
      <c r="FF17" s="538"/>
      <c r="FG17" s="538"/>
      <c r="FH17" s="538"/>
      <c r="FI17" s="538"/>
      <c r="FJ17" s="538"/>
      <c r="FK17" s="538"/>
      <c r="FL17" s="538"/>
      <c r="FM17" s="538"/>
      <c r="FN17" s="727" t="s">
        <v>1836</v>
      </c>
      <c r="FO17" s="734" t="s">
        <v>128</v>
      </c>
      <c r="FP17" s="734"/>
      <c r="FQ17" s="727" t="s">
        <v>1713</v>
      </c>
      <c r="FR17" s="727">
        <v>1.81</v>
      </c>
      <c r="FS17" s="727">
        <v>1.61</v>
      </c>
      <c r="FT17" s="727"/>
      <c r="FU17" s="727" t="s">
        <v>1714</v>
      </c>
      <c r="FV17" s="756">
        <v>0.32</v>
      </c>
      <c r="FW17" s="729" t="s">
        <v>1715</v>
      </c>
      <c r="FX17" s="756">
        <v>2.2599999999999998</v>
      </c>
      <c r="FY17" s="727"/>
      <c r="FZ17" s="543" t="s">
        <v>1589</v>
      </c>
      <c r="GA17" s="727">
        <v>1.24</v>
      </c>
      <c r="GB17" s="727"/>
      <c r="GC17" s="727" t="s">
        <v>1636</v>
      </c>
      <c r="GD17" s="727">
        <v>3.3</v>
      </c>
      <c r="GE17" s="727">
        <v>0.6</v>
      </c>
      <c r="GH17" s="731" t="s">
        <v>2068</v>
      </c>
      <c r="GI17" s="731">
        <v>20</v>
      </c>
      <c r="GL17" s="731" t="s">
        <v>2068</v>
      </c>
      <c r="GM17" s="731">
        <v>24</v>
      </c>
      <c r="GO17" s="731"/>
      <c r="GP17" s="731" t="s">
        <v>2068</v>
      </c>
      <c r="GQ17" s="731">
        <v>7</v>
      </c>
      <c r="GR17" s="731"/>
      <c r="GS17" s="731"/>
      <c r="GT17" s="731" t="s">
        <v>2068</v>
      </c>
      <c r="GU17" s="731">
        <v>12</v>
      </c>
      <c r="GW17" s="731"/>
      <c r="GX17" s="731" t="s">
        <v>2064</v>
      </c>
      <c r="GY17" s="740" t="s">
        <v>644</v>
      </c>
      <c r="GZ17" s="731"/>
      <c r="HA17" s="731"/>
      <c r="HB17" s="731" t="s">
        <v>2064</v>
      </c>
      <c r="HC17" s="731" t="s">
        <v>1221</v>
      </c>
    </row>
    <row r="18" spans="2:211" ht="16">
      <c r="B18" s="734" t="s">
        <v>27</v>
      </c>
      <c r="C18" s="733" t="s">
        <v>1258</v>
      </c>
      <c r="D18" s="539">
        <v>38.729999999999997</v>
      </c>
      <c r="E18" s="539">
        <v>62.18</v>
      </c>
      <c r="F18" s="539">
        <v>83</v>
      </c>
      <c r="G18" s="539" t="s">
        <v>38</v>
      </c>
      <c r="H18" s="539">
        <v>-1.5</v>
      </c>
      <c r="I18" s="539">
        <v>8.4</v>
      </c>
      <c r="J18" s="539">
        <v>21.7</v>
      </c>
      <c r="K18" s="539">
        <v>33</v>
      </c>
      <c r="L18" s="539">
        <v>51</v>
      </c>
      <c r="M18" s="539">
        <v>70</v>
      </c>
      <c r="N18" s="539">
        <v>51</v>
      </c>
      <c r="O18" s="539">
        <v>28</v>
      </c>
      <c r="P18" s="539">
        <v>62</v>
      </c>
      <c r="Q18" s="734">
        <v>4</v>
      </c>
      <c r="R18" s="539">
        <v>21.6</v>
      </c>
      <c r="S18" s="734">
        <v>0.53</v>
      </c>
      <c r="T18" s="734">
        <v>35.799999999999997</v>
      </c>
      <c r="U18" s="734">
        <v>6</v>
      </c>
      <c r="V18" s="734">
        <v>203</v>
      </c>
      <c r="W18" s="734">
        <v>99</v>
      </c>
      <c r="X18" s="734">
        <v>3.1E-2</v>
      </c>
      <c r="Y18" s="734">
        <v>3.5999999999999997E-2</v>
      </c>
      <c r="Z18" s="547">
        <v>130</v>
      </c>
      <c r="AA18" s="547">
        <f t="shared" si="0"/>
        <v>1.3</v>
      </c>
      <c r="AB18" s="734">
        <v>35</v>
      </c>
      <c r="AC18" s="538"/>
      <c r="AD18" s="733" t="str">
        <f t="shared" si="3"/>
        <v>BAHÍA BLANCA</v>
      </c>
      <c r="AE18" s="737">
        <v>23.6</v>
      </c>
      <c r="AF18" s="737">
        <v>22.3</v>
      </c>
      <c r="AG18" s="737">
        <v>19.899999999999999</v>
      </c>
      <c r="AH18" s="737">
        <v>15.6</v>
      </c>
      <c r="AI18" s="737">
        <v>12</v>
      </c>
      <c r="AJ18" s="737">
        <v>8.6999999999999993</v>
      </c>
      <c r="AK18" s="737">
        <v>8.6</v>
      </c>
      <c r="AL18" s="737">
        <v>9.9</v>
      </c>
      <c r="AM18" s="737">
        <v>12</v>
      </c>
      <c r="AN18" s="737">
        <v>15.2</v>
      </c>
      <c r="AO18" s="737">
        <v>18.899999999999999</v>
      </c>
      <c r="AP18" s="737">
        <v>21.8</v>
      </c>
      <c r="AQ18" s="538"/>
      <c r="AR18" s="733" t="str">
        <f t="shared" si="1"/>
        <v>BAP</v>
      </c>
      <c r="AS18" s="733" t="str">
        <f t="shared" si="4"/>
        <v>BAHÍA BLANCA</v>
      </c>
      <c r="AT18" s="731">
        <v>6.5</v>
      </c>
      <c r="AU18" s="731">
        <v>5.5</v>
      </c>
      <c r="AV18" s="731">
        <v>4.5</v>
      </c>
      <c r="AW18" s="731">
        <v>3</v>
      </c>
      <c r="AX18" s="731">
        <v>2</v>
      </c>
      <c r="AY18" s="731">
        <v>1.5</v>
      </c>
      <c r="AZ18" s="731">
        <v>1.5</v>
      </c>
      <c r="BA18" s="731">
        <v>2.5</v>
      </c>
      <c r="BB18" s="731">
        <v>3.5</v>
      </c>
      <c r="BC18" s="731">
        <v>5</v>
      </c>
      <c r="BD18" s="731">
        <v>6</v>
      </c>
      <c r="BE18" s="731">
        <v>7</v>
      </c>
      <c r="BG18" s="733" t="str">
        <f t="shared" si="5"/>
        <v>BAP</v>
      </c>
      <c r="BH18" s="733" t="str">
        <f t="shared" si="6"/>
        <v>BAHÍA BLANCA</v>
      </c>
      <c r="BI18" s="731">
        <v>104</v>
      </c>
      <c r="BJ18" s="731">
        <v>98</v>
      </c>
      <c r="BK18" s="731">
        <v>115</v>
      </c>
      <c r="BL18" s="731">
        <v>97</v>
      </c>
      <c r="BM18" s="731">
        <v>80</v>
      </c>
      <c r="BN18" s="731">
        <v>61</v>
      </c>
      <c r="BO18" s="731">
        <v>59</v>
      </c>
      <c r="BP18" s="731">
        <v>63</v>
      </c>
      <c r="BQ18" s="731">
        <v>68</v>
      </c>
      <c r="BR18" s="731">
        <v>104</v>
      </c>
      <c r="BS18" s="731">
        <v>98</v>
      </c>
      <c r="BT18" s="731">
        <v>93</v>
      </c>
      <c r="BV18" s="731" t="s">
        <v>179</v>
      </c>
      <c r="BW18" s="731">
        <v>31.62</v>
      </c>
      <c r="BX18" s="549">
        <v>11</v>
      </c>
      <c r="BY18" s="549">
        <v>50</v>
      </c>
      <c r="BZ18" s="542">
        <v>11</v>
      </c>
      <c r="CA18" s="549">
        <v>0</v>
      </c>
      <c r="CB18" s="549">
        <v>61</v>
      </c>
      <c r="CC18" s="542">
        <v>55</v>
      </c>
      <c r="CD18" s="542"/>
      <c r="CE18" s="549"/>
      <c r="CF18" s="549">
        <v>65</v>
      </c>
      <c r="CG18" s="731">
        <v>61</v>
      </c>
      <c r="CH18" s="731"/>
      <c r="CI18" s="739"/>
      <c r="CJ18" s="739">
        <v>74</v>
      </c>
      <c r="CK18" s="731">
        <v>65</v>
      </c>
      <c r="CL18" s="731"/>
      <c r="CM18" s="739"/>
      <c r="CN18" s="739">
        <v>78</v>
      </c>
      <c r="CO18" s="731">
        <v>74</v>
      </c>
      <c r="CP18" s="731"/>
      <c r="CQ18" s="739">
        <v>82</v>
      </c>
      <c r="CR18" s="731">
        <v>78</v>
      </c>
      <c r="CS18" s="731"/>
      <c r="CT18" s="739">
        <v>85</v>
      </c>
      <c r="CU18" s="731">
        <v>82</v>
      </c>
      <c r="CW18" s="734" t="s">
        <v>27</v>
      </c>
      <c r="CX18" s="733" t="s">
        <v>31</v>
      </c>
      <c r="CY18" s="538"/>
      <c r="CZ18" s="538"/>
      <c r="DA18" s="538"/>
      <c r="DB18" s="538"/>
      <c r="DC18" s="734" t="s">
        <v>73</v>
      </c>
      <c r="DD18" s="733" t="s">
        <v>1267</v>
      </c>
      <c r="DE18" s="538"/>
      <c r="DF18" s="538"/>
      <c r="DG18" s="538"/>
      <c r="DH18" s="538"/>
      <c r="DI18" s="538"/>
      <c r="DJ18" s="538"/>
      <c r="DK18" s="538"/>
      <c r="DL18" s="538"/>
      <c r="DM18" s="538"/>
      <c r="DN18" s="538"/>
      <c r="DU18" s="538"/>
      <c r="DV18" s="538"/>
      <c r="DW18" s="538"/>
      <c r="DX18" s="538"/>
      <c r="DY18" s="538"/>
      <c r="DZ18" s="538"/>
      <c r="EA18" s="538"/>
      <c r="EB18" s="538"/>
      <c r="EC18" s="538"/>
      <c r="ED18" s="538"/>
      <c r="EE18" s="538"/>
      <c r="EF18" s="538"/>
      <c r="EG18" s="538"/>
      <c r="EH18" s="538"/>
      <c r="EI18" s="538"/>
      <c r="EJ18" s="538"/>
      <c r="EK18" s="538"/>
      <c r="EL18" s="538"/>
      <c r="EM18" s="538"/>
      <c r="EN18" s="538"/>
      <c r="EO18" s="538"/>
      <c r="EP18" s="538"/>
      <c r="EQ18" s="538"/>
      <c r="ER18" s="538"/>
      <c r="ES18" s="538"/>
      <c r="ET18" s="538"/>
      <c r="EU18" s="538"/>
      <c r="EV18" s="538"/>
      <c r="EW18" s="538"/>
      <c r="EX18" s="538"/>
      <c r="EY18" s="538"/>
      <c r="EZ18" s="538"/>
      <c r="FA18" s="538"/>
      <c r="FB18" s="538"/>
      <c r="FC18" s="538"/>
      <c r="FD18" s="538"/>
      <c r="FE18" s="538"/>
      <c r="FF18" s="538"/>
      <c r="FG18" s="538"/>
      <c r="FH18" s="538"/>
      <c r="FI18" s="538"/>
      <c r="FJ18" s="538"/>
      <c r="FK18" s="538"/>
      <c r="FL18" s="538"/>
      <c r="FM18" s="538"/>
      <c r="FN18" s="727" t="s">
        <v>139</v>
      </c>
      <c r="FO18" s="734" t="s">
        <v>135</v>
      </c>
      <c r="FP18" s="734"/>
      <c r="FQ18" s="727" t="s">
        <v>1320</v>
      </c>
      <c r="FR18" s="756">
        <v>0.32</v>
      </c>
      <c r="FS18" s="727">
        <f>(1-((1/FR18)*0.07))/(1/FR18)</f>
        <v>0.25</v>
      </c>
      <c r="FT18" s="727"/>
      <c r="FU18" s="727" t="s">
        <v>1338</v>
      </c>
      <c r="FV18" s="756">
        <v>2.11</v>
      </c>
      <c r="FW18" s="542" t="s">
        <v>1585</v>
      </c>
      <c r="FX18" s="727">
        <v>0.75</v>
      </c>
      <c r="FY18" s="727"/>
      <c r="FZ18" s="542" t="s">
        <v>1598</v>
      </c>
      <c r="GA18" s="727">
        <v>0.90900000000000003</v>
      </c>
      <c r="GB18" s="727"/>
      <c r="GC18" s="727" t="s">
        <v>1637</v>
      </c>
      <c r="GD18" s="727">
        <v>3</v>
      </c>
      <c r="GE18" s="727">
        <v>0.6</v>
      </c>
      <c r="GH18" s="731" t="s">
        <v>612</v>
      </c>
      <c r="GI18" s="732" t="s">
        <v>615</v>
      </c>
      <c r="GL18" s="731" t="s">
        <v>612</v>
      </c>
      <c r="GM18" s="732" t="s">
        <v>615</v>
      </c>
      <c r="GO18" s="731"/>
      <c r="GP18" s="731" t="s">
        <v>612</v>
      </c>
      <c r="GQ18" s="732" t="s">
        <v>615</v>
      </c>
      <c r="GR18" s="731"/>
      <c r="GS18" s="731"/>
      <c r="GT18" s="731" t="s">
        <v>612</v>
      </c>
      <c r="GU18" s="732" t="s">
        <v>614</v>
      </c>
      <c r="GW18" s="731" t="s">
        <v>218</v>
      </c>
      <c r="GX18" s="731" t="s">
        <v>1216</v>
      </c>
      <c r="GY18" s="548" t="s">
        <v>728</v>
      </c>
      <c r="GZ18" s="731"/>
      <c r="HA18" s="731"/>
      <c r="HB18" s="731"/>
      <c r="HC18" s="731"/>
    </row>
    <row r="19" spans="2:211" ht="16">
      <c r="B19" s="734" t="s">
        <v>27</v>
      </c>
      <c r="C19" s="733" t="s">
        <v>40</v>
      </c>
      <c r="D19" s="539">
        <v>37.75</v>
      </c>
      <c r="E19" s="539">
        <v>58.3</v>
      </c>
      <c r="F19" s="539">
        <v>130</v>
      </c>
      <c r="G19" s="539" t="s">
        <v>38</v>
      </c>
      <c r="H19" s="539">
        <v>0</v>
      </c>
      <c r="I19" s="539">
        <v>8.1</v>
      </c>
      <c r="J19" s="539">
        <v>19.100000000000001</v>
      </c>
      <c r="K19" s="539">
        <v>30.1</v>
      </c>
      <c r="L19" s="539">
        <v>74</v>
      </c>
      <c r="M19" s="539">
        <v>85</v>
      </c>
      <c r="N19" s="539">
        <v>74</v>
      </c>
      <c r="O19" s="539">
        <v>53</v>
      </c>
      <c r="P19" s="539">
        <v>109</v>
      </c>
      <c r="Q19" s="734">
        <v>4</v>
      </c>
      <c r="R19" s="539">
        <v>19.2</v>
      </c>
      <c r="S19" s="734">
        <v>0.53</v>
      </c>
      <c r="T19" s="734">
        <v>36.9</v>
      </c>
      <c r="U19" s="734">
        <v>3.4</v>
      </c>
      <c r="V19" s="734">
        <v>185</v>
      </c>
      <c r="W19" s="734">
        <v>41</v>
      </c>
      <c r="X19" s="734">
        <v>1.4E-2</v>
      </c>
      <c r="Y19" s="734">
        <v>1.9E-2</v>
      </c>
      <c r="Z19" s="547">
        <v>130</v>
      </c>
      <c r="AA19" s="547">
        <f t="shared" si="0"/>
        <v>1.3</v>
      </c>
      <c r="AB19" s="734">
        <v>35</v>
      </c>
      <c r="AC19" s="538"/>
      <c r="AD19" s="733" t="str">
        <f t="shared" si="3"/>
        <v>BALCARCE</v>
      </c>
      <c r="AE19" s="737">
        <v>21.1</v>
      </c>
      <c r="AF19" s="737">
        <v>20.3</v>
      </c>
      <c r="AG19" s="737">
        <v>18.3</v>
      </c>
      <c r="AH19" s="737">
        <v>13.7</v>
      </c>
      <c r="AI19" s="737">
        <v>10.6</v>
      </c>
      <c r="AJ19" s="737">
        <v>8.1</v>
      </c>
      <c r="AK19" s="737">
        <v>7.6</v>
      </c>
      <c r="AL19" s="737">
        <v>8.6</v>
      </c>
      <c r="AM19" s="737">
        <v>10.3</v>
      </c>
      <c r="AN19" s="737">
        <v>13.3</v>
      </c>
      <c r="AO19" s="737">
        <v>16.8</v>
      </c>
      <c r="AP19" s="737">
        <v>18.7</v>
      </c>
      <c r="AQ19" s="538"/>
      <c r="AR19" s="733" t="str">
        <f t="shared" si="1"/>
        <v>BAP</v>
      </c>
      <c r="AS19" s="733" t="str">
        <f t="shared" si="4"/>
        <v>BALCARCE</v>
      </c>
      <c r="AT19" s="731">
        <v>6.5</v>
      </c>
      <c r="AU19" s="731">
        <v>6</v>
      </c>
      <c r="AV19" s="731">
        <v>4.5</v>
      </c>
      <c r="AW19" s="731">
        <v>3</v>
      </c>
      <c r="AX19" s="731">
        <v>2</v>
      </c>
      <c r="AY19" s="731">
        <v>1.5</v>
      </c>
      <c r="AZ19" s="731">
        <v>1.5</v>
      </c>
      <c r="BA19" s="731">
        <v>2.5</v>
      </c>
      <c r="BB19" s="731">
        <v>3.5</v>
      </c>
      <c r="BC19" s="731">
        <v>5</v>
      </c>
      <c r="BD19" s="731">
        <v>6</v>
      </c>
      <c r="BE19" s="731">
        <v>6.5</v>
      </c>
      <c r="BG19" s="733" t="str">
        <f t="shared" si="5"/>
        <v>BAP</v>
      </c>
      <c r="BH19" s="733" t="str">
        <f t="shared" si="6"/>
        <v>BALCARCE</v>
      </c>
      <c r="BI19" s="731">
        <v>104</v>
      </c>
      <c r="BJ19" s="731">
        <v>98</v>
      </c>
      <c r="BK19" s="731">
        <v>115</v>
      </c>
      <c r="BL19" s="731">
        <v>97</v>
      </c>
      <c r="BM19" s="731">
        <v>80</v>
      </c>
      <c r="BN19" s="731">
        <v>61</v>
      </c>
      <c r="BO19" s="731">
        <v>59</v>
      </c>
      <c r="BP19" s="731">
        <v>63</v>
      </c>
      <c r="BQ19" s="731">
        <v>68</v>
      </c>
      <c r="BR19" s="731">
        <v>104</v>
      </c>
      <c r="BS19" s="731">
        <v>98</v>
      </c>
      <c r="BT19" s="731">
        <v>93</v>
      </c>
      <c r="BV19" s="731" t="s">
        <v>1835</v>
      </c>
      <c r="BW19" s="731">
        <v>31.83</v>
      </c>
      <c r="BX19" s="739">
        <v>11</v>
      </c>
      <c r="BY19" s="549">
        <v>51</v>
      </c>
      <c r="BZ19" s="542">
        <v>11</v>
      </c>
      <c r="CA19" s="549">
        <v>2</v>
      </c>
      <c r="CB19" s="549">
        <v>60</v>
      </c>
      <c r="CC19" s="542">
        <v>51</v>
      </c>
      <c r="CD19" s="542"/>
      <c r="CE19" s="549"/>
      <c r="CF19" s="549">
        <v>68</v>
      </c>
      <c r="CG19" s="731">
        <v>60</v>
      </c>
      <c r="CH19" s="731"/>
      <c r="CI19" s="739"/>
      <c r="CJ19" s="739">
        <v>72</v>
      </c>
      <c r="CK19" s="731">
        <v>68</v>
      </c>
      <c r="CL19" s="731"/>
      <c r="CM19" s="739"/>
      <c r="CN19" s="739">
        <v>79</v>
      </c>
      <c r="CO19" s="731">
        <v>72</v>
      </c>
      <c r="CP19" s="731"/>
      <c r="CQ19" s="739">
        <v>82</v>
      </c>
      <c r="CR19" s="731">
        <v>79</v>
      </c>
      <c r="CS19" s="731"/>
      <c r="CT19" s="739">
        <v>90</v>
      </c>
      <c r="CU19" s="731">
        <v>82</v>
      </c>
      <c r="CW19" s="734" t="s">
        <v>27</v>
      </c>
      <c r="CX19" s="733" t="s">
        <v>32</v>
      </c>
      <c r="CY19" s="538"/>
      <c r="DB19" s="538"/>
      <c r="DC19" s="538"/>
      <c r="DD19" s="538"/>
      <c r="DE19" s="538"/>
      <c r="DF19" s="538"/>
      <c r="DG19" s="538"/>
      <c r="DH19" s="538"/>
      <c r="DI19" s="538"/>
      <c r="DJ19" s="538"/>
      <c r="DK19" s="538"/>
      <c r="DL19" s="538"/>
      <c r="DM19" s="538"/>
      <c r="DN19" s="538"/>
      <c r="DU19" s="538"/>
      <c r="DV19" s="538"/>
      <c r="DW19" s="538"/>
      <c r="DX19" s="538"/>
      <c r="DY19" s="538"/>
      <c r="DZ19" s="538"/>
      <c r="EA19" s="538"/>
      <c r="EB19" s="538"/>
      <c r="EC19" s="538"/>
      <c r="ED19" s="538"/>
      <c r="EE19" s="538"/>
      <c r="EF19" s="538"/>
      <c r="EG19" s="538"/>
      <c r="EH19" s="538"/>
      <c r="EI19" s="538"/>
      <c r="EJ19" s="538"/>
      <c r="EK19" s="538"/>
      <c r="EL19" s="538"/>
      <c r="EM19" s="538"/>
      <c r="EN19" s="538"/>
      <c r="EO19" s="538"/>
      <c r="EP19" s="538"/>
      <c r="EQ19" s="538"/>
      <c r="ER19" s="538"/>
      <c r="ES19" s="538"/>
      <c r="ET19" s="538"/>
      <c r="EU19" s="538"/>
      <c r="EV19" s="538"/>
      <c r="EW19" s="538"/>
      <c r="EX19" s="538"/>
      <c r="EY19" s="538"/>
      <c r="EZ19" s="538"/>
      <c r="FA19" s="538"/>
      <c r="FB19" s="538"/>
      <c r="FC19" s="538"/>
      <c r="FD19" s="538"/>
      <c r="FE19" s="538"/>
      <c r="FF19" s="538"/>
      <c r="FG19" s="538"/>
      <c r="FH19" s="538"/>
      <c r="FI19" s="538"/>
      <c r="FJ19" s="538"/>
      <c r="FK19" s="538"/>
      <c r="FL19" s="538"/>
      <c r="FM19" s="538"/>
      <c r="FN19" s="727" t="s">
        <v>148</v>
      </c>
      <c r="FO19" s="734" t="s">
        <v>140</v>
      </c>
      <c r="FP19" s="734"/>
      <c r="FQ19" s="727" t="s">
        <v>1321</v>
      </c>
      <c r="FR19" s="756">
        <v>0.23</v>
      </c>
      <c r="FS19" s="727">
        <f>(1-((1/FR19)*0.07))/(1/FR19)</f>
        <v>0.16</v>
      </c>
      <c r="FT19" s="727"/>
      <c r="FU19" s="727" t="s">
        <v>1716</v>
      </c>
      <c r="FV19" s="756">
        <v>0.56000000000000005</v>
      </c>
      <c r="FW19" s="542" t="s">
        <v>1717</v>
      </c>
      <c r="FX19" s="727">
        <v>0.625</v>
      </c>
      <c r="FY19" s="727"/>
      <c r="FZ19" s="542" t="s">
        <v>1604</v>
      </c>
      <c r="GA19" s="727">
        <v>0.27600000000000002</v>
      </c>
      <c r="GB19" s="727"/>
      <c r="GC19" s="727" t="s">
        <v>1638</v>
      </c>
      <c r="GD19" s="727">
        <v>2.9</v>
      </c>
      <c r="GE19" s="727">
        <v>0.6</v>
      </c>
      <c r="GH19" s="731" t="s">
        <v>2069</v>
      </c>
      <c r="GI19" s="732" t="s">
        <v>7</v>
      </c>
      <c r="GO19" s="731"/>
      <c r="GP19" s="731" t="s">
        <v>2069</v>
      </c>
      <c r="GQ19" s="732" t="s">
        <v>7</v>
      </c>
      <c r="GR19" s="731"/>
      <c r="GS19" s="731"/>
      <c r="GT19" s="731"/>
      <c r="GU19" s="731"/>
      <c r="GW19" s="731" t="s">
        <v>219</v>
      </c>
      <c r="GX19" s="731" t="s">
        <v>1216</v>
      </c>
      <c r="GY19" s="548" t="s">
        <v>728</v>
      </c>
      <c r="GZ19" s="731"/>
      <c r="HA19" s="731"/>
      <c r="HB19" s="731"/>
      <c r="HC19" s="731"/>
    </row>
    <row r="20" spans="2:211" ht="16">
      <c r="B20" s="734" t="s">
        <v>27</v>
      </c>
      <c r="C20" s="733" t="s">
        <v>41</v>
      </c>
      <c r="D20" s="539">
        <v>38.32</v>
      </c>
      <c r="E20" s="539">
        <v>60.25</v>
      </c>
      <c r="F20" s="539">
        <v>120</v>
      </c>
      <c r="G20" s="539" t="s">
        <v>38</v>
      </c>
      <c r="H20" s="539">
        <v>-3.6</v>
      </c>
      <c r="I20" s="539">
        <v>7.9</v>
      </c>
      <c r="J20" s="539">
        <v>20.100000000000001</v>
      </c>
      <c r="K20" s="539">
        <v>31.6</v>
      </c>
      <c r="L20" s="539">
        <v>62</v>
      </c>
      <c r="M20" s="539">
        <v>79</v>
      </c>
      <c r="N20" s="539">
        <v>62</v>
      </c>
      <c r="O20" s="539">
        <v>38</v>
      </c>
      <c r="P20" s="539">
        <v>76</v>
      </c>
      <c r="Q20" s="734">
        <v>4</v>
      </c>
      <c r="R20" s="539">
        <v>19.899999999999999</v>
      </c>
      <c r="S20" s="734">
        <v>0.53</v>
      </c>
      <c r="T20" s="734">
        <v>36.9</v>
      </c>
      <c r="U20" s="734">
        <v>3.4</v>
      </c>
      <c r="V20" s="734">
        <v>185</v>
      </c>
      <c r="W20" s="734">
        <v>41</v>
      </c>
      <c r="X20" s="734">
        <v>1.4E-2</v>
      </c>
      <c r="Y20" s="734">
        <v>1.9E-2</v>
      </c>
      <c r="Z20" s="547">
        <v>130</v>
      </c>
      <c r="AA20" s="547">
        <f t="shared" si="0"/>
        <v>1.3</v>
      </c>
      <c r="AB20" s="734">
        <v>35</v>
      </c>
      <c r="AC20" s="538"/>
      <c r="AD20" s="733" t="str">
        <f t="shared" si="3"/>
        <v>BARROW</v>
      </c>
      <c r="AE20" s="737">
        <v>22.1</v>
      </c>
      <c r="AF20" s="737">
        <v>21.1</v>
      </c>
      <c r="AG20" s="737">
        <v>19</v>
      </c>
      <c r="AH20" s="737">
        <v>13.8</v>
      </c>
      <c r="AI20" s="737">
        <v>10.9</v>
      </c>
      <c r="AJ20" s="737">
        <v>7.8</v>
      </c>
      <c r="AK20" s="737">
        <v>7.5</v>
      </c>
      <c r="AL20" s="737">
        <v>8.8000000000000007</v>
      </c>
      <c r="AM20" s="737">
        <v>10.4</v>
      </c>
      <c r="AN20" s="737">
        <v>13.2</v>
      </c>
      <c r="AO20" s="737">
        <v>16.899999999999999</v>
      </c>
      <c r="AP20" s="737">
        <v>19.399999999999999</v>
      </c>
      <c r="AQ20" s="538"/>
      <c r="AR20" s="733" t="str">
        <f t="shared" si="1"/>
        <v>BAP</v>
      </c>
      <c r="AS20" s="733" t="str">
        <f t="shared" si="4"/>
        <v>BARROW</v>
      </c>
      <c r="AT20" s="731">
        <v>6.5</v>
      </c>
      <c r="AU20" s="731">
        <v>6</v>
      </c>
      <c r="AV20" s="731">
        <v>4.5</v>
      </c>
      <c r="AW20" s="731">
        <v>3</v>
      </c>
      <c r="AX20" s="731">
        <v>2</v>
      </c>
      <c r="AY20" s="731">
        <v>1.5</v>
      </c>
      <c r="AZ20" s="731">
        <v>1.5</v>
      </c>
      <c r="BA20" s="731">
        <v>2.5</v>
      </c>
      <c r="BB20" s="731">
        <v>3.5</v>
      </c>
      <c r="BC20" s="731">
        <v>5</v>
      </c>
      <c r="BD20" s="731">
        <v>6</v>
      </c>
      <c r="BE20" s="731">
        <v>7</v>
      </c>
      <c r="BG20" s="733" t="str">
        <f t="shared" si="5"/>
        <v>BAP</v>
      </c>
      <c r="BH20" s="733" t="str">
        <f t="shared" si="6"/>
        <v>BARROW</v>
      </c>
      <c r="BI20" s="731">
        <v>104</v>
      </c>
      <c r="BJ20" s="731">
        <v>98</v>
      </c>
      <c r="BK20" s="731">
        <v>115</v>
      </c>
      <c r="BL20" s="731">
        <v>97</v>
      </c>
      <c r="BM20" s="731">
        <v>80</v>
      </c>
      <c r="BN20" s="731">
        <v>61</v>
      </c>
      <c r="BO20" s="731">
        <v>59</v>
      </c>
      <c r="BP20" s="731">
        <v>63</v>
      </c>
      <c r="BQ20" s="731">
        <v>68</v>
      </c>
      <c r="BR20" s="731">
        <v>104</v>
      </c>
      <c r="BS20" s="731">
        <v>98</v>
      </c>
      <c r="BT20" s="731">
        <v>93</v>
      </c>
      <c r="BV20" s="731" t="s">
        <v>1841</v>
      </c>
      <c r="BW20" s="731">
        <v>32.92</v>
      </c>
      <c r="BX20" s="549">
        <v>10</v>
      </c>
      <c r="BY20" s="549">
        <v>50</v>
      </c>
      <c r="BZ20" s="542">
        <v>10</v>
      </c>
      <c r="CA20" s="549">
        <v>1</v>
      </c>
      <c r="CB20" s="549">
        <v>60</v>
      </c>
      <c r="CC20" s="542">
        <v>50</v>
      </c>
      <c r="CD20" s="542"/>
      <c r="CE20" s="549"/>
      <c r="CF20" s="549">
        <v>65</v>
      </c>
      <c r="CG20" s="731">
        <v>60</v>
      </c>
      <c r="CH20" s="731"/>
      <c r="CI20" s="739"/>
      <c r="CJ20" s="739">
        <v>70</v>
      </c>
      <c r="CK20" s="731">
        <v>65</v>
      </c>
      <c r="CL20" s="731"/>
      <c r="CM20" s="739"/>
      <c r="CN20" s="739">
        <v>78</v>
      </c>
      <c r="CO20" s="731">
        <v>70</v>
      </c>
      <c r="CP20" s="731"/>
      <c r="CQ20" s="739">
        <v>82</v>
      </c>
      <c r="CR20" s="731">
        <v>78</v>
      </c>
      <c r="CS20" s="731"/>
      <c r="CT20" s="739">
        <v>87</v>
      </c>
      <c r="CU20" s="731">
        <v>82</v>
      </c>
      <c r="CW20" s="734" t="s">
        <v>27</v>
      </c>
      <c r="CX20" s="733" t="s">
        <v>48</v>
      </c>
      <c r="CY20" s="538"/>
      <c r="DB20" s="538"/>
      <c r="DC20" s="538"/>
      <c r="DD20" s="538"/>
      <c r="DE20" s="538"/>
      <c r="DF20" s="538"/>
      <c r="DG20" s="538"/>
      <c r="DH20" s="538"/>
      <c r="DI20" s="538"/>
      <c r="DJ20" s="538"/>
      <c r="DK20" s="538"/>
      <c r="DL20" s="538"/>
      <c r="DM20" s="538"/>
      <c r="DN20" s="538"/>
      <c r="DU20" s="538"/>
      <c r="DV20" s="538"/>
      <c r="DW20" s="538"/>
      <c r="DX20" s="538"/>
      <c r="DY20" s="538"/>
      <c r="DZ20" s="538"/>
      <c r="EA20" s="538"/>
      <c r="EB20" s="538"/>
      <c r="EH20" s="538"/>
      <c r="EI20" s="538"/>
      <c r="EJ20" s="538"/>
      <c r="EK20" s="538"/>
      <c r="EL20" s="538"/>
      <c r="EM20" s="538"/>
      <c r="EN20" s="538"/>
      <c r="EO20" s="538"/>
      <c r="EP20" s="538"/>
      <c r="EQ20" s="538"/>
      <c r="ER20" s="538"/>
      <c r="ES20" s="538"/>
      <c r="ET20" s="538"/>
      <c r="EU20" s="538"/>
      <c r="EV20" s="538"/>
      <c r="EW20" s="538"/>
      <c r="EX20" s="538"/>
      <c r="EY20" s="538"/>
      <c r="EZ20" s="538"/>
      <c r="FA20" s="538"/>
      <c r="FB20" s="538"/>
      <c r="FC20" s="538"/>
      <c r="FD20" s="538"/>
      <c r="FE20" s="538"/>
      <c r="FF20" s="538"/>
      <c r="FG20" s="538"/>
      <c r="FH20" s="538"/>
      <c r="FI20" s="538"/>
      <c r="FJ20" s="538"/>
      <c r="FK20" s="538"/>
      <c r="FL20" s="538"/>
      <c r="FM20" s="538"/>
      <c r="FN20" s="727" t="s">
        <v>1837</v>
      </c>
      <c r="FO20" s="734" t="s">
        <v>153</v>
      </c>
      <c r="FP20" s="734"/>
      <c r="FQ20" s="727" t="s">
        <v>1319</v>
      </c>
      <c r="FR20" s="756">
        <v>0.56999999999999995</v>
      </c>
      <c r="FS20" s="727">
        <f>(1-((1/FR20)*0.07))/(1/FR20)</f>
        <v>0.49999999999999994</v>
      </c>
      <c r="FT20" s="727"/>
      <c r="FU20" s="727" t="s">
        <v>1342</v>
      </c>
      <c r="FV20" s="756">
        <v>0.87</v>
      </c>
      <c r="FW20" s="542" t="s">
        <v>1718</v>
      </c>
      <c r="FX20" s="727">
        <v>0.87</v>
      </c>
      <c r="FY20" s="727"/>
      <c r="FZ20" s="542" t="s">
        <v>2029</v>
      </c>
      <c r="GA20" s="727">
        <v>0.74</v>
      </c>
      <c r="GB20" s="727"/>
      <c r="GC20" s="727" t="s">
        <v>1780</v>
      </c>
      <c r="GD20" s="727">
        <v>2.5</v>
      </c>
      <c r="GE20" s="727">
        <v>0.4</v>
      </c>
      <c r="GO20" s="731"/>
      <c r="GP20" s="731"/>
      <c r="GQ20" s="731"/>
      <c r="GR20" s="731"/>
      <c r="GS20" s="731"/>
      <c r="GT20" s="731"/>
      <c r="GU20" s="731"/>
      <c r="GW20" s="731" t="s">
        <v>593</v>
      </c>
      <c r="GX20" s="731" t="s">
        <v>1216</v>
      </c>
      <c r="GZ20" s="731"/>
      <c r="HA20" s="731"/>
      <c r="HB20" s="731"/>
      <c r="HC20" s="731"/>
    </row>
    <row r="21" spans="2:211" ht="16">
      <c r="B21" s="734" t="s">
        <v>27</v>
      </c>
      <c r="C21" s="733" t="s">
        <v>1259</v>
      </c>
      <c r="D21" s="539">
        <v>36.25</v>
      </c>
      <c r="E21" s="539">
        <v>61.1</v>
      </c>
      <c r="F21" s="539">
        <v>93</v>
      </c>
      <c r="G21" s="539" t="s">
        <v>42</v>
      </c>
      <c r="H21" s="539">
        <v>-1.7</v>
      </c>
      <c r="I21" s="539">
        <v>9.5</v>
      </c>
      <c r="J21" s="539">
        <v>22.4</v>
      </c>
      <c r="K21" s="539">
        <v>33.299999999999997</v>
      </c>
      <c r="L21" s="539">
        <v>74</v>
      </c>
      <c r="M21" s="539">
        <v>83</v>
      </c>
      <c r="N21" s="539">
        <v>74</v>
      </c>
      <c r="O21" s="539">
        <v>41</v>
      </c>
      <c r="P21" s="539">
        <v>95</v>
      </c>
      <c r="Q21" s="734">
        <v>3</v>
      </c>
      <c r="R21" s="539">
        <v>21.6</v>
      </c>
      <c r="S21" s="734">
        <v>0.55000000000000004</v>
      </c>
      <c r="T21" s="734">
        <v>36.9</v>
      </c>
      <c r="U21" s="734">
        <v>3.4</v>
      </c>
      <c r="V21" s="734">
        <v>185</v>
      </c>
      <c r="W21" s="734">
        <v>41</v>
      </c>
      <c r="X21" s="734">
        <v>1.4E-2</v>
      </c>
      <c r="Y21" s="734">
        <v>1.9E-2</v>
      </c>
      <c r="Z21" s="547">
        <v>130</v>
      </c>
      <c r="AA21" s="547">
        <f t="shared" si="0"/>
        <v>1.3</v>
      </c>
      <c r="AB21" s="734">
        <v>35</v>
      </c>
      <c r="AC21" s="538"/>
      <c r="AD21" s="733" t="str">
        <f t="shared" si="3"/>
        <v>BOLÍVAR</v>
      </c>
      <c r="AE21" s="737">
        <v>22.9</v>
      </c>
      <c r="AF21" s="737">
        <v>21.7</v>
      </c>
      <c r="AG21" s="737">
        <v>19.399999999999999</v>
      </c>
      <c r="AH21" s="737">
        <v>14.6</v>
      </c>
      <c r="AI21" s="737">
        <v>11.6</v>
      </c>
      <c r="AJ21" s="737">
        <v>8.5</v>
      </c>
      <c r="AK21" s="737">
        <v>8.3000000000000007</v>
      </c>
      <c r="AL21" s="737">
        <v>9.6</v>
      </c>
      <c r="AM21" s="737">
        <v>11.7</v>
      </c>
      <c r="AN21" s="737">
        <v>14.7</v>
      </c>
      <c r="AO21" s="737">
        <v>18.399999999999999</v>
      </c>
      <c r="AP21" s="737">
        <v>20.9</v>
      </c>
      <c r="AQ21" s="538"/>
      <c r="AR21" s="733" t="str">
        <f t="shared" si="1"/>
        <v>BAP</v>
      </c>
      <c r="AS21" s="733" t="str">
        <f t="shared" si="4"/>
        <v>BOLÍVAR</v>
      </c>
      <c r="AT21" s="731">
        <v>6.5</v>
      </c>
      <c r="AU21" s="731">
        <v>6</v>
      </c>
      <c r="AV21" s="731">
        <v>4.5</v>
      </c>
      <c r="AW21" s="731">
        <v>3</v>
      </c>
      <c r="AX21" s="731">
        <v>2</v>
      </c>
      <c r="AY21" s="731">
        <v>1.5</v>
      </c>
      <c r="AZ21" s="731">
        <v>2</v>
      </c>
      <c r="BA21" s="731">
        <v>2.5</v>
      </c>
      <c r="BB21" s="731">
        <v>4</v>
      </c>
      <c r="BC21" s="731">
        <v>5</v>
      </c>
      <c r="BD21" s="731">
        <v>6</v>
      </c>
      <c r="BE21" s="731">
        <v>6.5</v>
      </c>
      <c r="BG21" s="733" t="str">
        <f t="shared" si="5"/>
        <v>BAP</v>
      </c>
      <c r="BH21" s="733" t="str">
        <f t="shared" si="6"/>
        <v>BOLÍVAR</v>
      </c>
      <c r="BI21" s="731">
        <v>104</v>
      </c>
      <c r="BJ21" s="731">
        <v>98</v>
      </c>
      <c r="BK21" s="731">
        <v>115</v>
      </c>
      <c r="BL21" s="731">
        <v>97</v>
      </c>
      <c r="BM21" s="731">
        <v>80</v>
      </c>
      <c r="BN21" s="731">
        <v>61</v>
      </c>
      <c r="BO21" s="731">
        <v>59</v>
      </c>
      <c r="BP21" s="731">
        <v>63</v>
      </c>
      <c r="BQ21" s="731">
        <v>68</v>
      </c>
      <c r="BR21" s="731">
        <v>104</v>
      </c>
      <c r="BS21" s="731">
        <v>98</v>
      </c>
      <c r="BT21" s="731">
        <v>93</v>
      </c>
      <c r="BV21" s="731" t="s">
        <v>182</v>
      </c>
      <c r="BW21" s="731">
        <v>33.270000000000003</v>
      </c>
      <c r="BX21" s="549">
        <v>12</v>
      </c>
      <c r="BY21" s="549">
        <v>53</v>
      </c>
      <c r="BZ21" s="542">
        <v>12</v>
      </c>
      <c r="CA21" s="549">
        <v>5</v>
      </c>
      <c r="CB21" s="549">
        <v>61</v>
      </c>
      <c r="CC21" s="542">
        <v>53</v>
      </c>
      <c r="CD21" s="542">
        <v>5</v>
      </c>
      <c r="CE21" s="549">
        <v>-1</v>
      </c>
      <c r="CF21" s="549">
        <v>70</v>
      </c>
      <c r="CG21" s="731">
        <v>61</v>
      </c>
      <c r="CH21" s="731"/>
      <c r="CI21" s="739"/>
      <c r="CJ21" s="739">
        <v>75</v>
      </c>
      <c r="CK21" s="731">
        <v>70</v>
      </c>
      <c r="CL21" s="731"/>
      <c r="CM21" s="739"/>
      <c r="CN21" s="739">
        <v>80</v>
      </c>
      <c r="CO21" s="731">
        <v>75</v>
      </c>
      <c r="CP21" s="731"/>
      <c r="CQ21" s="739">
        <v>85</v>
      </c>
      <c r="CR21" s="731">
        <v>80</v>
      </c>
      <c r="CS21" s="731"/>
      <c r="CT21" s="739">
        <v>90</v>
      </c>
      <c r="CU21" s="731">
        <v>85</v>
      </c>
      <c r="CW21" s="734" t="s">
        <v>27</v>
      </c>
      <c r="CX21" s="733" t="s">
        <v>1260</v>
      </c>
      <c r="CY21" s="538"/>
      <c r="DB21" s="538"/>
      <c r="DC21" s="538"/>
      <c r="DD21" s="538"/>
      <c r="DE21" s="538"/>
      <c r="DF21" s="538"/>
      <c r="DG21" s="538"/>
      <c r="DH21" s="538"/>
      <c r="DI21" s="538"/>
      <c r="DJ21" s="538"/>
      <c r="DK21" s="538"/>
      <c r="DL21" s="538"/>
      <c r="DM21" s="538"/>
      <c r="DN21" s="538"/>
      <c r="DU21" s="538"/>
      <c r="DV21" s="538"/>
      <c r="DW21" s="538"/>
      <c r="DX21" s="538"/>
      <c r="DY21" s="538"/>
      <c r="DZ21" s="538"/>
      <c r="EA21" s="538"/>
      <c r="EB21" s="538"/>
      <c r="EH21" s="538"/>
      <c r="EI21" s="538"/>
      <c r="EJ21" s="538"/>
      <c r="EK21" s="538"/>
      <c r="EL21" s="538"/>
      <c r="EM21" s="538"/>
      <c r="EN21" s="538"/>
      <c r="EO21" s="538"/>
      <c r="EP21" s="538"/>
      <c r="EQ21" s="538"/>
      <c r="ER21" s="538"/>
      <c r="ES21" s="538"/>
      <c r="ET21" s="538"/>
      <c r="EU21" s="538"/>
      <c r="EV21" s="538"/>
      <c r="EW21" s="538"/>
      <c r="EX21" s="538"/>
      <c r="EY21" s="538"/>
      <c r="EZ21" s="538"/>
      <c r="FA21" s="538"/>
      <c r="FB21" s="538"/>
      <c r="FC21" s="538"/>
      <c r="FD21" s="538"/>
      <c r="FE21" s="538"/>
      <c r="FF21" s="538"/>
      <c r="FG21" s="538"/>
      <c r="FH21" s="538"/>
      <c r="FI21" s="538"/>
      <c r="FJ21" s="538"/>
      <c r="FK21" s="538"/>
      <c r="FL21" s="538"/>
      <c r="FM21" s="538"/>
      <c r="FN21" s="727" t="s">
        <v>1838</v>
      </c>
      <c r="FO21" s="734" t="s">
        <v>158</v>
      </c>
      <c r="FP21" s="734"/>
      <c r="FQ21" s="727" t="s">
        <v>1318</v>
      </c>
      <c r="FR21" s="756">
        <v>3.2</v>
      </c>
      <c r="FS21" s="727">
        <f>(1-((1/FR21)*0.07))/(1/FR21)</f>
        <v>3.13</v>
      </c>
      <c r="FT21" s="727"/>
      <c r="FU21" s="727" t="s">
        <v>1343</v>
      </c>
      <c r="FV21" s="727">
        <v>1.45</v>
      </c>
      <c r="FW21" s="542" t="s">
        <v>1565</v>
      </c>
      <c r="FX21" s="727">
        <v>0.41</v>
      </c>
      <c r="FY21" s="727"/>
      <c r="FZ21" s="542" t="s">
        <v>1607</v>
      </c>
      <c r="GA21" s="727">
        <v>0.35</v>
      </c>
      <c r="GB21" s="727"/>
      <c r="GC21" s="727" t="s">
        <v>1781</v>
      </c>
      <c r="GD21" s="727">
        <v>1.8</v>
      </c>
      <c r="GE21" s="727">
        <v>0.4</v>
      </c>
      <c r="GG21" s="1205" t="s">
        <v>617</v>
      </c>
      <c r="GH21" s="1205"/>
      <c r="GI21" s="1205"/>
      <c r="GJ21" s="1205"/>
      <c r="GK21" s="1205"/>
      <c r="GL21" s="1205"/>
      <c r="GM21" s="1205"/>
      <c r="GO21" s="1205" t="s">
        <v>617</v>
      </c>
      <c r="GP21" s="1205"/>
      <c r="GQ21" s="1205"/>
      <c r="GR21" s="1205"/>
      <c r="GS21" s="1205"/>
      <c r="GT21" s="1205"/>
      <c r="GU21" s="1205"/>
    </row>
    <row r="22" spans="2:211" ht="16">
      <c r="B22" s="734" t="s">
        <v>27</v>
      </c>
      <c r="C22" s="733" t="s">
        <v>43</v>
      </c>
      <c r="D22" s="539">
        <v>37.85</v>
      </c>
      <c r="E22" s="539">
        <v>63.02</v>
      </c>
      <c r="F22" s="539">
        <v>212</v>
      </c>
      <c r="G22" s="539" t="s">
        <v>38</v>
      </c>
      <c r="H22" s="539">
        <v>-3.5</v>
      </c>
      <c r="I22" s="539">
        <v>7.5</v>
      </c>
      <c r="J22" s="539">
        <v>21.3</v>
      </c>
      <c r="K22" s="539">
        <v>32.700000000000003</v>
      </c>
      <c r="L22" s="539">
        <v>54</v>
      </c>
      <c r="M22" s="539">
        <v>74</v>
      </c>
      <c r="N22" s="539">
        <v>54</v>
      </c>
      <c r="O22" s="539">
        <v>22</v>
      </c>
      <c r="P22" s="539">
        <v>61</v>
      </c>
      <c r="Q22" s="734">
        <v>4</v>
      </c>
      <c r="R22" s="539">
        <v>21</v>
      </c>
      <c r="S22" s="734">
        <v>0.55000000000000004</v>
      </c>
      <c r="T22" s="734">
        <v>36.9</v>
      </c>
      <c r="U22" s="734">
        <v>3.4</v>
      </c>
      <c r="V22" s="734">
        <v>185</v>
      </c>
      <c r="W22" s="734">
        <v>41</v>
      </c>
      <c r="X22" s="734">
        <v>1.4E-2</v>
      </c>
      <c r="Y22" s="734">
        <v>1.9E-2</v>
      </c>
      <c r="Z22" s="547">
        <v>130</v>
      </c>
      <c r="AA22" s="547">
        <f t="shared" si="0"/>
        <v>1.3</v>
      </c>
      <c r="AB22" s="734">
        <v>35</v>
      </c>
      <c r="AC22" s="538"/>
      <c r="AD22" s="733" t="str">
        <f t="shared" si="3"/>
        <v>BORDENAVE</v>
      </c>
      <c r="AE22" s="737">
        <v>22.9</v>
      </c>
      <c r="AF22" s="737">
        <v>22</v>
      </c>
      <c r="AG22" s="737">
        <v>18.8</v>
      </c>
      <c r="AH22" s="737">
        <v>13.8</v>
      </c>
      <c r="AI22" s="737">
        <v>10.199999999999999</v>
      </c>
      <c r="AJ22" s="737">
        <v>7.3</v>
      </c>
      <c r="AK22" s="737">
        <v>6.8</v>
      </c>
      <c r="AL22" s="737">
        <v>8.5</v>
      </c>
      <c r="AM22" s="737">
        <v>10.8</v>
      </c>
      <c r="AN22" s="737">
        <v>13.9</v>
      </c>
      <c r="AO22" s="737">
        <v>18</v>
      </c>
      <c r="AP22" s="737">
        <v>20.9</v>
      </c>
      <c r="AQ22" s="538"/>
      <c r="AR22" s="733" t="str">
        <f t="shared" si="1"/>
        <v>BAP</v>
      </c>
      <c r="AS22" s="733" t="str">
        <f t="shared" si="4"/>
        <v>BORDENAVE</v>
      </c>
      <c r="AT22" s="731">
        <v>6.5</v>
      </c>
      <c r="AU22" s="731">
        <v>6</v>
      </c>
      <c r="AV22" s="731">
        <v>4.5</v>
      </c>
      <c r="AW22" s="731">
        <v>3</v>
      </c>
      <c r="AX22" s="731">
        <v>2</v>
      </c>
      <c r="AY22" s="731">
        <v>1.5</v>
      </c>
      <c r="AZ22" s="731">
        <v>1.5</v>
      </c>
      <c r="BA22" s="731">
        <v>2.5</v>
      </c>
      <c r="BB22" s="731">
        <v>3.5</v>
      </c>
      <c r="BC22" s="731">
        <v>5</v>
      </c>
      <c r="BD22" s="731">
        <v>6</v>
      </c>
      <c r="BE22" s="731">
        <v>7</v>
      </c>
      <c r="BG22" s="733" t="str">
        <f t="shared" si="5"/>
        <v>BAP</v>
      </c>
      <c r="BH22" s="733" t="str">
        <f t="shared" si="6"/>
        <v>BORDENAVE</v>
      </c>
      <c r="BI22" s="731">
        <v>104</v>
      </c>
      <c r="BJ22" s="731">
        <v>98</v>
      </c>
      <c r="BK22" s="731">
        <v>115</v>
      </c>
      <c r="BL22" s="731">
        <v>97</v>
      </c>
      <c r="BM22" s="731">
        <v>80</v>
      </c>
      <c r="BN22" s="731">
        <v>61</v>
      </c>
      <c r="BO22" s="731">
        <v>59</v>
      </c>
      <c r="BP22" s="731">
        <v>63</v>
      </c>
      <c r="BQ22" s="731">
        <v>68</v>
      </c>
      <c r="BR22" s="731">
        <v>104</v>
      </c>
      <c r="BS22" s="731">
        <v>98</v>
      </c>
      <c r="BT22" s="731">
        <v>93</v>
      </c>
      <c r="BV22" s="731" t="s">
        <v>26</v>
      </c>
      <c r="BW22" s="731">
        <v>34.58</v>
      </c>
      <c r="BX22" s="739">
        <v>15</v>
      </c>
      <c r="BY22" s="739">
        <v>50</v>
      </c>
      <c r="BZ22" s="731">
        <v>15</v>
      </c>
      <c r="CA22" s="739">
        <v>10</v>
      </c>
      <c r="CB22" s="739">
        <v>60</v>
      </c>
      <c r="CC22" s="731">
        <v>50</v>
      </c>
      <c r="CD22" s="731">
        <v>10</v>
      </c>
      <c r="CE22" s="739">
        <v>0</v>
      </c>
      <c r="CF22" s="739">
        <v>65</v>
      </c>
      <c r="CG22" s="731">
        <v>60</v>
      </c>
      <c r="CH22" s="731"/>
      <c r="CI22" s="739"/>
      <c r="CJ22" s="739">
        <v>70</v>
      </c>
      <c r="CK22" s="731">
        <v>65</v>
      </c>
      <c r="CL22" s="731"/>
      <c r="CM22" s="739"/>
      <c r="CN22" s="739">
        <v>75</v>
      </c>
      <c r="CO22" s="731">
        <v>70</v>
      </c>
      <c r="CP22" s="731"/>
      <c r="CQ22" s="739">
        <v>80</v>
      </c>
      <c r="CR22" s="731">
        <v>75</v>
      </c>
      <c r="CS22" s="731"/>
      <c r="CT22" s="739">
        <v>90</v>
      </c>
      <c r="CU22" s="731">
        <v>80</v>
      </c>
      <c r="CW22" s="734" t="s">
        <v>27</v>
      </c>
      <c r="CX22" s="733" t="s">
        <v>1261</v>
      </c>
      <c r="CY22" s="538"/>
      <c r="DB22" s="538"/>
      <c r="DC22" s="538"/>
      <c r="DD22" s="538"/>
      <c r="DE22" s="538"/>
      <c r="DF22" s="538"/>
      <c r="DG22" s="538"/>
      <c r="DH22" s="538"/>
      <c r="DI22" s="538"/>
      <c r="DJ22" s="538"/>
      <c r="DK22" s="538"/>
      <c r="DL22" s="538"/>
      <c r="DM22" s="538"/>
      <c r="DN22" s="538"/>
      <c r="DU22" s="538"/>
      <c r="DV22" s="538"/>
      <c r="DW22" s="538"/>
      <c r="DX22" s="538"/>
      <c r="DY22" s="538"/>
      <c r="DZ22" s="538"/>
      <c r="EA22" s="538"/>
      <c r="EB22" s="538"/>
      <c r="EH22" s="538"/>
      <c r="EI22" s="538"/>
      <c r="EJ22" s="538"/>
      <c r="EK22" s="538"/>
      <c r="EL22" s="538"/>
      <c r="EM22" s="538"/>
      <c r="EN22" s="538"/>
      <c r="EO22" s="538"/>
      <c r="EP22" s="538"/>
      <c r="EQ22" s="538"/>
      <c r="ER22" s="538"/>
      <c r="ES22" s="538"/>
      <c r="ET22" s="538"/>
      <c r="EU22" s="538"/>
      <c r="EV22" s="538"/>
      <c r="EW22" s="538"/>
      <c r="EX22" s="538"/>
      <c r="EY22" s="538"/>
      <c r="EZ22" s="538"/>
      <c r="FA22" s="538"/>
      <c r="FB22" s="538"/>
      <c r="FC22" s="538"/>
      <c r="FD22" s="538"/>
      <c r="FE22" s="538"/>
      <c r="FF22" s="538"/>
      <c r="FG22" s="538"/>
      <c r="FH22" s="538"/>
      <c r="FI22" s="538"/>
      <c r="FJ22" s="538"/>
      <c r="FK22" s="538"/>
      <c r="FL22" s="538"/>
      <c r="FM22" s="538"/>
      <c r="FN22" s="727" t="s">
        <v>1839</v>
      </c>
      <c r="FO22" s="734" t="s">
        <v>161</v>
      </c>
      <c r="FP22" s="734"/>
      <c r="FQ22" s="727" t="s">
        <v>1317</v>
      </c>
      <c r="FR22" s="727">
        <v>0.31</v>
      </c>
      <c r="FS22" s="727">
        <v>0.3</v>
      </c>
      <c r="FT22" s="727"/>
      <c r="FU22" s="727" t="s">
        <v>1344</v>
      </c>
      <c r="FV22" s="756">
        <v>3.22</v>
      </c>
      <c r="FW22" s="542" t="s">
        <v>1583</v>
      </c>
      <c r="FX22" s="727">
        <v>0.91</v>
      </c>
      <c r="FY22" s="727"/>
      <c r="FZ22" s="542" t="s">
        <v>1608</v>
      </c>
      <c r="GA22" s="727">
        <v>0.3</v>
      </c>
      <c r="GB22" s="727"/>
      <c r="GC22" s="727" t="s">
        <v>1782</v>
      </c>
      <c r="GD22" s="727">
        <v>1.7</v>
      </c>
      <c r="GE22" s="727">
        <v>0.4</v>
      </c>
      <c r="GH22" s="731" t="s">
        <v>623</v>
      </c>
      <c r="GI22" s="731" t="s">
        <v>2070</v>
      </c>
      <c r="GK22" s="731" t="s">
        <v>2071</v>
      </c>
      <c r="GL22" s="731" t="s">
        <v>2072</v>
      </c>
      <c r="GO22" s="731"/>
      <c r="GP22" s="731" t="s">
        <v>623</v>
      </c>
      <c r="GQ22" s="731" t="s">
        <v>2070</v>
      </c>
      <c r="GR22" s="731"/>
      <c r="GS22" s="731" t="s">
        <v>2071</v>
      </c>
      <c r="GT22" s="731" t="s">
        <v>2072</v>
      </c>
      <c r="GU22" s="731"/>
      <c r="GW22" s="1205" t="s">
        <v>2081</v>
      </c>
      <c r="GX22" s="1205"/>
      <c r="GY22" s="1205"/>
      <c r="HA22" s="1205" t="s">
        <v>2083</v>
      </c>
      <c r="HB22" s="1205"/>
      <c r="HC22" s="1205"/>
    </row>
    <row r="23" spans="2:211" ht="34">
      <c r="B23" s="734" t="s">
        <v>27</v>
      </c>
      <c r="C23" s="733" t="s">
        <v>44</v>
      </c>
      <c r="D23" s="539">
        <v>38.729999999999997</v>
      </c>
      <c r="E23" s="539">
        <v>62.17</v>
      </c>
      <c r="F23" s="539">
        <v>74</v>
      </c>
      <c r="G23" s="539" t="s">
        <v>38</v>
      </c>
      <c r="H23" s="539">
        <v>-2</v>
      </c>
      <c r="I23" s="539">
        <v>8.1999999999999993</v>
      </c>
      <c r="J23" s="539">
        <v>21.8</v>
      </c>
      <c r="K23" s="539">
        <v>33.1</v>
      </c>
      <c r="L23" s="539">
        <v>55</v>
      </c>
      <c r="M23" s="539">
        <v>74</v>
      </c>
      <c r="N23" s="539">
        <v>55</v>
      </c>
      <c r="O23" s="539">
        <v>31</v>
      </c>
      <c r="P23" s="539">
        <v>62</v>
      </c>
      <c r="Q23" s="734">
        <v>4</v>
      </c>
      <c r="R23" s="539">
        <v>21.5</v>
      </c>
      <c r="S23" s="734">
        <v>0.53</v>
      </c>
      <c r="T23" s="734">
        <v>36.9</v>
      </c>
      <c r="U23" s="734">
        <v>3.4</v>
      </c>
      <c r="V23" s="734">
        <v>185</v>
      </c>
      <c r="W23" s="734">
        <v>41</v>
      </c>
      <c r="X23" s="734">
        <v>1.4E-2</v>
      </c>
      <c r="Y23" s="734">
        <v>1.9E-2</v>
      </c>
      <c r="Z23" s="547">
        <v>130</v>
      </c>
      <c r="AA23" s="547">
        <f t="shared" si="0"/>
        <v>1.3</v>
      </c>
      <c r="AB23" s="734">
        <v>35</v>
      </c>
      <c r="AC23" s="538"/>
      <c r="AD23" s="733" t="str">
        <f t="shared" si="3"/>
        <v>COMANDANTE ESPORA</v>
      </c>
      <c r="AE23" s="737">
        <v>23.5</v>
      </c>
      <c r="AF23" s="737">
        <v>22</v>
      </c>
      <c r="AG23" s="737">
        <v>21</v>
      </c>
      <c r="AH23" s="737">
        <v>16</v>
      </c>
      <c r="AI23" s="737">
        <v>12</v>
      </c>
      <c r="AJ23" s="737">
        <v>8.5</v>
      </c>
      <c r="AK23" s="737">
        <v>8</v>
      </c>
      <c r="AL23" s="737">
        <v>10.5</v>
      </c>
      <c r="AM23" s="737">
        <v>13</v>
      </c>
      <c r="AN23" s="737">
        <v>16</v>
      </c>
      <c r="AO23" s="737">
        <v>18.5</v>
      </c>
      <c r="AP23" s="737">
        <v>23</v>
      </c>
      <c r="AQ23" s="538"/>
      <c r="AR23" s="733" t="str">
        <f t="shared" si="1"/>
        <v>BAP</v>
      </c>
      <c r="AS23" s="733" t="str">
        <f t="shared" si="4"/>
        <v>COMANDANTE ESPORA</v>
      </c>
      <c r="AT23" s="731">
        <v>6.5</v>
      </c>
      <c r="AU23" s="731">
        <v>6</v>
      </c>
      <c r="AV23" s="731">
        <v>4.5</v>
      </c>
      <c r="AW23" s="731">
        <v>3</v>
      </c>
      <c r="AX23" s="731">
        <v>2.5</v>
      </c>
      <c r="AY23" s="731">
        <v>1.5</v>
      </c>
      <c r="AZ23" s="731">
        <v>2</v>
      </c>
      <c r="BA23" s="731">
        <v>3</v>
      </c>
      <c r="BB23" s="731">
        <v>4</v>
      </c>
      <c r="BC23" s="731">
        <v>5</v>
      </c>
      <c r="BD23" s="731">
        <v>6</v>
      </c>
      <c r="BE23" s="731">
        <v>6.5</v>
      </c>
      <c r="BG23" s="733" t="str">
        <f t="shared" si="5"/>
        <v>BAP</v>
      </c>
      <c r="BH23" s="733" t="str">
        <f t="shared" si="6"/>
        <v>COMANDANTE ESPORA</v>
      </c>
      <c r="BI23" s="731">
        <v>104</v>
      </c>
      <c r="BJ23" s="731">
        <v>98</v>
      </c>
      <c r="BK23" s="731">
        <v>115</v>
      </c>
      <c r="BL23" s="731">
        <v>97</v>
      </c>
      <c r="BM23" s="731">
        <v>80</v>
      </c>
      <c r="BN23" s="731">
        <v>61</v>
      </c>
      <c r="BO23" s="731">
        <v>59</v>
      </c>
      <c r="BP23" s="731">
        <v>63</v>
      </c>
      <c r="BQ23" s="731">
        <v>68</v>
      </c>
      <c r="BR23" s="731">
        <v>104</v>
      </c>
      <c r="BS23" s="731">
        <v>98</v>
      </c>
      <c r="BT23" s="731">
        <v>93</v>
      </c>
      <c r="BV23" s="731" t="s">
        <v>148</v>
      </c>
      <c r="BW23" s="731">
        <v>35.5</v>
      </c>
      <c r="BX23" s="549">
        <v>12</v>
      </c>
      <c r="BY23" s="549">
        <v>52</v>
      </c>
      <c r="BZ23" s="542">
        <v>12</v>
      </c>
      <c r="CA23" s="549">
        <v>3</v>
      </c>
      <c r="CB23" s="549">
        <v>61</v>
      </c>
      <c r="CC23" s="542">
        <v>52</v>
      </c>
      <c r="CD23" s="542"/>
      <c r="CE23" s="549"/>
      <c r="CF23" s="549">
        <v>69</v>
      </c>
      <c r="CG23" s="731">
        <v>61</v>
      </c>
      <c r="CH23" s="731"/>
      <c r="CI23" s="739"/>
      <c r="CJ23" s="739">
        <v>75</v>
      </c>
      <c r="CK23" s="731">
        <v>69</v>
      </c>
      <c r="CL23" s="731"/>
      <c r="CM23" s="739"/>
      <c r="CN23" s="739">
        <v>79</v>
      </c>
      <c r="CO23" s="731">
        <v>75</v>
      </c>
      <c r="CP23" s="731"/>
      <c r="CQ23" s="739">
        <v>83</v>
      </c>
      <c r="CR23" s="731">
        <v>79</v>
      </c>
      <c r="CS23" s="731"/>
      <c r="CT23" s="739">
        <v>90</v>
      </c>
      <c r="CU23" s="731">
        <v>83</v>
      </c>
      <c r="CW23" s="734" t="s">
        <v>27</v>
      </c>
      <c r="CX23" s="733" t="s">
        <v>35</v>
      </c>
      <c r="CY23" s="538"/>
      <c r="DB23" s="538"/>
      <c r="DC23" s="538"/>
      <c r="DD23" s="538"/>
      <c r="DE23" s="538"/>
      <c r="DF23" s="538"/>
      <c r="DG23" s="538"/>
      <c r="DH23" s="538"/>
      <c r="DI23" s="538"/>
      <c r="DJ23" s="538"/>
      <c r="DK23" s="538"/>
      <c r="DL23" s="538"/>
      <c r="DM23" s="538"/>
      <c r="DN23" s="538"/>
      <c r="DU23" s="538"/>
      <c r="DV23" s="538"/>
      <c r="DW23" s="538"/>
      <c r="DX23" s="538"/>
      <c r="DY23" s="538"/>
      <c r="DZ23" s="538"/>
      <c r="EA23" s="538"/>
      <c r="EB23" s="538"/>
      <c r="EC23" s="538"/>
      <c r="ED23" s="538"/>
      <c r="EE23" s="538"/>
      <c r="EF23" s="538"/>
      <c r="EG23" s="538"/>
      <c r="EH23" s="538"/>
      <c r="EI23" s="538"/>
      <c r="EJ23" s="538"/>
      <c r="EK23" s="538"/>
      <c r="EL23" s="538"/>
      <c r="EM23" s="538"/>
      <c r="EN23" s="538"/>
      <c r="EO23" s="538"/>
      <c r="EP23" s="538"/>
      <c r="EQ23" s="538"/>
      <c r="ER23" s="538"/>
      <c r="ES23" s="538"/>
      <c r="ET23" s="538"/>
      <c r="EU23" s="538"/>
      <c r="EV23" s="538"/>
      <c r="EW23" s="538"/>
      <c r="EX23" s="538"/>
      <c r="EY23" s="538"/>
      <c r="EZ23" s="538"/>
      <c r="FA23" s="538"/>
      <c r="FB23" s="538"/>
      <c r="FC23" s="538"/>
      <c r="FD23" s="538"/>
      <c r="FE23" s="538"/>
      <c r="FF23" s="538"/>
      <c r="FG23" s="538"/>
      <c r="FH23" s="538"/>
      <c r="FI23" s="538"/>
      <c r="FJ23" s="538"/>
      <c r="FK23" s="538"/>
      <c r="FL23" s="538"/>
      <c r="FM23" s="538"/>
      <c r="FN23" s="727" t="s">
        <v>174</v>
      </c>
      <c r="FO23" s="734" t="s">
        <v>172</v>
      </c>
      <c r="FP23" s="734"/>
      <c r="FQ23" s="727" t="s">
        <v>1314</v>
      </c>
      <c r="FR23" s="727">
        <v>1.25</v>
      </c>
      <c r="FS23" s="727">
        <v>1.1499999999999999</v>
      </c>
      <c r="FT23" s="727"/>
      <c r="FU23" s="729" t="s">
        <v>1327</v>
      </c>
      <c r="FV23" s="756">
        <v>0.9</v>
      </c>
      <c r="FW23" s="543" t="s">
        <v>1589</v>
      </c>
      <c r="FX23" s="727">
        <v>1.24</v>
      </c>
      <c r="FY23" s="727"/>
      <c r="FZ23" s="542" t="s">
        <v>1582</v>
      </c>
      <c r="GA23" s="727">
        <v>0.77</v>
      </c>
      <c r="GB23" s="727"/>
      <c r="GC23" s="727"/>
      <c r="GD23" s="727"/>
      <c r="GE23" s="727"/>
      <c r="GG23" s="550" t="s">
        <v>1126</v>
      </c>
      <c r="GH23" s="732" t="s">
        <v>624</v>
      </c>
      <c r="GI23" s="731">
        <v>1607</v>
      </c>
      <c r="GK23" s="731">
        <v>1800</v>
      </c>
      <c r="GL23" s="731">
        <v>1.25</v>
      </c>
      <c r="GO23" s="550" t="s">
        <v>1126</v>
      </c>
      <c r="GP23" s="731"/>
      <c r="GQ23" s="731">
        <v>2.5</v>
      </c>
      <c r="GR23" s="731"/>
      <c r="GS23" s="731">
        <v>1500</v>
      </c>
      <c r="GT23" s="731">
        <v>0.86</v>
      </c>
      <c r="GU23" s="731"/>
      <c r="GW23" s="1270" t="s">
        <v>1783</v>
      </c>
      <c r="GX23" s="1270"/>
      <c r="GY23" s="1270"/>
      <c r="HA23" s="1271" t="s">
        <v>6</v>
      </c>
      <c r="HB23" s="1271"/>
      <c r="HC23" s="1271"/>
    </row>
    <row r="24" spans="2:211" ht="16">
      <c r="B24" s="734" t="s">
        <v>27</v>
      </c>
      <c r="C24" s="733" t="s">
        <v>45</v>
      </c>
      <c r="D24" s="539">
        <v>37.5</v>
      </c>
      <c r="E24" s="539">
        <v>61.95</v>
      </c>
      <c r="F24" s="539">
        <v>234</v>
      </c>
      <c r="G24" s="539" t="s">
        <v>38</v>
      </c>
      <c r="H24" s="539">
        <v>-3.4</v>
      </c>
      <c r="I24" s="539">
        <v>7.2</v>
      </c>
      <c r="J24" s="539">
        <v>20.2</v>
      </c>
      <c r="K24" s="539">
        <v>31.9</v>
      </c>
      <c r="L24" s="539">
        <v>63</v>
      </c>
      <c r="M24" s="539">
        <v>79</v>
      </c>
      <c r="N24" s="539">
        <v>63</v>
      </c>
      <c r="O24" s="539">
        <v>35</v>
      </c>
      <c r="P24" s="539">
        <v>56</v>
      </c>
      <c r="Q24" s="734">
        <v>4</v>
      </c>
      <c r="R24" s="539">
        <v>20.100000000000001</v>
      </c>
      <c r="S24" s="734">
        <v>0.55000000000000004</v>
      </c>
      <c r="T24" s="734">
        <v>36.9</v>
      </c>
      <c r="U24" s="734">
        <v>3.4</v>
      </c>
      <c r="V24" s="734">
        <v>185</v>
      </c>
      <c r="W24" s="734">
        <v>41</v>
      </c>
      <c r="X24" s="734">
        <v>1.4E-2</v>
      </c>
      <c r="Y24" s="734">
        <v>1.9E-2</v>
      </c>
      <c r="Z24" s="547">
        <v>130</v>
      </c>
      <c r="AA24" s="547">
        <f t="shared" si="0"/>
        <v>1.3</v>
      </c>
      <c r="AB24" s="734">
        <v>35</v>
      </c>
      <c r="AC24" s="538"/>
      <c r="AD24" s="733" t="str">
        <f t="shared" si="3"/>
        <v>CORONEL SUAREZ</v>
      </c>
      <c r="AE24" s="737">
        <v>22</v>
      </c>
      <c r="AF24" s="737">
        <v>20.8</v>
      </c>
      <c r="AG24" s="737">
        <v>18.3</v>
      </c>
      <c r="AH24" s="737">
        <v>12.8</v>
      </c>
      <c r="AI24" s="737">
        <v>10.199999999999999</v>
      </c>
      <c r="AJ24" s="737">
        <v>7.2</v>
      </c>
      <c r="AK24" s="737">
        <v>7</v>
      </c>
      <c r="AL24" s="737">
        <v>8.1</v>
      </c>
      <c r="AM24" s="737">
        <v>10.1</v>
      </c>
      <c r="AN24" s="737">
        <v>13.2</v>
      </c>
      <c r="AO24" s="737">
        <v>16.8</v>
      </c>
      <c r="AP24" s="737">
        <v>19.7</v>
      </c>
      <c r="AQ24" s="538"/>
      <c r="AR24" s="733" t="str">
        <f t="shared" si="1"/>
        <v>BAP</v>
      </c>
      <c r="AS24" s="733" t="str">
        <f t="shared" si="4"/>
        <v>CORONEL SUAREZ</v>
      </c>
      <c r="AT24" s="731">
        <v>6.5</v>
      </c>
      <c r="AU24" s="731">
        <v>6</v>
      </c>
      <c r="AV24" s="731">
        <v>4.5</v>
      </c>
      <c r="AW24" s="731">
        <v>3</v>
      </c>
      <c r="AX24" s="731">
        <v>2</v>
      </c>
      <c r="AY24" s="731">
        <v>1.5</v>
      </c>
      <c r="AZ24" s="731">
        <v>1.5</v>
      </c>
      <c r="BA24" s="731">
        <v>2.5</v>
      </c>
      <c r="BB24" s="731">
        <v>3.5</v>
      </c>
      <c r="BC24" s="731">
        <v>5</v>
      </c>
      <c r="BD24" s="731">
        <v>6</v>
      </c>
      <c r="BE24" s="731">
        <v>7</v>
      </c>
      <c r="BG24" s="733" t="str">
        <f t="shared" si="5"/>
        <v>BAP</v>
      </c>
      <c r="BH24" s="733" t="str">
        <f t="shared" si="6"/>
        <v>CORONEL SUAREZ</v>
      </c>
      <c r="BI24" s="731">
        <v>104</v>
      </c>
      <c r="BJ24" s="731">
        <v>98</v>
      </c>
      <c r="BK24" s="731">
        <v>115</v>
      </c>
      <c r="BL24" s="731">
        <v>97</v>
      </c>
      <c r="BM24" s="731">
        <v>80</v>
      </c>
      <c r="BN24" s="731">
        <v>61</v>
      </c>
      <c r="BO24" s="731">
        <v>59</v>
      </c>
      <c r="BP24" s="731">
        <v>63</v>
      </c>
      <c r="BQ24" s="731">
        <v>68</v>
      </c>
      <c r="BR24" s="731">
        <v>104</v>
      </c>
      <c r="BS24" s="731">
        <v>98</v>
      </c>
      <c r="BT24" s="731">
        <v>93</v>
      </c>
      <c r="BV24" s="731" t="s">
        <v>1836</v>
      </c>
      <c r="BW24" s="731">
        <v>36.57</v>
      </c>
      <c r="BX24" s="549">
        <v>15</v>
      </c>
      <c r="BY24" s="549">
        <v>54</v>
      </c>
      <c r="BZ24" s="542">
        <v>15</v>
      </c>
      <c r="CA24" s="549">
        <v>6</v>
      </c>
      <c r="CB24" s="549">
        <v>62</v>
      </c>
      <c r="CC24" s="542">
        <v>54</v>
      </c>
      <c r="CD24" s="542">
        <v>6</v>
      </c>
      <c r="CE24" s="549">
        <v>0</v>
      </c>
      <c r="CF24" s="549">
        <v>70</v>
      </c>
      <c r="CG24" s="731">
        <v>62</v>
      </c>
      <c r="CH24" s="731"/>
      <c r="CI24" s="739"/>
      <c r="CJ24" s="739">
        <v>75</v>
      </c>
      <c r="CK24" s="731">
        <v>70</v>
      </c>
      <c r="CL24" s="731"/>
      <c r="CM24" s="739"/>
      <c r="CN24" s="739">
        <v>80</v>
      </c>
      <c r="CO24" s="731">
        <v>75</v>
      </c>
      <c r="CP24" s="731"/>
      <c r="CQ24" s="739">
        <v>86</v>
      </c>
      <c r="CR24" s="731">
        <v>80</v>
      </c>
      <c r="CS24" s="731"/>
      <c r="CT24" s="739">
        <v>90</v>
      </c>
      <c r="CU24" s="731">
        <v>86</v>
      </c>
      <c r="CW24" s="734" t="s">
        <v>27</v>
      </c>
      <c r="CX24" s="733" t="s">
        <v>36</v>
      </c>
      <c r="CY24" s="538"/>
      <c r="DB24" s="538"/>
      <c r="DC24" s="538"/>
      <c r="DD24" s="538"/>
      <c r="DE24" s="538"/>
      <c r="DF24" s="538"/>
      <c r="DG24" s="538"/>
      <c r="DH24" s="538"/>
      <c r="DI24" s="538"/>
      <c r="DJ24" s="538"/>
      <c r="DK24" s="538"/>
      <c r="DL24" s="538"/>
      <c r="DM24" s="538"/>
      <c r="DN24" s="538"/>
      <c r="DO24" s="538"/>
      <c r="DP24" s="538"/>
      <c r="DQ24" s="538"/>
      <c r="DR24" s="538"/>
      <c r="DS24" s="538"/>
      <c r="DT24" s="538"/>
      <c r="DU24" s="538"/>
      <c r="DV24" s="538"/>
      <c r="DW24" s="538"/>
      <c r="DX24" s="538"/>
      <c r="DY24" s="538"/>
      <c r="DZ24" s="538"/>
      <c r="EA24" s="538"/>
      <c r="EB24" s="538"/>
      <c r="EC24" s="538"/>
      <c r="ED24" s="538"/>
      <c r="EE24" s="538"/>
      <c r="EF24" s="538"/>
      <c r="EG24" s="538"/>
      <c r="EH24" s="538"/>
      <c r="EI24" s="538"/>
      <c r="EJ24" s="538"/>
      <c r="EK24" s="538"/>
      <c r="EL24" s="538"/>
      <c r="EM24" s="538"/>
      <c r="EN24" s="538"/>
      <c r="EO24" s="538"/>
      <c r="EP24" s="538"/>
      <c r="EQ24" s="538"/>
      <c r="ER24" s="538"/>
      <c r="ES24" s="538"/>
      <c r="ET24" s="538"/>
      <c r="EU24" s="538"/>
      <c r="EV24" s="538"/>
      <c r="EW24" s="538"/>
      <c r="EX24" s="538"/>
      <c r="EY24" s="538"/>
      <c r="EZ24" s="538"/>
      <c r="FA24" s="538"/>
      <c r="FB24" s="538"/>
      <c r="FC24" s="538"/>
      <c r="FD24" s="538"/>
      <c r="FE24" s="538"/>
      <c r="FF24" s="538"/>
      <c r="FG24" s="538"/>
      <c r="FH24" s="538"/>
      <c r="FI24" s="538"/>
      <c r="FJ24" s="538"/>
      <c r="FK24" s="538"/>
      <c r="FL24" s="538"/>
      <c r="FM24" s="538"/>
      <c r="FN24" s="727" t="s">
        <v>179</v>
      </c>
      <c r="FO24" s="734" t="s">
        <v>175</v>
      </c>
      <c r="FP24" s="734"/>
      <c r="FQ24" s="727" t="s">
        <v>1315</v>
      </c>
      <c r="FR24" s="544">
        <v>0.83</v>
      </c>
      <c r="FS24" s="727">
        <v>0.78</v>
      </c>
      <c r="FT24" s="727"/>
      <c r="FU24" s="727" t="s">
        <v>1331</v>
      </c>
      <c r="FV24" s="756">
        <v>1.76</v>
      </c>
      <c r="FW24" s="542" t="s">
        <v>1598</v>
      </c>
      <c r="FX24" s="727">
        <v>0.90900000000000003</v>
      </c>
      <c r="FY24" s="727"/>
      <c r="FZ24" s="542" t="s">
        <v>1586</v>
      </c>
      <c r="GA24" s="727">
        <v>0.42</v>
      </c>
      <c r="GB24" s="727"/>
      <c r="GC24" s="727"/>
      <c r="GD24" s="727"/>
      <c r="GE24" s="727"/>
      <c r="GG24" s="550" t="s">
        <v>1127</v>
      </c>
      <c r="GI24" s="731">
        <v>4.2</v>
      </c>
      <c r="GL24" s="731">
        <v>2.97</v>
      </c>
      <c r="GO24" s="550" t="s">
        <v>1127</v>
      </c>
      <c r="GP24" s="731"/>
      <c r="GQ24" s="731">
        <v>3.5</v>
      </c>
      <c r="GR24" s="731"/>
      <c r="GS24" s="731"/>
      <c r="GT24" s="731">
        <v>2.58</v>
      </c>
      <c r="GU24" s="731"/>
    </row>
    <row r="25" spans="2:211" ht="16">
      <c r="B25" s="734" t="s">
        <v>27</v>
      </c>
      <c r="C25" s="733" t="s">
        <v>46</v>
      </c>
      <c r="D25" s="539">
        <v>36.35</v>
      </c>
      <c r="E25" s="539">
        <v>57.73</v>
      </c>
      <c r="F25" s="539">
        <v>9</v>
      </c>
      <c r="G25" s="539" t="s">
        <v>47</v>
      </c>
      <c r="H25" s="539">
        <v>-0.8</v>
      </c>
      <c r="I25" s="539">
        <v>8.8000000000000007</v>
      </c>
      <c r="J25" s="539">
        <v>20.8</v>
      </c>
      <c r="K25" s="539">
        <v>31.4</v>
      </c>
      <c r="L25" s="539">
        <v>72</v>
      </c>
      <c r="M25" s="539">
        <v>81</v>
      </c>
      <c r="N25" s="539">
        <v>72</v>
      </c>
      <c r="O25" s="539">
        <v>57</v>
      </c>
      <c r="P25" s="539">
        <v>85</v>
      </c>
      <c r="Q25" s="734">
        <v>4</v>
      </c>
      <c r="R25" s="539">
        <v>20.399999999999999</v>
      </c>
      <c r="S25" s="734">
        <v>0.53</v>
      </c>
      <c r="T25" s="734">
        <v>36.9</v>
      </c>
      <c r="U25" s="734">
        <v>3.4</v>
      </c>
      <c r="V25" s="734">
        <v>185</v>
      </c>
      <c r="W25" s="734">
        <v>41</v>
      </c>
      <c r="X25" s="734">
        <v>1.4E-2</v>
      </c>
      <c r="Y25" s="734">
        <v>1.9E-2</v>
      </c>
      <c r="Z25" s="547">
        <v>130</v>
      </c>
      <c r="AA25" s="547">
        <f t="shared" si="0"/>
        <v>1.3</v>
      </c>
      <c r="AB25" s="734">
        <v>35</v>
      </c>
      <c r="AC25" s="538"/>
      <c r="AD25" s="733" t="str">
        <f t="shared" si="3"/>
        <v>DOLORES</v>
      </c>
      <c r="AE25" s="737">
        <v>21.9</v>
      </c>
      <c r="AF25" s="737">
        <v>20.8</v>
      </c>
      <c r="AG25" s="737">
        <v>19.600000000000001</v>
      </c>
      <c r="AH25" s="737">
        <v>14.7</v>
      </c>
      <c r="AI25" s="737">
        <v>11.6</v>
      </c>
      <c r="AJ25" s="737">
        <v>9</v>
      </c>
      <c r="AK25" s="737">
        <v>8.8000000000000007</v>
      </c>
      <c r="AL25" s="737">
        <v>9.9</v>
      </c>
      <c r="AM25" s="737">
        <v>11.6</v>
      </c>
      <c r="AN25" s="737">
        <v>14.4</v>
      </c>
      <c r="AO25" s="737">
        <v>17.399999999999999</v>
      </c>
      <c r="AP25" s="737">
        <v>19.8</v>
      </c>
      <c r="AQ25" s="538"/>
      <c r="AR25" s="733" t="str">
        <f t="shared" si="1"/>
        <v>BAP</v>
      </c>
      <c r="AS25" s="733" t="str">
        <f t="shared" si="4"/>
        <v>DOLORES</v>
      </c>
      <c r="AT25" s="731">
        <v>6.5</v>
      </c>
      <c r="AU25" s="731">
        <v>6</v>
      </c>
      <c r="AV25" s="731">
        <v>4.5</v>
      </c>
      <c r="AW25" s="731">
        <v>3</v>
      </c>
      <c r="AX25" s="731">
        <v>2</v>
      </c>
      <c r="AY25" s="731">
        <v>1.5</v>
      </c>
      <c r="AZ25" s="731">
        <v>2</v>
      </c>
      <c r="BA25" s="731">
        <v>2.5</v>
      </c>
      <c r="BB25" s="731">
        <v>3.5</v>
      </c>
      <c r="BC25" s="731">
        <v>5</v>
      </c>
      <c r="BD25" s="731">
        <v>6</v>
      </c>
      <c r="BE25" s="731">
        <v>6.5</v>
      </c>
      <c r="BG25" s="733" t="str">
        <f t="shared" si="5"/>
        <v>BAP</v>
      </c>
      <c r="BH25" s="733" t="str">
        <f t="shared" si="6"/>
        <v>DOLORES</v>
      </c>
      <c r="BI25" s="731">
        <v>104</v>
      </c>
      <c r="BJ25" s="731">
        <v>98</v>
      </c>
      <c r="BK25" s="731">
        <v>115</v>
      </c>
      <c r="BL25" s="731">
        <v>97</v>
      </c>
      <c r="BM25" s="731">
        <v>80</v>
      </c>
      <c r="BN25" s="731">
        <v>61</v>
      </c>
      <c r="BO25" s="731">
        <v>59</v>
      </c>
      <c r="BP25" s="731">
        <v>63</v>
      </c>
      <c r="BQ25" s="731">
        <v>68</v>
      </c>
      <c r="BR25" s="731">
        <v>104</v>
      </c>
      <c r="BS25" s="731">
        <v>98</v>
      </c>
      <c r="BT25" s="731">
        <v>93</v>
      </c>
      <c r="BV25" s="731" t="s">
        <v>1838</v>
      </c>
      <c r="BW25" s="731">
        <v>38.950000000000003</v>
      </c>
      <c r="BX25" s="549">
        <v>18</v>
      </c>
      <c r="BY25" s="549">
        <v>58</v>
      </c>
      <c r="BZ25" s="542">
        <v>18</v>
      </c>
      <c r="CA25" s="549">
        <v>9</v>
      </c>
      <c r="CB25" s="549">
        <v>65</v>
      </c>
      <c r="CC25" s="542">
        <v>58</v>
      </c>
      <c r="CD25" s="542">
        <v>9</v>
      </c>
      <c r="CE25" s="549">
        <v>0</v>
      </c>
      <c r="CF25" s="549">
        <v>71</v>
      </c>
      <c r="CG25" s="731">
        <v>65</v>
      </c>
      <c r="CH25" s="731"/>
      <c r="CI25" s="739"/>
      <c r="CJ25" s="739">
        <v>79</v>
      </c>
      <c r="CK25" s="731">
        <v>71</v>
      </c>
      <c r="CL25" s="731"/>
      <c r="CM25" s="739"/>
      <c r="CN25" s="739">
        <v>82</v>
      </c>
      <c r="CO25" s="731">
        <v>79</v>
      </c>
      <c r="CP25" s="731"/>
      <c r="CQ25" s="739">
        <v>88</v>
      </c>
      <c r="CR25" s="731">
        <v>82</v>
      </c>
      <c r="CS25" s="731"/>
      <c r="CT25" s="739">
        <v>90</v>
      </c>
      <c r="CU25" s="731">
        <v>88</v>
      </c>
      <c r="CW25" s="734" t="s">
        <v>27</v>
      </c>
      <c r="CX25" s="733" t="s">
        <v>49</v>
      </c>
      <c r="CY25" s="538"/>
      <c r="DB25" s="538"/>
      <c r="DC25" s="538"/>
      <c r="DD25" s="538"/>
      <c r="DE25" s="538"/>
      <c r="DF25" s="538"/>
      <c r="DG25" s="538"/>
      <c r="DH25" s="538"/>
      <c r="DI25" s="538"/>
      <c r="DJ25" s="538"/>
      <c r="DK25" s="538"/>
      <c r="DL25" s="538"/>
      <c r="DM25" s="538"/>
      <c r="DN25" s="538"/>
      <c r="DO25" s="538"/>
      <c r="DP25" s="538"/>
      <c r="DQ25" s="538"/>
      <c r="DR25" s="538"/>
      <c r="DS25" s="538"/>
      <c r="DT25" s="538"/>
      <c r="DU25" s="538"/>
      <c r="DV25" s="538"/>
      <c r="DW25" s="538"/>
      <c r="DX25" s="538"/>
      <c r="DY25" s="538"/>
      <c r="DZ25" s="538"/>
      <c r="EA25" s="538"/>
      <c r="EB25" s="538"/>
      <c r="EH25" s="538"/>
      <c r="EI25" s="538"/>
      <c r="EJ25" s="538"/>
      <c r="EK25" s="538"/>
      <c r="EL25" s="538"/>
      <c r="EM25" s="538"/>
      <c r="EN25" s="538"/>
      <c r="EO25" s="538"/>
      <c r="EP25" s="538"/>
      <c r="EQ25" s="538"/>
      <c r="ER25" s="538"/>
      <c r="ES25" s="538"/>
      <c r="ET25" s="538"/>
      <c r="EU25" s="538"/>
      <c r="EV25" s="538"/>
      <c r="EW25" s="538"/>
      <c r="EX25" s="538"/>
      <c r="EY25" s="538"/>
      <c r="EZ25" s="538"/>
      <c r="FA25" s="538"/>
      <c r="FB25" s="538"/>
      <c r="FC25" s="538"/>
      <c r="FD25" s="538"/>
      <c r="FE25" s="538"/>
      <c r="FF25" s="538"/>
      <c r="FG25" s="538"/>
      <c r="FH25" s="538"/>
      <c r="FI25" s="538"/>
      <c r="FJ25" s="538"/>
      <c r="FK25" s="538"/>
      <c r="FL25" s="538"/>
      <c r="FM25" s="538"/>
      <c r="FN25" s="727" t="s">
        <v>182</v>
      </c>
      <c r="FO25" s="734" t="s">
        <v>181</v>
      </c>
      <c r="FP25" s="734"/>
      <c r="FQ25" s="727" t="s">
        <v>1316</v>
      </c>
      <c r="FR25" s="727">
        <v>0.53</v>
      </c>
      <c r="FS25" s="727">
        <v>0.51</v>
      </c>
      <c r="FT25" s="727"/>
      <c r="FU25" s="727" t="s">
        <v>1329</v>
      </c>
      <c r="FV25" s="756">
        <v>1.39</v>
      </c>
      <c r="FW25" s="542" t="s">
        <v>1604</v>
      </c>
      <c r="FX25" s="727">
        <v>0.27600000000000002</v>
      </c>
      <c r="FY25" s="727"/>
      <c r="FZ25" s="542" t="s">
        <v>1609</v>
      </c>
      <c r="GA25" s="727">
        <v>0.83</v>
      </c>
      <c r="GB25" s="727"/>
      <c r="GC25" s="727"/>
      <c r="GD25" s="727"/>
      <c r="GE25" s="727"/>
      <c r="GG25" s="731" t="s">
        <v>572</v>
      </c>
      <c r="GH25" s="732" t="s">
        <v>624</v>
      </c>
      <c r="GI25" s="731">
        <v>12</v>
      </c>
      <c r="GL25" s="731">
        <v>0.68</v>
      </c>
      <c r="GO25" s="731" t="s">
        <v>572</v>
      </c>
      <c r="GP25" s="732" t="s">
        <v>777</v>
      </c>
      <c r="GQ25" s="731"/>
      <c r="GR25" s="731"/>
      <c r="GS25" s="731">
        <v>1500</v>
      </c>
      <c r="GT25" s="731"/>
      <c r="GU25" s="731"/>
    </row>
    <row r="26" spans="2:211" ht="20">
      <c r="B26" s="734" t="s">
        <v>27</v>
      </c>
      <c r="C26" s="733" t="s">
        <v>48</v>
      </c>
      <c r="D26" s="539">
        <v>39.380000000000003</v>
      </c>
      <c r="E26" s="539">
        <v>62.62</v>
      </c>
      <c r="F26" s="539">
        <v>22</v>
      </c>
      <c r="G26" s="539" t="s">
        <v>38</v>
      </c>
      <c r="H26" s="539">
        <v>-3.1</v>
      </c>
      <c r="I26" s="539">
        <v>8.6</v>
      </c>
      <c r="J26" s="539">
        <v>21.4</v>
      </c>
      <c r="K26" s="539">
        <v>32.299999999999997</v>
      </c>
      <c r="L26" s="539">
        <v>59</v>
      </c>
      <c r="M26" s="539">
        <v>69</v>
      </c>
      <c r="N26" s="539">
        <v>59</v>
      </c>
      <c r="O26" s="539">
        <v>25</v>
      </c>
      <c r="P26" s="539">
        <v>54</v>
      </c>
      <c r="Q26" s="734">
        <v>4</v>
      </c>
      <c r="R26" s="539">
        <v>20.399999999999999</v>
      </c>
      <c r="S26" s="734">
        <v>0.53</v>
      </c>
      <c r="T26" s="734">
        <v>36.9</v>
      </c>
      <c r="U26" s="734">
        <v>3.4</v>
      </c>
      <c r="V26" s="734">
        <v>185</v>
      </c>
      <c r="W26" s="734">
        <v>41</v>
      </c>
      <c r="X26" s="734">
        <v>1.4E-2</v>
      </c>
      <c r="Y26" s="734">
        <v>1.9E-2</v>
      </c>
      <c r="Z26" s="547">
        <v>130</v>
      </c>
      <c r="AA26" s="547">
        <f t="shared" si="0"/>
        <v>1.3</v>
      </c>
      <c r="AB26" s="734">
        <v>35</v>
      </c>
      <c r="AC26" s="538"/>
      <c r="AD26" s="733" t="str">
        <f t="shared" si="3"/>
        <v>HILARIO ASCASUBI</v>
      </c>
      <c r="AE26" s="737">
        <v>22.4</v>
      </c>
      <c r="AF26" s="737">
        <v>22</v>
      </c>
      <c r="AG26" s="737">
        <v>19.5</v>
      </c>
      <c r="AH26" s="737">
        <v>15.1</v>
      </c>
      <c r="AI26" s="737">
        <v>11.5</v>
      </c>
      <c r="AJ26" s="737">
        <v>8.1999999999999993</v>
      </c>
      <c r="AK26" s="737">
        <v>7.5</v>
      </c>
      <c r="AL26" s="737">
        <v>9.4</v>
      </c>
      <c r="AM26" s="737">
        <v>11.5</v>
      </c>
      <c r="AN26" s="737">
        <v>14.9</v>
      </c>
      <c r="AO26" s="737">
        <v>18.899999999999999</v>
      </c>
      <c r="AP26" s="737">
        <v>21.2</v>
      </c>
      <c r="AQ26" s="538"/>
      <c r="AR26" s="733" t="str">
        <f t="shared" si="1"/>
        <v>BAP</v>
      </c>
      <c r="AS26" s="733" t="str">
        <f t="shared" si="4"/>
        <v>HILARIO ASCASUBI</v>
      </c>
      <c r="AT26" s="731">
        <v>6.5</v>
      </c>
      <c r="AU26" s="731">
        <v>6</v>
      </c>
      <c r="AV26" s="731">
        <v>4.5</v>
      </c>
      <c r="AW26" s="731">
        <v>3</v>
      </c>
      <c r="AX26" s="731">
        <v>2</v>
      </c>
      <c r="AY26" s="731">
        <v>1.5</v>
      </c>
      <c r="AZ26" s="731">
        <v>1.5</v>
      </c>
      <c r="BA26" s="731">
        <v>2.5</v>
      </c>
      <c r="BB26" s="731">
        <v>3.5</v>
      </c>
      <c r="BC26" s="731">
        <v>5</v>
      </c>
      <c r="BD26" s="731">
        <v>6</v>
      </c>
      <c r="BE26" s="731">
        <v>7</v>
      </c>
      <c r="BG26" s="733" t="str">
        <f t="shared" si="5"/>
        <v>BAP</v>
      </c>
      <c r="BH26" s="733" t="str">
        <f t="shared" si="6"/>
        <v>HILARIO ASCASUBI</v>
      </c>
      <c r="BI26" s="731">
        <v>104</v>
      </c>
      <c r="BJ26" s="731">
        <v>98</v>
      </c>
      <c r="BK26" s="731">
        <v>115</v>
      </c>
      <c r="BL26" s="731">
        <v>97</v>
      </c>
      <c r="BM26" s="731">
        <v>80</v>
      </c>
      <c r="BN26" s="731">
        <v>61</v>
      </c>
      <c r="BO26" s="731">
        <v>59</v>
      </c>
      <c r="BP26" s="731">
        <v>63</v>
      </c>
      <c r="BQ26" s="731">
        <v>68</v>
      </c>
      <c r="BR26" s="731">
        <v>104</v>
      </c>
      <c r="BS26" s="731">
        <v>98</v>
      </c>
      <c r="BT26" s="731">
        <v>93</v>
      </c>
      <c r="BV26" s="731" t="s">
        <v>1839</v>
      </c>
      <c r="BW26" s="731">
        <v>41.15</v>
      </c>
      <c r="BX26" s="549">
        <v>19</v>
      </c>
      <c r="BY26" s="549">
        <v>60</v>
      </c>
      <c r="BZ26" s="542">
        <v>19</v>
      </c>
      <c r="CA26" s="549">
        <v>10</v>
      </c>
      <c r="CB26" s="549">
        <v>68</v>
      </c>
      <c r="CC26" s="542">
        <v>60</v>
      </c>
      <c r="CD26" s="542">
        <v>10</v>
      </c>
      <c r="CE26" s="549">
        <v>2</v>
      </c>
      <c r="CF26" s="549">
        <v>75</v>
      </c>
      <c r="CG26" s="731">
        <v>68</v>
      </c>
      <c r="CH26" s="731">
        <v>2</v>
      </c>
      <c r="CI26" s="739">
        <v>-2</v>
      </c>
      <c r="CJ26" s="739">
        <v>80</v>
      </c>
      <c r="CK26" s="731">
        <v>75</v>
      </c>
      <c r="CL26" s="731"/>
      <c r="CM26" s="739"/>
      <c r="CN26" s="739">
        <v>85</v>
      </c>
      <c r="CO26" s="731">
        <v>80</v>
      </c>
      <c r="CP26" s="731"/>
      <c r="CQ26" s="739">
        <v>90</v>
      </c>
      <c r="CR26" s="731">
        <v>85</v>
      </c>
      <c r="CS26" s="731"/>
      <c r="CT26" s="739"/>
      <c r="CU26" s="731"/>
      <c r="CW26" s="734" t="s">
        <v>27</v>
      </c>
      <c r="CX26" s="733" t="s">
        <v>50</v>
      </c>
      <c r="CY26" s="538"/>
      <c r="DB26" s="538"/>
      <c r="DC26" s="538"/>
      <c r="DD26" s="538"/>
      <c r="DE26" s="538"/>
      <c r="DF26" s="538"/>
      <c r="DG26" s="538"/>
      <c r="DH26" s="538"/>
      <c r="DI26" s="538"/>
      <c r="DJ26" s="538"/>
      <c r="DK26" s="538"/>
      <c r="DL26" s="538"/>
      <c r="DM26" s="538"/>
      <c r="DN26" s="538"/>
      <c r="DU26" s="538"/>
      <c r="DV26" s="538"/>
      <c r="DW26" s="538"/>
      <c r="DX26" s="538"/>
      <c r="DY26" s="538"/>
      <c r="DZ26" s="538"/>
      <c r="EA26" s="538"/>
      <c r="EB26" s="538"/>
      <c r="EH26" s="538"/>
      <c r="EI26" s="538"/>
      <c r="EJ26" s="538"/>
      <c r="EK26" s="538"/>
      <c r="EL26" s="538"/>
      <c r="EM26" s="538"/>
      <c r="EN26" s="538"/>
      <c r="EO26" s="538"/>
      <c r="EP26" s="538"/>
      <c r="EQ26" s="538"/>
      <c r="ER26" s="538"/>
      <c r="ES26" s="538"/>
      <c r="ET26" s="538"/>
      <c r="EU26" s="538"/>
      <c r="EV26" s="538"/>
      <c r="EW26" s="538"/>
      <c r="EX26" s="538"/>
      <c r="EY26" s="538"/>
      <c r="EZ26" s="538"/>
      <c r="FA26" s="538"/>
      <c r="FB26" s="538"/>
      <c r="FC26" s="538"/>
      <c r="FD26" s="538"/>
      <c r="FE26" s="538"/>
      <c r="FF26" s="538"/>
      <c r="FG26" s="538"/>
      <c r="FH26" s="538"/>
      <c r="FI26" s="538"/>
      <c r="FJ26" s="538"/>
      <c r="FK26" s="538"/>
      <c r="FL26" s="538"/>
      <c r="FM26" s="538"/>
      <c r="FN26" s="727" t="s">
        <v>1840</v>
      </c>
      <c r="FO26" s="734" t="s">
        <v>184</v>
      </c>
      <c r="FP26" s="734"/>
      <c r="FQ26" s="727" t="s">
        <v>1313</v>
      </c>
      <c r="FR26" s="727">
        <v>1.9</v>
      </c>
      <c r="FS26" s="727">
        <v>1.68</v>
      </c>
      <c r="FT26" s="727"/>
      <c r="FU26" s="727" t="s">
        <v>1337</v>
      </c>
      <c r="FV26" s="756">
        <v>1.6</v>
      </c>
      <c r="FW26" s="542" t="s">
        <v>2029</v>
      </c>
      <c r="FX26" s="727">
        <v>0.74</v>
      </c>
      <c r="FY26" s="727"/>
      <c r="FZ26" s="542" t="s">
        <v>1597</v>
      </c>
      <c r="GA26" s="727">
        <v>0.37</v>
      </c>
      <c r="GB26" s="727"/>
      <c r="GC26" s="727"/>
      <c r="GD26" s="727"/>
      <c r="GE26" s="727"/>
      <c r="GG26" s="731" t="s">
        <v>620</v>
      </c>
      <c r="GK26" s="731">
        <v>223</v>
      </c>
      <c r="GO26" s="731" t="s">
        <v>620</v>
      </c>
      <c r="GP26" s="731"/>
      <c r="GQ26" s="731"/>
      <c r="GR26" s="731"/>
      <c r="GS26" s="731">
        <v>175</v>
      </c>
      <c r="GT26" s="731"/>
      <c r="GU26" s="731"/>
      <c r="GW26" s="1204" t="s">
        <v>2084</v>
      </c>
      <c r="GX26" s="1204"/>
      <c r="GY26" s="1204"/>
      <c r="GZ26" s="1204"/>
      <c r="HA26" s="1204"/>
      <c r="HB26" s="1204"/>
      <c r="HC26" s="1204"/>
    </row>
    <row r="27" spans="2:211" ht="19">
      <c r="B27" s="734" t="s">
        <v>27</v>
      </c>
      <c r="C27" s="733" t="s">
        <v>1260</v>
      </c>
      <c r="D27" s="539">
        <v>34.18</v>
      </c>
      <c r="E27" s="539">
        <v>58.27</v>
      </c>
      <c r="F27" s="539">
        <v>36</v>
      </c>
      <c r="G27" s="539" t="s">
        <v>23</v>
      </c>
      <c r="H27" s="539">
        <v>4</v>
      </c>
      <c r="I27" s="539">
        <v>11.8</v>
      </c>
      <c r="J27" s="539">
        <v>23.3</v>
      </c>
      <c r="K27" s="539">
        <v>32.1</v>
      </c>
      <c r="L27" s="539">
        <v>68</v>
      </c>
      <c r="M27" s="539">
        <v>80</v>
      </c>
      <c r="N27" s="539">
        <v>68</v>
      </c>
      <c r="O27" s="539">
        <v>59</v>
      </c>
      <c r="P27" s="539">
        <v>78</v>
      </c>
      <c r="Q27" s="734">
        <v>3</v>
      </c>
      <c r="R27" s="539">
        <v>23</v>
      </c>
      <c r="S27" s="734">
        <v>0.53</v>
      </c>
      <c r="T27" s="734">
        <v>35.799999999999997</v>
      </c>
      <c r="U27" s="734">
        <v>6</v>
      </c>
      <c r="V27" s="734">
        <v>203</v>
      </c>
      <c r="W27" s="734">
        <v>99</v>
      </c>
      <c r="X27" s="734">
        <v>3.1E-2</v>
      </c>
      <c r="Y27" s="734">
        <v>3.5999999999999997E-2</v>
      </c>
      <c r="Z27" s="547">
        <v>130</v>
      </c>
      <c r="AA27" s="547">
        <f t="shared" si="0"/>
        <v>1.3</v>
      </c>
      <c r="AB27" s="734">
        <v>35</v>
      </c>
      <c r="AC27" s="538"/>
      <c r="AD27" s="733" t="str">
        <f t="shared" si="3"/>
        <v>ISLA MARTIN GARCÍA</v>
      </c>
      <c r="AE27" s="737">
        <v>27.6</v>
      </c>
      <c r="AF27" s="737">
        <v>27.1</v>
      </c>
      <c r="AG27" s="737">
        <v>24.6</v>
      </c>
      <c r="AH27" s="737">
        <v>22.5</v>
      </c>
      <c r="AI27" s="737">
        <v>19.8</v>
      </c>
      <c r="AJ27" s="737">
        <v>16.600000000000001</v>
      </c>
      <c r="AK27" s="737">
        <v>16.600000000000001</v>
      </c>
      <c r="AL27" s="737">
        <v>19.3</v>
      </c>
      <c r="AM27" s="737">
        <v>22.4</v>
      </c>
      <c r="AN27" s="737">
        <v>25.2</v>
      </c>
      <c r="AO27" s="737">
        <v>26.6</v>
      </c>
      <c r="AP27" s="737">
        <v>27.7</v>
      </c>
      <c r="AQ27" s="538"/>
      <c r="AR27" s="733" t="str">
        <f t="shared" si="1"/>
        <v>BAP</v>
      </c>
      <c r="AS27" s="733" t="str">
        <f t="shared" si="4"/>
        <v>ISLA MARTIN GARCÍA</v>
      </c>
      <c r="AT27" s="731">
        <v>6.5</v>
      </c>
      <c r="AU27" s="731">
        <v>6</v>
      </c>
      <c r="AV27" s="731">
        <v>4.5</v>
      </c>
      <c r="AW27" s="731">
        <v>3</v>
      </c>
      <c r="AX27" s="731">
        <v>2.5</v>
      </c>
      <c r="AY27" s="731">
        <v>2</v>
      </c>
      <c r="AZ27" s="731">
        <v>2</v>
      </c>
      <c r="BA27" s="731">
        <v>3</v>
      </c>
      <c r="BB27" s="731">
        <v>4</v>
      </c>
      <c r="BC27" s="731">
        <v>5</v>
      </c>
      <c r="BD27" s="731">
        <v>6</v>
      </c>
      <c r="BE27" s="731">
        <v>6.5</v>
      </c>
      <c r="BG27" s="733" t="str">
        <f t="shared" si="5"/>
        <v>BAP</v>
      </c>
      <c r="BH27" s="733" t="str">
        <f t="shared" si="6"/>
        <v>ISLA MARTIN GARCÍA</v>
      </c>
      <c r="BI27" s="731">
        <v>104</v>
      </c>
      <c r="BJ27" s="731">
        <v>98</v>
      </c>
      <c r="BK27" s="731">
        <v>115</v>
      </c>
      <c r="BL27" s="731">
        <v>97</v>
      </c>
      <c r="BM27" s="731">
        <v>80</v>
      </c>
      <c r="BN27" s="731">
        <v>61</v>
      </c>
      <c r="BO27" s="731">
        <v>59</v>
      </c>
      <c r="BP27" s="731">
        <v>63</v>
      </c>
      <c r="BQ27" s="731">
        <v>68</v>
      </c>
      <c r="BR27" s="731">
        <v>104</v>
      </c>
      <c r="BS27" s="731">
        <v>98</v>
      </c>
      <c r="BT27" s="731">
        <v>93</v>
      </c>
      <c r="BV27" s="731" t="s">
        <v>1834</v>
      </c>
      <c r="BW27" s="731">
        <v>45.78</v>
      </c>
      <c r="BX27" s="739">
        <v>20</v>
      </c>
      <c r="BY27" s="739">
        <v>60</v>
      </c>
      <c r="BZ27" s="731">
        <v>20</v>
      </c>
      <c r="CA27" s="739">
        <v>10</v>
      </c>
      <c r="CB27" s="739">
        <v>68</v>
      </c>
      <c r="CC27" s="731">
        <v>60</v>
      </c>
      <c r="CD27" s="547">
        <v>10</v>
      </c>
      <c r="CE27" s="551">
        <v>5</v>
      </c>
      <c r="CF27" s="551">
        <v>75</v>
      </c>
      <c r="CG27" s="731">
        <v>68</v>
      </c>
      <c r="CH27" s="731">
        <v>5</v>
      </c>
      <c r="CI27" s="739">
        <v>0</v>
      </c>
      <c r="CJ27" s="739">
        <v>75</v>
      </c>
      <c r="CK27" s="731">
        <v>80</v>
      </c>
      <c r="CL27" s="731"/>
      <c r="CM27" s="739"/>
      <c r="CN27" s="739">
        <v>85</v>
      </c>
      <c r="CO27" s="731">
        <v>80</v>
      </c>
      <c r="CP27" s="731"/>
      <c r="CQ27" s="739">
        <v>90</v>
      </c>
      <c r="CR27" s="731">
        <v>85</v>
      </c>
      <c r="CS27" s="731"/>
      <c r="CT27" s="739"/>
      <c r="CU27" s="731"/>
      <c r="CW27" s="734" t="s">
        <v>27</v>
      </c>
      <c r="CX27" s="733" t="s">
        <v>33</v>
      </c>
      <c r="CY27" s="538"/>
      <c r="CZ27" s="538"/>
      <c r="DA27" s="538"/>
      <c r="DB27" s="538"/>
      <c r="DC27" s="538"/>
      <c r="DD27" s="538"/>
      <c r="DE27" s="538"/>
      <c r="DF27" s="538"/>
      <c r="DG27" s="538"/>
      <c r="DH27" s="538"/>
      <c r="DI27" s="538"/>
      <c r="DJ27" s="538"/>
      <c r="DK27" s="538"/>
      <c r="DL27" s="538"/>
      <c r="DM27" s="538"/>
      <c r="DN27" s="538"/>
      <c r="DU27" s="538"/>
      <c r="DV27" s="538"/>
      <c r="DW27" s="538"/>
      <c r="DX27" s="538"/>
      <c r="DY27" s="538"/>
      <c r="DZ27" s="538"/>
      <c r="EA27" s="538"/>
      <c r="EB27" s="538"/>
      <c r="EH27" s="538"/>
      <c r="EI27" s="538"/>
      <c r="EJ27" s="538"/>
      <c r="EK27" s="538"/>
      <c r="EL27" s="538"/>
      <c r="EM27" s="538"/>
      <c r="EN27" s="538"/>
      <c r="EO27" s="538"/>
      <c r="EP27" s="538"/>
      <c r="EQ27" s="538"/>
      <c r="ER27" s="538"/>
      <c r="ES27" s="538"/>
      <c r="ET27" s="538"/>
      <c r="EU27" s="538"/>
      <c r="EV27" s="538"/>
      <c r="EW27" s="538"/>
      <c r="EX27" s="538"/>
      <c r="EY27" s="538"/>
      <c r="EZ27" s="538"/>
      <c r="FA27" s="538"/>
      <c r="FB27" s="538"/>
      <c r="FC27" s="538"/>
      <c r="FD27" s="538"/>
      <c r="FE27" s="538"/>
      <c r="FF27" s="538"/>
      <c r="FG27" s="538"/>
      <c r="FH27" s="538"/>
      <c r="FI27" s="538"/>
      <c r="FJ27" s="538"/>
      <c r="FK27" s="538"/>
      <c r="FL27" s="538"/>
      <c r="FM27" s="538"/>
      <c r="FN27" s="727" t="s">
        <v>1841</v>
      </c>
      <c r="FO27" s="734" t="s">
        <v>188</v>
      </c>
      <c r="FP27" s="734"/>
      <c r="FQ27" s="727" t="s">
        <v>1719</v>
      </c>
      <c r="FR27" s="727">
        <v>0.3</v>
      </c>
      <c r="FS27" s="727">
        <v>0.3</v>
      </c>
      <c r="FT27" s="727"/>
      <c r="FU27" s="727" t="s">
        <v>1336</v>
      </c>
      <c r="FV27" s="756">
        <v>2.6</v>
      </c>
      <c r="FW27" s="542" t="s">
        <v>1607</v>
      </c>
      <c r="FX27" s="727">
        <v>0.35</v>
      </c>
      <c r="FY27" s="727"/>
      <c r="FZ27" s="542" t="s">
        <v>1610</v>
      </c>
      <c r="GA27" s="727">
        <v>0.43</v>
      </c>
      <c r="GB27" s="727"/>
      <c r="GC27" s="727"/>
      <c r="GD27" s="727"/>
      <c r="GE27" s="727"/>
      <c r="GG27" s="731" t="s">
        <v>619</v>
      </c>
      <c r="GK27" s="731">
        <v>110</v>
      </c>
      <c r="GO27" s="731" t="s">
        <v>619</v>
      </c>
      <c r="GP27" s="731"/>
      <c r="GQ27" s="731"/>
      <c r="GR27" s="731"/>
      <c r="GS27" s="731">
        <v>60</v>
      </c>
      <c r="GT27" s="731"/>
      <c r="GU27" s="731"/>
      <c r="GW27" s="1269" t="s">
        <v>2041</v>
      </c>
      <c r="GX27" s="1269"/>
      <c r="GY27" s="1269"/>
      <c r="GZ27" s="1269"/>
      <c r="HA27" s="1269"/>
      <c r="HB27" s="1269"/>
      <c r="HC27" s="1269"/>
    </row>
    <row r="28" spans="2:211" ht="16">
      <c r="B28" s="734" t="s">
        <v>27</v>
      </c>
      <c r="C28" s="733" t="s">
        <v>1261</v>
      </c>
      <c r="D28" s="539">
        <v>34.549999999999997</v>
      </c>
      <c r="E28" s="539">
        <v>60.95</v>
      </c>
      <c r="F28" s="539">
        <v>81</v>
      </c>
      <c r="G28" s="539" t="s">
        <v>42</v>
      </c>
      <c r="H28" s="539">
        <v>-1.3</v>
      </c>
      <c r="I28" s="539">
        <v>9.4</v>
      </c>
      <c r="J28" s="539">
        <v>22.3</v>
      </c>
      <c r="K28" s="539">
        <v>33.4</v>
      </c>
      <c r="L28" s="539">
        <v>65</v>
      </c>
      <c r="M28" s="539">
        <v>80</v>
      </c>
      <c r="N28" s="539">
        <v>65</v>
      </c>
      <c r="O28" s="539">
        <v>32</v>
      </c>
      <c r="P28" s="539">
        <v>88</v>
      </c>
      <c r="Q28" s="734">
        <v>3</v>
      </c>
      <c r="R28" s="539">
        <v>22</v>
      </c>
      <c r="S28" s="734">
        <v>0.55000000000000004</v>
      </c>
      <c r="T28" s="734">
        <v>35.799999999999997</v>
      </c>
      <c r="U28" s="734">
        <v>6</v>
      </c>
      <c r="V28" s="734">
        <v>203</v>
      </c>
      <c r="W28" s="734">
        <v>99</v>
      </c>
      <c r="X28" s="734">
        <v>3.1E-2</v>
      </c>
      <c r="Y28" s="734">
        <v>3.5999999999999997E-2</v>
      </c>
      <c r="Z28" s="547">
        <v>130</v>
      </c>
      <c r="AA28" s="547">
        <f t="shared" si="0"/>
        <v>1.3</v>
      </c>
      <c r="AB28" s="734">
        <v>35</v>
      </c>
      <c r="AC28" s="538"/>
      <c r="AD28" s="733" t="str">
        <f t="shared" si="3"/>
        <v>JUNÍN</v>
      </c>
      <c r="AE28" s="737">
        <v>23.3</v>
      </c>
      <c r="AF28" s="737">
        <v>22</v>
      </c>
      <c r="AG28" s="737">
        <v>19.5</v>
      </c>
      <c r="AH28" s="737">
        <v>15.5</v>
      </c>
      <c r="AI28" s="737">
        <v>12.7</v>
      </c>
      <c r="AJ28" s="737">
        <v>9.6999999999999993</v>
      </c>
      <c r="AK28" s="737">
        <v>9.4</v>
      </c>
      <c r="AL28" s="737">
        <v>10.3</v>
      </c>
      <c r="AM28" s="737">
        <v>12.7</v>
      </c>
      <c r="AN28" s="737">
        <v>15.5</v>
      </c>
      <c r="AO28" s="737">
        <v>18.899999999999999</v>
      </c>
      <c r="AP28" s="737">
        <v>21.7</v>
      </c>
      <c r="AQ28" s="538"/>
      <c r="AR28" s="733" t="str">
        <f t="shared" si="1"/>
        <v>BAP</v>
      </c>
      <c r="AS28" s="733" t="str">
        <f t="shared" si="4"/>
        <v>JUNÍN</v>
      </c>
      <c r="AT28" s="731">
        <v>6.5</v>
      </c>
      <c r="AU28" s="731">
        <v>5.5</v>
      </c>
      <c r="AV28" s="731">
        <v>4.5</v>
      </c>
      <c r="AW28" s="731">
        <v>3</v>
      </c>
      <c r="AX28" s="731">
        <v>2.5</v>
      </c>
      <c r="AY28" s="731">
        <v>2</v>
      </c>
      <c r="AZ28" s="731">
        <v>2</v>
      </c>
      <c r="BA28" s="731">
        <v>3</v>
      </c>
      <c r="BB28" s="731">
        <v>4</v>
      </c>
      <c r="BC28" s="731">
        <v>5</v>
      </c>
      <c r="BD28" s="731">
        <v>6</v>
      </c>
      <c r="BE28" s="731">
        <v>6.5</v>
      </c>
      <c r="BG28" s="733" t="str">
        <f t="shared" si="5"/>
        <v>BAP</v>
      </c>
      <c r="BH28" s="733" t="str">
        <f t="shared" si="6"/>
        <v>JUNÍN</v>
      </c>
      <c r="BI28" s="731">
        <v>104</v>
      </c>
      <c r="BJ28" s="731">
        <v>98</v>
      </c>
      <c r="BK28" s="731">
        <v>115</v>
      </c>
      <c r="BL28" s="731">
        <v>97</v>
      </c>
      <c r="BM28" s="731">
        <v>80</v>
      </c>
      <c r="BN28" s="731">
        <v>61</v>
      </c>
      <c r="BO28" s="731">
        <v>59</v>
      </c>
      <c r="BP28" s="731">
        <v>63</v>
      </c>
      <c r="BQ28" s="731">
        <v>68</v>
      </c>
      <c r="BR28" s="731">
        <v>104</v>
      </c>
      <c r="BS28" s="731">
        <v>98</v>
      </c>
      <c r="BT28" s="731">
        <v>93</v>
      </c>
      <c r="BV28" s="731" t="s">
        <v>1840</v>
      </c>
      <c r="BW28" s="731">
        <v>51.62</v>
      </c>
      <c r="BX28" s="549">
        <v>30</v>
      </c>
      <c r="BY28" s="549">
        <v>70</v>
      </c>
      <c r="BZ28" s="542">
        <v>30</v>
      </c>
      <c r="CA28" s="549">
        <v>20</v>
      </c>
      <c r="CB28" s="549">
        <v>78</v>
      </c>
      <c r="CC28" s="542">
        <v>70</v>
      </c>
      <c r="CD28" s="542">
        <v>20</v>
      </c>
      <c r="CE28" s="549">
        <v>12</v>
      </c>
      <c r="CF28" s="549">
        <v>85</v>
      </c>
      <c r="CG28" s="731">
        <v>78</v>
      </c>
      <c r="CH28" s="731">
        <v>12</v>
      </c>
      <c r="CI28" s="739">
        <v>7</v>
      </c>
      <c r="CJ28" s="739">
        <v>90</v>
      </c>
      <c r="CK28" s="731">
        <v>85</v>
      </c>
      <c r="CL28" s="731">
        <v>7</v>
      </c>
      <c r="CM28" s="739">
        <v>0</v>
      </c>
      <c r="CN28" s="739"/>
      <c r="CO28" s="731"/>
      <c r="CP28" s="731"/>
      <c r="CQ28" s="739"/>
      <c r="CR28" s="731"/>
      <c r="CS28" s="731"/>
      <c r="CT28" s="739"/>
      <c r="CU28" s="731"/>
      <c r="CW28" s="734" t="s">
        <v>27</v>
      </c>
      <c r="CX28" s="733" t="s">
        <v>1262</v>
      </c>
      <c r="CY28" s="538"/>
      <c r="CZ28" s="538"/>
      <c r="DA28" s="538"/>
      <c r="DB28" s="538"/>
      <c r="DC28" s="538"/>
      <c r="DD28" s="538"/>
      <c r="DE28" s="538"/>
      <c r="DF28" s="538"/>
      <c r="DG28" s="538"/>
      <c r="DH28" s="538"/>
      <c r="DI28" s="538"/>
      <c r="DJ28" s="538"/>
      <c r="DK28" s="538"/>
      <c r="DL28" s="538"/>
      <c r="DM28" s="538"/>
      <c r="DN28" s="538"/>
      <c r="DU28" s="538"/>
      <c r="DV28" s="538"/>
      <c r="DW28" s="538"/>
      <c r="DX28" s="538"/>
      <c r="DY28" s="538"/>
      <c r="DZ28" s="538"/>
      <c r="EA28" s="538"/>
      <c r="EB28" s="538"/>
      <c r="EC28" s="538"/>
      <c r="ED28" s="538"/>
      <c r="EE28" s="538"/>
      <c r="EF28" s="538"/>
      <c r="EG28" s="538"/>
      <c r="EH28" s="538"/>
      <c r="EI28" s="538"/>
      <c r="EJ28" s="538"/>
      <c r="EK28" s="538"/>
      <c r="EL28" s="538"/>
      <c r="EM28" s="538"/>
      <c r="EN28" s="538"/>
      <c r="EO28" s="538"/>
      <c r="EP28" s="538"/>
      <c r="EQ28" s="538"/>
      <c r="ER28" s="538"/>
      <c r="ES28" s="538"/>
      <c r="ET28" s="538"/>
      <c r="EU28" s="538"/>
      <c r="EV28" s="538"/>
      <c r="EW28" s="538"/>
      <c r="EX28" s="538"/>
      <c r="EY28" s="538"/>
      <c r="EZ28" s="538"/>
      <c r="FA28" s="538"/>
      <c r="FB28" s="538"/>
      <c r="FC28" s="538"/>
      <c r="FD28" s="538"/>
      <c r="FE28" s="538"/>
      <c r="FF28" s="538"/>
      <c r="FG28" s="538"/>
      <c r="FH28" s="538"/>
      <c r="FI28" s="538"/>
      <c r="FJ28" s="538"/>
      <c r="FK28" s="538"/>
      <c r="FL28" s="538"/>
      <c r="FM28" s="538"/>
      <c r="FN28" s="727" t="s">
        <v>199</v>
      </c>
      <c r="FO28" s="734" t="s">
        <v>196</v>
      </c>
      <c r="FP28" s="734"/>
      <c r="FQ28" s="727" t="s">
        <v>1720</v>
      </c>
      <c r="FR28" s="727">
        <v>1.2</v>
      </c>
      <c r="FS28" s="727">
        <v>1.1100000000000001</v>
      </c>
      <c r="FT28" s="727"/>
      <c r="FU28" s="542" t="s">
        <v>1585</v>
      </c>
      <c r="FV28" s="727">
        <v>0.75</v>
      </c>
      <c r="FW28" s="542" t="s">
        <v>1608</v>
      </c>
      <c r="FX28" s="727">
        <v>0.3</v>
      </c>
      <c r="FY28" s="727"/>
      <c r="FZ28" s="542" t="s">
        <v>1596</v>
      </c>
      <c r="GA28" s="727">
        <v>0.21</v>
      </c>
      <c r="GB28" s="727"/>
      <c r="GC28" s="727"/>
      <c r="GD28" s="727"/>
      <c r="GE28" s="727"/>
      <c r="GO28" s="731"/>
      <c r="GP28" s="731"/>
      <c r="GQ28" s="731"/>
      <c r="GR28" s="731"/>
      <c r="GS28" s="731"/>
      <c r="GT28" s="731"/>
      <c r="GU28" s="731"/>
      <c r="GW28" s="1205" t="s">
        <v>592</v>
      </c>
      <c r="GX28" s="1205"/>
      <c r="GY28" s="1205"/>
      <c r="GZ28" s="731"/>
      <c r="HA28" s="1205" t="s">
        <v>2065</v>
      </c>
      <c r="HB28" s="1205"/>
      <c r="HC28" s="1205"/>
    </row>
    <row r="29" spans="2:211" ht="19">
      <c r="B29" s="734" t="s">
        <v>27</v>
      </c>
      <c r="C29" s="733" t="s">
        <v>49</v>
      </c>
      <c r="D29" s="539">
        <v>37.57</v>
      </c>
      <c r="E29" s="539">
        <v>60.77</v>
      </c>
      <c r="F29" s="539">
        <v>212</v>
      </c>
      <c r="G29" s="539" t="s">
        <v>38</v>
      </c>
      <c r="H29" s="539">
        <v>-3</v>
      </c>
      <c r="I29" s="539">
        <v>7.9</v>
      </c>
      <c r="J29" s="539">
        <v>20.6</v>
      </c>
      <c r="K29" s="539">
        <v>32</v>
      </c>
      <c r="L29" s="539">
        <v>63</v>
      </c>
      <c r="M29" s="539">
        <v>68</v>
      </c>
      <c r="N29" s="539">
        <v>63</v>
      </c>
      <c r="O29" s="539">
        <v>40</v>
      </c>
      <c r="P29" s="539">
        <v>76</v>
      </c>
      <c r="Q29" s="734">
        <v>4</v>
      </c>
      <c r="R29" s="539">
        <v>20.8</v>
      </c>
      <c r="S29" s="734">
        <v>0.53</v>
      </c>
      <c r="T29" s="734">
        <v>35.799999999999997</v>
      </c>
      <c r="U29" s="734">
        <v>6</v>
      </c>
      <c r="V29" s="734">
        <v>203</v>
      </c>
      <c r="W29" s="734">
        <v>99</v>
      </c>
      <c r="X29" s="734">
        <v>3.1E-2</v>
      </c>
      <c r="Y29" s="734">
        <v>3.5999999999999997E-2</v>
      </c>
      <c r="Z29" s="547">
        <v>130</v>
      </c>
      <c r="AA29" s="547">
        <f t="shared" si="0"/>
        <v>1.3</v>
      </c>
      <c r="AB29" s="734">
        <v>35</v>
      </c>
      <c r="AC29" s="538"/>
      <c r="AD29" s="733" t="str">
        <f t="shared" si="3"/>
        <v>LAPRIDA</v>
      </c>
      <c r="AE29" s="737">
        <v>22.1</v>
      </c>
      <c r="AF29" s="737">
        <v>21</v>
      </c>
      <c r="AG29" s="737">
        <v>18.600000000000001</v>
      </c>
      <c r="AH29" s="737">
        <v>12.9</v>
      </c>
      <c r="AI29" s="737">
        <v>10.3</v>
      </c>
      <c r="AJ29" s="737">
        <v>7.1</v>
      </c>
      <c r="AK29" s="737">
        <v>7</v>
      </c>
      <c r="AL29" s="737">
        <v>8.1999999999999993</v>
      </c>
      <c r="AM29" s="737">
        <v>10.199999999999999</v>
      </c>
      <c r="AN29" s="737">
        <v>13.2</v>
      </c>
      <c r="AO29" s="737">
        <v>16.899999999999999</v>
      </c>
      <c r="AP29" s="737">
        <v>19.5</v>
      </c>
      <c r="AQ29" s="538"/>
      <c r="AR29" s="733" t="str">
        <f t="shared" si="1"/>
        <v>BAP</v>
      </c>
      <c r="AS29" s="733" t="str">
        <f t="shared" si="4"/>
        <v>LAPRIDA</v>
      </c>
      <c r="AT29" s="731">
        <v>6.5</v>
      </c>
      <c r="AU29" s="731">
        <v>6</v>
      </c>
      <c r="AV29" s="731">
        <v>4.5</v>
      </c>
      <c r="AW29" s="731">
        <v>3</v>
      </c>
      <c r="AX29" s="731">
        <v>2</v>
      </c>
      <c r="AY29" s="731">
        <v>1.5</v>
      </c>
      <c r="AZ29" s="731">
        <v>1.5</v>
      </c>
      <c r="BA29" s="731">
        <v>2.5</v>
      </c>
      <c r="BB29" s="731">
        <v>3.5</v>
      </c>
      <c r="BC29" s="731">
        <v>5</v>
      </c>
      <c r="BD29" s="731">
        <v>6</v>
      </c>
      <c r="BE29" s="731">
        <v>7</v>
      </c>
      <c r="BG29" s="733" t="str">
        <f t="shared" si="5"/>
        <v>BAP</v>
      </c>
      <c r="BH29" s="733" t="str">
        <f t="shared" si="6"/>
        <v>LAPRIDA</v>
      </c>
      <c r="BI29" s="731">
        <v>104</v>
      </c>
      <c r="BJ29" s="731">
        <v>98</v>
      </c>
      <c r="BK29" s="731">
        <v>115</v>
      </c>
      <c r="BL29" s="731">
        <v>97</v>
      </c>
      <c r="BM29" s="731">
        <v>80</v>
      </c>
      <c r="BN29" s="731">
        <v>61</v>
      </c>
      <c r="BO29" s="731">
        <v>59</v>
      </c>
      <c r="BP29" s="731">
        <v>63</v>
      </c>
      <c r="BQ29" s="731">
        <v>68</v>
      </c>
      <c r="BR29" s="731">
        <v>104</v>
      </c>
      <c r="BS29" s="731">
        <v>98</v>
      </c>
      <c r="BT29" s="731">
        <v>93</v>
      </c>
      <c r="BV29" s="731" t="s">
        <v>1842</v>
      </c>
      <c r="BW29" s="731">
        <v>54.8</v>
      </c>
      <c r="BX29" s="549">
        <v>30</v>
      </c>
      <c r="BY29" s="549">
        <v>70</v>
      </c>
      <c r="BZ29" s="542">
        <v>30</v>
      </c>
      <c r="CA29" s="549">
        <v>20</v>
      </c>
      <c r="CB29" s="549">
        <v>79</v>
      </c>
      <c r="CC29" s="542">
        <v>70</v>
      </c>
      <c r="CD29" s="542">
        <v>20</v>
      </c>
      <c r="CE29" s="549">
        <v>12</v>
      </c>
      <c r="CF29" s="549">
        <v>85</v>
      </c>
      <c r="CG29" s="731">
        <v>79</v>
      </c>
      <c r="CH29" s="731">
        <v>12</v>
      </c>
      <c r="CI29" s="739">
        <v>5</v>
      </c>
      <c r="CJ29" s="739">
        <v>90</v>
      </c>
      <c r="CK29" s="731">
        <v>85</v>
      </c>
      <c r="CL29" s="731">
        <v>5</v>
      </c>
      <c r="CM29" s="739">
        <v>1</v>
      </c>
      <c r="CN29" s="739"/>
      <c r="CO29" s="731"/>
      <c r="CP29" s="731"/>
      <c r="CQ29" s="739"/>
      <c r="CR29" s="731"/>
      <c r="CS29" s="731"/>
      <c r="CT29" s="739"/>
      <c r="CU29" s="731"/>
      <c r="CW29" s="734" t="s">
        <v>27</v>
      </c>
      <c r="CX29" s="733" t="s">
        <v>1036</v>
      </c>
      <c r="CY29" s="538"/>
      <c r="DB29" s="538"/>
      <c r="DC29" s="538"/>
      <c r="DD29" s="538"/>
      <c r="DE29" s="538"/>
      <c r="DF29" s="538"/>
      <c r="DG29" s="538"/>
      <c r="DH29" s="538"/>
      <c r="DI29" s="538"/>
      <c r="DJ29" s="538"/>
      <c r="DK29" s="538"/>
      <c r="DL29" s="538"/>
      <c r="DM29" s="538"/>
      <c r="DN29" s="538"/>
      <c r="DU29" s="538"/>
      <c r="DV29" s="538"/>
      <c r="DW29" s="538"/>
      <c r="DX29" s="538"/>
      <c r="DY29" s="538"/>
      <c r="DZ29" s="538"/>
      <c r="EA29" s="538"/>
      <c r="EB29" s="538"/>
      <c r="EC29" s="538"/>
      <c r="ED29" s="538"/>
      <c r="EE29" s="538"/>
      <c r="EF29" s="538"/>
      <c r="EG29" s="538"/>
      <c r="EH29" s="538"/>
      <c r="EI29" s="538"/>
      <c r="EJ29" s="538"/>
      <c r="EK29" s="538"/>
      <c r="EL29" s="538"/>
      <c r="EM29" s="538"/>
      <c r="EN29" s="538"/>
      <c r="EO29" s="538"/>
      <c r="EP29" s="538"/>
      <c r="EQ29" s="538"/>
      <c r="ER29" s="538"/>
      <c r="ES29" s="538"/>
      <c r="ET29" s="538"/>
      <c r="EU29" s="538"/>
      <c r="EV29" s="538"/>
      <c r="EW29" s="538"/>
      <c r="EX29" s="538"/>
      <c r="EY29" s="538"/>
      <c r="EZ29" s="538"/>
      <c r="FA29" s="538"/>
      <c r="FB29" s="538"/>
      <c r="FC29" s="538"/>
      <c r="FD29" s="538"/>
      <c r="FE29" s="538"/>
      <c r="FF29" s="538"/>
      <c r="FG29" s="538"/>
      <c r="FH29" s="538"/>
      <c r="FI29" s="538"/>
      <c r="FJ29" s="538"/>
      <c r="FK29" s="538"/>
      <c r="FL29" s="538"/>
      <c r="FM29" s="538"/>
      <c r="FN29" s="727" t="s">
        <v>1842</v>
      </c>
      <c r="FO29" s="734" t="s">
        <v>202</v>
      </c>
      <c r="FP29" s="538"/>
      <c r="FQ29" s="727" t="s">
        <v>1722</v>
      </c>
      <c r="FR29" s="727">
        <v>0.81</v>
      </c>
      <c r="FS29" s="727">
        <v>0.76</v>
      </c>
      <c r="FT29" s="727"/>
      <c r="FU29" s="542" t="s">
        <v>1717</v>
      </c>
      <c r="FV29" s="727">
        <v>0.625</v>
      </c>
      <c r="FW29" s="542" t="s">
        <v>1582</v>
      </c>
      <c r="FX29" s="727">
        <v>0.77</v>
      </c>
      <c r="FY29" s="727"/>
      <c r="FZ29" s="542" t="s">
        <v>1595</v>
      </c>
      <c r="GA29" s="727">
        <v>0.22</v>
      </c>
      <c r="GB29" s="727"/>
      <c r="GC29" s="727"/>
      <c r="GD29" s="727"/>
      <c r="GE29" s="727"/>
      <c r="GG29" s="1269" t="s">
        <v>2042</v>
      </c>
      <c r="GH29" s="1269"/>
      <c r="GI29" s="1269"/>
      <c r="GJ29" s="1269"/>
      <c r="GK29" s="1269"/>
      <c r="GL29" s="1269"/>
      <c r="GM29" s="1269"/>
      <c r="GO29" s="1205" t="s">
        <v>2078</v>
      </c>
      <c r="GP29" s="1205"/>
      <c r="GQ29" s="1205"/>
      <c r="GR29" s="1205"/>
      <c r="GS29" s="1205"/>
      <c r="GT29" s="1205"/>
      <c r="GU29" s="1205"/>
      <c r="GW29" s="731"/>
      <c r="GX29" s="731" t="s">
        <v>2064</v>
      </c>
      <c r="GY29" s="740" t="s">
        <v>644</v>
      </c>
      <c r="GZ29" s="731"/>
      <c r="HA29" s="731"/>
      <c r="HB29" s="731" t="s">
        <v>2064</v>
      </c>
      <c r="HC29" s="731" t="s">
        <v>1221</v>
      </c>
    </row>
    <row r="30" spans="2:211" ht="16">
      <c r="B30" s="734" t="s">
        <v>27</v>
      </c>
      <c r="C30" s="733" t="s">
        <v>50</v>
      </c>
      <c r="D30" s="539">
        <v>36.03</v>
      </c>
      <c r="E30" s="539">
        <v>59.1</v>
      </c>
      <c r="F30" s="539">
        <v>34</v>
      </c>
      <c r="G30" s="539" t="s">
        <v>42</v>
      </c>
      <c r="H30" s="539">
        <v>-1.5</v>
      </c>
      <c r="I30" s="539">
        <v>9.1</v>
      </c>
      <c r="J30" s="539">
        <v>21.5</v>
      </c>
      <c r="K30" s="539">
        <v>32.299999999999997</v>
      </c>
      <c r="L30" s="539">
        <v>67</v>
      </c>
      <c r="M30" s="539">
        <v>81</v>
      </c>
      <c r="N30" s="539">
        <v>67</v>
      </c>
      <c r="O30" s="539">
        <v>51</v>
      </c>
      <c r="P30" s="539">
        <v>79</v>
      </c>
      <c r="Q30" s="734">
        <v>3</v>
      </c>
      <c r="R30" s="539">
        <v>20.7</v>
      </c>
      <c r="S30" s="734">
        <v>0.53</v>
      </c>
      <c r="T30" s="734">
        <v>35.799999999999997</v>
      </c>
      <c r="U30" s="734">
        <v>6</v>
      </c>
      <c r="V30" s="734">
        <v>203</v>
      </c>
      <c r="W30" s="734">
        <v>99</v>
      </c>
      <c r="X30" s="734">
        <v>3.1E-2</v>
      </c>
      <c r="Y30" s="734">
        <v>3.5999999999999997E-2</v>
      </c>
      <c r="Z30" s="547">
        <v>130</v>
      </c>
      <c r="AA30" s="547">
        <f t="shared" si="0"/>
        <v>1.3</v>
      </c>
      <c r="AB30" s="734">
        <v>35</v>
      </c>
      <c r="AC30" s="538"/>
      <c r="AD30" s="733" t="str">
        <f t="shared" si="3"/>
        <v>LAS FLORES</v>
      </c>
      <c r="AE30" s="737">
        <v>22.8</v>
      </c>
      <c r="AF30" s="737">
        <v>21.9</v>
      </c>
      <c r="AG30" s="737">
        <v>19</v>
      </c>
      <c r="AH30" s="737">
        <v>14.8</v>
      </c>
      <c r="AI30" s="737">
        <v>11.8</v>
      </c>
      <c r="AJ30" s="737">
        <v>9</v>
      </c>
      <c r="AK30" s="737">
        <v>9.1</v>
      </c>
      <c r="AL30" s="737">
        <v>9.6</v>
      </c>
      <c r="AM30" s="737">
        <v>12.1</v>
      </c>
      <c r="AN30" s="737">
        <v>15</v>
      </c>
      <c r="AO30" s="737">
        <v>18.399999999999999</v>
      </c>
      <c r="AP30" s="737">
        <v>20.9</v>
      </c>
      <c r="AQ30" s="538"/>
      <c r="AR30" s="733" t="str">
        <f t="shared" si="1"/>
        <v>BAP</v>
      </c>
      <c r="AS30" s="733" t="str">
        <f t="shared" si="4"/>
        <v>LAS FLORES</v>
      </c>
      <c r="AT30" s="731">
        <v>6.5</v>
      </c>
      <c r="AU30" s="731">
        <v>6</v>
      </c>
      <c r="AV30" s="731">
        <v>4.5</v>
      </c>
      <c r="AW30" s="731">
        <v>3</v>
      </c>
      <c r="AX30" s="731">
        <v>2</v>
      </c>
      <c r="AY30" s="731">
        <v>1.5</v>
      </c>
      <c r="AZ30" s="731">
        <v>2</v>
      </c>
      <c r="BA30" s="731">
        <v>2.5</v>
      </c>
      <c r="BB30" s="731">
        <v>3.5</v>
      </c>
      <c r="BC30" s="731">
        <v>5</v>
      </c>
      <c r="BD30" s="731">
        <v>6</v>
      </c>
      <c r="BE30" s="731">
        <v>6.5</v>
      </c>
      <c r="BG30" s="733" t="str">
        <f t="shared" si="5"/>
        <v>BAP</v>
      </c>
      <c r="BH30" s="733" t="str">
        <f t="shared" si="6"/>
        <v>LAS FLORES</v>
      </c>
      <c r="BI30" s="731">
        <v>104</v>
      </c>
      <c r="BJ30" s="731">
        <v>98</v>
      </c>
      <c r="BK30" s="731">
        <v>115</v>
      </c>
      <c r="BL30" s="731">
        <v>97</v>
      </c>
      <c r="BM30" s="731">
        <v>80</v>
      </c>
      <c r="BN30" s="731">
        <v>61</v>
      </c>
      <c r="BO30" s="731">
        <v>59</v>
      </c>
      <c r="BP30" s="731">
        <v>63</v>
      </c>
      <c r="BQ30" s="731">
        <v>68</v>
      </c>
      <c r="BR30" s="731">
        <v>104</v>
      </c>
      <c r="BS30" s="731">
        <v>98</v>
      </c>
      <c r="BT30" s="731">
        <v>93</v>
      </c>
      <c r="BV30" s="734"/>
      <c r="BW30" s="734">
        <v>1</v>
      </c>
      <c r="BX30" s="734">
        <v>2</v>
      </c>
      <c r="BY30" s="734">
        <v>3</v>
      </c>
      <c r="BZ30" s="734">
        <v>4</v>
      </c>
      <c r="CA30" s="734">
        <v>5</v>
      </c>
      <c r="CB30" s="734">
        <v>6</v>
      </c>
      <c r="CC30" s="734">
        <v>7</v>
      </c>
      <c r="CD30" s="734">
        <v>8</v>
      </c>
      <c r="CE30" s="734">
        <v>9</v>
      </c>
      <c r="CF30" s="734">
        <v>10</v>
      </c>
      <c r="CG30" s="734">
        <v>11</v>
      </c>
      <c r="CH30" s="734">
        <v>12</v>
      </c>
      <c r="CI30" s="734">
        <v>13</v>
      </c>
      <c r="CJ30" s="734">
        <v>14</v>
      </c>
      <c r="CK30" s="734">
        <v>15</v>
      </c>
      <c r="CL30" s="734">
        <v>16</v>
      </c>
      <c r="CM30" s="734">
        <v>17</v>
      </c>
      <c r="CN30" s="734">
        <v>18</v>
      </c>
      <c r="CO30" s="734">
        <v>19</v>
      </c>
      <c r="CP30" s="734">
        <v>20</v>
      </c>
      <c r="CQ30" s="734">
        <v>21</v>
      </c>
      <c r="CR30" s="734">
        <v>22</v>
      </c>
      <c r="CS30" s="734">
        <v>23</v>
      </c>
      <c r="CT30" s="734">
        <v>24</v>
      </c>
      <c r="CU30" s="734">
        <v>25</v>
      </c>
      <c r="CW30" s="734" t="s">
        <v>27</v>
      </c>
      <c r="CX30" s="733" t="s">
        <v>52</v>
      </c>
      <c r="CY30" s="538"/>
      <c r="DB30" s="538"/>
      <c r="DC30" s="538"/>
      <c r="DD30" s="538"/>
      <c r="DE30" s="538"/>
      <c r="DF30" s="538"/>
      <c r="DG30" s="538"/>
      <c r="DH30" s="538"/>
      <c r="DI30" s="538"/>
      <c r="DJ30" s="538"/>
      <c r="DK30" s="538"/>
      <c r="DL30" s="538"/>
      <c r="DM30" s="538"/>
      <c r="DN30" s="538"/>
      <c r="DU30" s="538"/>
      <c r="DV30" s="538"/>
      <c r="DW30" s="538"/>
      <c r="DX30" s="538"/>
      <c r="DY30" s="538"/>
      <c r="DZ30" s="538"/>
      <c r="EA30" s="538"/>
      <c r="EB30" s="538"/>
      <c r="EH30" s="538"/>
      <c r="EI30" s="538"/>
      <c r="EJ30" s="538"/>
      <c r="EK30" s="538"/>
      <c r="EL30" s="538"/>
      <c r="EM30" s="538"/>
      <c r="EN30" s="538"/>
      <c r="EO30" s="538"/>
      <c r="EP30" s="538"/>
      <c r="EQ30" s="538"/>
      <c r="ER30" s="538"/>
      <c r="ES30" s="538"/>
      <c r="ET30" s="538"/>
      <c r="EU30" s="538"/>
      <c r="EV30" s="538"/>
      <c r="EW30" s="538"/>
      <c r="EX30" s="538"/>
      <c r="EY30" s="538"/>
      <c r="EZ30" s="538"/>
      <c r="FA30" s="538"/>
      <c r="FB30" s="538"/>
      <c r="FC30" s="538"/>
      <c r="FD30" s="538"/>
      <c r="FE30" s="538"/>
      <c r="FF30" s="538"/>
      <c r="FG30" s="538"/>
      <c r="FH30" s="538"/>
      <c r="FI30" s="538"/>
      <c r="FJ30" s="538"/>
      <c r="FK30" s="538"/>
      <c r="FL30" s="538"/>
      <c r="FM30" s="538"/>
      <c r="FN30" s="727" t="s">
        <v>1843</v>
      </c>
      <c r="FO30" s="734" t="s">
        <v>200</v>
      </c>
      <c r="FP30" s="538"/>
      <c r="FQ30" s="727" t="s">
        <v>1723</v>
      </c>
      <c r="FR30" s="727">
        <v>0.52</v>
      </c>
      <c r="FS30" s="727">
        <v>0.5</v>
      </c>
      <c r="FT30" s="727"/>
      <c r="FU30" s="542" t="s">
        <v>1718</v>
      </c>
      <c r="FV30" s="727">
        <v>0.87</v>
      </c>
      <c r="FW30" s="542" t="s">
        <v>1586</v>
      </c>
      <c r="FX30" s="727">
        <v>0.42</v>
      </c>
      <c r="FY30" s="727"/>
      <c r="FZ30" s="542" t="s">
        <v>1611</v>
      </c>
      <c r="GA30" s="727">
        <v>0.51</v>
      </c>
      <c r="GB30" s="727"/>
      <c r="GC30" s="727"/>
      <c r="GD30" s="727"/>
      <c r="GE30" s="727"/>
      <c r="GG30" s="727"/>
      <c r="GH30" s="727" t="s">
        <v>565</v>
      </c>
      <c r="GP30" s="730" t="s">
        <v>647</v>
      </c>
      <c r="GQ30" s="732" t="s">
        <v>6</v>
      </c>
      <c r="GS30" s="1198" t="s">
        <v>646</v>
      </c>
      <c r="GT30" s="1198"/>
      <c r="GU30" s="552">
        <v>200</v>
      </c>
      <c r="GW30" s="731" t="s">
        <v>218</v>
      </c>
      <c r="GX30" s="731" t="s">
        <v>1216</v>
      </c>
      <c r="GY30" s="548" t="s">
        <v>728</v>
      </c>
      <c r="GZ30" s="731"/>
      <c r="HA30" s="731"/>
      <c r="HB30" s="731"/>
      <c r="HC30" s="731"/>
    </row>
    <row r="31" spans="2:211" ht="16">
      <c r="B31" s="734" t="s">
        <v>27</v>
      </c>
      <c r="C31" s="733" t="s">
        <v>1262</v>
      </c>
      <c r="D31" s="539">
        <v>37.53</v>
      </c>
      <c r="E31" s="539">
        <v>59.57</v>
      </c>
      <c r="F31" s="539">
        <v>233</v>
      </c>
      <c r="G31" s="539" t="s">
        <v>38</v>
      </c>
      <c r="H31" s="539">
        <v>-3.2</v>
      </c>
      <c r="I31" s="539">
        <v>7.1</v>
      </c>
      <c r="J31" s="539">
        <v>19.2</v>
      </c>
      <c r="K31" s="539">
        <v>30.8</v>
      </c>
      <c r="L31" s="539">
        <v>65</v>
      </c>
      <c r="M31" s="539">
        <v>83</v>
      </c>
      <c r="N31" s="539">
        <v>65</v>
      </c>
      <c r="O31" s="539">
        <v>46</v>
      </c>
      <c r="P31" s="539">
        <v>82</v>
      </c>
      <c r="Q31" s="734">
        <v>4</v>
      </c>
      <c r="R31" s="539">
        <v>19.100000000000001</v>
      </c>
      <c r="S31" s="734">
        <v>0.53</v>
      </c>
      <c r="T31" s="734">
        <v>35.799999999999997</v>
      </c>
      <c r="U31" s="734">
        <v>6</v>
      </c>
      <c r="V31" s="734">
        <v>203</v>
      </c>
      <c r="W31" s="734">
        <v>99</v>
      </c>
      <c r="X31" s="734">
        <v>3.1E-2</v>
      </c>
      <c r="Y31" s="734">
        <v>3.5999999999999997E-2</v>
      </c>
      <c r="Z31" s="547">
        <v>130</v>
      </c>
      <c r="AA31" s="547">
        <f t="shared" si="0"/>
        <v>1.3</v>
      </c>
      <c r="AB31" s="734">
        <v>35</v>
      </c>
      <c r="AC31" s="538"/>
      <c r="AD31" s="733" t="str">
        <f t="shared" si="3"/>
        <v>LÓPEZ JUÁREZ</v>
      </c>
      <c r="AE31" s="737">
        <v>21.3</v>
      </c>
      <c r="AF31" s="737">
        <v>20.5</v>
      </c>
      <c r="AG31" s="737">
        <v>18.100000000000001</v>
      </c>
      <c r="AH31" s="737">
        <v>12.8</v>
      </c>
      <c r="AI31" s="737">
        <v>9.8000000000000007</v>
      </c>
      <c r="AJ31" s="737">
        <v>7.1</v>
      </c>
      <c r="AK31" s="737">
        <v>7</v>
      </c>
      <c r="AL31" s="737">
        <v>8.1</v>
      </c>
      <c r="AM31" s="737">
        <v>9.8000000000000007</v>
      </c>
      <c r="AN31" s="737">
        <v>12.6</v>
      </c>
      <c r="AO31" s="737">
        <v>16.100000000000001</v>
      </c>
      <c r="AP31" s="737">
        <v>18.5</v>
      </c>
      <c r="AQ31" s="538"/>
      <c r="AR31" s="733" t="str">
        <f t="shared" si="1"/>
        <v>BAP</v>
      </c>
      <c r="AS31" s="733" t="str">
        <f t="shared" si="4"/>
        <v>LÓPEZ JUÁREZ</v>
      </c>
      <c r="AT31" s="731">
        <v>6.5</v>
      </c>
      <c r="AU31" s="731">
        <v>6</v>
      </c>
      <c r="AV31" s="731">
        <v>4.5</v>
      </c>
      <c r="AW31" s="731">
        <v>3</v>
      </c>
      <c r="AX31" s="731">
        <v>2</v>
      </c>
      <c r="AY31" s="731">
        <v>1.5</v>
      </c>
      <c r="AZ31" s="731">
        <v>1.5</v>
      </c>
      <c r="BA31" s="731">
        <v>2.5</v>
      </c>
      <c r="BB31" s="731">
        <v>3.5</v>
      </c>
      <c r="BC31" s="731">
        <v>5</v>
      </c>
      <c r="BD31" s="731">
        <v>6</v>
      </c>
      <c r="BE31" s="731">
        <v>6.5</v>
      </c>
      <c r="BG31" s="733" t="str">
        <f t="shared" si="5"/>
        <v>BAP</v>
      </c>
      <c r="BH31" s="733" t="str">
        <f t="shared" si="6"/>
        <v>LÓPEZ JUÁREZ</v>
      </c>
      <c r="BI31" s="731">
        <v>104</v>
      </c>
      <c r="BJ31" s="731">
        <v>98</v>
      </c>
      <c r="BK31" s="731">
        <v>115</v>
      </c>
      <c r="BL31" s="731">
        <v>97</v>
      </c>
      <c r="BM31" s="731">
        <v>80</v>
      </c>
      <c r="BN31" s="731">
        <v>61</v>
      </c>
      <c r="BO31" s="731">
        <v>59</v>
      </c>
      <c r="BP31" s="731">
        <v>63</v>
      </c>
      <c r="BQ31" s="731">
        <v>68</v>
      </c>
      <c r="BR31" s="731">
        <v>104</v>
      </c>
      <c r="BS31" s="731">
        <v>98</v>
      </c>
      <c r="BT31" s="731">
        <v>93</v>
      </c>
      <c r="CW31" s="734" t="s">
        <v>27</v>
      </c>
      <c r="CX31" s="733" t="s">
        <v>51</v>
      </c>
      <c r="CY31" s="538"/>
      <c r="DB31" s="538"/>
      <c r="DC31" s="538"/>
      <c r="DD31" s="538"/>
      <c r="DE31" s="538"/>
      <c r="DF31" s="538"/>
      <c r="DG31" s="538"/>
      <c r="DH31" s="538"/>
      <c r="DI31" s="538"/>
      <c r="DJ31" s="538"/>
      <c r="DK31" s="538"/>
      <c r="DL31" s="538"/>
      <c r="DM31" s="538"/>
      <c r="DN31" s="538"/>
      <c r="DO31" s="538"/>
      <c r="DP31" s="538"/>
      <c r="DQ31" s="538"/>
      <c r="DR31" s="538"/>
      <c r="DS31" s="538"/>
      <c r="DT31" s="538"/>
      <c r="DU31" s="538"/>
      <c r="DV31" s="538"/>
      <c r="DW31" s="538"/>
      <c r="DX31" s="538"/>
      <c r="DY31" s="538"/>
      <c r="DZ31" s="538"/>
      <c r="EA31" s="538"/>
      <c r="EB31" s="538"/>
      <c r="EH31" s="538"/>
      <c r="EI31" s="538"/>
      <c r="EJ31" s="538"/>
      <c r="EK31" s="538"/>
      <c r="EL31" s="538"/>
      <c r="EM31" s="538"/>
      <c r="EN31" s="538"/>
      <c r="EO31" s="538"/>
      <c r="EP31" s="538"/>
      <c r="EQ31" s="538"/>
      <c r="ER31" s="538"/>
      <c r="ES31" s="538"/>
      <c r="ET31" s="538"/>
      <c r="EU31" s="538"/>
      <c r="EV31" s="538"/>
      <c r="EW31" s="538"/>
      <c r="EX31" s="538"/>
      <c r="EY31" s="538"/>
      <c r="EZ31" s="538"/>
      <c r="FA31" s="538"/>
      <c r="FB31" s="538"/>
      <c r="FC31" s="538"/>
      <c r="FD31" s="538"/>
      <c r="FE31" s="538"/>
      <c r="FF31" s="538"/>
      <c r="FG31" s="538"/>
      <c r="FH31" s="538"/>
      <c r="FI31" s="538"/>
      <c r="FJ31" s="538"/>
      <c r="FK31" s="538"/>
      <c r="FL31" s="538"/>
      <c r="FM31" s="538"/>
      <c r="FN31" s="538"/>
      <c r="FO31" s="538"/>
      <c r="FP31" s="538"/>
      <c r="FQ31" s="727" t="s">
        <v>1725</v>
      </c>
      <c r="FR31" s="727">
        <v>1.78</v>
      </c>
      <c r="FS31" s="727">
        <v>1.58</v>
      </c>
      <c r="FT31" s="727"/>
      <c r="FU31" s="542" t="s">
        <v>1565</v>
      </c>
      <c r="FV31" s="727">
        <v>0.41</v>
      </c>
      <c r="FW31" s="542" t="s">
        <v>1609</v>
      </c>
      <c r="FX31" s="727">
        <v>0.83</v>
      </c>
      <c r="FY31" s="727"/>
      <c r="FZ31" s="542" t="s">
        <v>1732</v>
      </c>
      <c r="GA31" s="727">
        <v>0.95</v>
      </c>
      <c r="GB31" s="727"/>
      <c r="GC31" s="727"/>
      <c r="GD31" s="727"/>
      <c r="GE31" s="727"/>
      <c r="GH31" s="727" t="s">
        <v>665</v>
      </c>
      <c r="GI31" s="756">
        <v>20</v>
      </c>
      <c r="GO31" s="730"/>
      <c r="GP31" s="730" t="s">
        <v>652</v>
      </c>
      <c r="GQ31" s="552" t="s">
        <v>618</v>
      </c>
      <c r="GR31" s="552"/>
      <c r="GW31" s="731" t="s">
        <v>219</v>
      </c>
      <c r="GX31" s="731" t="s">
        <v>1216</v>
      </c>
      <c r="GY31" s="548" t="s">
        <v>728</v>
      </c>
      <c r="GZ31" s="731"/>
      <c r="HA31" s="731"/>
      <c r="HB31" s="731"/>
      <c r="HC31" s="731"/>
    </row>
    <row r="32" spans="2:211" ht="16" customHeight="1">
      <c r="B32" s="734" t="s">
        <v>27</v>
      </c>
      <c r="C32" s="733" t="s">
        <v>51</v>
      </c>
      <c r="D32" s="539">
        <v>37.93</v>
      </c>
      <c r="E32" s="539">
        <v>57.58</v>
      </c>
      <c r="F32" s="539">
        <v>24</v>
      </c>
      <c r="G32" s="539" t="s">
        <v>47</v>
      </c>
      <c r="H32" s="539">
        <v>-1</v>
      </c>
      <c r="I32" s="539">
        <v>8.5</v>
      </c>
      <c r="J32" s="539">
        <v>19.2</v>
      </c>
      <c r="K32" s="539">
        <v>28.4</v>
      </c>
      <c r="L32" s="539">
        <v>76</v>
      </c>
      <c r="M32" s="539">
        <v>84</v>
      </c>
      <c r="N32" s="539">
        <v>76</v>
      </c>
      <c r="O32" s="539">
        <v>72</v>
      </c>
      <c r="P32" s="539">
        <v>87</v>
      </c>
      <c r="Q32" s="734">
        <v>4</v>
      </c>
      <c r="R32" s="539">
        <v>19.100000000000001</v>
      </c>
      <c r="S32" s="734">
        <v>0.53</v>
      </c>
      <c r="T32" s="734">
        <v>35.799999999999997</v>
      </c>
      <c r="U32" s="734">
        <v>6</v>
      </c>
      <c r="V32" s="734">
        <v>203</v>
      </c>
      <c r="W32" s="734">
        <v>99</v>
      </c>
      <c r="X32" s="734">
        <v>3.1E-2</v>
      </c>
      <c r="Y32" s="734">
        <v>3.5999999999999997E-2</v>
      </c>
      <c r="Z32" s="547">
        <v>130</v>
      </c>
      <c r="AA32" s="547">
        <f t="shared" si="0"/>
        <v>1.3</v>
      </c>
      <c r="AB32" s="734">
        <v>35</v>
      </c>
      <c r="AC32" s="538"/>
      <c r="AD32" s="733" t="str">
        <f t="shared" si="3"/>
        <v>MAR DEL PLATA AERO</v>
      </c>
      <c r="AE32" s="737">
        <v>19.7</v>
      </c>
      <c r="AF32" s="737">
        <v>19.600000000000001</v>
      </c>
      <c r="AG32" s="737">
        <v>17.399999999999999</v>
      </c>
      <c r="AH32" s="737">
        <v>14.2</v>
      </c>
      <c r="AI32" s="737">
        <v>11.3</v>
      </c>
      <c r="AJ32" s="737">
        <v>8.5</v>
      </c>
      <c r="AK32" s="737">
        <v>8.1999999999999993</v>
      </c>
      <c r="AL32" s="737">
        <v>8.8000000000000007</v>
      </c>
      <c r="AM32" s="737">
        <v>10.4</v>
      </c>
      <c r="AN32" s="737">
        <v>12.6</v>
      </c>
      <c r="AO32" s="737">
        <v>15.9</v>
      </c>
      <c r="AP32" s="737">
        <v>18.3</v>
      </c>
      <c r="AQ32" s="538"/>
      <c r="AR32" s="733" t="str">
        <f t="shared" si="1"/>
        <v>BAP</v>
      </c>
      <c r="AS32" s="733" t="str">
        <f t="shared" si="4"/>
        <v>MAR DEL PLATA AERO</v>
      </c>
      <c r="AT32" s="731">
        <v>6.5</v>
      </c>
      <c r="AU32" s="731">
        <v>5.5</v>
      </c>
      <c r="AV32" s="731">
        <v>5</v>
      </c>
      <c r="AW32" s="731">
        <v>3</v>
      </c>
      <c r="AX32" s="731">
        <v>2</v>
      </c>
      <c r="AY32" s="731">
        <v>1.5</v>
      </c>
      <c r="AZ32" s="731">
        <v>1.5</v>
      </c>
      <c r="BA32" s="731">
        <v>2.5</v>
      </c>
      <c r="BB32" s="731">
        <v>3.5</v>
      </c>
      <c r="BC32" s="731">
        <v>5</v>
      </c>
      <c r="BD32" s="731">
        <v>6</v>
      </c>
      <c r="BE32" s="731">
        <v>6.5</v>
      </c>
      <c r="BG32" s="733" t="str">
        <f t="shared" si="5"/>
        <v>BAP</v>
      </c>
      <c r="BH32" s="733" t="str">
        <f t="shared" si="6"/>
        <v>MAR DEL PLATA AERO</v>
      </c>
      <c r="BI32" s="731">
        <v>104</v>
      </c>
      <c r="BJ32" s="731">
        <v>98</v>
      </c>
      <c r="BK32" s="731">
        <v>115</v>
      </c>
      <c r="BL32" s="731">
        <v>97</v>
      </c>
      <c r="BM32" s="731">
        <v>80</v>
      </c>
      <c r="BN32" s="731">
        <v>61</v>
      </c>
      <c r="BO32" s="731">
        <v>59</v>
      </c>
      <c r="BP32" s="731">
        <v>63</v>
      </c>
      <c r="BQ32" s="731">
        <v>68</v>
      </c>
      <c r="BR32" s="731">
        <v>104</v>
      </c>
      <c r="BS32" s="731">
        <v>98</v>
      </c>
      <c r="BT32" s="731">
        <v>93</v>
      </c>
      <c r="CW32" s="734" t="s">
        <v>27</v>
      </c>
      <c r="CX32" s="733" t="s">
        <v>53</v>
      </c>
      <c r="CY32" s="538"/>
      <c r="DB32" s="538"/>
      <c r="DC32" s="538"/>
      <c r="DD32" s="538"/>
      <c r="DE32" s="538"/>
      <c r="DF32" s="538"/>
      <c r="DG32" s="538"/>
      <c r="DH32" s="538"/>
      <c r="DI32" s="538"/>
      <c r="DJ32" s="538"/>
      <c r="DK32" s="538"/>
      <c r="DL32" s="538"/>
      <c r="DM32" s="538"/>
      <c r="DN32" s="538"/>
      <c r="DO32" s="538"/>
      <c r="DP32" s="538"/>
      <c r="DQ32" s="538"/>
      <c r="DR32" s="538"/>
      <c r="DS32" s="538"/>
      <c r="DT32" s="538"/>
      <c r="DU32" s="538"/>
      <c r="DV32" s="538"/>
      <c r="DW32" s="538"/>
      <c r="DX32" s="538"/>
      <c r="DY32" s="538"/>
      <c r="DZ32" s="538"/>
      <c r="EA32" s="538"/>
      <c r="EB32" s="538"/>
      <c r="EH32" s="538"/>
      <c r="EI32" s="538"/>
      <c r="EJ32" s="538"/>
      <c r="EK32" s="538"/>
      <c r="EL32" s="538"/>
      <c r="EM32" s="538"/>
      <c r="EN32" s="538"/>
      <c r="EO32" s="538"/>
      <c r="EP32" s="538"/>
      <c r="EQ32" s="538"/>
      <c r="ER32" s="538"/>
      <c r="ES32" s="538"/>
      <c r="ET32" s="538"/>
      <c r="EU32" s="538"/>
      <c r="EV32" s="538"/>
      <c r="EW32" s="538"/>
      <c r="EX32" s="538"/>
      <c r="EY32" s="538"/>
      <c r="EZ32" s="538"/>
      <c r="FA32" s="538"/>
      <c r="FB32" s="538"/>
      <c r="FC32" s="538"/>
      <c r="FD32" s="538"/>
      <c r="FE32" s="538"/>
      <c r="FF32" s="538"/>
      <c r="FG32" s="538"/>
      <c r="FH32" s="538"/>
      <c r="FI32" s="538"/>
      <c r="FJ32" s="538"/>
      <c r="FK32" s="538"/>
      <c r="FL32" s="538"/>
      <c r="FM32" s="538"/>
      <c r="FN32" s="538"/>
      <c r="FO32" s="538"/>
      <c r="FP32" s="538"/>
      <c r="FQ32" s="727" t="s">
        <v>1726</v>
      </c>
      <c r="FR32" s="727">
        <v>0.33</v>
      </c>
      <c r="FS32" s="727">
        <v>0.32</v>
      </c>
      <c r="FT32" s="727"/>
      <c r="FU32" s="542" t="s">
        <v>1583</v>
      </c>
      <c r="FV32" s="727">
        <v>0.91</v>
      </c>
      <c r="FW32" s="542" t="s">
        <v>1597</v>
      </c>
      <c r="FX32" s="727">
        <v>0.37</v>
      </c>
      <c r="FY32" s="727"/>
      <c r="FZ32" s="542" t="s">
        <v>1584</v>
      </c>
      <c r="GA32" s="727">
        <v>0.78</v>
      </c>
      <c r="GB32" s="727"/>
      <c r="GC32" s="1182" t="s">
        <v>1061</v>
      </c>
      <c r="GD32" s="1182"/>
      <c r="GE32" s="727"/>
      <c r="GH32" s="727" t="s">
        <v>666</v>
      </c>
      <c r="GI32" s="756">
        <v>18</v>
      </c>
      <c r="GW32" s="731" t="s">
        <v>593</v>
      </c>
      <c r="GX32" s="731" t="s">
        <v>1216</v>
      </c>
      <c r="GZ32" s="731"/>
      <c r="HA32" s="731"/>
      <c r="HB32" s="731"/>
      <c r="HC32" s="731"/>
    </row>
    <row r="33" spans="2:211" ht="19">
      <c r="B33" s="734" t="s">
        <v>27</v>
      </c>
      <c r="C33" s="733" t="s">
        <v>52</v>
      </c>
      <c r="D33" s="539">
        <v>38.049999999999997</v>
      </c>
      <c r="E33" s="539">
        <v>57.55</v>
      </c>
      <c r="F33" s="539">
        <v>5</v>
      </c>
      <c r="G33" s="539" t="s">
        <v>47</v>
      </c>
      <c r="H33" s="539">
        <v>0</v>
      </c>
      <c r="I33" s="539">
        <v>9.5</v>
      </c>
      <c r="J33" s="539">
        <v>19.600000000000001</v>
      </c>
      <c r="K33" s="539">
        <v>28.7</v>
      </c>
      <c r="L33" s="539">
        <v>76</v>
      </c>
      <c r="M33" s="539">
        <v>83</v>
      </c>
      <c r="N33" s="539">
        <v>76</v>
      </c>
      <c r="O33" s="539">
        <v>73</v>
      </c>
      <c r="P33" s="539">
        <v>90</v>
      </c>
      <c r="Q33" s="734">
        <v>4</v>
      </c>
      <c r="R33" s="539">
        <v>18.600000000000001</v>
      </c>
      <c r="S33" s="734">
        <v>0.53</v>
      </c>
      <c r="T33" s="734">
        <v>35.799999999999997</v>
      </c>
      <c r="U33" s="734">
        <v>6</v>
      </c>
      <c r="V33" s="734">
        <v>203</v>
      </c>
      <c r="W33" s="734">
        <v>99</v>
      </c>
      <c r="X33" s="734">
        <v>3.1E-2</v>
      </c>
      <c r="Y33" s="734">
        <v>3.5999999999999997E-2</v>
      </c>
      <c r="Z33" s="547">
        <v>130</v>
      </c>
      <c r="AA33" s="547">
        <f t="shared" si="0"/>
        <v>1.3</v>
      </c>
      <c r="AB33" s="734">
        <v>35</v>
      </c>
      <c r="AC33" s="538"/>
      <c r="AD33" s="733" t="str">
        <f t="shared" si="3"/>
        <v>MAR DEL PLATA</v>
      </c>
      <c r="AE33" s="737">
        <v>19.600000000000001</v>
      </c>
      <c r="AF33" s="737">
        <v>19.100000000000001</v>
      </c>
      <c r="AG33" s="737">
        <v>17.8</v>
      </c>
      <c r="AH33" s="737">
        <v>14.4</v>
      </c>
      <c r="AI33" s="737">
        <v>11.1</v>
      </c>
      <c r="AJ33" s="737">
        <v>8.6</v>
      </c>
      <c r="AK33" s="737">
        <v>7.8</v>
      </c>
      <c r="AL33" s="737">
        <v>8.5</v>
      </c>
      <c r="AM33" s="737">
        <v>9.6999999999999993</v>
      </c>
      <c r="AN33" s="737">
        <v>12</v>
      </c>
      <c r="AO33" s="737">
        <v>15.2</v>
      </c>
      <c r="AP33" s="737">
        <v>17.399999999999999</v>
      </c>
      <c r="AQ33" s="538"/>
      <c r="AR33" s="733" t="str">
        <f t="shared" si="1"/>
        <v>BAP</v>
      </c>
      <c r="AS33" s="733" t="str">
        <f t="shared" si="4"/>
        <v>MAR DEL PLATA</v>
      </c>
      <c r="AT33" s="731">
        <v>6.5</v>
      </c>
      <c r="AU33" s="731">
        <v>5.5</v>
      </c>
      <c r="AV33" s="731">
        <v>5</v>
      </c>
      <c r="AW33" s="731">
        <v>3</v>
      </c>
      <c r="AX33" s="731">
        <v>2</v>
      </c>
      <c r="AY33" s="731">
        <v>1.5</v>
      </c>
      <c r="AZ33" s="731">
        <v>1.5</v>
      </c>
      <c r="BA33" s="731">
        <v>2.5</v>
      </c>
      <c r="BB33" s="731">
        <v>3.5</v>
      </c>
      <c r="BC33" s="731">
        <v>5</v>
      </c>
      <c r="BD33" s="731">
        <v>6</v>
      </c>
      <c r="BE33" s="731">
        <v>6.5</v>
      </c>
      <c r="BG33" s="733" t="str">
        <f t="shared" si="5"/>
        <v>BAP</v>
      </c>
      <c r="BH33" s="733" t="str">
        <f t="shared" si="6"/>
        <v>MAR DEL PLATA</v>
      </c>
      <c r="BI33" s="731">
        <v>104</v>
      </c>
      <c r="BJ33" s="731">
        <v>98</v>
      </c>
      <c r="BK33" s="731">
        <v>115</v>
      </c>
      <c r="BL33" s="731">
        <v>97</v>
      </c>
      <c r="BM33" s="731">
        <v>80</v>
      </c>
      <c r="BN33" s="731">
        <v>61</v>
      </c>
      <c r="BO33" s="731">
        <v>59</v>
      </c>
      <c r="BP33" s="731">
        <v>63</v>
      </c>
      <c r="BQ33" s="731">
        <v>68</v>
      </c>
      <c r="BR33" s="731">
        <v>104</v>
      </c>
      <c r="BS33" s="731">
        <v>98</v>
      </c>
      <c r="BT33" s="731">
        <v>93</v>
      </c>
      <c r="CW33" s="734" t="s">
        <v>27</v>
      </c>
      <c r="CX33" s="733" t="s">
        <v>1263</v>
      </c>
      <c r="CY33" s="538"/>
      <c r="DB33" s="538"/>
      <c r="DC33" s="538"/>
      <c r="DD33" s="538"/>
      <c r="DE33" s="538"/>
      <c r="DF33" s="538"/>
      <c r="DG33" s="538"/>
      <c r="DH33" s="538"/>
      <c r="DI33" s="538"/>
      <c r="DJ33" s="538"/>
      <c r="DK33" s="538"/>
      <c r="DL33" s="538"/>
      <c r="DM33" s="538"/>
      <c r="DN33" s="538"/>
      <c r="DU33" s="538"/>
      <c r="DV33" s="538"/>
      <c r="DW33" s="538"/>
      <c r="DX33" s="538"/>
      <c r="DY33" s="538"/>
      <c r="DZ33" s="538"/>
      <c r="EA33" s="538"/>
      <c r="EB33" s="538"/>
      <c r="EC33" s="538"/>
      <c r="ED33" s="538"/>
      <c r="EE33" s="538"/>
      <c r="EF33" s="538"/>
      <c r="EG33" s="538"/>
      <c r="EH33" s="538"/>
      <c r="EI33" s="538"/>
      <c r="EJ33" s="538"/>
      <c r="EK33" s="538"/>
      <c r="EL33" s="538"/>
      <c r="EM33" s="538"/>
      <c r="EN33" s="538"/>
      <c r="EO33" s="538"/>
      <c r="EP33" s="538"/>
      <c r="EQ33" s="538"/>
      <c r="ER33" s="538"/>
      <c r="ES33" s="538"/>
      <c r="ET33" s="538"/>
      <c r="EU33" s="538"/>
      <c r="EV33" s="538"/>
      <c r="EW33" s="538"/>
      <c r="EX33" s="538"/>
      <c r="EY33" s="538"/>
      <c r="EZ33" s="538"/>
      <c r="FA33" s="538"/>
      <c r="FB33" s="538"/>
      <c r="FC33" s="538"/>
      <c r="FD33" s="538"/>
      <c r="FE33" s="538"/>
      <c r="FF33" s="538"/>
      <c r="FG33" s="538"/>
      <c r="FH33" s="538"/>
      <c r="FI33" s="538"/>
      <c r="FJ33" s="538"/>
      <c r="FK33" s="538"/>
      <c r="FL33" s="538"/>
      <c r="FM33" s="538"/>
      <c r="FN33" s="538"/>
      <c r="FO33" s="538"/>
      <c r="FP33" s="538"/>
      <c r="FQ33" s="727" t="s">
        <v>1727</v>
      </c>
      <c r="FR33" s="727">
        <v>1.7</v>
      </c>
      <c r="FS33" s="727">
        <v>1.52</v>
      </c>
      <c r="FT33" s="727"/>
      <c r="FU33" s="543" t="s">
        <v>1589</v>
      </c>
      <c r="FV33" s="727">
        <v>1.24</v>
      </c>
      <c r="FW33" s="542" t="s">
        <v>1610</v>
      </c>
      <c r="FX33" s="727">
        <v>0.43</v>
      </c>
      <c r="FY33" s="727"/>
      <c r="FZ33" s="542" t="s">
        <v>1603</v>
      </c>
      <c r="GA33" s="727">
        <v>0.32</v>
      </c>
      <c r="GB33" s="727"/>
      <c r="GC33" s="727" t="s">
        <v>1635</v>
      </c>
      <c r="GD33" s="727">
        <v>2</v>
      </c>
      <c r="GE33" s="727"/>
      <c r="GH33" s="727" t="s">
        <v>667</v>
      </c>
      <c r="GI33" s="756">
        <v>12</v>
      </c>
      <c r="GO33" s="1269" t="s">
        <v>2042</v>
      </c>
      <c r="GP33" s="1269"/>
      <c r="GQ33" s="1269"/>
      <c r="GR33" s="1269"/>
      <c r="GS33" s="1269"/>
      <c r="GT33" s="1269"/>
      <c r="GU33" s="1269"/>
    </row>
    <row r="34" spans="2:211" ht="17" customHeight="1">
      <c r="B34" s="734" t="s">
        <v>27</v>
      </c>
      <c r="C34" s="733" t="s">
        <v>53</v>
      </c>
      <c r="D34" s="539">
        <v>34.68</v>
      </c>
      <c r="E34" s="539">
        <v>59.38</v>
      </c>
      <c r="F34" s="539">
        <v>43</v>
      </c>
      <c r="G34" s="539" t="s">
        <v>42</v>
      </c>
      <c r="H34" s="539">
        <v>-1.8</v>
      </c>
      <c r="I34" s="539">
        <v>10.6</v>
      </c>
      <c r="J34" s="539">
        <v>22.8</v>
      </c>
      <c r="K34" s="539">
        <v>33.200000000000003</v>
      </c>
      <c r="L34" s="539">
        <v>73</v>
      </c>
      <c r="M34" s="539">
        <v>84</v>
      </c>
      <c r="N34" s="539">
        <v>73</v>
      </c>
      <c r="O34" s="539">
        <v>56</v>
      </c>
      <c r="P34" s="539">
        <v>93</v>
      </c>
      <c r="Q34" s="734">
        <v>3</v>
      </c>
      <c r="R34" s="539">
        <v>21.3</v>
      </c>
      <c r="S34" s="734">
        <v>0.53</v>
      </c>
      <c r="T34" s="734">
        <v>35.799999999999997</v>
      </c>
      <c r="U34" s="734">
        <v>6</v>
      </c>
      <c r="V34" s="734">
        <v>203</v>
      </c>
      <c r="W34" s="734">
        <v>99</v>
      </c>
      <c r="X34" s="734">
        <v>3.1E-2</v>
      </c>
      <c r="Y34" s="734">
        <v>3.5999999999999997E-2</v>
      </c>
      <c r="Z34" s="547">
        <v>130</v>
      </c>
      <c r="AA34" s="547">
        <f t="shared" si="0"/>
        <v>1.3</v>
      </c>
      <c r="AB34" s="734">
        <v>35</v>
      </c>
      <c r="AC34" s="538"/>
      <c r="AD34" s="733" t="str">
        <f t="shared" si="3"/>
        <v>MERCEDES</v>
      </c>
      <c r="AE34" s="737">
        <v>26.1</v>
      </c>
      <c r="AF34" s="737">
        <v>26</v>
      </c>
      <c r="AG34" s="737">
        <v>23.7</v>
      </c>
      <c r="AH34" s="737">
        <v>19.3</v>
      </c>
      <c r="AI34" s="737">
        <v>16.3</v>
      </c>
      <c r="AJ34" s="737">
        <v>14</v>
      </c>
      <c r="AK34" s="737">
        <v>13.8</v>
      </c>
      <c r="AL34" s="737">
        <v>15.3</v>
      </c>
      <c r="AM34" s="737">
        <v>17.100000000000001</v>
      </c>
      <c r="AN34" s="737">
        <v>19.3</v>
      </c>
      <c r="AO34" s="737">
        <v>22.5</v>
      </c>
      <c r="AP34" s="737">
        <v>24.8</v>
      </c>
      <c r="AQ34" s="538"/>
      <c r="AR34" s="733" t="str">
        <f t="shared" si="1"/>
        <v>BAP</v>
      </c>
      <c r="AS34" s="733" t="str">
        <f t="shared" si="4"/>
        <v>MERCEDES</v>
      </c>
      <c r="AT34" s="731">
        <v>6.5</v>
      </c>
      <c r="AU34" s="731">
        <v>5.5</v>
      </c>
      <c r="AV34" s="731">
        <v>4.5</v>
      </c>
      <c r="AW34" s="731">
        <v>3</v>
      </c>
      <c r="AX34" s="731">
        <v>2.5</v>
      </c>
      <c r="AY34" s="731">
        <v>2</v>
      </c>
      <c r="AZ34" s="731">
        <v>2</v>
      </c>
      <c r="BA34" s="731">
        <v>3</v>
      </c>
      <c r="BB34" s="731">
        <v>4</v>
      </c>
      <c r="BC34" s="731">
        <v>5</v>
      </c>
      <c r="BD34" s="731">
        <v>6</v>
      </c>
      <c r="BE34" s="731">
        <v>6.5</v>
      </c>
      <c r="BG34" s="733" t="str">
        <f t="shared" si="5"/>
        <v>BAP</v>
      </c>
      <c r="BH34" s="733" t="str">
        <f t="shared" si="6"/>
        <v>MERCEDES</v>
      </c>
      <c r="BI34" s="731">
        <v>104</v>
      </c>
      <c r="BJ34" s="731">
        <v>98</v>
      </c>
      <c r="BK34" s="731">
        <v>115</v>
      </c>
      <c r="BL34" s="731">
        <v>97</v>
      </c>
      <c r="BM34" s="731">
        <v>80</v>
      </c>
      <c r="BN34" s="731">
        <v>61</v>
      </c>
      <c r="BO34" s="731">
        <v>59</v>
      </c>
      <c r="BP34" s="731">
        <v>63</v>
      </c>
      <c r="BQ34" s="731">
        <v>68</v>
      </c>
      <c r="BR34" s="731">
        <v>104</v>
      </c>
      <c r="BS34" s="731">
        <v>98</v>
      </c>
      <c r="BT34" s="731">
        <v>93</v>
      </c>
      <c r="CW34" s="734" t="s">
        <v>27</v>
      </c>
      <c r="CX34" s="733" t="s">
        <v>54</v>
      </c>
      <c r="CY34" s="538"/>
      <c r="CZ34" s="538"/>
      <c r="DA34" s="538"/>
      <c r="DB34" s="538"/>
      <c r="DC34" s="538"/>
      <c r="DD34" s="538"/>
      <c r="DE34" s="538"/>
      <c r="DF34" s="538"/>
      <c r="DG34" s="538"/>
      <c r="DH34" s="538"/>
      <c r="DI34" s="538"/>
      <c r="DJ34" s="538"/>
      <c r="DK34" s="538"/>
      <c r="DL34" s="538"/>
      <c r="DM34" s="538"/>
      <c r="DN34" s="538"/>
      <c r="DU34" s="538"/>
      <c r="DV34" s="538"/>
      <c r="DW34" s="538"/>
      <c r="DX34" s="538"/>
      <c r="DY34" s="538"/>
      <c r="DZ34" s="538"/>
      <c r="EA34" s="538"/>
      <c r="EB34" s="538"/>
      <c r="EC34" s="538"/>
      <c r="ED34" s="538"/>
      <c r="EE34" s="538"/>
      <c r="EF34" s="538"/>
      <c r="EG34" s="538"/>
      <c r="EH34" s="538"/>
      <c r="EI34" s="538"/>
      <c r="EJ34" s="538"/>
      <c r="EK34" s="538"/>
      <c r="EL34" s="538"/>
      <c r="EM34" s="538"/>
      <c r="EN34" s="538"/>
      <c r="EO34" s="538"/>
      <c r="EP34" s="538"/>
      <c r="EQ34" s="538"/>
      <c r="ER34" s="538"/>
      <c r="ES34" s="538"/>
      <c r="ET34" s="538"/>
      <c r="EU34" s="538"/>
      <c r="EV34" s="538"/>
      <c r="EW34" s="538"/>
      <c r="EX34" s="538"/>
      <c r="EY34" s="538"/>
      <c r="EZ34" s="538"/>
      <c r="FA34" s="538"/>
      <c r="FB34" s="538"/>
      <c r="FC34" s="538"/>
      <c r="FD34" s="538"/>
      <c r="FE34" s="538"/>
      <c r="FF34" s="538"/>
      <c r="FG34" s="538"/>
      <c r="FH34" s="538"/>
      <c r="FI34" s="538"/>
      <c r="FJ34" s="538"/>
      <c r="FK34" s="538"/>
      <c r="FL34" s="538"/>
      <c r="FM34" s="538"/>
      <c r="FN34" s="538"/>
      <c r="FO34" s="538"/>
      <c r="FP34" s="538"/>
      <c r="FQ34" s="727" t="s">
        <v>1728</v>
      </c>
      <c r="FR34" s="727">
        <v>1.01</v>
      </c>
      <c r="FS34" s="727">
        <v>0.94</v>
      </c>
      <c r="FT34" s="727"/>
      <c r="FU34" s="542" t="s">
        <v>1598</v>
      </c>
      <c r="FV34" s="727">
        <v>0.90900000000000003</v>
      </c>
      <c r="FW34" s="542" t="s">
        <v>1596</v>
      </c>
      <c r="FX34" s="727">
        <v>0.21</v>
      </c>
      <c r="FY34" s="727"/>
      <c r="FZ34" s="542" t="s">
        <v>1612</v>
      </c>
      <c r="GA34" s="727">
        <v>0.57999999999999996</v>
      </c>
      <c r="GB34" s="727"/>
      <c r="GC34" s="727" t="s">
        <v>751</v>
      </c>
      <c r="GD34" s="727">
        <v>2.8</v>
      </c>
      <c r="GE34" s="727"/>
      <c r="GH34" s="727" t="s">
        <v>668</v>
      </c>
      <c r="GI34" s="756">
        <v>20</v>
      </c>
      <c r="GO34" s="727"/>
      <c r="GP34" s="727" t="s">
        <v>565</v>
      </c>
      <c r="GQ34" s="731"/>
      <c r="GR34" s="731"/>
      <c r="GS34" s="731"/>
      <c r="GT34" s="731"/>
      <c r="GU34" s="731"/>
      <c r="GW34" s="1205" t="s">
        <v>2081</v>
      </c>
      <c r="GX34" s="1205"/>
      <c r="GY34" s="1205"/>
      <c r="HA34" s="1205" t="s">
        <v>2083</v>
      </c>
      <c r="HB34" s="1205"/>
      <c r="HC34" s="1205"/>
    </row>
    <row r="35" spans="2:211" ht="16">
      <c r="B35" s="734" t="s">
        <v>27</v>
      </c>
      <c r="C35" s="733" t="s">
        <v>1263</v>
      </c>
      <c r="D35" s="539">
        <v>34.67</v>
      </c>
      <c r="E35" s="539">
        <v>58.63</v>
      </c>
      <c r="F35" s="539">
        <v>24</v>
      </c>
      <c r="G35" s="539" t="s">
        <v>23</v>
      </c>
      <c r="H35" s="539">
        <v>0.5</v>
      </c>
      <c r="I35" s="539">
        <v>10.5</v>
      </c>
      <c r="J35" s="539">
        <v>22.9</v>
      </c>
      <c r="K35" s="539">
        <v>32.700000000000003</v>
      </c>
      <c r="L35" s="539">
        <v>65</v>
      </c>
      <c r="M35" s="539">
        <v>81</v>
      </c>
      <c r="N35" s="539">
        <v>65</v>
      </c>
      <c r="O35" s="539">
        <v>55</v>
      </c>
      <c r="P35" s="539">
        <v>96</v>
      </c>
      <c r="Q35" s="734">
        <v>3</v>
      </c>
      <c r="R35" s="539">
        <v>22.6</v>
      </c>
      <c r="S35" s="734">
        <v>0.53</v>
      </c>
      <c r="T35" s="734">
        <v>35.799999999999997</v>
      </c>
      <c r="U35" s="734">
        <v>6</v>
      </c>
      <c r="V35" s="734">
        <v>203</v>
      </c>
      <c r="W35" s="734">
        <v>99</v>
      </c>
      <c r="X35" s="734">
        <v>3.1E-2</v>
      </c>
      <c r="Y35" s="734">
        <v>3.5999999999999997E-2</v>
      </c>
      <c r="Z35" s="547">
        <v>130</v>
      </c>
      <c r="AA35" s="547">
        <f t="shared" si="0"/>
        <v>1.3</v>
      </c>
      <c r="AB35" s="734">
        <v>35</v>
      </c>
      <c r="AC35" s="538"/>
      <c r="AD35" s="733" t="str">
        <f t="shared" si="3"/>
        <v>MORÓN</v>
      </c>
      <c r="AE35" s="737">
        <v>23.3</v>
      </c>
      <c r="AF35" s="737">
        <v>22</v>
      </c>
      <c r="AG35" s="737">
        <v>20.3</v>
      </c>
      <c r="AH35" s="737">
        <v>15.6</v>
      </c>
      <c r="AI35" s="737">
        <v>12.9</v>
      </c>
      <c r="AJ35" s="737">
        <v>10.3</v>
      </c>
      <c r="AK35" s="737">
        <v>10.1</v>
      </c>
      <c r="AL35" s="737">
        <v>11.2</v>
      </c>
      <c r="AM35" s="737">
        <v>13</v>
      </c>
      <c r="AN35" s="737">
        <v>15.8</v>
      </c>
      <c r="AO35" s="737">
        <v>18.8</v>
      </c>
      <c r="AP35" s="737">
        <v>21.2</v>
      </c>
      <c r="AQ35" s="538"/>
      <c r="AR35" s="733" t="str">
        <f t="shared" si="1"/>
        <v>BAP</v>
      </c>
      <c r="AS35" s="733" t="str">
        <f t="shared" si="4"/>
        <v>MORÓN</v>
      </c>
      <c r="AT35" s="731">
        <v>6.5</v>
      </c>
      <c r="AU35" s="731">
        <v>5.5</v>
      </c>
      <c r="AV35" s="731">
        <v>4.5</v>
      </c>
      <c r="AW35" s="731">
        <v>3</v>
      </c>
      <c r="AX35" s="731">
        <v>2.5</v>
      </c>
      <c r="AY35" s="731">
        <v>2</v>
      </c>
      <c r="AZ35" s="731">
        <v>2</v>
      </c>
      <c r="BA35" s="731">
        <v>3</v>
      </c>
      <c r="BB35" s="731">
        <v>4</v>
      </c>
      <c r="BC35" s="731">
        <v>5</v>
      </c>
      <c r="BD35" s="731">
        <v>6</v>
      </c>
      <c r="BE35" s="731">
        <v>6.5</v>
      </c>
      <c r="BG35" s="733" t="str">
        <f t="shared" si="5"/>
        <v>BAP</v>
      </c>
      <c r="BH35" s="733" t="str">
        <f t="shared" si="6"/>
        <v>MORÓN</v>
      </c>
      <c r="BI35" s="731">
        <v>104</v>
      </c>
      <c r="BJ35" s="731">
        <v>98</v>
      </c>
      <c r="BK35" s="731">
        <v>115</v>
      </c>
      <c r="BL35" s="731">
        <v>97</v>
      </c>
      <c r="BM35" s="731">
        <v>80</v>
      </c>
      <c r="BN35" s="731">
        <v>61</v>
      </c>
      <c r="BO35" s="731">
        <v>59</v>
      </c>
      <c r="BP35" s="731">
        <v>63</v>
      </c>
      <c r="BQ35" s="731">
        <v>68</v>
      </c>
      <c r="BR35" s="731">
        <v>104</v>
      </c>
      <c r="BS35" s="731">
        <v>98</v>
      </c>
      <c r="BT35" s="731">
        <v>93</v>
      </c>
      <c r="CW35" s="734" t="s">
        <v>27</v>
      </c>
      <c r="CX35" s="733" t="s">
        <v>55</v>
      </c>
      <c r="CY35" s="538"/>
      <c r="CZ35" s="538"/>
      <c r="DA35" s="538"/>
      <c r="DB35" s="538"/>
      <c r="DC35" s="538"/>
      <c r="DD35" s="538"/>
      <c r="DE35" s="538"/>
      <c r="DF35" s="538"/>
      <c r="DG35" s="538"/>
      <c r="DH35" s="538"/>
      <c r="DI35" s="538"/>
      <c r="DJ35" s="538"/>
      <c r="DK35" s="538"/>
      <c r="DL35" s="538"/>
      <c r="DM35" s="538"/>
      <c r="DN35" s="538"/>
      <c r="DU35" s="538"/>
      <c r="DV35" s="538"/>
      <c r="DW35" s="538"/>
      <c r="DX35" s="538"/>
      <c r="DY35" s="538"/>
      <c r="DZ35" s="538"/>
      <c r="EA35" s="538"/>
      <c r="EB35" s="538"/>
      <c r="EH35" s="538"/>
      <c r="EI35" s="538"/>
      <c r="EJ35" s="538"/>
      <c r="EK35" s="538"/>
      <c r="EL35" s="538"/>
      <c r="EM35" s="538"/>
      <c r="EN35" s="538"/>
      <c r="EO35" s="538"/>
      <c r="EP35" s="538"/>
      <c r="EQ35" s="538"/>
      <c r="ER35" s="538"/>
      <c r="ES35" s="538"/>
      <c r="ET35" s="538"/>
      <c r="EU35" s="538"/>
      <c r="EV35" s="538"/>
      <c r="EW35" s="538"/>
      <c r="EX35" s="538"/>
      <c r="EY35" s="538"/>
      <c r="EZ35" s="538"/>
      <c r="FA35" s="538"/>
      <c r="FB35" s="538"/>
      <c r="FC35" s="538"/>
      <c r="FD35" s="538"/>
      <c r="FE35" s="538"/>
      <c r="FF35" s="538"/>
      <c r="FG35" s="538"/>
      <c r="FH35" s="538"/>
      <c r="FI35" s="538"/>
      <c r="FJ35" s="538"/>
      <c r="FK35" s="538"/>
      <c r="FL35" s="538"/>
      <c r="FM35" s="538"/>
      <c r="FN35" s="538"/>
      <c r="FO35" s="538"/>
      <c r="FP35" s="538"/>
      <c r="FQ35" s="727" t="s">
        <v>1729</v>
      </c>
      <c r="FR35" s="727">
        <v>0.6</v>
      </c>
      <c r="FS35" s="727">
        <v>0.56999999999999995</v>
      </c>
      <c r="FT35" s="727"/>
      <c r="FU35" s="542" t="s">
        <v>1604</v>
      </c>
      <c r="FV35" s="727">
        <v>0.27600000000000002</v>
      </c>
      <c r="FW35" s="542" t="s">
        <v>1595</v>
      </c>
      <c r="FX35" s="727">
        <v>0.22</v>
      </c>
      <c r="FY35" s="727"/>
      <c r="FZ35" s="542" t="s">
        <v>1606</v>
      </c>
      <c r="GA35" s="727">
        <v>0.57999999999999996</v>
      </c>
      <c r="GB35" s="727"/>
      <c r="GC35" s="727" t="s">
        <v>1062</v>
      </c>
      <c r="GD35" s="727">
        <v>5.8</v>
      </c>
      <c r="GE35" s="727"/>
      <c r="GH35" s="727" t="s">
        <v>669</v>
      </c>
      <c r="GI35" s="756">
        <v>25</v>
      </c>
      <c r="GO35" s="731"/>
      <c r="GP35" s="727" t="s">
        <v>665</v>
      </c>
      <c r="GQ35" s="756">
        <v>9</v>
      </c>
      <c r="GR35" s="731"/>
      <c r="GS35" s="731"/>
      <c r="GT35" s="731"/>
      <c r="GU35" s="731"/>
      <c r="GW35" s="1270" t="s">
        <v>1783</v>
      </c>
      <c r="GX35" s="1270"/>
      <c r="GY35" s="1270"/>
      <c r="HA35" s="1271" t="s">
        <v>6</v>
      </c>
      <c r="HB35" s="1271"/>
      <c r="HC35" s="1271"/>
    </row>
    <row r="36" spans="2:211" ht="16">
      <c r="B36" s="734" t="s">
        <v>27</v>
      </c>
      <c r="C36" s="733" t="s">
        <v>54</v>
      </c>
      <c r="D36" s="539">
        <v>38.57</v>
      </c>
      <c r="E36" s="539">
        <v>58.7</v>
      </c>
      <c r="F36" s="539">
        <v>8</v>
      </c>
      <c r="G36" s="539" t="s">
        <v>47</v>
      </c>
      <c r="H36" s="539">
        <v>1.4</v>
      </c>
      <c r="I36" s="539">
        <v>8.9</v>
      </c>
      <c r="J36" s="539">
        <v>19.399999999999999</v>
      </c>
      <c r="K36" s="539">
        <v>29.2</v>
      </c>
      <c r="L36" s="539">
        <v>72</v>
      </c>
      <c r="M36" s="539">
        <v>80</v>
      </c>
      <c r="N36" s="539">
        <v>72</v>
      </c>
      <c r="O36" s="539">
        <v>81</v>
      </c>
      <c r="P36" s="539">
        <v>93</v>
      </c>
      <c r="Q36" s="734">
        <v>4</v>
      </c>
      <c r="R36" s="539">
        <v>19.7</v>
      </c>
      <c r="S36" s="734">
        <v>0.53</v>
      </c>
      <c r="T36" s="734">
        <v>35.799999999999997</v>
      </c>
      <c r="U36" s="734">
        <v>6</v>
      </c>
      <c r="V36" s="734">
        <v>203</v>
      </c>
      <c r="W36" s="734">
        <v>99</v>
      </c>
      <c r="X36" s="734">
        <v>3.1E-2</v>
      </c>
      <c r="Y36" s="734">
        <v>3.5999999999999997E-2</v>
      </c>
      <c r="Z36" s="547">
        <v>130</v>
      </c>
      <c r="AA36" s="547">
        <f t="shared" si="0"/>
        <v>1.3</v>
      </c>
      <c r="AB36" s="734">
        <v>35</v>
      </c>
      <c r="AC36" s="538"/>
      <c r="AD36" s="733" t="str">
        <f t="shared" si="3"/>
        <v>NECOCHEA</v>
      </c>
      <c r="AE36" s="737">
        <v>20.7</v>
      </c>
      <c r="AF36" s="737">
        <v>20.2</v>
      </c>
      <c r="AG36" s="737">
        <v>17.600000000000001</v>
      </c>
      <c r="AH36" s="737">
        <v>13.5</v>
      </c>
      <c r="AI36" s="737">
        <v>10.199999999999999</v>
      </c>
      <c r="AJ36" s="737">
        <v>8.6</v>
      </c>
      <c r="AK36" s="737">
        <v>8.1</v>
      </c>
      <c r="AL36" s="737">
        <v>8.8000000000000007</v>
      </c>
      <c r="AM36" s="737">
        <v>9.9</v>
      </c>
      <c r="AN36" s="737">
        <v>12.4</v>
      </c>
      <c r="AO36" s="737">
        <v>15.5</v>
      </c>
      <c r="AP36" s="737">
        <v>17.600000000000001</v>
      </c>
      <c r="AQ36" s="538"/>
      <c r="AR36" s="733" t="str">
        <f t="shared" si="1"/>
        <v>BAP</v>
      </c>
      <c r="AS36" s="733" t="str">
        <f t="shared" si="4"/>
        <v>NECOCHEA</v>
      </c>
      <c r="AT36" s="731">
        <v>6.5</v>
      </c>
      <c r="AU36" s="731">
        <v>5.5</v>
      </c>
      <c r="AV36" s="731">
        <v>5</v>
      </c>
      <c r="AW36" s="731">
        <v>3</v>
      </c>
      <c r="AX36" s="731">
        <v>2</v>
      </c>
      <c r="AY36" s="731">
        <v>1.5</v>
      </c>
      <c r="AZ36" s="731">
        <v>1.5</v>
      </c>
      <c r="BA36" s="731">
        <v>2.5</v>
      </c>
      <c r="BB36" s="731">
        <v>3.5</v>
      </c>
      <c r="BC36" s="731">
        <v>5</v>
      </c>
      <c r="BD36" s="731">
        <v>6</v>
      </c>
      <c r="BE36" s="731">
        <v>6.5</v>
      </c>
      <c r="BG36" s="733" t="str">
        <f t="shared" si="5"/>
        <v>BAP</v>
      </c>
      <c r="BH36" s="733" t="str">
        <f t="shared" si="6"/>
        <v>NECOCHEA</v>
      </c>
      <c r="BI36" s="731">
        <v>104</v>
      </c>
      <c r="BJ36" s="731">
        <v>98</v>
      </c>
      <c r="BK36" s="731">
        <v>115</v>
      </c>
      <c r="BL36" s="731">
        <v>97</v>
      </c>
      <c r="BM36" s="731">
        <v>80</v>
      </c>
      <c r="BN36" s="731">
        <v>61</v>
      </c>
      <c r="BO36" s="731">
        <v>59</v>
      </c>
      <c r="BP36" s="731">
        <v>63</v>
      </c>
      <c r="BQ36" s="731">
        <v>68</v>
      </c>
      <c r="BR36" s="731">
        <v>104</v>
      </c>
      <c r="BS36" s="731">
        <v>98</v>
      </c>
      <c r="BT36" s="731">
        <v>93</v>
      </c>
      <c r="CW36" s="734" t="s">
        <v>27</v>
      </c>
      <c r="CX36" s="733" t="s">
        <v>1037</v>
      </c>
      <c r="CY36" s="538"/>
      <c r="DB36" s="538"/>
      <c r="DC36" s="538"/>
      <c r="DD36" s="538"/>
      <c r="DE36" s="538"/>
      <c r="DF36" s="538"/>
      <c r="DG36" s="538"/>
      <c r="DH36" s="538"/>
      <c r="DI36" s="538"/>
      <c r="DJ36" s="538"/>
      <c r="DK36" s="538"/>
      <c r="DL36" s="538"/>
      <c r="DM36" s="538"/>
      <c r="DN36" s="538"/>
      <c r="DO36" s="538"/>
      <c r="DP36" s="538"/>
      <c r="DQ36" s="538"/>
      <c r="DR36" s="538"/>
      <c r="DS36" s="538"/>
      <c r="DT36" s="538"/>
      <c r="DU36" s="538"/>
      <c r="DV36" s="538"/>
      <c r="DW36" s="538"/>
      <c r="DX36" s="538"/>
      <c r="DY36" s="538"/>
      <c r="DZ36" s="538"/>
      <c r="EA36" s="538"/>
      <c r="EB36" s="538"/>
      <c r="EH36" s="538"/>
      <c r="EI36" s="538"/>
      <c r="EJ36" s="538"/>
      <c r="EK36" s="538"/>
      <c r="EL36" s="538"/>
      <c r="EM36" s="538"/>
      <c r="EN36" s="538"/>
      <c r="EO36" s="538"/>
      <c r="EP36" s="538"/>
      <c r="EQ36" s="538"/>
      <c r="ER36" s="538"/>
      <c r="ES36" s="538"/>
      <c r="ET36" s="538"/>
      <c r="EU36" s="538"/>
      <c r="EV36" s="538"/>
      <c r="EW36" s="538"/>
      <c r="EX36" s="538"/>
      <c r="EY36" s="538"/>
      <c r="EZ36" s="538"/>
      <c r="FA36" s="538"/>
      <c r="FB36" s="538"/>
      <c r="FC36" s="538"/>
      <c r="FD36" s="538"/>
      <c r="FE36" s="538"/>
      <c r="FF36" s="538"/>
      <c r="FG36" s="538"/>
      <c r="FH36" s="538"/>
      <c r="FI36" s="538"/>
      <c r="FJ36" s="538"/>
      <c r="FK36" s="538"/>
      <c r="FL36" s="538"/>
      <c r="FM36" s="538"/>
      <c r="FN36" s="538"/>
      <c r="FO36" s="538"/>
      <c r="FP36" s="538"/>
      <c r="FQ36" s="727" t="s">
        <v>1730</v>
      </c>
      <c r="FR36" s="727">
        <v>2.14</v>
      </c>
      <c r="FS36" s="727">
        <v>1.86</v>
      </c>
      <c r="FT36" s="727"/>
      <c r="FU36" s="542" t="s">
        <v>2029</v>
      </c>
      <c r="FV36" s="727">
        <v>0.74</v>
      </c>
      <c r="FW36" s="542" t="s">
        <v>1611</v>
      </c>
      <c r="FX36" s="727">
        <v>0.51</v>
      </c>
      <c r="FY36" s="727"/>
      <c r="FZ36" s="542" t="s">
        <v>1602</v>
      </c>
      <c r="GA36" s="727">
        <v>0.39</v>
      </c>
      <c r="GB36" s="727"/>
      <c r="GC36" s="727" t="s">
        <v>1063</v>
      </c>
      <c r="GD36" s="727">
        <v>3.3</v>
      </c>
      <c r="GE36" s="727"/>
      <c r="GH36" s="727" t="s">
        <v>670</v>
      </c>
      <c r="GI36" s="756">
        <v>150</v>
      </c>
      <c r="GO36" s="731"/>
      <c r="GP36" s="727" t="s">
        <v>666</v>
      </c>
      <c r="GQ36" s="756">
        <v>9</v>
      </c>
      <c r="GR36" s="731"/>
      <c r="GS36" s="731"/>
      <c r="GT36" s="731"/>
      <c r="GU36" s="731"/>
    </row>
    <row r="37" spans="2:211" ht="17">
      <c r="B37" s="734" t="s">
        <v>27</v>
      </c>
      <c r="C37" s="733" t="s">
        <v>55</v>
      </c>
      <c r="D37" s="539">
        <v>35.450000000000003</v>
      </c>
      <c r="E37" s="539">
        <v>60.88</v>
      </c>
      <c r="F37" s="539">
        <v>76</v>
      </c>
      <c r="G37" s="539" t="s">
        <v>42</v>
      </c>
      <c r="H37" s="539">
        <v>-0.7</v>
      </c>
      <c r="I37" s="539">
        <v>9.6999999999999993</v>
      </c>
      <c r="J37" s="539">
        <v>22.5</v>
      </c>
      <c r="K37" s="539">
        <v>33.1</v>
      </c>
      <c r="L37" s="539">
        <v>69</v>
      </c>
      <c r="M37" s="539">
        <v>80</v>
      </c>
      <c r="N37" s="539">
        <v>69</v>
      </c>
      <c r="O37" s="539">
        <v>45</v>
      </c>
      <c r="P37" s="539">
        <v>98</v>
      </c>
      <c r="Q37" s="734">
        <v>3</v>
      </c>
      <c r="R37" s="539">
        <v>21.9</v>
      </c>
      <c r="S37" s="734">
        <v>0.55000000000000004</v>
      </c>
      <c r="T37" s="734">
        <v>35.799999999999997</v>
      </c>
      <c r="U37" s="734">
        <v>6</v>
      </c>
      <c r="V37" s="734">
        <v>203</v>
      </c>
      <c r="W37" s="734">
        <v>99</v>
      </c>
      <c r="X37" s="734">
        <v>3.1E-2</v>
      </c>
      <c r="Y37" s="734">
        <v>3.5999999999999997E-2</v>
      </c>
      <c r="Z37" s="547">
        <v>130</v>
      </c>
      <c r="AA37" s="547">
        <f t="shared" si="0"/>
        <v>1.3</v>
      </c>
      <c r="AB37" s="734">
        <v>35</v>
      </c>
      <c r="AC37" s="538"/>
      <c r="AD37" s="733" t="str">
        <f t="shared" si="3"/>
        <v>NUEVE DE JULIO</v>
      </c>
      <c r="AE37" s="737">
        <v>23.2</v>
      </c>
      <c r="AF37" s="737">
        <v>22.1</v>
      </c>
      <c r="AG37" s="737">
        <v>20</v>
      </c>
      <c r="AH37" s="737">
        <v>15.1</v>
      </c>
      <c r="AI37" s="737">
        <v>12.3</v>
      </c>
      <c r="AJ37" s="737">
        <v>9.1999999999999993</v>
      </c>
      <c r="AK37" s="737">
        <v>9</v>
      </c>
      <c r="AL37" s="737">
        <v>10.199999999999999</v>
      </c>
      <c r="AM37" s="737">
        <v>12.3</v>
      </c>
      <c r="AN37" s="737">
        <v>15.3</v>
      </c>
      <c r="AO37" s="737">
        <v>19</v>
      </c>
      <c r="AP37" s="737">
        <v>21.4</v>
      </c>
      <c r="AQ37" s="538"/>
      <c r="AR37" s="733" t="str">
        <f t="shared" si="1"/>
        <v>BAP</v>
      </c>
      <c r="AS37" s="733" t="str">
        <f t="shared" si="4"/>
        <v>NUEVE DE JULIO</v>
      </c>
      <c r="AT37" s="731">
        <v>6.5</v>
      </c>
      <c r="AU37" s="731">
        <v>6</v>
      </c>
      <c r="AV37" s="731">
        <v>4.5</v>
      </c>
      <c r="AW37" s="731">
        <v>3</v>
      </c>
      <c r="AX37" s="731">
        <v>2.5</v>
      </c>
      <c r="AY37" s="731">
        <v>1.5</v>
      </c>
      <c r="AZ37" s="731">
        <v>2</v>
      </c>
      <c r="BA37" s="731">
        <v>3</v>
      </c>
      <c r="BB37" s="731">
        <v>4</v>
      </c>
      <c r="BC37" s="731">
        <v>5</v>
      </c>
      <c r="BD37" s="731">
        <v>6</v>
      </c>
      <c r="BE37" s="731">
        <v>6.5</v>
      </c>
      <c r="BG37" s="733" t="str">
        <f t="shared" si="5"/>
        <v>BAP</v>
      </c>
      <c r="BH37" s="733" t="str">
        <f t="shared" si="6"/>
        <v>NUEVE DE JULIO</v>
      </c>
      <c r="BI37" s="731">
        <v>104</v>
      </c>
      <c r="BJ37" s="731">
        <v>98</v>
      </c>
      <c r="BK37" s="731">
        <v>115</v>
      </c>
      <c r="BL37" s="731">
        <v>97</v>
      </c>
      <c r="BM37" s="731">
        <v>80</v>
      </c>
      <c r="BN37" s="731">
        <v>61</v>
      </c>
      <c r="BO37" s="731">
        <v>59</v>
      </c>
      <c r="BP37" s="731">
        <v>63</v>
      </c>
      <c r="BQ37" s="731">
        <v>68</v>
      </c>
      <c r="BR37" s="731">
        <v>104</v>
      </c>
      <c r="BS37" s="731">
        <v>98</v>
      </c>
      <c r="BT37" s="731">
        <v>93</v>
      </c>
      <c r="CW37" s="734" t="s">
        <v>27</v>
      </c>
      <c r="CX37" s="733" t="s">
        <v>56</v>
      </c>
      <c r="CY37" s="538"/>
      <c r="DB37" s="538"/>
      <c r="DC37" s="538"/>
      <c r="DD37" s="538"/>
      <c r="DE37" s="538"/>
      <c r="DF37" s="538"/>
      <c r="DG37" s="538"/>
      <c r="DH37" s="538"/>
      <c r="DI37" s="538"/>
      <c r="DJ37" s="538"/>
      <c r="DK37" s="538"/>
      <c r="DL37" s="538"/>
      <c r="DM37" s="538"/>
      <c r="DN37" s="538"/>
      <c r="DO37" s="538"/>
      <c r="DP37" s="538"/>
      <c r="DQ37" s="538"/>
      <c r="DR37" s="538"/>
      <c r="DS37" s="538"/>
      <c r="DT37" s="538"/>
      <c r="DU37" s="538"/>
      <c r="DV37" s="538"/>
      <c r="DW37" s="538"/>
      <c r="DX37" s="538"/>
      <c r="DY37" s="538"/>
      <c r="DZ37" s="538"/>
      <c r="EA37" s="538"/>
      <c r="EB37" s="538"/>
      <c r="EH37" s="538"/>
      <c r="EI37" s="538"/>
      <c r="EJ37" s="538"/>
      <c r="EK37" s="538"/>
      <c r="EL37" s="538"/>
      <c r="EM37" s="538"/>
      <c r="EN37" s="538"/>
      <c r="EO37" s="538"/>
      <c r="EP37" s="538"/>
      <c r="EQ37" s="538"/>
      <c r="ER37" s="538"/>
      <c r="ES37" s="538"/>
      <c r="ET37" s="538"/>
      <c r="EU37" s="538"/>
      <c r="EV37" s="538"/>
      <c r="EW37" s="538"/>
      <c r="EX37" s="538"/>
      <c r="EY37" s="538"/>
      <c r="EZ37" s="538"/>
      <c r="FA37" s="538"/>
      <c r="FB37" s="538"/>
      <c r="FC37" s="538"/>
      <c r="FD37" s="538"/>
      <c r="FE37" s="538"/>
      <c r="FF37" s="538"/>
      <c r="FG37" s="538"/>
      <c r="FH37" s="538"/>
      <c r="FI37" s="538"/>
      <c r="FJ37" s="538"/>
      <c r="FK37" s="538"/>
      <c r="FL37" s="538"/>
      <c r="FM37" s="538"/>
      <c r="FN37" s="538"/>
      <c r="FO37" s="538"/>
      <c r="FP37" s="538"/>
      <c r="FQ37" s="727" t="s">
        <v>1731</v>
      </c>
      <c r="FR37" s="756">
        <v>0.8</v>
      </c>
      <c r="FS37" s="727">
        <f>(1-((1/FR37)*0.07))/(1/FR37)</f>
        <v>0.73</v>
      </c>
      <c r="FT37" s="727"/>
      <c r="FU37" s="542" t="s">
        <v>1607</v>
      </c>
      <c r="FV37" s="727">
        <v>0.35</v>
      </c>
      <c r="FW37" s="542" t="s">
        <v>1732</v>
      </c>
      <c r="FX37" s="727">
        <v>0.95</v>
      </c>
      <c r="FY37" s="727"/>
      <c r="FZ37" s="542" t="s">
        <v>1594</v>
      </c>
      <c r="GA37" s="727">
        <v>0.96</v>
      </c>
      <c r="GB37" s="727"/>
      <c r="GC37" s="727" t="s">
        <v>1631</v>
      </c>
      <c r="GD37" s="727">
        <v>5.7</v>
      </c>
      <c r="GE37" s="727"/>
      <c r="GH37" s="729" t="s">
        <v>2073</v>
      </c>
      <c r="GI37" s="756">
        <v>12</v>
      </c>
      <c r="GO37" s="731"/>
      <c r="GP37" s="727" t="s">
        <v>667</v>
      </c>
      <c r="GQ37" s="756">
        <v>9</v>
      </c>
      <c r="GR37" s="731"/>
      <c r="GS37" s="731"/>
      <c r="GT37" s="731"/>
      <c r="GU37" s="731"/>
    </row>
    <row r="38" spans="2:211" ht="20">
      <c r="B38" s="734" t="s">
        <v>27</v>
      </c>
      <c r="C38" s="733" t="s">
        <v>56</v>
      </c>
      <c r="D38" s="539">
        <v>35.869999999999997</v>
      </c>
      <c r="E38" s="539">
        <v>61.87</v>
      </c>
      <c r="F38" s="539">
        <v>87</v>
      </c>
      <c r="G38" s="539" t="s">
        <v>42</v>
      </c>
      <c r="H38" s="539">
        <v>-2</v>
      </c>
      <c r="I38" s="539">
        <v>8.6999999999999993</v>
      </c>
      <c r="J38" s="539">
        <v>22.1</v>
      </c>
      <c r="K38" s="539">
        <v>33.5</v>
      </c>
      <c r="L38" s="539">
        <v>63</v>
      </c>
      <c r="M38" s="539">
        <v>79</v>
      </c>
      <c r="N38" s="539">
        <v>63</v>
      </c>
      <c r="O38" s="539">
        <v>33</v>
      </c>
      <c r="P38" s="539">
        <v>87</v>
      </c>
      <c r="Q38" s="734">
        <v>3</v>
      </c>
      <c r="R38" s="539">
        <v>21.7</v>
      </c>
      <c r="S38" s="734">
        <v>0.55000000000000004</v>
      </c>
      <c r="T38" s="734">
        <v>35.799999999999997</v>
      </c>
      <c r="U38" s="734">
        <v>6</v>
      </c>
      <c r="V38" s="734">
        <v>203</v>
      </c>
      <c r="W38" s="734">
        <v>99</v>
      </c>
      <c r="X38" s="734">
        <v>3.1E-2</v>
      </c>
      <c r="Y38" s="734">
        <v>3.5999999999999997E-2</v>
      </c>
      <c r="Z38" s="547">
        <v>130</v>
      </c>
      <c r="AA38" s="547">
        <f t="shared" si="0"/>
        <v>1.3</v>
      </c>
      <c r="AB38" s="734">
        <v>35</v>
      </c>
      <c r="AC38" s="538"/>
      <c r="AD38" s="733" t="str">
        <f t="shared" si="3"/>
        <v>PEHUAJO</v>
      </c>
      <c r="AE38" s="737">
        <v>23.2</v>
      </c>
      <c r="AF38" s="737">
        <v>22</v>
      </c>
      <c r="AG38" s="737">
        <v>19.8</v>
      </c>
      <c r="AH38" s="737">
        <v>15.3</v>
      </c>
      <c r="AI38" s="737">
        <v>12.1</v>
      </c>
      <c r="AJ38" s="737">
        <v>8.8000000000000007</v>
      </c>
      <c r="AK38" s="737">
        <v>8.6</v>
      </c>
      <c r="AL38" s="737">
        <v>10</v>
      </c>
      <c r="AM38" s="737">
        <v>12.1</v>
      </c>
      <c r="AN38" s="737">
        <v>15.1</v>
      </c>
      <c r="AO38" s="737">
        <v>18.8</v>
      </c>
      <c r="AP38" s="737">
        <v>21.3</v>
      </c>
      <c r="AQ38" s="538"/>
      <c r="AR38" s="733" t="str">
        <f t="shared" si="1"/>
        <v>BAP</v>
      </c>
      <c r="AS38" s="733" t="str">
        <f t="shared" si="4"/>
        <v>PEHUAJO</v>
      </c>
      <c r="AT38" s="731">
        <v>6.5</v>
      </c>
      <c r="AU38" s="731">
        <v>6</v>
      </c>
      <c r="AV38" s="731">
        <v>4.5</v>
      </c>
      <c r="AW38" s="731">
        <v>3</v>
      </c>
      <c r="AX38" s="731">
        <v>2.5</v>
      </c>
      <c r="AY38" s="731">
        <v>1.5</v>
      </c>
      <c r="AZ38" s="731">
        <v>2</v>
      </c>
      <c r="BA38" s="731">
        <v>3</v>
      </c>
      <c r="BB38" s="731">
        <v>4</v>
      </c>
      <c r="BC38" s="731">
        <v>5</v>
      </c>
      <c r="BD38" s="731">
        <v>6</v>
      </c>
      <c r="BE38" s="731">
        <v>6.5</v>
      </c>
      <c r="BG38" s="733" t="str">
        <f t="shared" si="5"/>
        <v>BAP</v>
      </c>
      <c r="BH38" s="733" t="str">
        <f t="shared" si="6"/>
        <v>PEHUAJO</v>
      </c>
      <c r="BI38" s="731">
        <v>104</v>
      </c>
      <c r="BJ38" s="731">
        <v>98</v>
      </c>
      <c r="BK38" s="731">
        <v>115</v>
      </c>
      <c r="BL38" s="731">
        <v>97</v>
      </c>
      <c r="BM38" s="731">
        <v>80</v>
      </c>
      <c r="BN38" s="731">
        <v>61</v>
      </c>
      <c r="BO38" s="731">
        <v>59</v>
      </c>
      <c r="BP38" s="731">
        <v>63</v>
      </c>
      <c r="BQ38" s="731">
        <v>68</v>
      </c>
      <c r="BR38" s="731">
        <v>104</v>
      </c>
      <c r="BS38" s="731">
        <v>98</v>
      </c>
      <c r="BT38" s="731">
        <v>93</v>
      </c>
      <c r="CW38" s="734" t="s">
        <v>27</v>
      </c>
      <c r="CX38" s="733" t="s">
        <v>57</v>
      </c>
      <c r="CY38" s="538"/>
      <c r="DB38" s="538"/>
      <c r="DC38" s="538"/>
      <c r="DD38" s="538"/>
      <c r="DE38" s="538"/>
      <c r="DF38" s="538"/>
      <c r="DG38" s="538"/>
      <c r="DH38" s="538"/>
      <c r="DI38" s="538"/>
      <c r="DJ38" s="538"/>
      <c r="DK38" s="538"/>
      <c r="DL38" s="538"/>
      <c r="DM38" s="538"/>
      <c r="DN38" s="538"/>
      <c r="DU38" s="538"/>
      <c r="DV38" s="538"/>
      <c r="DW38" s="538"/>
      <c r="DX38" s="538"/>
      <c r="DY38" s="538"/>
      <c r="DZ38" s="538"/>
      <c r="EA38" s="538"/>
      <c r="EB38" s="538"/>
      <c r="EH38" s="538"/>
      <c r="EI38" s="538"/>
      <c r="EJ38" s="538"/>
      <c r="EK38" s="538"/>
      <c r="EL38" s="538"/>
      <c r="EM38" s="538"/>
      <c r="EN38" s="538"/>
      <c r="EO38" s="538"/>
      <c r="EP38" s="538"/>
      <c r="EQ38" s="538"/>
      <c r="ER38" s="538"/>
      <c r="ES38" s="538"/>
      <c r="ET38" s="538"/>
      <c r="EU38" s="538"/>
      <c r="EV38" s="538"/>
      <c r="EW38" s="538"/>
      <c r="EX38" s="538"/>
      <c r="EY38" s="538"/>
      <c r="EZ38" s="538"/>
      <c r="FA38" s="538"/>
      <c r="FB38" s="538"/>
      <c r="FC38" s="538"/>
      <c r="FD38" s="538"/>
      <c r="FE38" s="538"/>
      <c r="FF38" s="538"/>
      <c r="FG38" s="538"/>
      <c r="FH38" s="538"/>
      <c r="FI38" s="538"/>
      <c r="FJ38" s="538"/>
      <c r="FK38" s="538"/>
      <c r="FL38" s="538"/>
      <c r="FM38" s="538"/>
      <c r="FN38" s="538"/>
      <c r="FO38" s="538"/>
      <c r="FP38" s="538"/>
      <c r="FQ38" s="727" t="s">
        <v>238</v>
      </c>
      <c r="FR38" s="727">
        <v>2.58</v>
      </c>
      <c r="FS38" s="727">
        <v>2.19</v>
      </c>
      <c r="FT38" s="727"/>
      <c r="FU38" s="542" t="s">
        <v>1608</v>
      </c>
      <c r="FV38" s="727">
        <v>0.3</v>
      </c>
      <c r="FW38" s="542" t="s">
        <v>1584</v>
      </c>
      <c r="FX38" s="727">
        <v>0.78</v>
      </c>
      <c r="FY38" s="727"/>
      <c r="FZ38" s="542" t="s">
        <v>1587</v>
      </c>
      <c r="GA38" s="727">
        <v>0.54</v>
      </c>
      <c r="GB38" s="727"/>
      <c r="GC38" s="727" t="s">
        <v>1632</v>
      </c>
      <c r="GD38" s="727">
        <v>1.8</v>
      </c>
      <c r="GE38" s="727"/>
      <c r="GO38" s="731"/>
      <c r="GP38" s="727" t="s">
        <v>668</v>
      </c>
      <c r="GQ38" s="756">
        <v>9</v>
      </c>
      <c r="GR38" s="731"/>
      <c r="GS38" s="731"/>
      <c r="GT38" s="731"/>
      <c r="GU38" s="731"/>
      <c r="GW38" s="1204" t="s">
        <v>2085</v>
      </c>
      <c r="GX38" s="1204"/>
      <c r="GY38" s="1204"/>
      <c r="GZ38" s="1204"/>
      <c r="HA38" s="1204"/>
      <c r="HB38" s="1204"/>
      <c r="HC38" s="1204"/>
    </row>
    <row r="39" spans="2:211" ht="19">
      <c r="B39" s="734" t="s">
        <v>27</v>
      </c>
      <c r="C39" s="733" t="s">
        <v>57</v>
      </c>
      <c r="D39" s="539">
        <v>33.93</v>
      </c>
      <c r="E39" s="539">
        <v>60.55</v>
      </c>
      <c r="F39" s="539">
        <v>65</v>
      </c>
      <c r="G39" s="539" t="s">
        <v>42</v>
      </c>
      <c r="H39" s="539">
        <v>-1.2</v>
      </c>
      <c r="I39" s="539">
        <v>9.6</v>
      </c>
      <c r="J39" s="539">
        <v>22.9</v>
      </c>
      <c r="K39" s="539">
        <v>33.6</v>
      </c>
      <c r="L39" s="539">
        <v>66</v>
      </c>
      <c r="M39" s="539">
        <v>81</v>
      </c>
      <c r="N39" s="539">
        <v>66</v>
      </c>
      <c r="O39" s="539">
        <v>36</v>
      </c>
      <c r="P39" s="539">
        <v>90</v>
      </c>
      <c r="Q39" s="734">
        <v>3</v>
      </c>
      <c r="R39" s="539">
        <v>22</v>
      </c>
      <c r="S39" s="734">
        <v>0.53</v>
      </c>
      <c r="T39" s="734">
        <v>35.799999999999997</v>
      </c>
      <c r="U39" s="734">
        <v>6</v>
      </c>
      <c r="V39" s="734">
        <v>203</v>
      </c>
      <c r="W39" s="734">
        <v>99</v>
      </c>
      <c r="X39" s="734">
        <v>3.1E-2</v>
      </c>
      <c r="Y39" s="734">
        <v>3.5999999999999997E-2</v>
      </c>
      <c r="Z39" s="547">
        <v>130</v>
      </c>
      <c r="AA39" s="547">
        <f t="shared" si="0"/>
        <v>1.3</v>
      </c>
      <c r="AB39" s="734">
        <v>35</v>
      </c>
      <c r="AC39" s="538"/>
      <c r="AD39" s="733" t="str">
        <f t="shared" si="3"/>
        <v>PERGAMINO</v>
      </c>
      <c r="AE39" s="737">
        <v>23.4</v>
      </c>
      <c r="AF39" s="737">
        <v>23</v>
      </c>
      <c r="AG39" s="737">
        <v>20.6</v>
      </c>
      <c r="AH39" s="737">
        <v>15.6</v>
      </c>
      <c r="AI39" s="737">
        <v>13.3</v>
      </c>
      <c r="AJ39" s="737">
        <v>10</v>
      </c>
      <c r="AK39" s="737">
        <v>10.1</v>
      </c>
      <c r="AL39" s="737">
        <v>11.2</v>
      </c>
      <c r="AM39" s="737">
        <v>13.1</v>
      </c>
      <c r="AN39" s="737">
        <v>16</v>
      </c>
      <c r="AO39" s="737">
        <v>19</v>
      </c>
      <c r="AP39" s="737">
        <v>21.2</v>
      </c>
      <c r="AQ39" s="538"/>
      <c r="AR39" s="733" t="str">
        <f t="shared" si="1"/>
        <v>BAP</v>
      </c>
      <c r="AS39" s="733" t="str">
        <f t="shared" si="4"/>
        <v>PERGAMINO</v>
      </c>
      <c r="AT39" s="731">
        <v>6.5</v>
      </c>
      <c r="AU39" s="731">
        <v>6</v>
      </c>
      <c r="AV39" s="731">
        <v>4.5</v>
      </c>
      <c r="AW39" s="731">
        <v>3</v>
      </c>
      <c r="AX39" s="731">
        <v>2.5</v>
      </c>
      <c r="AY39" s="731">
        <v>1.5</v>
      </c>
      <c r="AZ39" s="731">
        <v>2</v>
      </c>
      <c r="BA39" s="731">
        <v>3</v>
      </c>
      <c r="BB39" s="731">
        <v>4</v>
      </c>
      <c r="BC39" s="731">
        <v>5</v>
      </c>
      <c r="BD39" s="731">
        <v>6</v>
      </c>
      <c r="BE39" s="731">
        <v>6.5</v>
      </c>
      <c r="BG39" s="733" t="str">
        <f t="shared" si="5"/>
        <v>BAP</v>
      </c>
      <c r="BH39" s="733" t="str">
        <f t="shared" si="6"/>
        <v>PERGAMINO</v>
      </c>
      <c r="BI39" s="731">
        <v>104</v>
      </c>
      <c r="BJ39" s="731">
        <v>98</v>
      </c>
      <c r="BK39" s="731">
        <v>115</v>
      </c>
      <c r="BL39" s="731">
        <v>97</v>
      </c>
      <c r="BM39" s="731">
        <v>80</v>
      </c>
      <c r="BN39" s="731">
        <v>61</v>
      </c>
      <c r="BO39" s="731">
        <v>59</v>
      </c>
      <c r="BP39" s="731">
        <v>63</v>
      </c>
      <c r="BQ39" s="731">
        <v>68</v>
      </c>
      <c r="BR39" s="731">
        <v>104</v>
      </c>
      <c r="BS39" s="731">
        <v>98</v>
      </c>
      <c r="BT39" s="731">
        <v>93</v>
      </c>
      <c r="CW39" s="734" t="s">
        <v>27</v>
      </c>
      <c r="CX39" s="733" t="s">
        <v>58</v>
      </c>
      <c r="CY39" s="538"/>
      <c r="DB39" s="538"/>
      <c r="DC39" s="538"/>
      <c r="DD39" s="538"/>
      <c r="DE39" s="538"/>
      <c r="DF39" s="538"/>
      <c r="DG39" s="538"/>
      <c r="DH39" s="538"/>
      <c r="DI39" s="538"/>
      <c r="DJ39" s="538"/>
      <c r="DK39" s="538"/>
      <c r="DL39" s="538"/>
      <c r="DM39" s="538"/>
      <c r="DN39" s="538"/>
      <c r="DU39" s="538"/>
      <c r="DV39" s="538"/>
      <c r="DW39" s="538"/>
      <c r="DX39" s="538"/>
      <c r="DY39" s="538"/>
      <c r="DZ39" s="538"/>
      <c r="EA39" s="538"/>
      <c r="EB39" s="538"/>
      <c r="EC39" s="538"/>
      <c r="ED39" s="538"/>
      <c r="EE39" s="538"/>
      <c r="EF39" s="538"/>
      <c r="EG39" s="538"/>
      <c r="EH39" s="538"/>
      <c r="EI39" s="538"/>
      <c r="EJ39" s="538"/>
      <c r="EK39" s="538"/>
      <c r="EL39" s="538"/>
      <c r="EM39" s="538"/>
      <c r="EN39" s="538"/>
      <c r="EO39" s="538"/>
      <c r="EP39" s="538"/>
      <c r="EQ39" s="538"/>
      <c r="ER39" s="538"/>
      <c r="ES39" s="538"/>
      <c r="ET39" s="538"/>
      <c r="EU39" s="538"/>
      <c r="EV39" s="538"/>
      <c r="EW39" s="538"/>
      <c r="EX39" s="538"/>
      <c r="EY39" s="538"/>
      <c r="EZ39" s="538"/>
      <c r="FA39" s="538"/>
      <c r="FB39" s="538"/>
      <c r="FC39" s="538"/>
      <c r="FD39" s="538"/>
      <c r="FE39" s="538"/>
      <c r="FF39" s="538"/>
      <c r="FG39" s="538"/>
      <c r="FH39" s="538"/>
      <c r="FI39" s="538"/>
      <c r="FJ39" s="538"/>
      <c r="FK39" s="538"/>
      <c r="FL39" s="538"/>
      <c r="FM39" s="538"/>
      <c r="FN39" s="538"/>
      <c r="FO39" s="538"/>
      <c r="FP39" s="538"/>
      <c r="FQ39" s="542" t="s">
        <v>1585</v>
      </c>
      <c r="FR39" s="727">
        <v>0.73</v>
      </c>
      <c r="FS39" s="727">
        <f t="shared" ref="FS39:FS48" si="7">FR39</f>
        <v>0.73</v>
      </c>
      <c r="FT39" s="727"/>
      <c r="FU39" s="542" t="s">
        <v>1582</v>
      </c>
      <c r="FV39" s="727">
        <v>0.77</v>
      </c>
      <c r="FW39" s="542" t="s">
        <v>1603</v>
      </c>
      <c r="FX39" s="727">
        <v>0.32</v>
      </c>
      <c r="FY39" s="727"/>
      <c r="FZ39" s="542" t="s">
        <v>1588</v>
      </c>
      <c r="GA39" s="727">
        <v>0.60799999999999998</v>
      </c>
      <c r="GB39" s="727"/>
      <c r="GC39" s="727" t="s">
        <v>1633</v>
      </c>
      <c r="GD39" s="727">
        <v>2.2000000000000002</v>
      </c>
      <c r="GE39" s="727"/>
      <c r="GO39" s="731"/>
      <c r="GP39" s="727" t="s">
        <v>669</v>
      </c>
      <c r="GQ39" s="756">
        <v>11</v>
      </c>
      <c r="GR39" s="731"/>
      <c r="GS39" s="731"/>
      <c r="GT39" s="731"/>
      <c r="GU39" s="731"/>
      <c r="GW39" s="1269" t="s">
        <v>2041</v>
      </c>
      <c r="GX39" s="1269"/>
      <c r="GY39" s="1269"/>
      <c r="GZ39" s="1269"/>
      <c r="HA39" s="1269"/>
      <c r="HB39" s="1269"/>
      <c r="HC39" s="1269"/>
    </row>
    <row r="40" spans="2:211" ht="16">
      <c r="B40" s="734" t="s">
        <v>27</v>
      </c>
      <c r="C40" s="733" t="s">
        <v>58</v>
      </c>
      <c r="D40" s="539">
        <v>37.619999999999997</v>
      </c>
      <c r="E40" s="539">
        <v>62.42</v>
      </c>
      <c r="F40" s="539">
        <v>298</v>
      </c>
      <c r="G40" s="539" t="s">
        <v>38</v>
      </c>
      <c r="H40" s="539">
        <v>-4.8</v>
      </c>
      <c r="I40" s="539">
        <v>7</v>
      </c>
      <c r="J40" s="539">
        <v>20</v>
      </c>
      <c r="K40" s="539">
        <v>31.3</v>
      </c>
      <c r="L40" s="539">
        <v>56</v>
      </c>
      <c r="M40" s="539">
        <v>75</v>
      </c>
      <c r="N40" s="539">
        <v>56</v>
      </c>
      <c r="O40" s="539">
        <v>25</v>
      </c>
      <c r="P40" s="539">
        <v>71</v>
      </c>
      <c r="Q40" s="734">
        <v>4</v>
      </c>
      <c r="R40" s="539">
        <v>19.899999999999999</v>
      </c>
      <c r="S40" s="734">
        <v>0.55000000000000004</v>
      </c>
      <c r="T40" s="734">
        <v>35.799999999999997</v>
      </c>
      <c r="U40" s="734">
        <v>6</v>
      </c>
      <c r="V40" s="734">
        <v>203</v>
      </c>
      <c r="W40" s="734">
        <v>99</v>
      </c>
      <c r="X40" s="734">
        <v>3.1E-2</v>
      </c>
      <c r="Y40" s="734">
        <v>3.5999999999999997E-2</v>
      </c>
      <c r="Z40" s="547">
        <v>130</v>
      </c>
      <c r="AA40" s="547">
        <f t="shared" si="0"/>
        <v>1.3</v>
      </c>
      <c r="AB40" s="734">
        <v>35</v>
      </c>
      <c r="AC40" s="538"/>
      <c r="AD40" s="733" t="str">
        <f t="shared" si="3"/>
        <v>PIGUE</v>
      </c>
      <c r="AE40" s="737">
        <v>22.3</v>
      </c>
      <c r="AF40" s="737">
        <v>21.2</v>
      </c>
      <c r="AG40" s="737">
        <v>18.2</v>
      </c>
      <c r="AH40" s="737">
        <v>12.8</v>
      </c>
      <c r="AI40" s="737">
        <v>9.8000000000000007</v>
      </c>
      <c r="AJ40" s="737">
        <v>6.7</v>
      </c>
      <c r="AK40" s="737">
        <v>6.8</v>
      </c>
      <c r="AL40" s="737">
        <v>7.9</v>
      </c>
      <c r="AM40" s="737">
        <v>10.1</v>
      </c>
      <c r="AN40" s="737">
        <v>13.1</v>
      </c>
      <c r="AO40" s="737">
        <v>17</v>
      </c>
      <c r="AP40" s="737">
        <v>19.7</v>
      </c>
      <c r="AQ40" s="538"/>
      <c r="AR40" s="733" t="str">
        <f t="shared" si="1"/>
        <v>BAP</v>
      </c>
      <c r="AS40" s="733" t="str">
        <f t="shared" si="4"/>
        <v>PIGUE</v>
      </c>
      <c r="AT40" s="731">
        <v>6.5</v>
      </c>
      <c r="AU40" s="731">
        <v>6</v>
      </c>
      <c r="AV40" s="731">
        <v>4.5</v>
      </c>
      <c r="AW40" s="731">
        <v>3</v>
      </c>
      <c r="AX40" s="731">
        <v>2</v>
      </c>
      <c r="AY40" s="731">
        <v>1.5</v>
      </c>
      <c r="AZ40" s="731">
        <v>1.5</v>
      </c>
      <c r="BA40" s="731">
        <v>2.5</v>
      </c>
      <c r="BB40" s="731">
        <v>3.5</v>
      </c>
      <c r="BC40" s="731">
        <v>5</v>
      </c>
      <c r="BD40" s="731">
        <v>6</v>
      </c>
      <c r="BE40" s="731">
        <v>7</v>
      </c>
      <c r="BG40" s="733" t="str">
        <f t="shared" si="5"/>
        <v>BAP</v>
      </c>
      <c r="BH40" s="733" t="str">
        <f t="shared" si="6"/>
        <v>PIGUE</v>
      </c>
      <c r="BI40" s="731">
        <v>104</v>
      </c>
      <c r="BJ40" s="731">
        <v>98</v>
      </c>
      <c r="BK40" s="731">
        <v>115</v>
      </c>
      <c r="BL40" s="731">
        <v>97</v>
      </c>
      <c r="BM40" s="731">
        <v>80</v>
      </c>
      <c r="BN40" s="731">
        <v>61</v>
      </c>
      <c r="BO40" s="731">
        <v>59</v>
      </c>
      <c r="BP40" s="731">
        <v>63</v>
      </c>
      <c r="BQ40" s="731">
        <v>68</v>
      </c>
      <c r="BR40" s="731">
        <v>104</v>
      </c>
      <c r="BS40" s="731">
        <v>98</v>
      </c>
      <c r="BT40" s="731">
        <v>93</v>
      </c>
      <c r="CW40" s="734" t="s">
        <v>27</v>
      </c>
      <c r="CX40" s="733" t="s">
        <v>22</v>
      </c>
      <c r="CY40" s="538"/>
      <c r="DB40" s="538"/>
      <c r="DC40" s="538"/>
      <c r="DD40" s="538"/>
      <c r="DE40" s="538"/>
      <c r="DF40" s="538"/>
      <c r="DG40" s="538"/>
      <c r="DH40" s="538"/>
      <c r="DI40" s="538"/>
      <c r="DJ40" s="538"/>
      <c r="DK40" s="538"/>
      <c r="DL40" s="538"/>
      <c r="DM40" s="538"/>
      <c r="DN40" s="538"/>
      <c r="DU40" s="538"/>
      <c r="DV40" s="538"/>
      <c r="DW40" s="538"/>
      <c r="DX40" s="538"/>
      <c r="DY40" s="538"/>
      <c r="DZ40" s="538"/>
      <c r="EA40" s="538"/>
      <c r="EB40" s="538"/>
      <c r="EC40" s="538"/>
      <c r="ED40" s="538"/>
      <c r="EE40" s="538"/>
      <c r="EF40" s="538"/>
      <c r="EG40" s="538"/>
      <c r="EH40" s="538"/>
      <c r="EI40" s="538"/>
      <c r="EJ40" s="538"/>
      <c r="EK40" s="538"/>
      <c r="EL40" s="538"/>
      <c r="EM40" s="538"/>
      <c r="EN40" s="538"/>
      <c r="EO40" s="538"/>
      <c r="EP40" s="538"/>
      <c r="EQ40" s="538"/>
      <c r="ER40" s="538"/>
      <c r="ES40" s="538"/>
      <c r="ET40" s="538"/>
      <c r="EU40" s="538"/>
      <c r="EV40" s="538"/>
      <c r="EW40" s="538"/>
      <c r="EX40" s="538"/>
      <c r="EY40" s="538"/>
      <c r="EZ40" s="538"/>
      <c r="FA40" s="538"/>
      <c r="FB40" s="538"/>
      <c r="FC40" s="538"/>
      <c r="FD40" s="538"/>
      <c r="FE40" s="538"/>
      <c r="FF40" s="538"/>
      <c r="FG40" s="538"/>
      <c r="FH40" s="538"/>
      <c r="FI40" s="538"/>
      <c r="FJ40" s="538"/>
      <c r="FK40" s="538"/>
      <c r="FL40" s="538"/>
      <c r="FM40" s="538"/>
      <c r="FN40" s="538"/>
      <c r="FO40" s="538"/>
      <c r="FP40" s="538"/>
      <c r="FQ40" s="542" t="s">
        <v>1717</v>
      </c>
      <c r="FR40" s="727">
        <v>0.76</v>
      </c>
      <c r="FS40" s="727">
        <f t="shared" si="7"/>
        <v>0.76</v>
      </c>
      <c r="FT40" s="727"/>
      <c r="FU40" s="542" t="s">
        <v>1586</v>
      </c>
      <c r="FV40" s="727">
        <v>0.42</v>
      </c>
      <c r="FW40" s="542" t="s">
        <v>1612</v>
      </c>
      <c r="FX40" s="727">
        <v>0.57999999999999996</v>
      </c>
      <c r="FY40" s="727"/>
      <c r="FZ40" s="542" t="s">
        <v>1605</v>
      </c>
      <c r="GA40" s="727">
        <v>0.85</v>
      </c>
      <c r="GB40" s="727"/>
      <c r="GC40" s="727" t="s">
        <v>1634</v>
      </c>
      <c r="GD40" s="727">
        <v>2.6</v>
      </c>
      <c r="GE40" s="727"/>
      <c r="GO40" s="731"/>
      <c r="GP40" s="727" t="s">
        <v>670</v>
      </c>
      <c r="GQ40" s="756">
        <v>100</v>
      </c>
      <c r="GR40" s="731"/>
      <c r="GS40" s="731"/>
      <c r="GT40" s="731"/>
      <c r="GU40" s="731"/>
      <c r="GW40" s="1205" t="s">
        <v>592</v>
      </c>
      <c r="GX40" s="1205"/>
      <c r="GY40" s="1205"/>
      <c r="GZ40" s="731"/>
      <c r="HA40" s="1205" t="s">
        <v>2065</v>
      </c>
      <c r="HB40" s="1205"/>
      <c r="HC40" s="1205"/>
    </row>
    <row r="41" spans="2:211" ht="17">
      <c r="B41" s="734" t="s">
        <v>27</v>
      </c>
      <c r="C41" s="733" t="s">
        <v>22</v>
      </c>
      <c r="D41" s="539">
        <v>37.08</v>
      </c>
      <c r="E41" s="539">
        <v>56.85</v>
      </c>
      <c r="F41" s="539">
        <v>13</v>
      </c>
      <c r="G41" s="539" t="s">
        <v>47</v>
      </c>
      <c r="H41" s="539">
        <v>-0.1</v>
      </c>
      <c r="I41" s="539">
        <v>9.1</v>
      </c>
      <c r="J41" s="539">
        <v>20</v>
      </c>
      <c r="K41" s="539">
        <v>29.1</v>
      </c>
      <c r="L41" s="539">
        <v>73</v>
      </c>
      <c r="M41" s="539">
        <v>82</v>
      </c>
      <c r="N41" s="539">
        <v>73</v>
      </c>
      <c r="O41" s="539">
        <v>61</v>
      </c>
      <c r="P41" s="539">
        <v>88</v>
      </c>
      <c r="Q41" s="734">
        <v>4</v>
      </c>
      <c r="R41" s="539">
        <v>19.8</v>
      </c>
      <c r="S41" s="734">
        <v>0.53</v>
      </c>
      <c r="T41" s="734">
        <v>35.799999999999997</v>
      </c>
      <c r="U41" s="734">
        <v>6</v>
      </c>
      <c r="V41" s="734">
        <v>203</v>
      </c>
      <c r="W41" s="734">
        <v>99</v>
      </c>
      <c r="X41" s="734">
        <v>3.1E-2</v>
      </c>
      <c r="Y41" s="734">
        <v>3.5999999999999997E-2</v>
      </c>
      <c r="Z41" s="547">
        <v>130</v>
      </c>
      <c r="AA41" s="547">
        <f t="shared" si="0"/>
        <v>1.3</v>
      </c>
      <c r="AB41" s="734">
        <v>35</v>
      </c>
      <c r="AC41" s="538"/>
      <c r="AD41" s="733" t="str">
        <f t="shared" si="3"/>
        <v>PINAMAR</v>
      </c>
      <c r="AE41" s="737">
        <v>21.1</v>
      </c>
      <c r="AF41" s="737">
        <v>21.2</v>
      </c>
      <c r="AG41" s="737">
        <v>19.2</v>
      </c>
      <c r="AH41" s="737">
        <v>15</v>
      </c>
      <c r="AI41" s="737">
        <v>12</v>
      </c>
      <c r="AJ41" s="737">
        <v>9.1999999999999993</v>
      </c>
      <c r="AK41" s="737">
        <v>8.8000000000000007</v>
      </c>
      <c r="AL41" s="737">
        <v>9.6</v>
      </c>
      <c r="AM41" s="737">
        <v>11</v>
      </c>
      <c r="AN41" s="737">
        <v>13.7</v>
      </c>
      <c r="AO41" s="737">
        <v>17.2</v>
      </c>
      <c r="AP41" s="737">
        <v>19</v>
      </c>
      <c r="AQ41" s="538"/>
      <c r="AR41" s="733" t="str">
        <f t="shared" si="1"/>
        <v>BAP</v>
      </c>
      <c r="AS41" s="733" t="str">
        <f t="shared" si="4"/>
        <v>PINAMAR</v>
      </c>
      <c r="AT41" s="731">
        <v>6.5</v>
      </c>
      <c r="AU41" s="731">
        <v>5.5</v>
      </c>
      <c r="AV41" s="731">
        <v>5</v>
      </c>
      <c r="AW41" s="731">
        <v>3</v>
      </c>
      <c r="AX41" s="731">
        <v>2</v>
      </c>
      <c r="AY41" s="731">
        <v>1.5</v>
      </c>
      <c r="AZ41" s="731">
        <v>1.5</v>
      </c>
      <c r="BA41" s="731">
        <v>2.5</v>
      </c>
      <c r="BB41" s="731">
        <v>3.5</v>
      </c>
      <c r="BC41" s="731">
        <v>5</v>
      </c>
      <c r="BD41" s="731">
        <v>6</v>
      </c>
      <c r="BE41" s="731">
        <v>6.5</v>
      </c>
      <c r="BG41" s="733" t="str">
        <f t="shared" si="5"/>
        <v>BAP</v>
      </c>
      <c r="BH41" s="733" t="str">
        <f t="shared" si="6"/>
        <v>PINAMAR</v>
      </c>
      <c r="BI41" s="731">
        <v>104</v>
      </c>
      <c r="BJ41" s="731">
        <v>98</v>
      </c>
      <c r="BK41" s="731">
        <v>115</v>
      </c>
      <c r="BL41" s="731">
        <v>97</v>
      </c>
      <c r="BM41" s="731">
        <v>80</v>
      </c>
      <c r="BN41" s="731">
        <v>61</v>
      </c>
      <c r="BO41" s="731">
        <v>59</v>
      </c>
      <c r="BP41" s="731">
        <v>63</v>
      </c>
      <c r="BQ41" s="731">
        <v>68</v>
      </c>
      <c r="BR41" s="731">
        <v>104</v>
      </c>
      <c r="BS41" s="731">
        <v>98</v>
      </c>
      <c r="BT41" s="731">
        <v>93</v>
      </c>
      <c r="CW41" s="734" t="s">
        <v>27</v>
      </c>
      <c r="CX41" s="733" t="s">
        <v>59</v>
      </c>
      <c r="CY41" s="538"/>
      <c r="DB41" s="538"/>
      <c r="DC41" s="538"/>
      <c r="DD41" s="538"/>
      <c r="DE41" s="538"/>
      <c r="DF41" s="538"/>
      <c r="DG41" s="538"/>
      <c r="DH41" s="538"/>
      <c r="DI41" s="538"/>
      <c r="DJ41" s="538"/>
      <c r="DK41" s="538"/>
      <c r="DL41" s="538"/>
      <c r="DM41" s="538"/>
      <c r="DN41" s="538"/>
      <c r="DU41" s="538"/>
      <c r="DV41" s="538"/>
      <c r="DW41" s="538"/>
      <c r="DX41" s="538"/>
      <c r="DY41" s="538"/>
      <c r="DZ41" s="538"/>
      <c r="EA41" s="538"/>
      <c r="EB41" s="538"/>
      <c r="EC41" s="538"/>
      <c r="ED41" s="538"/>
      <c r="EE41" s="538"/>
      <c r="EF41" s="538"/>
      <c r="EG41" s="538"/>
      <c r="EH41" s="538"/>
      <c r="EI41" s="538"/>
      <c r="EJ41" s="538"/>
      <c r="EK41" s="538"/>
      <c r="EL41" s="538"/>
      <c r="EM41" s="538"/>
      <c r="EN41" s="538"/>
      <c r="EO41" s="538"/>
      <c r="EP41" s="538"/>
      <c r="EQ41" s="538"/>
      <c r="ER41" s="538"/>
      <c r="ES41" s="538"/>
      <c r="ET41" s="538"/>
      <c r="EU41" s="538"/>
      <c r="EV41" s="538"/>
      <c r="EW41" s="538"/>
      <c r="EX41" s="538"/>
      <c r="EY41" s="538"/>
      <c r="EZ41" s="538"/>
      <c r="FA41" s="538"/>
      <c r="FB41" s="538"/>
      <c r="FC41" s="538"/>
      <c r="FD41" s="538"/>
      <c r="FE41" s="538"/>
      <c r="FF41" s="538"/>
      <c r="FG41" s="538"/>
      <c r="FH41" s="538"/>
      <c r="FI41" s="538"/>
      <c r="FJ41" s="538"/>
      <c r="FK41" s="538"/>
      <c r="FL41" s="538"/>
      <c r="FM41" s="538"/>
      <c r="FN41" s="538"/>
      <c r="FO41" s="538"/>
      <c r="FP41" s="538"/>
      <c r="FQ41" s="542" t="s">
        <v>1718</v>
      </c>
      <c r="FR41" s="727">
        <v>0.56999999999999995</v>
      </c>
      <c r="FS41" s="727">
        <f t="shared" si="7"/>
        <v>0.56999999999999995</v>
      </c>
      <c r="FT41" s="727"/>
      <c r="FU41" s="542" t="s">
        <v>1609</v>
      </c>
      <c r="FV41" s="727">
        <v>0.83</v>
      </c>
      <c r="FW41" s="542" t="s">
        <v>1606</v>
      </c>
      <c r="FX41" s="727">
        <v>0.57999999999999996</v>
      </c>
      <c r="FY41" s="727"/>
      <c r="FZ41" s="727"/>
      <c r="GA41" s="727"/>
      <c r="GB41" s="727"/>
      <c r="GC41" s="727"/>
      <c r="GD41" s="727"/>
      <c r="GE41" s="727"/>
      <c r="GO41" s="731"/>
      <c r="GP41" s="729" t="s">
        <v>2076</v>
      </c>
      <c r="GQ41" s="756">
        <v>6</v>
      </c>
      <c r="GR41" s="731"/>
      <c r="GS41" s="731"/>
      <c r="GT41" s="731"/>
      <c r="GU41" s="731"/>
      <c r="GW41" s="731"/>
      <c r="GX41" s="731" t="s">
        <v>2064</v>
      </c>
      <c r="GY41" s="740" t="s">
        <v>644</v>
      </c>
      <c r="GZ41" s="731"/>
      <c r="HA41" s="731"/>
      <c r="HB41" s="731" t="s">
        <v>2064</v>
      </c>
      <c r="HC41" s="731" t="s">
        <v>1218</v>
      </c>
    </row>
    <row r="42" spans="2:211" ht="17">
      <c r="B42" s="734" t="s">
        <v>27</v>
      </c>
      <c r="C42" s="733" t="s">
        <v>59</v>
      </c>
      <c r="D42" s="539">
        <v>35.369999999999997</v>
      </c>
      <c r="E42" s="539">
        <v>57.28</v>
      </c>
      <c r="F42" s="539">
        <v>22</v>
      </c>
      <c r="G42" s="539" t="s">
        <v>23</v>
      </c>
      <c r="H42" s="539">
        <v>0.4</v>
      </c>
      <c r="I42" s="539">
        <v>9.9</v>
      </c>
      <c r="J42" s="539">
        <v>21.8</v>
      </c>
      <c r="K42" s="539">
        <v>31.2</v>
      </c>
      <c r="L42" s="539">
        <v>73</v>
      </c>
      <c r="M42" s="539">
        <v>86</v>
      </c>
      <c r="N42" s="539">
        <v>73</v>
      </c>
      <c r="O42" s="539">
        <v>65</v>
      </c>
      <c r="P42" s="539">
        <v>73</v>
      </c>
      <c r="Q42" s="734">
        <v>3</v>
      </c>
      <c r="R42" s="539">
        <v>21.3</v>
      </c>
      <c r="S42" s="734">
        <v>0.53</v>
      </c>
      <c r="T42" s="734">
        <v>35.799999999999997</v>
      </c>
      <c r="U42" s="734">
        <v>6</v>
      </c>
      <c r="V42" s="734">
        <v>203</v>
      </c>
      <c r="W42" s="734">
        <v>99</v>
      </c>
      <c r="X42" s="734">
        <v>3.1E-2</v>
      </c>
      <c r="Y42" s="734">
        <v>3.5999999999999997E-2</v>
      </c>
      <c r="Z42" s="547">
        <v>130</v>
      </c>
      <c r="AA42" s="547">
        <f t="shared" si="0"/>
        <v>1.3</v>
      </c>
      <c r="AB42" s="734">
        <v>35</v>
      </c>
      <c r="AC42" s="538"/>
      <c r="AD42" s="733" t="str">
        <f t="shared" si="3"/>
        <v>PUNTA INDIO</v>
      </c>
      <c r="AE42" s="737">
        <v>22.7</v>
      </c>
      <c r="AF42" s="737">
        <v>22.2</v>
      </c>
      <c r="AG42" s="737">
        <v>20.3</v>
      </c>
      <c r="AH42" s="737">
        <v>15.6</v>
      </c>
      <c r="AI42" s="737">
        <v>13.2</v>
      </c>
      <c r="AJ42" s="737">
        <v>10.199999999999999</v>
      </c>
      <c r="AK42" s="737">
        <v>10.199999999999999</v>
      </c>
      <c r="AL42" s="737">
        <v>10.7</v>
      </c>
      <c r="AM42" s="737">
        <v>12.6</v>
      </c>
      <c r="AN42" s="737">
        <v>15.5</v>
      </c>
      <c r="AO42" s="737">
        <v>18.5</v>
      </c>
      <c r="AP42" s="737">
        <v>20.7</v>
      </c>
      <c r="AQ42" s="538"/>
      <c r="AR42" s="733" t="str">
        <f t="shared" si="1"/>
        <v>BAP</v>
      </c>
      <c r="AS42" s="733" t="str">
        <f t="shared" si="4"/>
        <v>PUNTA INDIO</v>
      </c>
      <c r="AT42" s="731">
        <v>6.5</v>
      </c>
      <c r="AU42" s="731">
        <v>6</v>
      </c>
      <c r="AV42" s="731">
        <v>5</v>
      </c>
      <c r="AW42" s="731">
        <v>3</v>
      </c>
      <c r="AX42" s="731">
        <v>2</v>
      </c>
      <c r="AY42" s="731">
        <v>1.5</v>
      </c>
      <c r="AZ42" s="731">
        <v>1.5</v>
      </c>
      <c r="BA42" s="731">
        <v>2.5</v>
      </c>
      <c r="BB42" s="731">
        <v>3.5</v>
      </c>
      <c r="BC42" s="731">
        <v>5</v>
      </c>
      <c r="BD42" s="731">
        <v>6</v>
      </c>
      <c r="BE42" s="731">
        <v>6.5</v>
      </c>
      <c r="BG42" s="733" t="str">
        <f t="shared" si="5"/>
        <v>BAP</v>
      </c>
      <c r="BH42" s="733" t="str">
        <f t="shared" si="6"/>
        <v>PUNTA INDIO</v>
      </c>
      <c r="BI42" s="731">
        <v>104</v>
      </c>
      <c r="BJ42" s="731">
        <v>98</v>
      </c>
      <c r="BK42" s="731">
        <v>115</v>
      </c>
      <c r="BL42" s="731">
        <v>97</v>
      </c>
      <c r="BM42" s="731">
        <v>80</v>
      </c>
      <c r="BN42" s="731">
        <v>61</v>
      </c>
      <c r="BO42" s="731">
        <v>59</v>
      </c>
      <c r="BP42" s="731">
        <v>63</v>
      </c>
      <c r="BQ42" s="731">
        <v>68</v>
      </c>
      <c r="BR42" s="731">
        <v>104</v>
      </c>
      <c r="BS42" s="731">
        <v>98</v>
      </c>
      <c r="BT42" s="731">
        <v>93</v>
      </c>
      <c r="CW42" s="734" t="s">
        <v>27</v>
      </c>
      <c r="CX42" s="733" t="s">
        <v>60</v>
      </c>
      <c r="CY42" s="538"/>
      <c r="DB42" s="538"/>
      <c r="DC42" s="538"/>
      <c r="DD42" s="538"/>
      <c r="DE42" s="538"/>
      <c r="DF42" s="538"/>
      <c r="DG42" s="538"/>
      <c r="DH42" s="538"/>
      <c r="DI42" s="538"/>
      <c r="DJ42" s="538"/>
      <c r="DK42" s="538"/>
      <c r="DL42" s="538"/>
      <c r="DM42" s="538"/>
      <c r="DN42" s="538"/>
      <c r="DU42" s="538"/>
      <c r="DV42" s="538"/>
      <c r="DW42" s="538"/>
      <c r="DX42" s="538"/>
      <c r="DY42" s="538"/>
      <c r="DZ42" s="538"/>
      <c r="EA42" s="538"/>
      <c r="EB42" s="538"/>
      <c r="EC42" s="538"/>
      <c r="ED42" s="538"/>
      <c r="EE42" s="538"/>
      <c r="EF42" s="538"/>
      <c r="EG42" s="538"/>
      <c r="EH42" s="538"/>
      <c r="EI42" s="538"/>
      <c r="EJ42" s="538"/>
      <c r="EK42" s="538"/>
      <c r="EL42" s="538"/>
      <c r="EM42" s="538"/>
      <c r="EN42" s="538"/>
      <c r="EO42" s="538"/>
      <c r="EP42" s="538"/>
      <c r="EQ42" s="538"/>
      <c r="ER42" s="538"/>
      <c r="ES42" s="538"/>
      <c r="ET42" s="538"/>
      <c r="EU42" s="538"/>
      <c r="EV42" s="538"/>
      <c r="EW42" s="538"/>
      <c r="EX42" s="538"/>
      <c r="EY42" s="538"/>
      <c r="EZ42" s="538"/>
      <c r="FA42" s="538"/>
      <c r="FB42" s="538"/>
      <c r="FC42" s="538"/>
      <c r="FD42" s="538"/>
      <c r="FE42" s="538"/>
      <c r="FF42" s="538"/>
      <c r="FG42" s="538"/>
      <c r="FH42" s="538"/>
      <c r="FI42" s="538"/>
      <c r="FJ42" s="538"/>
      <c r="FK42" s="538"/>
      <c r="FL42" s="538"/>
      <c r="FM42" s="538"/>
      <c r="FN42" s="538"/>
      <c r="FO42" s="538"/>
      <c r="FP42" s="538"/>
      <c r="FQ42" s="542" t="s">
        <v>1565</v>
      </c>
      <c r="FR42" s="727">
        <v>0.43</v>
      </c>
      <c r="FS42" s="727">
        <f t="shared" si="7"/>
        <v>0.43</v>
      </c>
      <c r="FT42" s="727"/>
      <c r="FU42" s="542" t="s">
        <v>1597</v>
      </c>
      <c r="FV42" s="727">
        <v>0.37</v>
      </c>
      <c r="FW42" s="542" t="s">
        <v>1602</v>
      </c>
      <c r="FX42" s="727">
        <v>0.39</v>
      </c>
      <c r="FY42" s="727"/>
      <c r="FZ42" s="727"/>
      <c r="GA42" s="727"/>
      <c r="GB42" s="727"/>
      <c r="GC42" s="727"/>
      <c r="GD42" s="727"/>
      <c r="GE42" s="727"/>
      <c r="GP42" s="729" t="s">
        <v>2077</v>
      </c>
      <c r="GQ42" s="756">
        <v>3</v>
      </c>
      <c r="GW42" s="731" t="s">
        <v>218</v>
      </c>
      <c r="GX42" s="731" t="s">
        <v>1216</v>
      </c>
      <c r="GY42" s="548" t="s">
        <v>726</v>
      </c>
      <c r="GZ42" s="731"/>
      <c r="HA42" s="731"/>
      <c r="HB42" s="731"/>
      <c r="HC42" s="731"/>
    </row>
    <row r="43" spans="2:211" ht="16">
      <c r="B43" s="734" t="s">
        <v>27</v>
      </c>
      <c r="C43" s="733" t="s">
        <v>60</v>
      </c>
      <c r="D43" s="539">
        <v>36.369999999999997</v>
      </c>
      <c r="E43" s="539">
        <v>56.72</v>
      </c>
      <c r="F43" s="539">
        <v>3</v>
      </c>
      <c r="G43" s="539" t="s">
        <v>61</v>
      </c>
      <c r="H43" s="539">
        <v>2.1</v>
      </c>
      <c r="I43" s="539">
        <v>9.1</v>
      </c>
      <c r="J43" s="539">
        <v>19.8</v>
      </c>
      <c r="K43" s="539">
        <v>28.7</v>
      </c>
      <c r="L43" s="539">
        <v>83</v>
      </c>
      <c r="M43" s="539">
        <v>88</v>
      </c>
      <c r="N43" s="539">
        <v>83</v>
      </c>
      <c r="O43" s="539">
        <v>84</v>
      </c>
      <c r="P43" s="539">
        <v>91</v>
      </c>
      <c r="Q43" s="734">
        <v>4</v>
      </c>
      <c r="R43" s="539">
        <v>20.6</v>
      </c>
      <c r="S43" s="734">
        <v>0.53</v>
      </c>
      <c r="T43" s="734">
        <v>35.799999999999997</v>
      </c>
      <c r="U43" s="734">
        <v>6</v>
      </c>
      <c r="V43" s="734">
        <v>203</v>
      </c>
      <c r="W43" s="734">
        <v>99</v>
      </c>
      <c r="X43" s="734">
        <v>3.1E-2</v>
      </c>
      <c r="Y43" s="734">
        <v>3.5999999999999997E-2</v>
      </c>
      <c r="Z43" s="547">
        <v>130</v>
      </c>
      <c r="AA43" s="547">
        <f t="shared" si="0"/>
        <v>1.3</v>
      </c>
      <c r="AB43" s="734">
        <v>35</v>
      </c>
      <c r="AC43" s="538"/>
      <c r="AD43" s="733" t="str">
        <f t="shared" si="3"/>
        <v>SAN CLEMENTE</v>
      </c>
      <c r="AE43" s="737">
        <v>22</v>
      </c>
      <c r="AF43" s="737">
        <v>21.5</v>
      </c>
      <c r="AG43" s="737">
        <v>20.100000000000001</v>
      </c>
      <c r="AH43" s="737">
        <v>15.3</v>
      </c>
      <c r="AI43" s="737">
        <v>12.5</v>
      </c>
      <c r="AJ43" s="737">
        <v>9.9</v>
      </c>
      <c r="AK43" s="737">
        <v>9.1999999999999993</v>
      </c>
      <c r="AL43" s="737">
        <v>10</v>
      </c>
      <c r="AM43" s="737">
        <v>11.6</v>
      </c>
      <c r="AN43" s="737">
        <v>14.7</v>
      </c>
      <c r="AO43" s="737">
        <v>17.7</v>
      </c>
      <c r="AP43" s="737">
        <v>19.8</v>
      </c>
      <c r="AQ43" s="538"/>
      <c r="AR43" s="733" t="str">
        <f t="shared" si="1"/>
        <v>BAP</v>
      </c>
      <c r="AS43" s="733" t="str">
        <f t="shared" si="4"/>
        <v>SAN CLEMENTE</v>
      </c>
      <c r="AT43" s="731">
        <v>6.5</v>
      </c>
      <c r="AU43" s="731">
        <v>5.5</v>
      </c>
      <c r="AV43" s="731">
        <v>5</v>
      </c>
      <c r="AW43" s="731">
        <v>3</v>
      </c>
      <c r="AX43" s="731">
        <v>2</v>
      </c>
      <c r="AY43" s="731">
        <v>1.5</v>
      </c>
      <c r="AZ43" s="731">
        <v>1.5</v>
      </c>
      <c r="BA43" s="731">
        <v>2.5</v>
      </c>
      <c r="BB43" s="731">
        <v>3.5</v>
      </c>
      <c r="BC43" s="731">
        <v>5</v>
      </c>
      <c r="BD43" s="731">
        <v>6</v>
      </c>
      <c r="BE43" s="731">
        <v>6.5</v>
      </c>
      <c r="BG43" s="733" t="str">
        <f t="shared" si="5"/>
        <v>BAP</v>
      </c>
      <c r="BH43" s="733" t="str">
        <f t="shared" si="6"/>
        <v>SAN CLEMENTE</v>
      </c>
      <c r="BI43" s="731">
        <v>104</v>
      </c>
      <c r="BJ43" s="731">
        <v>98</v>
      </c>
      <c r="BK43" s="731">
        <v>115</v>
      </c>
      <c r="BL43" s="731">
        <v>97</v>
      </c>
      <c r="BM43" s="731">
        <v>80</v>
      </c>
      <c r="BN43" s="731">
        <v>61</v>
      </c>
      <c r="BO43" s="731">
        <v>59</v>
      </c>
      <c r="BP43" s="731">
        <v>63</v>
      </c>
      <c r="BQ43" s="731">
        <v>68</v>
      </c>
      <c r="BR43" s="731">
        <v>104</v>
      </c>
      <c r="BS43" s="731">
        <v>98</v>
      </c>
      <c r="BT43" s="731">
        <v>93</v>
      </c>
      <c r="CW43" s="734" t="s">
        <v>27</v>
      </c>
      <c r="CX43" s="733" t="s">
        <v>34</v>
      </c>
      <c r="CY43" s="538"/>
      <c r="DB43" s="538"/>
      <c r="DC43" s="538"/>
      <c r="DD43" s="538"/>
      <c r="DE43" s="538"/>
      <c r="DF43" s="538"/>
      <c r="DG43" s="538"/>
      <c r="DH43" s="538"/>
      <c r="DI43" s="538"/>
      <c r="DJ43" s="538"/>
      <c r="DK43" s="538"/>
      <c r="DL43" s="538"/>
      <c r="DM43" s="538"/>
      <c r="DN43" s="538"/>
      <c r="DU43" s="538"/>
      <c r="DV43" s="538"/>
      <c r="DW43" s="538"/>
      <c r="DX43" s="538"/>
      <c r="DY43" s="538"/>
      <c r="DZ43" s="538"/>
      <c r="EA43" s="538"/>
      <c r="EB43" s="538"/>
      <c r="EC43" s="538"/>
      <c r="ED43" s="538"/>
      <c r="EE43" s="538"/>
      <c r="EF43" s="538"/>
      <c r="EG43" s="538"/>
      <c r="EH43" s="538"/>
      <c r="EI43" s="538"/>
      <c r="EJ43" s="538"/>
      <c r="EK43" s="538"/>
      <c r="EL43" s="538"/>
      <c r="EM43" s="538"/>
      <c r="EN43" s="538"/>
      <c r="EO43" s="538"/>
      <c r="EP43" s="538"/>
      <c r="EQ43" s="538"/>
      <c r="ER43" s="538"/>
      <c r="ES43" s="538"/>
      <c r="ET43" s="538"/>
      <c r="EU43" s="538"/>
      <c r="EV43" s="538"/>
      <c r="EW43" s="538"/>
      <c r="EX43" s="538"/>
      <c r="EY43" s="538"/>
      <c r="EZ43" s="538"/>
      <c r="FA43" s="538"/>
      <c r="FB43" s="538"/>
      <c r="FC43" s="538"/>
      <c r="FD43" s="538"/>
      <c r="FE43" s="538"/>
      <c r="FF43" s="538"/>
      <c r="FG43" s="538"/>
      <c r="FH43" s="538"/>
      <c r="FI43" s="538"/>
      <c r="FJ43" s="538"/>
      <c r="FK43" s="538"/>
      <c r="FL43" s="538"/>
      <c r="FM43" s="538"/>
      <c r="FN43" s="538"/>
      <c r="FO43" s="538"/>
      <c r="FP43" s="538"/>
      <c r="FQ43" s="542" t="s">
        <v>1583</v>
      </c>
      <c r="FR43" s="727">
        <v>0.74</v>
      </c>
      <c r="FS43" s="727">
        <f t="shared" si="7"/>
        <v>0.74</v>
      </c>
      <c r="FT43" s="727"/>
      <c r="FU43" s="542" t="s">
        <v>1610</v>
      </c>
      <c r="FV43" s="727">
        <v>0.43</v>
      </c>
      <c r="FW43" s="542" t="s">
        <v>1594</v>
      </c>
      <c r="FX43" s="727">
        <v>0.96</v>
      </c>
      <c r="FY43" s="727"/>
      <c r="FZ43" s="727"/>
      <c r="GA43" s="727"/>
      <c r="GB43" s="727"/>
      <c r="GC43" s="727"/>
      <c r="GD43" s="727"/>
      <c r="GE43" s="727"/>
      <c r="GW43" s="731" t="s">
        <v>219</v>
      </c>
      <c r="GX43" s="731" t="s">
        <v>1216</v>
      </c>
      <c r="GY43" s="548" t="s">
        <v>726</v>
      </c>
      <c r="GZ43" s="731"/>
      <c r="HA43" s="731"/>
      <c r="HB43" s="731"/>
      <c r="HC43" s="731"/>
    </row>
    <row r="44" spans="2:211" ht="17" customHeight="1">
      <c r="B44" s="734" t="s">
        <v>27</v>
      </c>
      <c r="C44" s="733" t="s">
        <v>62</v>
      </c>
      <c r="D44" s="539">
        <v>33.68</v>
      </c>
      <c r="E44" s="539">
        <v>59.68</v>
      </c>
      <c r="F44" s="539">
        <v>28</v>
      </c>
      <c r="G44" s="539" t="s">
        <v>23</v>
      </c>
      <c r="H44" s="539">
        <v>1.5</v>
      </c>
      <c r="I44" s="539">
        <v>10.5</v>
      </c>
      <c r="J44" s="539">
        <v>23.2</v>
      </c>
      <c r="K44" s="539">
        <v>33.5</v>
      </c>
      <c r="L44" s="539">
        <v>66</v>
      </c>
      <c r="M44" s="539">
        <v>80</v>
      </c>
      <c r="N44" s="539">
        <v>66</v>
      </c>
      <c r="O44" s="539">
        <v>51</v>
      </c>
      <c r="P44" s="539">
        <v>100</v>
      </c>
      <c r="Q44" s="734">
        <v>3</v>
      </c>
      <c r="R44" s="539">
        <v>22.8</v>
      </c>
      <c r="S44" s="734">
        <v>0.53</v>
      </c>
      <c r="T44" s="734">
        <v>35.799999999999997</v>
      </c>
      <c r="U44" s="734">
        <v>6</v>
      </c>
      <c r="V44" s="734">
        <v>203</v>
      </c>
      <c r="W44" s="734">
        <v>99</v>
      </c>
      <c r="X44" s="734">
        <v>3.1E-2</v>
      </c>
      <c r="Y44" s="734">
        <v>3.5999999999999997E-2</v>
      </c>
      <c r="Z44" s="547">
        <v>130</v>
      </c>
      <c r="AA44" s="547">
        <f t="shared" si="0"/>
        <v>1.3</v>
      </c>
      <c r="AB44" s="734">
        <v>35</v>
      </c>
      <c r="AC44" s="538"/>
      <c r="AD44" s="733" t="str">
        <f t="shared" si="3"/>
        <v>SAN PEDRO</v>
      </c>
      <c r="AE44" s="737">
        <v>23.9</v>
      </c>
      <c r="AF44" s="737">
        <v>22.9</v>
      </c>
      <c r="AG44" s="737">
        <v>21.2</v>
      </c>
      <c r="AH44" s="737">
        <v>16.100000000000001</v>
      </c>
      <c r="AI44" s="737">
        <v>13.6</v>
      </c>
      <c r="AJ44" s="737">
        <v>10.8</v>
      </c>
      <c r="AK44" s="737">
        <v>10.7</v>
      </c>
      <c r="AL44" s="737">
        <v>12</v>
      </c>
      <c r="AM44" s="737">
        <v>13.9</v>
      </c>
      <c r="AN44" s="737">
        <v>16.5</v>
      </c>
      <c r="AO44" s="737">
        <v>19.600000000000001</v>
      </c>
      <c r="AP44" s="737">
        <v>21.7</v>
      </c>
      <c r="AQ44" s="538"/>
      <c r="AR44" s="733" t="str">
        <f t="shared" si="1"/>
        <v>BAP</v>
      </c>
      <c r="AS44" s="733" t="str">
        <f t="shared" si="4"/>
        <v>SAN PEDRO</v>
      </c>
      <c r="AT44" s="731">
        <v>6.5</v>
      </c>
      <c r="AU44" s="731">
        <v>5.5</v>
      </c>
      <c r="AV44" s="731">
        <v>4.5</v>
      </c>
      <c r="AW44" s="731">
        <v>3</v>
      </c>
      <c r="AX44" s="731">
        <v>2</v>
      </c>
      <c r="AY44" s="731">
        <v>1.5</v>
      </c>
      <c r="AZ44" s="731">
        <v>1.5</v>
      </c>
      <c r="BA44" s="731">
        <v>2.5</v>
      </c>
      <c r="BB44" s="731">
        <v>3.5</v>
      </c>
      <c r="BC44" s="731">
        <v>5</v>
      </c>
      <c r="BD44" s="731">
        <v>6</v>
      </c>
      <c r="BE44" s="731">
        <v>6.5</v>
      </c>
      <c r="BG44" s="733" t="str">
        <f t="shared" si="5"/>
        <v>BAP</v>
      </c>
      <c r="BH44" s="733" t="str">
        <f t="shared" si="6"/>
        <v>SAN PEDRO</v>
      </c>
      <c r="BI44" s="731">
        <v>104</v>
      </c>
      <c r="BJ44" s="731">
        <v>98</v>
      </c>
      <c r="BK44" s="731">
        <v>115</v>
      </c>
      <c r="BL44" s="731">
        <v>97</v>
      </c>
      <c r="BM44" s="731">
        <v>80</v>
      </c>
      <c r="BN44" s="731">
        <v>61</v>
      </c>
      <c r="BO44" s="731">
        <v>59</v>
      </c>
      <c r="BP44" s="731">
        <v>63</v>
      </c>
      <c r="BQ44" s="731">
        <v>68</v>
      </c>
      <c r="BR44" s="731">
        <v>104</v>
      </c>
      <c r="BS44" s="731">
        <v>98</v>
      </c>
      <c r="BT44" s="731">
        <v>93</v>
      </c>
      <c r="CW44" s="734" t="s">
        <v>27</v>
      </c>
      <c r="CX44" s="733" t="s">
        <v>62</v>
      </c>
      <c r="CY44" s="538"/>
      <c r="DB44" s="538"/>
      <c r="DC44" s="538"/>
      <c r="DD44" s="538"/>
      <c r="DE44" s="538"/>
      <c r="DF44" s="538"/>
      <c r="DG44" s="538"/>
      <c r="DH44" s="538"/>
      <c r="DI44" s="538"/>
      <c r="DJ44" s="538"/>
      <c r="DK44" s="538"/>
      <c r="DL44" s="538"/>
      <c r="DM44" s="538"/>
      <c r="DN44" s="538"/>
      <c r="DU44" s="538"/>
      <c r="DV44" s="538"/>
      <c r="DW44" s="538"/>
      <c r="DX44" s="538"/>
      <c r="DY44" s="538"/>
      <c r="DZ44" s="538"/>
      <c r="EA44" s="538"/>
      <c r="EB44" s="538"/>
      <c r="EC44" s="538"/>
      <c r="ED44" s="538"/>
      <c r="EE44" s="538"/>
      <c r="EF44" s="538"/>
      <c r="EG44" s="538"/>
      <c r="EH44" s="538"/>
      <c r="EI44" s="538"/>
      <c r="EJ44" s="538"/>
      <c r="EK44" s="538"/>
      <c r="EL44" s="538"/>
      <c r="EM44" s="538"/>
      <c r="EN44" s="538"/>
      <c r="EO44" s="538"/>
      <c r="EP44" s="538"/>
      <c r="EQ44" s="538"/>
      <c r="ER44" s="538"/>
      <c r="ES44" s="538"/>
      <c r="ET44" s="538"/>
      <c r="EU44" s="538"/>
      <c r="EV44" s="538"/>
      <c r="EW44" s="538"/>
      <c r="EX44" s="538"/>
      <c r="EY44" s="538"/>
      <c r="EZ44" s="538"/>
      <c r="FA44" s="538"/>
      <c r="FB44" s="538"/>
      <c r="FC44" s="538"/>
      <c r="FD44" s="538"/>
      <c r="FE44" s="538"/>
      <c r="FF44" s="538"/>
      <c r="FG44" s="538"/>
      <c r="FH44" s="538"/>
      <c r="FI44" s="538"/>
      <c r="FJ44" s="538"/>
      <c r="FK44" s="538"/>
      <c r="FL44" s="538"/>
      <c r="FM44" s="538"/>
      <c r="FN44" s="538"/>
      <c r="FO44" s="538"/>
      <c r="FP44" s="538"/>
      <c r="FQ44" s="542" t="s">
        <v>1598</v>
      </c>
      <c r="FR44" s="727">
        <v>0.89</v>
      </c>
      <c r="FS44" s="727">
        <f t="shared" si="7"/>
        <v>0.89</v>
      </c>
      <c r="FT44" s="727"/>
      <c r="FU44" s="542" t="s">
        <v>1596</v>
      </c>
      <c r="FV44" s="727">
        <v>0.21</v>
      </c>
      <c r="FW44" s="542" t="s">
        <v>1587</v>
      </c>
      <c r="FX44" s="727">
        <v>0.54</v>
      </c>
      <c r="FY44" s="727"/>
      <c r="FZ44" s="727"/>
      <c r="GA44" s="727"/>
      <c r="GB44" s="727"/>
      <c r="GC44" s="727"/>
      <c r="GD44" s="727"/>
      <c r="GE44" s="727"/>
      <c r="GW44" s="731" t="s">
        <v>593</v>
      </c>
      <c r="GX44" s="731" t="s">
        <v>1216</v>
      </c>
      <c r="GZ44" s="731"/>
      <c r="HA44" s="731"/>
      <c r="HB44" s="731"/>
      <c r="HC44" s="731"/>
    </row>
    <row r="45" spans="2:211" ht="16">
      <c r="B45" s="734" t="s">
        <v>27</v>
      </c>
      <c r="C45" s="733" t="s">
        <v>63</v>
      </c>
      <c r="D45" s="539">
        <v>38.130000000000003</v>
      </c>
      <c r="E45" s="539">
        <v>61.78</v>
      </c>
      <c r="F45" s="539">
        <v>260</v>
      </c>
      <c r="G45" s="539" t="s">
        <v>38</v>
      </c>
      <c r="H45" s="539">
        <v>-3.4</v>
      </c>
      <c r="I45" s="539">
        <v>8.5</v>
      </c>
      <c r="J45" s="539">
        <v>20.8</v>
      </c>
      <c r="K45" s="539">
        <v>32.4</v>
      </c>
      <c r="L45" s="539">
        <v>60</v>
      </c>
      <c r="M45" s="539">
        <v>70</v>
      </c>
      <c r="N45" s="539">
        <v>60</v>
      </c>
      <c r="O45" s="539">
        <v>40</v>
      </c>
      <c r="P45" s="539">
        <v>83</v>
      </c>
      <c r="Q45" s="734">
        <v>4</v>
      </c>
      <c r="R45" s="539">
        <v>20.5</v>
      </c>
      <c r="S45" s="734">
        <v>0.55000000000000004</v>
      </c>
      <c r="T45" s="734">
        <v>35.799999999999997</v>
      </c>
      <c r="U45" s="734">
        <v>6</v>
      </c>
      <c r="V45" s="734">
        <v>203</v>
      </c>
      <c r="W45" s="734">
        <v>99</v>
      </c>
      <c r="X45" s="734">
        <v>3.1E-2</v>
      </c>
      <c r="Y45" s="734">
        <v>3.5999999999999997E-2</v>
      </c>
      <c r="Z45" s="547">
        <v>130</v>
      </c>
      <c r="AA45" s="547">
        <f t="shared" si="0"/>
        <v>1.3</v>
      </c>
      <c r="AB45" s="734">
        <v>35</v>
      </c>
      <c r="AC45" s="538"/>
      <c r="AD45" s="733" t="str">
        <f t="shared" si="3"/>
        <v>SIERRA DE LA VENTANA</v>
      </c>
      <c r="AE45" s="737">
        <v>21.9</v>
      </c>
      <c r="AF45" s="737">
        <v>20.8</v>
      </c>
      <c r="AG45" s="737">
        <v>18.3</v>
      </c>
      <c r="AH45" s="737">
        <v>13.3</v>
      </c>
      <c r="AI45" s="737">
        <v>10.199999999999999</v>
      </c>
      <c r="AJ45" s="737">
        <v>7.2</v>
      </c>
      <c r="AK45" s="737">
        <v>7.2</v>
      </c>
      <c r="AL45" s="737">
        <v>8.1999999999999993</v>
      </c>
      <c r="AM45" s="737">
        <v>10.1</v>
      </c>
      <c r="AN45" s="737">
        <v>13.1</v>
      </c>
      <c r="AO45" s="737">
        <v>16.899999999999999</v>
      </c>
      <c r="AP45" s="737">
        <v>19.7</v>
      </c>
      <c r="AQ45" s="538"/>
      <c r="AR45" s="733" t="str">
        <f t="shared" si="1"/>
        <v>BAP</v>
      </c>
      <c r="AS45" s="733" t="str">
        <f t="shared" si="4"/>
        <v>SIERRA DE LA VENTANA</v>
      </c>
      <c r="AT45" s="731">
        <v>6.5</v>
      </c>
      <c r="AU45" s="731">
        <v>6</v>
      </c>
      <c r="AV45" s="731">
        <v>4.5</v>
      </c>
      <c r="AW45" s="731">
        <v>3</v>
      </c>
      <c r="AX45" s="731">
        <v>2</v>
      </c>
      <c r="AY45" s="731">
        <v>1.5</v>
      </c>
      <c r="AZ45" s="731">
        <v>1.5</v>
      </c>
      <c r="BA45" s="731">
        <v>2.5</v>
      </c>
      <c r="BB45" s="731">
        <v>3.5</v>
      </c>
      <c r="BC45" s="731">
        <v>5</v>
      </c>
      <c r="BD45" s="731">
        <v>6</v>
      </c>
      <c r="BE45" s="731">
        <v>6.5</v>
      </c>
      <c r="BG45" s="733" t="str">
        <f t="shared" si="5"/>
        <v>BAP</v>
      </c>
      <c r="BH45" s="733" t="str">
        <f t="shared" si="6"/>
        <v>SIERRA DE LA VENTANA</v>
      </c>
      <c r="BI45" s="731">
        <v>104</v>
      </c>
      <c r="BJ45" s="731">
        <v>98</v>
      </c>
      <c r="BK45" s="731">
        <v>115</v>
      </c>
      <c r="BL45" s="731">
        <v>97</v>
      </c>
      <c r="BM45" s="731">
        <v>80</v>
      </c>
      <c r="BN45" s="731">
        <v>61</v>
      </c>
      <c r="BO45" s="731">
        <v>59</v>
      </c>
      <c r="BP45" s="731">
        <v>63</v>
      </c>
      <c r="BQ45" s="731">
        <v>68</v>
      </c>
      <c r="BR45" s="731">
        <v>104</v>
      </c>
      <c r="BS45" s="731">
        <v>98</v>
      </c>
      <c r="BT45" s="731">
        <v>93</v>
      </c>
      <c r="CW45" s="734" t="s">
        <v>27</v>
      </c>
      <c r="CX45" s="733" t="s">
        <v>63</v>
      </c>
      <c r="CY45" s="538"/>
      <c r="CZ45" s="538"/>
      <c r="DA45" s="538"/>
      <c r="DB45" s="538"/>
      <c r="DC45" s="538"/>
      <c r="DD45" s="538"/>
      <c r="DE45" s="538"/>
      <c r="DF45" s="538"/>
      <c r="DG45" s="538"/>
      <c r="DH45" s="538"/>
      <c r="DI45" s="538"/>
      <c r="DJ45" s="538"/>
      <c r="DK45" s="538"/>
      <c r="DL45" s="538"/>
      <c r="DM45" s="538"/>
      <c r="DN45" s="538"/>
      <c r="DU45" s="538"/>
      <c r="DV45" s="538"/>
      <c r="DW45" s="538"/>
      <c r="DX45" s="538"/>
      <c r="DY45" s="538"/>
      <c r="DZ45" s="538"/>
      <c r="EA45" s="538"/>
      <c r="EB45" s="538"/>
      <c r="EC45" s="538"/>
      <c r="ED45" s="538"/>
      <c r="EE45" s="538"/>
      <c r="EF45" s="538"/>
      <c r="EG45" s="538"/>
      <c r="EH45" s="538"/>
      <c r="EI45" s="538"/>
      <c r="EJ45" s="538"/>
      <c r="EK45" s="538"/>
      <c r="EL45" s="538"/>
      <c r="EM45" s="538"/>
      <c r="EN45" s="538"/>
      <c r="EO45" s="538"/>
      <c r="EP45" s="538"/>
      <c r="EQ45" s="538"/>
      <c r="ER45" s="538"/>
      <c r="ES45" s="538"/>
      <c r="ET45" s="538"/>
      <c r="EU45" s="538"/>
      <c r="EV45" s="538"/>
      <c r="EW45" s="538"/>
      <c r="EX45" s="538"/>
      <c r="EY45" s="538"/>
      <c r="EZ45" s="538"/>
      <c r="FA45" s="538"/>
      <c r="FB45" s="538"/>
      <c r="FC45" s="538"/>
      <c r="FD45" s="538"/>
      <c r="FE45" s="538"/>
      <c r="FF45" s="538"/>
      <c r="FG45" s="538"/>
      <c r="FH45" s="538"/>
      <c r="FI45" s="538"/>
      <c r="FJ45" s="538"/>
      <c r="FK45" s="538"/>
      <c r="FL45" s="538"/>
      <c r="FM45" s="538"/>
      <c r="FN45" s="538"/>
      <c r="FO45" s="538"/>
      <c r="FP45" s="538"/>
      <c r="FQ45" s="542" t="s">
        <v>1604</v>
      </c>
      <c r="FR45" s="727">
        <v>0.69</v>
      </c>
      <c r="FS45" s="727">
        <f t="shared" si="7"/>
        <v>0.69</v>
      </c>
      <c r="FT45" s="727"/>
      <c r="FU45" s="542" t="s">
        <v>1595</v>
      </c>
      <c r="FV45" s="727">
        <v>0.22</v>
      </c>
      <c r="FW45" s="542" t="s">
        <v>1588</v>
      </c>
      <c r="FX45" s="727">
        <v>0.60799999999999998</v>
      </c>
      <c r="FY45" s="727"/>
      <c r="FZ45" s="727"/>
      <c r="GA45" s="727"/>
      <c r="GB45" s="727"/>
      <c r="GC45" s="727"/>
      <c r="GD45" s="727"/>
      <c r="GE45" s="727"/>
    </row>
    <row r="46" spans="2:211" ht="16">
      <c r="B46" s="734" t="s">
        <v>27</v>
      </c>
      <c r="C46" s="733" t="s">
        <v>64</v>
      </c>
      <c r="D46" s="539">
        <v>37.229999999999997</v>
      </c>
      <c r="E46" s="539">
        <v>59.25</v>
      </c>
      <c r="F46" s="539">
        <v>175</v>
      </c>
      <c r="G46" s="539" t="s">
        <v>38</v>
      </c>
      <c r="H46" s="539">
        <v>-2.2999999999999998</v>
      </c>
      <c r="I46" s="539">
        <v>7.7</v>
      </c>
      <c r="J46" s="539">
        <v>19.8</v>
      </c>
      <c r="K46" s="539">
        <v>30.3</v>
      </c>
      <c r="L46" s="539">
        <v>70</v>
      </c>
      <c r="M46" s="539">
        <v>82</v>
      </c>
      <c r="N46" s="539">
        <v>70</v>
      </c>
      <c r="O46" s="539">
        <v>50</v>
      </c>
      <c r="P46" s="539">
        <v>103</v>
      </c>
      <c r="Q46" s="734">
        <v>4</v>
      </c>
      <c r="R46" s="539">
        <v>19.399999999999999</v>
      </c>
      <c r="S46" s="734">
        <v>0.53</v>
      </c>
      <c r="T46" s="734">
        <v>35.799999999999997</v>
      </c>
      <c r="U46" s="734">
        <v>6</v>
      </c>
      <c r="V46" s="734">
        <v>203</v>
      </c>
      <c r="W46" s="734">
        <v>99</v>
      </c>
      <c r="X46" s="734">
        <v>3.1E-2</v>
      </c>
      <c r="Y46" s="734">
        <v>3.5999999999999997E-2</v>
      </c>
      <c r="Z46" s="547">
        <v>130</v>
      </c>
      <c r="AA46" s="547">
        <f t="shared" si="0"/>
        <v>1.3</v>
      </c>
      <c r="AB46" s="734">
        <v>35</v>
      </c>
      <c r="AC46" s="538"/>
      <c r="AD46" s="733" t="str">
        <f t="shared" si="3"/>
        <v>TANDIL</v>
      </c>
      <c r="AE46" s="737">
        <v>20.8</v>
      </c>
      <c r="AF46" s="737">
        <v>19.8</v>
      </c>
      <c r="AG46" s="737">
        <v>17.600000000000001</v>
      </c>
      <c r="AH46" s="737">
        <v>12.8</v>
      </c>
      <c r="AI46" s="737">
        <v>10</v>
      </c>
      <c r="AJ46" s="737">
        <v>7.4</v>
      </c>
      <c r="AK46" s="737">
        <v>7.2</v>
      </c>
      <c r="AL46" s="737">
        <v>8.1999999999999993</v>
      </c>
      <c r="AM46" s="737">
        <v>9.8000000000000007</v>
      </c>
      <c r="AN46" s="737">
        <v>12.6</v>
      </c>
      <c r="AO46" s="737">
        <v>16.100000000000001</v>
      </c>
      <c r="AP46" s="737">
        <v>18.3</v>
      </c>
      <c r="AQ46" s="538"/>
      <c r="AR46" s="733" t="str">
        <f t="shared" si="1"/>
        <v>BAP</v>
      </c>
      <c r="AS46" s="733" t="str">
        <f t="shared" si="4"/>
        <v>TANDIL</v>
      </c>
      <c r="AT46" s="731">
        <v>6.5</v>
      </c>
      <c r="AU46" s="731">
        <v>6</v>
      </c>
      <c r="AV46" s="731">
        <v>4.5</v>
      </c>
      <c r="AW46" s="731">
        <v>3</v>
      </c>
      <c r="AX46" s="731">
        <v>2</v>
      </c>
      <c r="AY46" s="731">
        <v>1.5</v>
      </c>
      <c r="AZ46" s="731">
        <v>1.5</v>
      </c>
      <c r="BA46" s="731">
        <v>2.5</v>
      </c>
      <c r="BB46" s="731">
        <v>3.5</v>
      </c>
      <c r="BC46" s="731">
        <v>5</v>
      </c>
      <c r="BD46" s="731">
        <v>6</v>
      </c>
      <c r="BE46" s="731">
        <v>6.5</v>
      </c>
      <c r="BG46" s="733" t="str">
        <f t="shared" si="5"/>
        <v>BAP</v>
      </c>
      <c r="BH46" s="733" t="str">
        <f t="shared" si="6"/>
        <v>TANDIL</v>
      </c>
      <c r="BI46" s="731">
        <v>104</v>
      </c>
      <c r="BJ46" s="731">
        <v>98</v>
      </c>
      <c r="BK46" s="731">
        <v>115</v>
      </c>
      <c r="BL46" s="731">
        <v>97</v>
      </c>
      <c r="BM46" s="731">
        <v>80</v>
      </c>
      <c r="BN46" s="731">
        <v>61</v>
      </c>
      <c r="BO46" s="731">
        <v>59</v>
      </c>
      <c r="BP46" s="731">
        <v>63</v>
      </c>
      <c r="BQ46" s="731">
        <v>68</v>
      </c>
      <c r="BR46" s="731">
        <v>104</v>
      </c>
      <c r="BS46" s="731">
        <v>98</v>
      </c>
      <c r="BT46" s="731">
        <v>93</v>
      </c>
      <c r="CW46" s="734" t="s">
        <v>27</v>
      </c>
      <c r="CX46" s="733" t="s">
        <v>64</v>
      </c>
      <c r="CY46" s="538"/>
      <c r="CZ46" s="538"/>
      <c r="DA46" s="538"/>
      <c r="DB46" s="538"/>
      <c r="DC46" s="538"/>
      <c r="DD46" s="538"/>
      <c r="DE46" s="538"/>
      <c r="DF46" s="538"/>
      <c r="DG46" s="538"/>
      <c r="DH46" s="538"/>
      <c r="DI46" s="538"/>
      <c r="DJ46" s="538"/>
      <c r="DK46" s="538"/>
      <c r="DL46" s="538"/>
      <c r="DM46" s="538"/>
      <c r="DN46" s="538"/>
      <c r="DU46" s="538"/>
      <c r="DV46" s="538"/>
      <c r="DW46" s="538"/>
      <c r="DX46" s="538"/>
      <c r="DY46" s="538"/>
      <c r="DZ46" s="538"/>
      <c r="EA46" s="538"/>
      <c r="EB46" s="538"/>
      <c r="EC46" s="538"/>
      <c r="ED46" s="538"/>
      <c r="EE46" s="538"/>
      <c r="EF46" s="538"/>
      <c r="EG46" s="538"/>
      <c r="EH46" s="538"/>
      <c r="EI46" s="538"/>
      <c r="EJ46" s="538"/>
      <c r="EK46" s="538"/>
      <c r="EL46" s="538"/>
      <c r="EM46" s="538"/>
      <c r="EN46" s="538"/>
      <c r="EO46" s="538"/>
      <c r="EP46" s="538"/>
      <c r="EQ46" s="538"/>
      <c r="ER46" s="538"/>
      <c r="ES46" s="538"/>
      <c r="ET46" s="538"/>
      <c r="EU46" s="538"/>
      <c r="EV46" s="538"/>
      <c r="EW46" s="538"/>
      <c r="EX46" s="538"/>
      <c r="EY46" s="538"/>
      <c r="EZ46" s="538"/>
      <c r="FA46" s="538"/>
      <c r="FB46" s="538"/>
      <c r="FC46" s="538"/>
      <c r="FD46" s="538"/>
      <c r="FE46" s="538"/>
      <c r="FF46" s="538"/>
      <c r="FG46" s="538"/>
      <c r="FH46" s="538"/>
      <c r="FI46" s="538"/>
      <c r="FJ46" s="538"/>
      <c r="FK46" s="538"/>
      <c r="FL46" s="538"/>
      <c r="FM46" s="538"/>
      <c r="FN46" s="538"/>
      <c r="FO46" s="538"/>
      <c r="FP46" s="538"/>
      <c r="FQ46" s="542" t="s">
        <v>2029</v>
      </c>
      <c r="FR46" s="727">
        <v>0.63</v>
      </c>
      <c r="FS46" s="727">
        <f t="shared" si="7"/>
        <v>0.63</v>
      </c>
      <c r="FT46" s="727"/>
      <c r="FU46" s="542" t="s">
        <v>1611</v>
      </c>
      <c r="FV46" s="727">
        <v>0.51</v>
      </c>
      <c r="FW46" s="542" t="s">
        <v>1605</v>
      </c>
      <c r="FX46" s="727">
        <v>0.85</v>
      </c>
      <c r="FY46" s="727"/>
      <c r="FZ46" s="727"/>
      <c r="GA46" s="727"/>
      <c r="GB46" s="727"/>
      <c r="GC46" s="727"/>
      <c r="GD46" s="727"/>
      <c r="GE46" s="727"/>
      <c r="GW46" s="1205" t="s">
        <v>2081</v>
      </c>
      <c r="GX46" s="1205"/>
      <c r="GY46" s="1205"/>
      <c r="HA46" s="1205" t="s">
        <v>2083</v>
      </c>
      <c r="HB46" s="1205"/>
      <c r="HC46" s="1205"/>
    </row>
    <row r="47" spans="2:211" ht="16">
      <c r="B47" s="734" t="s">
        <v>27</v>
      </c>
      <c r="C47" s="733" t="s">
        <v>65</v>
      </c>
      <c r="D47" s="539">
        <v>35.97</v>
      </c>
      <c r="E47" s="539">
        <v>62.73</v>
      </c>
      <c r="F47" s="539">
        <v>95</v>
      </c>
      <c r="G47" s="539" t="s">
        <v>42</v>
      </c>
      <c r="H47" s="539">
        <v>-1.4</v>
      </c>
      <c r="I47" s="539">
        <v>9.1</v>
      </c>
      <c r="J47" s="539">
        <v>23</v>
      </c>
      <c r="K47" s="539">
        <v>34.4</v>
      </c>
      <c r="L47" s="539">
        <v>57</v>
      </c>
      <c r="M47" s="539">
        <v>73</v>
      </c>
      <c r="N47" s="539">
        <v>57</v>
      </c>
      <c r="O47" s="539">
        <v>27</v>
      </c>
      <c r="P47" s="539">
        <v>78</v>
      </c>
      <c r="Q47" s="734">
        <v>3</v>
      </c>
      <c r="R47" s="539">
        <v>22.5</v>
      </c>
      <c r="S47" s="734">
        <v>0.55000000000000004</v>
      </c>
      <c r="T47" s="734">
        <v>35.799999999999997</v>
      </c>
      <c r="U47" s="734">
        <v>6</v>
      </c>
      <c r="V47" s="734">
        <v>203</v>
      </c>
      <c r="W47" s="734">
        <v>99</v>
      </c>
      <c r="X47" s="734">
        <v>3.1E-2</v>
      </c>
      <c r="Y47" s="734">
        <v>3.5999999999999997E-2</v>
      </c>
      <c r="Z47" s="547">
        <v>130</v>
      </c>
      <c r="AA47" s="547">
        <f t="shared" si="0"/>
        <v>1.3</v>
      </c>
      <c r="AB47" s="734">
        <v>35</v>
      </c>
      <c r="AC47" s="538"/>
      <c r="AD47" s="733" t="str">
        <f t="shared" si="3"/>
        <v>TRENQUE LAUQUEN</v>
      </c>
      <c r="AE47" s="737">
        <v>24</v>
      </c>
      <c r="AF47" s="737">
        <v>23.7</v>
      </c>
      <c r="AG47" s="737">
        <v>20.6</v>
      </c>
      <c r="AH47" s="737">
        <v>15.3</v>
      </c>
      <c r="AI47" s="737">
        <v>12.3</v>
      </c>
      <c r="AJ47" s="737">
        <v>9</v>
      </c>
      <c r="AK47" s="737">
        <v>8.1999999999999993</v>
      </c>
      <c r="AL47" s="737">
        <v>10.199999999999999</v>
      </c>
      <c r="AM47" s="737">
        <v>13</v>
      </c>
      <c r="AN47" s="737">
        <v>15.2</v>
      </c>
      <c r="AO47" s="737">
        <v>19.600000000000001</v>
      </c>
      <c r="AP47" s="737">
        <v>22.2</v>
      </c>
      <c r="AQ47" s="538"/>
      <c r="AR47" s="733" t="str">
        <f t="shared" si="1"/>
        <v>BAP</v>
      </c>
      <c r="AS47" s="733" t="str">
        <f t="shared" si="4"/>
        <v>TRENQUE LAUQUEN</v>
      </c>
      <c r="AT47" s="731">
        <v>6.5</v>
      </c>
      <c r="AU47" s="731">
        <v>6</v>
      </c>
      <c r="AV47" s="731">
        <v>4.5</v>
      </c>
      <c r="AW47" s="731">
        <v>3</v>
      </c>
      <c r="AX47" s="731">
        <v>2</v>
      </c>
      <c r="AY47" s="731">
        <v>1.5</v>
      </c>
      <c r="AZ47" s="731">
        <v>1.5</v>
      </c>
      <c r="BA47" s="731">
        <v>2.5</v>
      </c>
      <c r="BB47" s="731">
        <v>3.5</v>
      </c>
      <c r="BC47" s="731">
        <v>5</v>
      </c>
      <c r="BD47" s="731">
        <v>6</v>
      </c>
      <c r="BE47" s="731">
        <v>6.5</v>
      </c>
      <c r="BG47" s="733" t="str">
        <f t="shared" si="5"/>
        <v>BAP</v>
      </c>
      <c r="BH47" s="733" t="str">
        <f t="shared" si="6"/>
        <v>TRENQUE LAUQUEN</v>
      </c>
      <c r="BI47" s="731">
        <v>104</v>
      </c>
      <c r="BJ47" s="731">
        <v>98</v>
      </c>
      <c r="BK47" s="731">
        <v>115</v>
      </c>
      <c r="BL47" s="731">
        <v>97</v>
      </c>
      <c r="BM47" s="731">
        <v>80</v>
      </c>
      <c r="BN47" s="731">
        <v>61</v>
      </c>
      <c r="BO47" s="731">
        <v>59</v>
      </c>
      <c r="BP47" s="731">
        <v>63</v>
      </c>
      <c r="BQ47" s="731">
        <v>68</v>
      </c>
      <c r="BR47" s="731">
        <v>104</v>
      </c>
      <c r="BS47" s="731">
        <v>98</v>
      </c>
      <c r="BT47" s="731">
        <v>93</v>
      </c>
      <c r="CW47" s="734" t="s">
        <v>27</v>
      </c>
      <c r="CX47" s="733" t="s">
        <v>65</v>
      </c>
      <c r="CY47" s="538"/>
      <c r="DB47" s="538"/>
      <c r="DC47" s="538"/>
      <c r="DD47" s="538"/>
      <c r="DE47" s="538"/>
      <c r="DF47" s="538"/>
      <c r="DG47" s="538"/>
      <c r="DH47" s="538"/>
      <c r="DI47" s="538"/>
      <c r="DJ47" s="538"/>
      <c r="DK47" s="538"/>
      <c r="DL47" s="538"/>
      <c r="DM47" s="538"/>
      <c r="DN47" s="538"/>
      <c r="DU47" s="538"/>
      <c r="DV47" s="538"/>
      <c r="DW47" s="538"/>
      <c r="DX47" s="538"/>
      <c r="DY47" s="538"/>
      <c r="DZ47" s="538"/>
      <c r="EA47" s="538"/>
      <c r="EB47" s="538"/>
      <c r="EC47" s="538"/>
      <c r="ED47" s="538"/>
      <c r="EE47" s="538"/>
      <c r="EF47" s="538"/>
      <c r="EG47" s="538"/>
      <c r="EH47" s="538"/>
      <c r="EI47" s="538"/>
      <c r="EJ47" s="538"/>
      <c r="EK47" s="538"/>
      <c r="EL47" s="538"/>
      <c r="EM47" s="538"/>
      <c r="EN47" s="538"/>
      <c r="EO47" s="538"/>
      <c r="EP47" s="538"/>
      <c r="EQ47" s="538"/>
      <c r="ER47" s="538"/>
      <c r="ES47" s="538"/>
      <c r="ET47" s="538"/>
      <c r="EU47" s="538"/>
      <c r="EV47" s="538"/>
      <c r="EW47" s="538"/>
      <c r="EX47" s="538"/>
      <c r="EY47" s="538"/>
      <c r="EZ47" s="538"/>
      <c r="FA47" s="538"/>
      <c r="FB47" s="538"/>
      <c r="FC47" s="538"/>
      <c r="FD47" s="538"/>
      <c r="FE47" s="538"/>
      <c r="FF47" s="538"/>
      <c r="FG47" s="538"/>
      <c r="FH47" s="538"/>
      <c r="FI47" s="538"/>
      <c r="FJ47" s="538"/>
      <c r="FK47" s="538"/>
      <c r="FL47" s="538"/>
      <c r="FM47" s="538"/>
      <c r="FN47" s="538"/>
      <c r="FO47" s="538"/>
      <c r="FP47" s="538"/>
      <c r="FQ47" s="542" t="s">
        <v>1607</v>
      </c>
      <c r="FR47" s="727">
        <v>0.35</v>
      </c>
      <c r="FS47" s="727">
        <f t="shared" si="7"/>
        <v>0.35</v>
      </c>
      <c r="FT47" s="727"/>
      <c r="FU47" s="542" t="s">
        <v>1732</v>
      </c>
      <c r="FV47" s="727">
        <v>0.95</v>
      </c>
      <c r="FW47" s="727"/>
      <c r="FX47" s="727"/>
      <c r="FY47" s="727"/>
      <c r="FZ47" s="727"/>
      <c r="GA47" s="727"/>
      <c r="GB47" s="727"/>
      <c r="GC47" s="727"/>
      <c r="GD47" s="727"/>
      <c r="GE47" s="727"/>
      <c r="GW47" s="1270" t="s">
        <v>1147</v>
      </c>
      <c r="GX47" s="1270"/>
      <c r="GY47" s="1270"/>
      <c r="HA47" s="1271" t="s">
        <v>6</v>
      </c>
      <c r="HB47" s="1271"/>
      <c r="HC47" s="1271"/>
    </row>
    <row r="48" spans="2:211" ht="16">
      <c r="B48" s="734" t="s">
        <v>27</v>
      </c>
      <c r="C48" s="733" t="s">
        <v>66</v>
      </c>
      <c r="D48" s="539">
        <v>38.380000000000003</v>
      </c>
      <c r="E48" s="539">
        <v>60.27</v>
      </c>
      <c r="F48" s="539">
        <v>109</v>
      </c>
      <c r="G48" s="539" t="s">
        <v>38</v>
      </c>
      <c r="H48" s="539">
        <v>-1.3</v>
      </c>
      <c r="I48" s="539">
        <v>8.1999999999999993</v>
      </c>
      <c r="J48" s="539">
        <v>20.3</v>
      </c>
      <c r="K48" s="539">
        <v>32.4</v>
      </c>
      <c r="L48" s="539">
        <v>59</v>
      </c>
      <c r="M48" s="539">
        <v>77</v>
      </c>
      <c r="N48" s="539">
        <v>59</v>
      </c>
      <c r="O48" s="539">
        <v>47</v>
      </c>
      <c r="P48" s="539">
        <v>83</v>
      </c>
      <c r="Q48" s="734">
        <v>4</v>
      </c>
      <c r="R48" s="539">
        <v>20.8</v>
      </c>
      <c r="S48" s="734">
        <v>0.53</v>
      </c>
      <c r="T48" s="734">
        <v>35.799999999999997</v>
      </c>
      <c r="U48" s="734">
        <v>6</v>
      </c>
      <c r="V48" s="734">
        <v>203</v>
      </c>
      <c r="W48" s="734">
        <v>99</v>
      </c>
      <c r="X48" s="734">
        <v>3.1E-2</v>
      </c>
      <c r="Y48" s="734">
        <v>3.5999999999999997E-2</v>
      </c>
      <c r="Z48" s="547">
        <v>130</v>
      </c>
      <c r="AA48" s="547">
        <f t="shared" si="0"/>
        <v>1.3</v>
      </c>
      <c r="AB48" s="734">
        <v>35</v>
      </c>
      <c r="AC48" s="538"/>
      <c r="AD48" s="733" t="str">
        <f t="shared" si="3"/>
        <v>TRES ARROYOS</v>
      </c>
      <c r="AE48" s="737">
        <v>22.1</v>
      </c>
      <c r="AF48" s="737">
        <v>21.2</v>
      </c>
      <c r="AG48" s="737">
        <v>19.100000000000001</v>
      </c>
      <c r="AH48" s="737">
        <v>14</v>
      </c>
      <c r="AI48" s="737">
        <v>11.2</v>
      </c>
      <c r="AJ48" s="737">
        <v>8</v>
      </c>
      <c r="AK48" s="737">
        <v>7.5</v>
      </c>
      <c r="AL48" s="737">
        <v>8.9</v>
      </c>
      <c r="AM48" s="737">
        <v>10.7</v>
      </c>
      <c r="AN48" s="737">
        <v>13.3</v>
      </c>
      <c r="AO48" s="737">
        <v>17.100000000000001</v>
      </c>
      <c r="AP48" s="737">
        <v>19.600000000000001</v>
      </c>
      <c r="AQ48" s="538"/>
      <c r="AR48" s="733" t="str">
        <f t="shared" si="1"/>
        <v>BAP</v>
      </c>
      <c r="AS48" s="733" t="str">
        <f t="shared" si="4"/>
        <v>TRES ARROYOS</v>
      </c>
      <c r="AT48" s="731">
        <v>6.5</v>
      </c>
      <c r="AU48" s="731">
        <v>6</v>
      </c>
      <c r="AV48" s="731">
        <v>4.5</v>
      </c>
      <c r="AW48" s="731">
        <v>3</v>
      </c>
      <c r="AX48" s="731">
        <v>2</v>
      </c>
      <c r="AY48" s="731">
        <v>1.5</v>
      </c>
      <c r="AZ48" s="731">
        <v>1.5</v>
      </c>
      <c r="BA48" s="731">
        <v>2.5</v>
      </c>
      <c r="BB48" s="731">
        <v>3.5</v>
      </c>
      <c r="BC48" s="731">
        <v>5</v>
      </c>
      <c r="BD48" s="731">
        <v>6</v>
      </c>
      <c r="BE48" s="731">
        <v>7</v>
      </c>
      <c r="BG48" s="733" t="str">
        <f t="shared" si="5"/>
        <v>BAP</v>
      </c>
      <c r="BH48" s="733" t="str">
        <f t="shared" si="6"/>
        <v>TRES ARROYOS</v>
      </c>
      <c r="BI48" s="731">
        <v>104</v>
      </c>
      <c r="BJ48" s="731">
        <v>98</v>
      </c>
      <c r="BK48" s="731">
        <v>115</v>
      </c>
      <c r="BL48" s="731">
        <v>97</v>
      </c>
      <c r="BM48" s="731">
        <v>80</v>
      </c>
      <c r="BN48" s="731">
        <v>61</v>
      </c>
      <c r="BO48" s="731">
        <v>59</v>
      </c>
      <c r="BP48" s="731">
        <v>63</v>
      </c>
      <c r="BQ48" s="731">
        <v>68</v>
      </c>
      <c r="BR48" s="731">
        <v>104</v>
      </c>
      <c r="BS48" s="731">
        <v>98</v>
      </c>
      <c r="BT48" s="731">
        <v>93</v>
      </c>
      <c r="CW48" s="734" t="s">
        <v>27</v>
      </c>
      <c r="CX48" s="733" t="s">
        <v>66</v>
      </c>
      <c r="CY48" s="538"/>
      <c r="DB48" s="538"/>
      <c r="DC48" s="538"/>
      <c r="DD48" s="538"/>
      <c r="DE48" s="538"/>
      <c r="DF48" s="538"/>
      <c r="DG48" s="538"/>
      <c r="DH48" s="538"/>
      <c r="DI48" s="538"/>
      <c r="DJ48" s="538"/>
      <c r="DK48" s="538"/>
      <c r="DL48" s="538"/>
      <c r="DM48" s="538"/>
      <c r="DN48" s="538"/>
      <c r="DU48" s="538"/>
      <c r="DV48" s="538"/>
      <c r="DW48" s="538"/>
      <c r="DX48" s="538"/>
      <c r="DY48" s="538"/>
      <c r="DZ48" s="538"/>
      <c r="EA48" s="538"/>
      <c r="EB48" s="538"/>
      <c r="EC48" s="538"/>
      <c r="ED48" s="538"/>
      <c r="EE48" s="538"/>
      <c r="EF48" s="538"/>
      <c r="EG48" s="538"/>
      <c r="EH48" s="538"/>
      <c r="EI48" s="538"/>
      <c r="EJ48" s="538"/>
      <c r="EK48" s="538"/>
      <c r="EL48" s="538"/>
      <c r="EM48" s="538"/>
      <c r="EN48" s="538"/>
      <c r="EO48" s="538"/>
      <c r="EP48" s="538"/>
      <c r="EQ48" s="538"/>
      <c r="ER48" s="538"/>
      <c r="ES48" s="538"/>
      <c r="ET48" s="538"/>
      <c r="EU48" s="538"/>
      <c r="EV48" s="538"/>
      <c r="EW48" s="538"/>
      <c r="EX48" s="538"/>
      <c r="EY48" s="538"/>
      <c r="EZ48" s="538"/>
      <c r="FA48" s="538"/>
      <c r="FB48" s="538"/>
      <c r="FC48" s="538"/>
      <c r="FD48" s="538"/>
      <c r="FE48" s="538"/>
      <c r="FF48" s="538"/>
      <c r="FG48" s="538"/>
      <c r="FH48" s="538"/>
      <c r="FI48" s="538"/>
      <c r="FJ48" s="538"/>
      <c r="FK48" s="538"/>
      <c r="FL48" s="538"/>
      <c r="FM48" s="538"/>
      <c r="FN48" s="538"/>
      <c r="FO48" s="538"/>
      <c r="FP48" s="538"/>
      <c r="FQ48" s="542" t="s">
        <v>1608</v>
      </c>
      <c r="FR48" s="727">
        <v>0.19</v>
      </c>
      <c r="FS48" s="727">
        <f t="shared" si="7"/>
        <v>0.19</v>
      </c>
      <c r="FT48" s="727"/>
      <c r="FU48" s="542" t="s">
        <v>1584</v>
      </c>
      <c r="FV48" s="727">
        <v>0.78</v>
      </c>
      <c r="FW48" s="727"/>
      <c r="FX48" s="727"/>
      <c r="FY48" s="727"/>
      <c r="FZ48" s="727"/>
      <c r="GA48" s="727"/>
      <c r="GB48" s="727"/>
      <c r="GC48" s="727"/>
      <c r="GD48" s="727"/>
      <c r="GE48" s="727"/>
    </row>
    <row r="49" spans="2:211" ht="16">
      <c r="B49" s="734" t="s">
        <v>67</v>
      </c>
      <c r="C49" s="733" t="s">
        <v>68</v>
      </c>
      <c r="D49" s="539">
        <v>28.45</v>
      </c>
      <c r="E49" s="539">
        <v>65.77</v>
      </c>
      <c r="F49" s="539">
        <v>531</v>
      </c>
      <c r="G49" s="539" t="s">
        <v>69</v>
      </c>
      <c r="H49" s="539">
        <v>-0.3</v>
      </c>
      <c r="I49" s="539">
        <v>12.6</v>
      </c>
      <c r="J49" s="539">
        <v>26.8</v>
      </c>
      <c r="K49" s="539">
        <v>36.5</v>
      </c>
      <c r="L49" s="539">
        <v>56</v>
      </c>
      <c r="M49" s="539">
        <v>60</v>
      </c>
      <c r="N49" s="539">
        <v>54</v>
      </c>
      <c r="O49" s="539">
        <v>5</v>
      </c>
      <c r="P49" s="539">
        <v>69</v>
      </c>
      <c r="Q49" s="734">
        <v>2</v>
      </c>
      <c r="R49" s="539">
        <v>26.5</v>
      </c>
      <c r="S49" s="734">
        <v>0.49</v>
      </c>
      <c r="T49" s="734">
        <v>7.9</v>
      </c>
      <c r="U49" s="734">
        <v>12.3</v>
      </c>
      <c r="V49" s="734">
        <v>165</v>
      </c>
      <c r="W49" s="734">
        <v>50</v>
      </c>
      <c r="X49" s="734">
        <v>8.9999999999999993E-3</v>
      </c>
      <c r="Y49" s="734">
        <v>0.01</v>
      </c>
      <c r="Z49" s="547">
        <v>145</v>
      </c>
      <c r="AA49" s="547">
        <f t="shared" si="0"/>
        <v>1.45</v>
      </c>
      <c r="AB49" s="734">
        <v>30</v>
      </c>
      <c r="AC49" s="538"/>
      <c r="AD49" s="733" t="str">
        <f t="shared" si="3"/>
        <v>CATAMARCA</v>
      </c>
      <c r="AE49" s="737">
        <v>28.3</v>
      </c>
      <c r="AF49" s="737">
        <v>26.2</v>
      </c>
      <c r="AG49" s="737">
        <v>25</v>
      </c>
      <c r="AH49" s="737">
        <v>21</v>
      </c>
      <c r="AI49" s="737">
        <v>16.600000000000001</v>
      </c>
      <c r="AJ49" s="737">
        <v>13.3</v>
      </c>
      <c r="AK49" s="737">
        <v>12.5</v>
      </c>
      <c r="AL49" s="737">
        <v>16</v>
      </c>
      <c r="AM49" s="737">
        <v>19.3</v>
      </c>
      <c r="AN49" s="737">
        <v>23.3</v>
      </c>
      <c r="AO49" s="737">
        <v>25.5</v>
      </c>
      <c r="AP49" s="737">
        <v>27.5</v>
      </c>
      <c r="AQ49" s="538"/>
      <c r="AR49" s="733" t="str">
        <f t="shared" si="1"/>
        <v>CA</v>
      </c>
      <c r="AS49" s="733" t="str">
        <f t="shared" si="4"/>
        <v>CATAMARCA</v>
      </c>
      <c r="AT49" s="731">
        <v>5.5</v>
      </c>
      <c r="AU49" s="731">
        <v>5</v>
      </c>
      <c r="AV49" s="731">
        <v>4</v>
      </c>
      <c r="AW49" s="731">
        <v>3.5</v>
      </c>
      <c r="AX49" s="731">
        <v>3</v>
      </c>
      <c r="AY49" s="731">
        <v>2.5</v>
      </c>
      <c r="AZ49" s="731">
        <v>2.5</v>
      </c>
      <c r="BA49" s="731">
        <v>3.5</v>
      </c>
      <c r="BB49" s="731">
        <v>4</v>
      </c>
      <c r="BC49" s="731">
        <v>4.5</v>
      </c>
      <c r="BD49" s="731">
        <v>5</v>
      </c>
      <c r="BE49" s="731">
        <v>5.5</v>
      </c>
      <c r="BG49" s="733" t="str">
        <f t="shared" si="5"/>
        <v>CA</v>
      </c>
      <c r="BH49" s="733" t="str">
        <f t="shared" si="6"/>
        <v>CATAMARCA</v>
      </c>
      <c r="BI49" s="731">
        <v>79</v>
      </c>
      <c r="BJ49" s="731">
        <v>74</v>
      </c>
      <c r="BK49" s="731">
        <v>56</v>
      </c>
      <c r="BL49" s="731">
        <v>19</v>
      </c>
      <c r="BM49" s="731">
        <v>10</v>
      </c>
      <c r="BN49" s="731">
        <v>6</v>
      </c>
      <c r="BO49" s="731">
        <v>5</v>
      </c>
      <c r="BP49" s="731">
        <v>6</v>
      </c>
      <c r="BQ49" s="731">
        <v>9</v>
      </c>
      <c r="BR49" s="731">
        <v>27</v>
      </c>
      <c r="BS49" s="731">
        <v>47</v>
      </c>
      <c r="BT49" s="731">
        <v>53</v>
      </c>
      <c r="CW49" s="538"/>
      <c r="CX49" s="538"/>
      <c r="CY49" s="538"/>
      <c r="DB49" s="538"/>
      <c r="DC49" s="538"/>
      <c r="DD49" s="538"/>
      <c r="DE49" s="538"/>
      <c r="DF49" s="538"/>
      <c r="DG49" s="538"/>
      <c r="DH49" s="538"/>
      <c r="DI49" s="538"/>
      <c r="DJ49" s="538"/>
      <c r="DK49" s="538"/>
      <c r="DL49" s="538"/>
      <c r="DM49" s="538"/>
      <c r="DN49" s="538"/>
      <c r="DO49" s="538"/>
      <c r="DP49" s="538"/>
      <c r="DQ49" s="538"/>
      <c r="DR49" s="538"/>
      <c r="DS49" s="538"/>
      <c r="DT49" s="538"/>
      <c r="DU49" s="538"/>
      <c r="DV49" s="538"/>
      <c r="DW49" s="538"/>
      <c r="DX49" s="538"/>
      <c r="DY49" s="538"/>
      <c r="DZ49" s="538"/>
      <c r="EA49" s="538"/>
      <c r="EB49" s="538"/>
      <c r="EC49" s="538"/>
      <c r="ED49" s="538"/>
      <c r="EE49" s="538"/>
      <c r="EF49" s="538"/>
      <c r="EG49" s="538"/>
      <c r="EH49" s="538"/>
      <c r="EI49" s="538"/>
      <c r="EJ49" s="538"/>
      <c r="EK49" s="538"/>
      <c r="EL49" s="538"/>
      <c r="EM49" s="538"/>
      <c r="EN49" s="538"/>
      <c r="EO49" s="538"/>
      <c r="EP49" s="538"/>
      <c r="EQ49" s="538"/>
      <c r="ER49" s="538"/>
      <c r="ES49" s="538"/>
      <c r="ET49" s="538"/>
      <c r="EU49" s="538"/>
      <c r="EV49" s="538"/>
      <c r="EW49" s="538"/>
      <c r="EX49" s="538"/>
      <c r="EY49" s="538"/>
      <c r="EZ49" s="538"/>
      <c r="FA49" s="538"/>
      <c r="FB49" s="538"/>
      <c r="FC49" s="538"/>
      <c r="FD49" s="538"/>
      <c r="FE49" s="538"/>
      <c r="FF49" s="538"/>
      <c r="FG49" s="538"/>
      <c r="FH49" s="538"/>
      <c r="FI49" s="538"/>
      <c r="FJ49" s="538"/>
      <c r="FK49" s="538"/>
      <c r="FL49" s="538"/>
      <c r="FM49" s="538"/>
      <c r="FN49" s="538"/>
      <c r="FO49" s="538"/>
      <c r="FP49" s="538"/>
      <c r="FQ49" s="542" t="s">
        <v>1582</v>
      </c>
      <c r="FR49" s="727">
        <v>0.31</v>
      </c>
      <c r="FS49" s="727">
        <f>FR49</f>
        <v>0.31</v>
      </c>
      <c r="FT49" s="727"/>
      <c r="FU49" s="542" t="s">
        <v>1603</v>
      </c>
      <c r="FV49" s="727">
        <v>0.32</v>
      </c>
      <c r="FW49" s="727"/>
      <c r="FX49" s="727"/>
      <c r="FY49" s="727"/>
      <c r="FZ49" s="727"/>
      <c r="GA49" s="727"/>
      <c r="GB49" s="727"/>
      <c r="GC49" s="727"/>
      <c r="GD49" s="727"/>
      <c r="GE49" s="727"/>
    </row>
    <row r="50" spans="2:211" ht="20">
      <c r="B50" s="734" t="s">
        <v>67</v>
      </c>
      <c r="C50" s="733" t="s">
        <v>70</v>
      </c>
      <c r="D50" s="539">
        <v>28.48</v>
      </c>
      <c r="E50" s="539">
        <v>65.73</v>
      </c>
      <c r="F50" s="539">
        <v>525</v>
      </c>
      <c r="G50" s="539" t="s">
        <v>69</v>
      </c>
      <c r="H50" s="539">
        <v>1.1000000000000001</v>
      </c>
      <c r="I50" s="539">
        <v>12.8</v>
      </c>
      <c r="J50" s="539">
        <v>26</v>
      </c>
      <c r="K50" s="539">
        <v>35.9</v>
      </c>
      <c r="L50" s="539">
        <v>59</v>
      </c>
      <c r="M50" s="539">
        <v>62</v>
      </c>
      <c r="N50" s="539">
        <v>59</v>
      </c>
      <c r="O50" s="539">
        <v>5</v>
      </c>
      <c r="P50" s="539">
        <v>69</v>
      </c>
      <c r="Q50" s="734">
        <v>2</v>
      </c>
      <c r="R50" s="539">
        <v>26.3</v>
      </c>
      <c r="S50" s="734">
        <v>0.49</v>
      </c>
      <c r="T50" s="734">
        <v>7.9</v>
      </c>
      <c r="U50" s="734">
        <v>12.3</v>
      </c>
      <c r="V50" s="734">
        <v>165</v>
      </c>
      <c r="W50" s="734">
        <v>50</v>
      </c>
      <c r="X50" s="734">
        <v>8.9999999999999993E-3</v>
      </c>
      <c r="Y50" s="734">
        <v>0.01</v>
      </c>
      <c r="Z50" s="547">
        <v>145</v>
      </c>
      <c r="AA50" s="547">
        <f t="shared" si="0"/>
        <v>1.45</v>
      </c>
      <c r="AB50" s="734">
        <v>30</v>
      </c>
      <c r="AC50" s="538"/>
      <c r="AD50" s="733" t="str">
        <f t="shared" si="3"/>
        <v>CATAMARCA INTA</v>
      </c>
      <c r="AE50" s="737">
        <v>27.2</v>
      </c>
      <c r="AF50" s="737">
        <v>26</v>
      </c>
      <c r="AG50" s="737">
        <v>23.6</v>
      </c>
      <c r="AH50" s="737">
        <v>20.8</v>
      </c>
      <c r="AI50" s="737">
        <v>16</v>
      </c>
      <c r="AJ50" s="737">
        <v>11.5</v>
      </c>
      <c r="AK50" s="737">
        <v>11.4</v>
      </c>
      <c r="AL50" s="737">
        <v>13</v>
      </c>
      <c r="AM50" s="737">
        <v>18.899999999999999</v>
      </c>
      <c r="AN50" s="737">
        <v>22.7</v>
      </c>
      <c r="AO50" s="737">
        <v>25.5</v>
      </c>
      <c r="AP50" s="737">
        <v>27.1</v>
      </c>
      <c r="AQ50" s="538"/>
      <c r="AR50" s="733" t="str">
        <f t="shared" si="1"/>
        <v>CA</v>
      </c>
      <c r="AS50" s="733" t="str">
        <f t="shared" si="4"/>
        <v>CATAMARCA INTA</v>
      </c>
      <c r="AT50" s="731">
        <v>5.5</v>
      </c>
      <c r="AU50" s="731">
        <v>5</v>
      </c>
      <c r="AV50" s="731">
        <v>4</v>
      </c>
      <c r="AW50" s="731">
        <v>3.5</v>
      </c>
      <c r="AX50" s="731">
        <v>3</v>
      </c>
      <c r="AY50" s="731">
        <v>2.5</v>
      </c>
      <c r="AZ50" s="731">
        <v>2.5</v>
      </c>
      <c r="BA50" s="731">
        <v>3.5</v>
      </c>
      <c r="BB50" s="731">
        <v>4</v>
      </c>
      <c r="BC50" s="731">
        <v>4.5</v>
      </c>
      <c r="BD50" s="731">
        <v>5</v>
      </c>
      <c r="BE50" s="731">
        <v>5.5</v>
      </c>
      <c r="BG50" s="733" t="str">
        <f t="shared" si="5"/>
        <v>CA</v>
      </c>
      <c r="BH50" s="733" t="str">
        <f t="shared" si="6"/>
        <v>CATAMARCA INTA</v>
      </c>
      <c r="BI50" s="731">
        <v>79</v>
      </c>
      <c r="BJ50" s="731">
        <v>74</v>
      </c>
      <c r="BK50" s="731">
        <v>56</v>
      </c>
      <c r="BL50" s="731">
        <v>19</v>
      </c>
      <c r="BM50" s="731">
        <v>10</v>
      </c>
      <c r="BN50" s="731">
        <v>6</v>
      </c>
      <c r="BO50" s="731">
        <v>5</v>
      </c>
      <c r="BP50" s="731">
        <v>6</v>
      </c>
      <c r="BQ50" s="731">
        <v>9</v>
      </c>
      <c r="BR50" s="731">
        <v>27</v>
      </c>
      <c r="BS50" s="731">
        <v>47</v>
      </c>
      <c r="BT50" s="731">
        <v>53</v>
      </c>
      <c r="CW50" s="538"/>
      <c r="CX50" s="538"/>
      <c r="CY50" s="538"/>
      <c r="DB50" s="538"/>
      <c r="DC50" s="538"/>
      <c r="DD50" s="538"/>
      <c r="DE50" s="538"/>
      <c r="DF50" s="538"/>
      <c r="DG50" s="538"/>
      <c r="DH50" s="538"/>
      <c r="DI50" s="538"/>
      <c r="DJ50" s="538"/>
      <c r="DK50" s="538"/>
      <c r="DL50" s="538"/>
      <c r="DM50" s="538"/>
      <c r="DN50" s="538"/>
      <c r="DO50" s="538"/>
      <c r="DP50" s="538"/>
      <c r="DQ50" s="538"/>
      <c r="DR50" s="538"/>
      <c r="DS50" s="538"/>
      <c r="DT50" s="538"/>
      <c r="DU50" s="538"/>
      <c r="DV50" s="538"/>
      <c r="DW50" s="538"/>
      <c r="DX50" s="538"/>
      <c r="DY50" s="538"/>
      <c r="DZ50" s="538"/>
      <c r="EA50" s="538"/>
      <c r="EB50" s="538"/>
      <c r="EC50" s="538"/>
      <c r="ED50" s="538"/>
      <c r="EE50" s="538"/>
      <c r="EF50" s="538"/>
      <c r="EG50" s="538"/>
      <c r="EH50" s="538"/>
      <c r="EI50" s="538"/>
      <c r="EJ50" s="538"/>
      <c r="EK50" s="538"/>
      <c r="EL50" s="538"/>
      <c r="EM50" s="538"/>
      <c r="EN50" s="538"/>
      <c r="EO50" s="538"/>
      <c r="EP50" s="538"/>
      <c r="EQ50" s="538"/>
      <c r="ER50" s="538"/>
      <c r="ES50" s="538"/>
      <c r="ET50" s="538"/>
      <c r="EU50" s="538"/>
      <c r="EV50" s="538"/>
      <c r="EW50" s="538"/>
      <c r="EX50" s="538"/>
      <c r="EY50" s="538"/>
      <c r="EZ50" s="538"/>
      <c r="FA50" s="538"/>
      <c r="FB50" s="538"/>
      <c r="FC50" s="538"/>
      <c r="FD50" s="538"/>
      <c r="FE50" s="538"/>
      <c r="FF50" s="538"/>
      <c r="FG50" s="538"/>
      <c r="FH50" s="538"/>
      <c r="FI50" s="538"/>
      <c r="FJ50" s="538"/>
      <c r="FK50" s="538"/>
      <c r="FL50" s="538"/>
      <c r="FM50" s="538"/>
      <c r="FN50" s="538"/>
      <c r="FO50" s="538"/>
      <c r="FP50" s="538"/>
      <c r="FQ50" s="542" t="s">
        <v>1586</v>
      </c>
      <c r="FR50" s="727">
        <v>0.42</v>
      </c>
      <c r="FS50" s="727">
        <f>FR50</f>
        <v>0.42</v>
      </c>
      <c r="FT50" s="727"/>
      <c r="FU50" s="542" t="s">
        <v>1612</v>
      </c>
      <c r="FV50" s="727">
        <v>0.57999999999999996</v>
      </c>
      <c r="FW50" s="727"/>
      <c r="FX50" s="727"/>
      <c r="FY50" s="727"/>
      <c r="FZ50" s="727"/>
      <c r="GA50" s="727"/>
      <c r="GB50" s="727"/>
      <c r="GC50" s="727"/>
      <c r="GD50" s="727"/>
      <c r="GE50" s="727"/>
      <c r="GW50" s="1204" t="s">
        <v>2086</v>
      </c>
      <c r="GX50" s="1204"/>
      <c r="GY50" s="1204"/>
      <c r="GZ50" s="1204"/>
      <c r="HA50" s="1204"/>
      <c r="HB50" s="1204"/>
      <c r="HC50" s="1204"/>
    </row>
    <row r="51" spans="2:211" ht="19">
      <c r="B51" s="734" t="s">
        <v>67</v>
      </c>
      <c r="C51" s="733" t="s">
        <v>71</v>
      </c>
      <c r="D51" s="539">
        <v>28.07</v>
      </c>
      <c r="E51" s="539">
        <v>67.569999999999993</v>
      </c>
      <c r="F51" s="539">
        <v>1201</v>
      </c>
      <c r="G51" s="539" t="s">
        <v>72</v>
      </c>
      <c r="H51" s="539">
        <v>-5.4</v>
      </c>
      <c r="I51" s="539">
        <v>10.5</v>
      </c>
      <c r="J51" s="539">
        <v>24.5</v>
      </c>
      <c r="K51" s="539">
        <v>36.200000000000003</v>
      </c>
      <c r="L51" s="539">
        <v>54</v>
      </c>
      <c r="M51" s="539">
        <v>55</v>
      </c>
      <c r="N51" s="539">
        <v>54</v>
      </c>
      <c r="O51" s="539">
        <v>1</v>
      </c>
      <c r="P51" s="539">
        <v>27</v>
      </c>
      <c r="Q51" s="734">
        <v>4</v>
      </c>
      <c r="R51" s="539">
        <v>23.9</v>
      </c>
      <c r="S51" s="734">
        <v>0.47</v>
      </c>
      <c r="T51" s="734">
        <v>7.9</v>
      </c>
      <c r="U51" s="734">
        <v>12.3</v>
      </c>
      <c r="V51" s="734">
        <v>165</v>
      </c>
      <c r="W51" s="734">
        <v>50</v>
      </c>
      <c r="X51" s="734">
        <v>8.9999999999999993E-3</v>
      </c>
      <c r="Y51" s="734">
        <v>0.01</v>
      </c>
      <c r="Z51" s="547">
        <v>95</v>
      </c>
      <c r="AA51" s="547">
        <f t="shared" si="0"/>
        <v>0.95000000000000007</v>
      </c>
      <c r="AB51" s="734">
        <v>30</v>
      </c>
      <c r="AC51" s="538"/>
      <c r="AD51" s="733" t="str">
        <f t="shared" si="3"/>
        <v>TINOGASTA</v>
      </c>
      <c r="AE51" s="737">
        <v>24.6</v>
      </c>
      <c r="AF51" s="737">
        <v>23.7</v>
      </c>
      <c r="AG51" s="737">
        <v>21.7</v>
      </c>
      <c r="AH51" s="737">
        <v>16.2</v>
      </c>
      <c r="AI51" s="737">
        <v>12.3</v>
      </c>
      <c r="AJ51" s="737">
        <v>9</v>
      </c>
      <c r="AK51" s="737">
        <v>9.6</v>
      </c>
      <c r="AL51" s="737">
        <v>11.8</v>
      </c>
      <c r="AM51" s="737">
        <v>14.9</v>
      </c>
      <c r="AN51" s="737">
        <v>18.2</v>
      </c>
      <c r="AO51" s="737">
        <v>21.6</v>
      </c>
      <c r="AP51" s="737">
        <v>23.7</v>
      </c>
      <c r="AQ51" s="538"/>
      <c r="AR51" s="733" t="str">
        <f t="shared" si="1"/>
        <v>CA</v>
      </c>
      <c r="AS51" s="733" t="str">
        <f t="shared" si="4"/>
        <v>TINOGASTA</v>
      </c>
      <c r="AT51" s="731">
        <v>5.5</v>
      </c>
      <c r="AU51" s="731">
        <v>6.5</v>
      </c>
      <c r="AV51" s="731">
        <v>5</v>
      </c>
      <c r="AW51" s="731">
        <v>4.5</v>
      </c>
      <c r="AX51" s="731">
        <v>3.5</v>
      </c>
      <c r="AY51" s="731">
        <v>3.5</v>
      </c>
      <c r="AZ51" s="731">
        <v>3</v>
      </c>
      <c r="BA51" s="731">
        <v>4</v>
      </c>
      <c r="BB51" s="731">
        <v>5</v>
      </c>
      <c r="BC51" s="731">
        <v>6.5</v>
      </c>
      <c r="BD51" s="731">
        <v>7</v>
      </c>
      <c r="BE51" s="731">
        <v>6.5</v>
      </c>
      <c r="BG51" s="733" t="str">
        <f t="shared" si="5"/>
        <v>CA</v>
      </c>
      <c r="BH51" s="733" t="str">
        <f t="shared" si="6"/>
        <v>TINOGASTA</v>
      </c>
      <c r="BI51" s="731">
        <v>79</v>
      </c>
      <c r="BJ51" s="731">
        <v>74</v>
      </c>
      <c r="BK51" s="731">
        <v>56</v>
      </c>
      <c r="BL51" s="731">
        <v>19</v>
      </c>
      <c r="BM51" s="731">
        <v>10</v>
      </c>
      <c r="BN51" s="731">
        <v>6</v>
      </c>
      <c r="BO51" s="731">
        <v>5</v>
      </c>
      <c r="BP51" s="731">
        <v>6</v>
      </c>
      <c r="BQ51" s="731">
        <v>9</v>
      </c>
      <c r="BR51" s="731">
        <v>27</v>
      </c>
      <c r="BS51" s="731">
        <v>47</v>
      </c>
      <c r="BT51" s="731">
        <v>53</v>
      </c>
      <c r="CY51" s="538"/>
      <c r="CZ51" s="538"/>
      <c r="DA51" s="538"/>
      <c r="DB51" s="538"/>
      <c r="DC51" s="538"/>
      <c r="DD51" s="538"/>
      <c r="DE51" s="538"/>
      <c r="DF51" s="538"/>
      <c r="DG51" s="538"/>
      <c r="DH51" s="538"/>
      <c r="DI51" s="538"/>
      <c r="DJ51" s="538"/>
      <c r="DK51" s="538"/>
      <c r="DL51" s="538"/>
      <c r="DM51" s="538"/>
      <c r="DN51" s="538"/>
      <c r="DU51" s="538"/>
      <c r="DV51" s="538"/>
      <c r="DW51" s="538"/>
      <c r="DX51" s="538"/>
      <c r="DY51" s="538"/>
      <c r="DZ51" s="538"/>
      <c r="EA51" s="538"/>
      <c r="EB51" s="538"/>
      <c r="EC51" s="538"/>
      <c r="ED51" s="538"/>
      <c r="EE51" s="538"/>
      <c r="EF51" s="538"/>
      <c r="EG51" s="538"/>
      <c r="EH51" s="538"/>
      <c r="EI51" s="538"/>
      <c r="EJ51" s="538"/>
      <c r="EK51" s="538"/>
      <c r="EL51" s="538"/>
      <c r="EM51" s="538"/>
      <c r="EN51" s="538"/>
      <c r="EO51" s="538"/>
      <c r="EP51" s="538"/>
      <c r="EQ51" s="538"/>
      <c r="ER51" s="538"/>
      <c r="ES51" s="538"/>
      <c r="ET51" s="538"/>
      <c r="EU51" s="538"/>
      <c r="EV51" s="538"/>
      <c r="EW51" s="538"/>
      <c r="EX51" s="538"/>
      <c r="EY51" s="538"/>
      <c r="EZ51" s="538"/>
      <c r="FA51" s="538"/>
      <c r="FB51" s="538"/>
      <c r="FC51" s="538"/>
      <c r="FD51" s="538"/>
      <c r="FE51" s="538"/>
      <c r="FF51" s="538"/>
      <c r="FG51" s="538"/>
      <c r="FH51" s="538"/>
      <c r="FI51" s="538"/>
      <c r="FJ51" s="538"/>
      <c r="FK51" s="538"/>
      <c r="FL51" s="538"/>
      <c r="FM51" s="538"/>
      <c r="FN51" s="538"/>
      <c r="FO51" s="538"/>
      <c r="FP51" s="538"/>
      <c r="FQ51" s="542" t="s">
        <v>1609</v>
      </c>
      <c r="FR51" s="727">
        <v>0.63</v>
      </c>
      <c r="FS51" s="727">
        <f t="shared" ref="FS51" si="8">FR51</f>
        <v>0.63</v>
      </c>
      <c r="FT51" s="727"/>
      <c r="FU51" s="542" t="s">
        <v>1606</v>
      </c>
      <c r="FV51" s="727">
        <v>0.57999999999999996</v>
      </c>
      <c r="FW51" s="727"/>
      <c r="FX51" s="727"/>
      <c r="FY51" s="727"/>
      <c r="FZ51" s="727"/>
      <c r="GA51" s="727"/>
      <c r="GB51" s="727"/>
      <c r="GC51" s="727"/>
      <c r="GD51" s="727"/>
      <c r="GE51" s="727"/>
      <c r="GW51" s="1269" t="s">
        <v>2041</v>
      </c>
      <c r="GX51" s="1269"/>
      <c r="GY51" s="1269"/>
      <c r="GZ51" s="1269"/>
      <c r="HA51" s="1269"/>
      <c r="HB51" s="1269"/>
      <c r="HC51" s="1269"/>
    </row>
    <row r="52" spans="2:211" ht="16">
      <c r="B52" s="734" t="s">
        <v>73</v>
      </c>
      <c r="C52" s="733" t="s">
        <v>74</v>
      </c>
      <c r="D52" s="539">
        <v>32.630000000000003</v>
      </c>
      <c r="E52" s="539">
        <v>62.68</v>
      </c>
      <c r="F52" s="539">
        <v>130</v>
      </c>
      <c r="G52" s="539" t="s">
        <v>42</v>
      </c>
      <c r="H52" s="539">
        <v>-1.3</v>
      </c>
      <c r="I52" s="539">
        <v>10.8</v>
      </c>
      <c r="J52" s="539">
        <v>23.6</v>
      </c>
      <c r="K52" s="539">
        <v>34</v>
      </c>
      <c r="L52" s="539">
        <v>68</v>
      </c>
      <c r="M52" s="539">
        <v>74</v>
      </c>
      <c r="N52" s="539">
        <v>68</v>
      </c>
      <c r="O52" s="539">
        <v>17</v>
      </c>
      <c r="P52" s="539">
        <v>106</v>
      </c>
      <c r="Q52" s="734">
        <v>3</v>
      </c>
      <c r="R52" s="539">
        <v>23</v>
      </c>
      <c r="S52" s="734">
        <v>0.53</v>
      </c>
      <c r="T52" s="744">
        <v>26.9</v>
      </c>
      <c r="U52" s="744">
        <v>2.6</v>
      </c>
      <c r="V52" s="734">
        <v>160</v>
      </c>
      <c r="W52" s="734">
        <v>38</v>
      </c>
      <c r="X52" s="734">
        <v>1.0999999999999999E-2</v>
      </c>
      <c r="Y52" s="734">
        <v>0.02</v>
      </c>
      <c r="Z52" s="547">
        <v>155</v>
      </c>
      <c r="AA52" s="547">
        <f t="shared" si="0"/>
        <v>1.55</v>
      </c>
      <c r="AB52" s="734">
        <v>30</v>
      </c>
      <c r="AC52" s="538"/>
      <c r="AD52" s="733" t="str">
        <f t="shared" si="3"/>
        <v>BELL VILLE</v>
      </c>
      <c r="AE52" s="737">
        <v>23.8</v>
      </c>
      <c r="AF52" s="737">
        <v>22.4</v>
      </c>
      <c r="AG52" s="737">
        <v>20.7</v>
      </c>
      <c r="AH52" s="737">
        <v>15.8</v>
      </c>
      <c r="AI52" s="737">
        <v>13.4</v>
      </c>
      <c r="AJ52" s="737">
        <v>10</v>
      </c>
      <c r="AK52" s="737">
        <v>9.8000000000000007</v>
      </c>
      <c r="AL52" s="737">
        <v>11.2</v>
      </c>
      <c r="AM52" s="737">
        <v>13.9</v>
      </c>
      <c r="AN52" s="737">
        <v>16.600000000000001</v>
      </c>
      <c r="AO52" s="737">
        <v>20.100000000000001</v>
      </c>
      <c r="AP52" s="737">
        <v>22.3</v>
      </c>
      <c r="AQ52" s="538"/>
      <c r="AR52" s="733" t="str">
        <f t="shared" si="1"/>
        <v>CD</v>
      </c>
      <c r="AS52" s="733" t="str">
        <f t="shared" si="4"/>
        <v>BELL VILLE</v>
      </c>
      <c r="AT52" s="731">
        <v>6</v>
      </c>
      <c r="AU52" s="731">
        <v>5.5</v>
      </c>
      <c r="AV52" s="731">
        <v>4.5</v>
      </c>
      <c r="AW52" s="731">
        <v>3.5</v>
      </c>
      <c r="AX52" s="731">
        <v>2.5</v>
      </c>
      <c r="AY52" s="731">
        <v>2</v>
      </c>
      <c r="AZ52" s="731">
        <v>2</v>
      </c>
      <c r="BA52" s="731">
        <v>3</v>
      </c>
      <c r="BB52" s="731">
        <v>4</v>
      </c>
      <c r="BC52" s="731">
        <v>5.5</v>
      </c>
      <c r="BD52" s="731">
        <v>6</v>
      </c>
      <c r="BE52" s="731">
        <v>6.5</v>
      </c>
      <c r="BG52" s="733" t="str">
        <f t="shared" si="5"/>
        <v>CD</v>
      </c>
      <c r="BH52" s="733" t="str">
        <f t="shared" si="6"/>
        <v>BELL VILLE</v>
      </c>
      <c r="BI52" s="731">
        <v>115</v>
      </c>
      <c r="BJ52" s="731">
        <v>110</v>
      </c>
      <c r="BK52" s="731">
        <v>101</v>
      </c>
      <c r="BL52" s="731">
        <v>45</v>
      </c>
      <c r="BM52" s="731">
        <v>23</v>
      </c>
      <c r="BN52" s="731">
        <v>12</v>
      </c>
      <c r="BO52" s="731">
        <v>11</v>
      </c>
      <c r="BP52" s="731">
        <v>11</v>
      </c>
      <c r="BQ52" s="731">
        <v>31</v>
      </c>
      <c r="BR52" s="731">
        <v>76</v>
      </c>
      <c r="BS52" s="731">
        <v>95</v>
      </c>
      <c r="BT52" s="731">
        <v>118</v>
      </c>
      <c r="CY52" s="538"/>
      <c r="CZ52" s="538"/>
      <c r="DA52" s="538"/>
      <c r="DB52" s="538"/>
      <c r="DC52" s="538"/>
      <c r="DD52" s="538"/>
      <c r="DE52" s="538"/>
      <c r="DF52" s="538"/>
      <c r="DG52" s="538"/>
      <c r="DH52" s="538"/>
      <c r="DI52" s="538"/>
      <c r="DJ52" s="538"/>
      <c r="DK52" s="538"/>
      <c r="DL52" s="538"/>
      <c r="DM52" s="538"/>
      <c r="DN52" s="538"/>
      <c r="DU52" s="538"/>
      <c r="DV52" s="538"/>
      <c r="DW52" s="538"/>
      <c r="DX52" s="538"/>
      <c r="DY52" s="538"/>
      <c r="DZ52" s="538"/>
      <c r="EA52" s="538"/>
      <c r="EB52" s="538"/>
      <c r="EC52" s="538"/>
      <c r="ED52" s="538"/>
      <c r="EE52" s="538"/>
      <c r="EF52" s="538"/>
      <c r="EG52" s="538"/>
      <c r="EH52" s="538"/>
      <c r="EI52" s="538"/>
      <c r="EJ52" s="538"/>
      <c r="EK52" s="538"/>
      <c r="EL52" s="538"/>
      <c r="EM52" s="538"/>
      <c r="EN52" s="538"/>
      <c r="EO52" s="538"/>
      <c r="EP52" s="538"/>
      <c r="EQ52" s="538"/>
      <c r="ER52" s="538"/>
      <c r="ES52" s="538"/>
      <c r="ET52" s="538"/>
      <c r="EU52" s="538"/>
      <c r="EV52" s="538"/>
      <c r="EW52" s="538"/>
      <c r="EX52" s="538"/>
      <c r="EY52" s="538"/>
      <c r="EZ52" s="538"/>
      <c r="FA52" s="538"/>
      <c r="FB52" s="538"/>
      <c r="FC52" s="538"/>
      <c r="FD52" s="538"/>
      <c r="FE52" s="538"/>
      <c r="FF52" s="538"/>
      <c r="FG52" s="538"/>
      <c r="FH52" s="538"/>
      <c r="FI52" s="538"/>
      <c r="FJ52" s="538"/>
      <c r="FK52" s="538"/>
      <c r="FL52" s="538"/>
      <c r="FM52" s="538"/>
      <c r="FN52" s="538"/>
      <c r="FO52" s="538"/>
      <c r="FP52" s="538"/>
      <c r="FQ52" s="542" t="s">
        <v>1597</v>
      </c>
      <c r="FR52" s="727">
        <v>0.75</v>
      </c>
      <c r="FS52" s="727">
        <f>FR52</f>
        <v>0.75</v>
      </c>
      <c r="FT52" s="727"/>
      <c r="FU52" s="542" t="s">
        <v>1602</v>
      </c>
      <c r="FV52" s="727">
        <v>0.39</v>
      </c>
      <c r="FW52" s="727"/>
      <c r="FX52" s="727"/>
      <c r="FY52" s="727"/>
      <c r="FZ52" s="727"/>
      <c r="GA52" s="727"/>
      <c r="GB52" s="727"/>
      <c r="GC52" s="727"/>
      <c r="GD52" s="727"/>
      <c r="GE52" s="727"/>
      <c r="GW52" s="1205" t="s">
        <v>592</v>
      </c>
      <c r="GX52" s="1205"/>
      <c r="GY52" s="1205"/>
      <c r="GZ52" s="731"/>
      <c r="HA52" s="1205" t="s">
        <v>2065</v>
      </c>
      <c r="HB52" s="1205"/>
      <c r="HC52" s="1205"/>
    </row>
    <row r="53" spans="2:211" ht="16">
      <c r="B53" s="734" t="s">
        <v>73</v>
      </c>
      <c r="C53" s="733" t="s">
        <v>1264</v>
      </c>
      <c r="D53" s="539">
        <v>31.32</v>
      </c>
      <c r="E53" s="539">
        <v>64.22</v>
      </c>
      <c r="F53" s="539">
        <v>474</v>
      </c>
      <c r="G53" s="539" t="s">
        <v>42</v>
      </c>
      <c r="H53" s="539">
        <v>-1.7</v>
      </c>
      <c r="I53" s="539">
        <v>11.3</v>
      </c>
      <c r="J53" s="539">
        <v>23</v>
      </c>
      <c r="K53" s="539">
        <v>33.1</v>
      </c>
      <c r="L53" s="539">
        <v>67</v>
      </c>
      <c r="M53" s="539">
        <v>64</v>
      </c>
      <c r="N53" s="539">
        <v>67</v>
      </c>
      <c r="O53" s="539">
        <v>10</v>
      </c>
      <c r="P53" s="539">
        <v>112</v>
      </c>
      <c r="Q53" s="734">
        <v>3</v>
      </c>
      <c r="R53" s="539">
        <v>22.6</v>
      </c>
      <c r="S53" s="734">
        <v>0.53</v>
      </c>
      <c r="T53" s="744">
        <v>26.9</v>
      </c>
      <c r="U53" s="744">
        <v>2.6</v>
      </c>
      <c r="V53" s="734">
        <v>160</v>
      </c>
      <c r="W53" s="734">
        <v>38</v>
      </c>
      <c r="X53" s="734">
        <v>1.0999999999999999E-2</v>
      </c>
      <c r="Y53" s="734">
        <v>0.02</v>
      </c>
      <c r="Z53" s="547">
        <v>130</v>
      </c>
      <c r="AA53" s="547">
        <f t="shared" si="0"/>
        <v>1.3</v>
      </c>
      <c r="AB53" s="734">
        <v>30</v>
      </c>
      <c r="AC53" s="538"/>
      <c r="AD53" s="733" t="str">
        <f t="shared" si="3"/>
        <v>CÓRDOBA AERO</v>
      </c>
      <c r="AE53" s="737">
        <v>23.8</v>
      </c>
      <c r="AF53" s="737">
        <v>22.8</v>
      </c>
      <c r="AG53" s="737">
        <v>21.2</v>
      </c>
      <c r="AH53" s="737">
        <v>17</v>
      </c>
      <c r="AI53" s="737">
        <v>13.9</v>
      </c>
      <c r="AJ53" s="737">
        <v>10.7</v>
      </c>
      <c r="AK53" s="737">
        <v>10.8</v>
      </c>
      <c r="AL53" s="737">
        <v>12.6</v>
      </c>
      <c r="AM53" s="737">
        <v>15</v>
      </c>
      <c r="AN53" s="737">
        <v>17.7</v>
      </c>
      <c r="AO53" s="737">
        <v>20.8</v>
      </c>
      <c r="AP53" s="737">
        <v>22.7</v>
      </c>
      <c r="AQ53" s="538"/>
      <c r="AR53" s="733" t="str">
        <f t="shared" si="1"/>
        <v>CD</v>
      </c>
      <c r="AS53" s="733" t="str">
        <f t="shared" si="4"/>
        <v>CÓRDOBA AERO</v>
      </c>
      <c r="AT53" s="731">
        <v>6</v>
      </c>
      <c r="AU53" s="731">
        <v>5.5</v>
      </c>
      <c r="AV53" s="731">
        <v>4.5</v>
      </c>
      <c r="AW53" s="731">
        <v>3.5</v>
      </c>
      <c r="AX53" s="731">
        <v>3</v>
      </c>
      <c r="AY53" s="731">
        <v>2</v>
      </c>
      <c r="AZ53" s="731">
        <v>2.5</v>
      </c>
      <c r="BA53" s="731">
        <v>3</v>
      </c>
      <c r="BB53" s="731">
        <v>4</v>
      </c>
      <c r="BC53" s="731">
        <v>5</v>
      </c>
      <c r="BD53" s="731">
        <v>5.5</v>
      </c>
      <c r="BE53" s="731">
        <v>6</v>
      </c>
      <c r="BG53" s="733" t="str">
        <f t="shared" si="5"/>
        <v>CD</v>
      </c>
      <c r="BH53" s="733" t="str">
        <f t="shared" si="6"/>
        <v>CÓRDOBA AERO</v>
      </c>
      <c r="BI53" s="731">
        <v>115</v>
      </c>
      <c r="BJ53" s="731">
        <v>110</v>
      </c>
      <c r="BK53" s="731">
        <v>101</v>
      </c>
      <c r="BL53" s="731">
        <v>45</v>
      </c>
      <c r="BM53" s="731">
        <v>23</v>
      </c>
      <c r="BN53" s="731">
        <v>12</v>
      </c>
      <c r="BO53" s="731">
        <v>11</v>
      </c>
      <c r="BP53" s="731">
        <v>11</v>
      </c>
      <c r="BQ53" s="731">
        <v>31</v>
      </c>
      <c r="BR53" s="731">
        <v>76</v>
      </c>
      <c r="BS53" s="731">
        <v>95</v>
      </c>
      <c r="BT53" s="731">
        <v>118</v>
      </c>
      <c r="CY53" s="538"/>
      <c r="CZ53" s="538"/>
      <c r="DA53" s="538"/>
      <c r="DB53" s="538"/>
      <c r="DC53" s="538"/>
      <c r="DD53" s="538"/>
      <c r="DE53" s="538"/>
      <c r="DF53" s="538"/>
      <c r="DG53" s="538"/>
      <c r="DH53" s="538"/>
      <c r="DI53" s="538"/>
      <c r="DJ53" s="538"/>
      <c r="DK53" s="538"/>
      <c r="DL53" s="538"/>
      <c r="DM53" s="538"/>
      <c r="DN53" s="538"/>
      <c r="DU53" s="538"/>
      <c r="DV53" s="538"/>
      <c r="DW53" s="538"/>
      <c r="DX53" s="538"/>
      <c r="DY53" s="538"/>
      <c r="DZ53" s="538"/>
      <c r="EA53" s="538"/>
      <c r="EB53" s="538"/>
      <c r="EC53" s="538"/>
      <c r="ED53" s="538"/>
      <c r="EE53" s="538"/>
      <c r="EF53" s="538"/>
      <c r="EG53" s="538"/>
      <c r="EH53" s="538"/>
      <c r="EI53" s="538"/>
      <c r="EJ53" s="538"/>
      <c r="EK53" s="538"/>
      <c r="EL53" s="538"/>
      <c r="EM53" s="538"/>
      <c r="EN53" s="538"/>
      <c r="EO53" s="538"/>
      <c r="EP53" s="538"/>
      <c r="EQ53" s="538"/>
      <c r="ER53" s="538"/>
      <c r="ES53" s="538"/>
      <c r="ET53" s="538"/>
      <c r="EU53" s="538"/>
      <c r="EV53" s="538"/>
      <c r="EW53" s="538"/>
      <c r="EX53" s="538"/>
      <c r="EY53" s="538"/>
      <c r="EZ53" s="538"/>
      <c r="FA53" s="538"/>
      <c r="FB53" s="538"/>
      <c r="FC53" s="538"/>
      <c r="FD53" s="538"/>
      <c r="FE53" s="538"/>
      <c r="FF53" s="538"/>
      <c r="FG53" s="538"/>
      <c r="FH53" s="538"/>
      <c r="FI53" s="538"/>
      <c r="FJ53" s="538"/>
      <c r="FK53" s="538"/>
      <c r="FL53" s="538"/>
      <c r="FM53" s="538"/>
      <c r="FN53" s="538"/>
      <c r="FO53" s="538"/>
      <c r="FP53" s="538"/>
      <c r="FQ53" s="542" t="s">
        <v>1610</v>
      </c>
      <c r="FR53" s="727">
        <v>0.36</v>
      </c>
      <c r="FS53" s="727">
        <f t="shared" ref="FS53:FS54" si="9">FR53</f>
        <v>0.36</v>
      </c>
      <c r="FT53" s="727"/>
      <c r="FU53" s="542" t="s">
        <v>1594</v>
      </c>
      <c r="FV53" s="727">
        <v>0.96</v>
      </c>
      <c r="FW53" s="727"/>
      <c r="FX53" s="727"/>
      <c r="FY53" s="727"/>
      <c r="FZ53" s="727"/>
      <c r="GA53" s="727"/>
      <c r="GB53" s="727"/>
      <c r="GC53" s="727"/>
      <c r="GD53" s="727"/>
      <c r="GE53" s="727"/>
      <c r="GW53" s="731"/>
      <c r="GX53" s="731" t="s">
        <v>2064</v>
      </c>
      <c r="GY53" s="740" t="s">
        <v>644</v>
      </c>
      <c r="GZ53" s="731"/>
      <c r="HA53" s="731"/>
      <c r="HB53" s="731" t="s">
        <v>2064</v>
      </c>
      <c r="HC53" s="731" t="s">
        <v>1218</v>
      </c>
    </row>
    <row r="54" spans="2:211" ht="16">
      <c r="B54" s="734" t="s">
        <v>73</v>
      </c>
      <c r="C54" s="733" t="s">
        <v>1265</v>
      </c>
      <c r="D54" s="539">
        <v>31.4</v>
      </c>
      <c r="E54" s="539">
        <v>64.180000000000007</v>
      </c>
      <c r="F54" s="539">
        <v>425</v>
      </c>
      <c r="G54" s="539" t="s">
        <v>42</v>
      </c>
      <c r="H54" s="539">
        <v>-0.3</v>
      </c>
      <c r="I54" s="539">
        <v>12</v>
      </c>
      <c r="J54" s="539">
        <v>23.4</v>
      </c>
      <c r="K54" s="539">
        <v>34.200000000000003</v>
      </c>
      <c r="L54" s="539">
        <v>61</v>
      </c>
      <c r="M54" s="539">
        <v>60</v>
      </c>
      <c r="N54" s="539">
        <v>61</v>
      </c>
      <c r="O54" s="539">
        <v>10</v>
      </c>
      <c r="P54" s="539">
        <v>107</v>
      </c>
      <c r="Q54" s="734">
        <v>3</v>
      </c>
      <c r="R54" s="539">
        <v>23.4</v>
      </c>
      <c r="S54" s="734">
        <v>0.53</v>
      </c>
      <c r="T54" s="744">
        <v>26.9</v>
      </c>
      <c r="U54" s="744">
        <v>2.6</v>
      </c>
      <c r="V54" s="734">
        <v>160</v>
      </c>
      <c r="W54" s="734">
        <v>38</v>
      </c>
      <c r="X54" s="734">
        <v>1.0999999999999999E-2</v>
      </c>
      <c r="Y54" s="734">
        <v>0.02</v>
      </c>
      <c r="Z54" s="547">
        <v>130</v>
      </c>
      <c r="AA54" s="547">
        <f t="shared" si="0"/>
        <v>1.3</v>
      </c>
      <c r="AB54" s="734">
        <v>30</v>
      </c>
      <c r="AC54" s="538"/>
      <c r="AD54" s="733" t="str">
        <f t="shared" si="3"/>
        <v>CÓRDOBA</v>
      </c>
      <c r="AE54" s="737">
        <v>24.5</v>
      </c>
      <c r="AF54" s="737">
        <v>23</v>
      </c>
      <c r="AG54" s="737">
        <v>22</v>
      </c>
      <c r="AH54" s="737">
        <v>18.3</v>
      </c>
      <c r="AI54" s="737">
        <v>14.5</v>
      </c>
      <c r="AJ54" s="737">
        <v>12.2</v>
      </c>
      <c r="AK54" s="737">
        <v>11.5</v>
      </c>
      <c r="AL54" s="737">
        <v>13.5</v>
      </c>
      <c r="AM54" s="737">
        <v>15.8</v>
      </c>
      <c r="AN54" s="737">
        <v>19.3</v>
      </c>
      <c r="AO54" s="737">
        <v>21</v>
      </c>
      <c r="AP54" s="737">
        <v>23.8</v>
      </c>
      <c r="AQ54" s="538"/>
      <c r="AR54" s="733" t="str">
        <f t="shared" si="1"/>
        <v>CD</v>
      </c>
      <c r="AS54" s="733" t="str">
        <f t="shared" si="4"/>
        <v>CÓRDOBA</v>
      </c>
      <c r="AT54" s="731">
        <v>6</v>
      </c>
      <c r="AU54" s="731">
        <v>5.5</v>
      </c>
      <c r="AV54" s="731">
        <v>4.5</v>
      </c>
      <c r="AW54" s="731">
        <v>3.5</v>
      </c>
      <c r="AX54" s="731">
        <v>3</v>
      </c>
      <c r="AY54" s="731">
        <v>2</v>
      </c>
      <c r="AZ54" s="731">
        <v>2.5</v>
      </c>
      <c r="BA54" s="731">
        <v>3</v>
      </c>
      <c r="BB54" s="731">
        <v>4</v>
      </c>
      <c r="BC54" s="731">
        <v>5</v>
      </c>
      <c r="BD54" s="731">
        <v>5.5</v>
      </c>
      <c r="BE54" s="731">
        <v>6</v>
      </c>
      <c r="BG54" s="733" t="str">
        <f t="shared" si="5"/>
        <v>CD</v>
      </c>
      <c r="BH54" s="733" t="str">
        <f t="shared" si="6"/>
        <v>CÓRDOBA</v>
      </c>
      <c r="BI54" s="731">
        <v>115</v>
      </c>
      <c r="BJ54" s="731">
        <v>110</v>
      </c>
      <c r="BK54" s="731">
        <v>101</v>
      </c>
      <c r="BL54" s="731">
        <v>45</v>
      </c>
      <c r="BM54" s="731">
        <v>23</v>
      </c>
      <c r="BN54" s="731">
        <v>12</v>
      </c>
      <c r="BO54" s="731">
        <v>11</v>
      </c>
      <c r="BP54" s="731">
        <v>11</v>
      </c>
      <c r="BQ54" s="731">
        <v>31</v>
      </c>
      <c r="BR54" s="731">
        <v>76</v>
      </c>
      <c r="BS54" s="731">
        <v>95</v>
      </c>
      <c r="BT54" s="731">
        <v>118</v>
      </c>
      <c r="CY54" s="538"/>
      <c r="DB54" s="538"/>
      <c r="DC54" s="538"/>
      <c r="DD54" s="538"/>
      <c r="DE54" s="538"/>
      <c r="DF54" s="538"/>
      <c r="DG54" s="538"/>
      <c r="DH54" s="538"/>
      <c r="DI54" s="538"/>
      <c r="DJ54" s="538"/>
      <c r="DK54" s="538"/>
      <c r="DL54" s="538"/>
      <c r="DM54" s="538"/>
      <c r="DN54" s="538"/>
      <c r="DU54" s="538"/>
      <c r="DV54" s="538"/>
      <c r="DW54" s="538"/>
      <c r="DX54" s="538"/>
      <c r="DY54" s="538"/>
      <c r="DZ54" s="538"/>
      <c r="EA54" s="538"/>
      <c r="EB54" s="538"/>
      <c r="EC54" s="538"/>
      <c r="ED54" s="538"/>
      <c r="EE54" s="538"/>
      <c r="EF54" s="538"/>
      <c r="EG54" s="538"/>
      <c r="EH54" s="538"/>
      <c r="EI54" s="538"/>
      <c r="EJ54" s="538"/>
      <c r="EK54" s="538"/>
      <c r="EL54" s="538"/>
      <c r="EM54" s="538"/>
      <c r="EN54" s="538"/>
      <c r="EO54" s="538"/>
      <c r="EP54" s="538"/>
      <c r="EQ54" s="538"/>
      <c r="ER54" s="538"/>
      <c r="ES54" s="538"/>
      <c r="ET54" s="538"/>
      <c r="EU54" s="538"/>
      <c r="EV54" s="538"/>
      <c r="EW54" s="538"/>
      <c r="EX54" s="538"/>
      <c r="EY54" s="538"/>
      <c r="EZ54" s="538"/>
      <c r="FA54" s="538"/>
      <c r="FB54" s="538"/>
      <c r="FC54" s="538"/>
      <c r="FD54" s="538"/>
      <c r="FE54" s="538"/>
      <c r="FF54" s="538"/>
      <c r="FG54" s="538"/>
      <c r="FH54" s="538"/>
      <c r="FI54" s="538"/>
      <c r="FJ54" s="538"/>
      <c r="FK54" s="538"/>
      <c r="FL54" s="538"/>
      <c r="FM54" s="538"/>
      <c r="FN54" s="538"/>
      <c r="FO54" s="538"/>
      <c r="FP54" s="538"/>
      <c r="FQ54" s="542" t="s">
        <v>1611</v>
      </c>
      <c r="FR54" s="727">
        <v>0.4</v>
      </c>
      <c r="FS54" s="727">
        <f t="shared" si="9"/>
        <v>0.4</v>
      </c>
      <c r="FT54" s="727"/>
      <c r="FU54" s="542" t="s">
        <v>1587</v>
      </c>
      <c r="FV54" s="727">
        <v>0.54</v>
      </c>
      <c r="FW54" s="727"/>
      <c r="FX54" s="727"/>
      <c r="FY54" s="727"/>
      <c r="FZ54" s="727"/>
      <c r="GA54" s="727"/>
      <c r="GB54" s="727"/>
      <c r="GC54" s="727"/>
      <c r="GD54" s="727"/>
      <c r="GE54" s="727"/>
      <c r="GW54" s="731" t="s">
        <v>218</v>
      </c>
      <c r="GX54" s="731" t="s">
        <v>1216</v>
      </c>
      <c r="GY54" s="548" t="s">
        <v>726</v>
      </c>
      <c r="GZ54" s="731"/>
      <c r="HA54" s="731"/>
      <c r="HB54" s="731"/>
      <c r="HC54" s="731"/>
    </row>
    <row r="55" spans="2:211" ht="16">
      <c r="B55" s="734" t="s">
        <v>73</v>
      </c>
      <c r="C55" s="733" t="s">
        <v>75</v>
      </c>
      <c r="D55" s="539">
        <v>30.75</v>
      </c>
      <c r="E55" s="539">
        <v>64.75</v>
      </c>
      <c r="F55" s="539">
        <v>515</v>
      </c>
      <c r="G55" s="539" t="s">
        <v>69</v>
      </c>
      <c r="H55" s="539">
        <v>1.3</v>
      </c>
      <c r="I55" s="539">
        <v>13</v>
      </c>
      <c r="J55" s="539">
        <v>24.9</v>
      </c>
      <c r="K55" s="539">
        <v>36.1</v>
      </c>
      <c r="L55" s="539">
        <v>59</v>
      </c>
      <c r="M55" s="539">
        <v>63</v>
      </c>
      <c r="N55" s="539">
        <v>59</v>
      </c>
      <c r="O55" s="539">
        <v>9</v>
      </c>
      <c r="P55" s="539">
        <v>82</v>
      </c>
      <c r="Q55" s="734">
        <v>2</v>
      </c>
      <c r="R55" s="539">
        <v>25.2</v>
      </c>
      <c r="S55" s="734">
        <v>0.51</v>
      </c>
      <c r="T55" s="744">
        <v>26.9</v>
      </c>
      <c r="U55" s="744">
        <v>2.6</v>
      </c>
      <c r="V55" s="734">
        <v>160</v>
      </c>
      <c r="W55" s="734">
        <v>38</v>
      </c>
      <c r="X55" s="734">
        <v>1.0999999999999999E-2</v>
      </c>
      <c r="Y55" s="734">
        <v>0.02</v>
      </c>
      <c r="Z55" s="547">
        <v>145</v>
      </c>
      <c r="AA55" s="547">
        <f t="shared" si="0"/>
        <v>1.45</v>
      </c>
      <c r="AB55" s="734">
        <v>30</v>
      </c>
      <c r="AC55" s="538"/>
      <c r="AD55" s="733" t="str">
        <f t="shared" si="3"/>
        <v>DIQUE CRUZ DEL EJE</v>
      </c>
      <c r="AE55" s="737">
        <v>24.6</v>
      </c>
      <c r="AF55" s="737">
        <v>23.4</v>
      </c>
      <c r="AG55" s="737">
        <v>20.7</v>
      </c>
      <c r="AH55" s="737">
        <v>17.8</v>
      </c>
      <c r="AI55" s="737">
        <v>14.8</v>
      </c>
      <c r="AJ55" s="737">
        <v>11.9</v>
      </c>
      <c r="AK55" s="737">
        <v>11.3</v>
      </c>
      <c r="AL55" s="737">
        <v>13.2</v>
      </c>
      <c r="AM55" s="737">
        <v>16.2</v>
      </c>
      <c r="AN55" s="737">
        <v>19.100000000000001</v>
      </c>
      <c r="AO55" s="737">
        <v>21.6</v>
      </c>
      <c r="AP55" s="737">
        <v>24.1</v>
      </c>
      <c r="AQ55" s="538"/>
      <c r="AR55" s="733" t="str">
        <f t="shared" si="1"/>
        <v>CD</v>
      </c>
      <c r="AS55" s="733" t="str">
        <f t="shared" si="4"/>
        <v>DIQUE CRUZ DEL EJE</v>
      </c>
      <c r="AT55" s="731">
        <v>6</v>
      </c>
      <c r="AU55" s="731">
        <v>5.5</v>
      </c>
      <c r="AV55" s="731">
        <v>4</v>
      </c>
      <c r="AW55" s="731">
        <v>3.5</v>
      </c>
      <c r="AX55" s="731">
        <v>3</v>
      </c>
      <c r="AY55" s="731">
        <v>2.5</v>
      </c>
      <c r="AZ55" s="731">
        <v>2.5</v>
      </c>
      <c r="BA55" s="731">
        <v>3</v>
      </c>
      <c r="BB55" s="731">
        <v>4</v>
      </c>
      <c r="BC55" s="731">
        <v>5</v>
      </c>
      <c r="BD55" s="731">
        <v>5.5</v>
      </c>
      <c r="BE55" s="731">
        <v>6</v>
      </c>
      <c r="BG55" s="733" t="str">
        <f t="shared" si="5"/>
        <v>CD</v>
      </c>
      <c r="BH55" s="733" t="str">
        <f t="shared" si="6"/>
        <v>DIQUE CRUZ DEL EJE</v>
      </c>
      <c r="BI55" s="731">
        <v>115</v>
      </c>
      <c r="BJ55" s="731">
        <v>110</v>
      </c>
      <c r="BK55" s="731">
        <v>101</v>
      </c>
      <c r="BL55" s="731">
        <v>45</v>
      </c>
      <c r="BM55" s="731">
        <v>23</v>
      </c>
      <c r="BN55" s="731">
        <v>12</v>
      </c>
      <c r="BO55" s="731">
        <v>11</v>
      </c>
      <c r="BP55" s="731">
        <v>11</v>
      </c>
      <c r="BQ55" s="731">
        <v>31</v>
      </c>
      <c r="BR55" s="731">
        <v>76</v>
      </c>
      <c r="BS55" s="731">
        <v>95</v>
      </c>
      <c r="BT55" s="731">
        <v>118</v>
      </c>
      <c r="CY55" s="538"/>
      <c r="DB55" s="538"/>
      <c r="DC55" s="538"/>
      <c r="DD55" s="538"/>
      <c r="DE55" s="538"/>
      <c r="DF55" s="538"/>
      <c r="DG55" s="538"/>
      <c r="DH55" s="538"/>
      <c r="DI55" s="538"/>
      <c r="DJ55" s="538"/>
      <c r="DK55" s="538"/>
      <c r="DL55" s="538"/>
      <c r="DM55" s="538"/>
      <c r="DN55" s="538"/>
      <c r="DU55" s="538"/>
      <c r="DV55" s="538"/>
      <c r="DW55" s="538"/>
      <c r="DX55" s="538"/>
      <c r="DY55" s="538"/>
      <c r="DZ55" s="538"/>
      <c r="EA55" s="538"/>
      <c r="EB55" s="538"/>
      <c r="EC55" s="538"/>
      <c r="ED55" s="538"/>
      <c r="EE55" s="538"/>
      <c r="EF55" s="538"/>
      <c r="EG55" s="538"/>
      <c r="EH55" s="538"/>
      <c r="EI55" s="538"/>
      <c r="EJ55" s="538"/>
      <c r="EK55" s="538"/>
      <c r="EL55" s="538"/>
      <c r="EM55" s="538"/>
      <c r="EN55" s="538"/>
      <c r="EO55" s="538"/>
      <c r="EP55" s="538"/>
      <c r="EQ55" s="538"/>
      <c r="ER55" s="538"/>
      <c r="ES55" s="538"/>
      <c r="ET55" s="538"/>
      <c r="EU55" s="538"/>
      <c r="EV55" s="538"/>
      <c r="EW55" s="538"/>
      <c r="EX55" s="538"/>
      <c r="EY55" s="538"/>
      <c r="EZ55" s="538"/>
      <c r="FA55" s="538"/>
      <c r="FB55" s="538"/>
      <c r="FC55" s="538"/>
      <c r="FD55" s="538"/>
      <c r="FE55" s="538"/>
      <c r="FF55" s="538"/>
      <c r="FG55" s="538"/>
      <c r="FH55" s="538"/>
      <c r="FI55" s="538"/>
      <c r="FJ55" s="538"/>
      <c r="FK55" s="538"/>
      <c r="FL55" s="538"/>
      <c r="FM55" s="538"/>
      <c r="FN55" s="538"/>
      <c r="FO55" s="538"/>
      <c r="FP55" s="538"/>
      <c r="FQ55" s="542" t="s">
        <v>1584</v>
      </c>
      <c r="FR55" s="727">
        <v>0.97</v>
      </c>
      <c r="FS55" s="727">
        <f>FR55</f>
        <v>0.97</v>
      </c>
      <c r="FT55" s="727"/>
      <c r="FU55" s="542" t="s">
        <v>1588</v>
      </c>
      <c r="FV55" s="727">
        <v>0.60799999999999998</v>
      </c>
      <c r="FW55" s="727"/>
      <c r="FX55" s="727"/>
      <c r="FY55" s="727"/>
      <c r="FZ55" s="727"/>
      <c r="GA55" s="727"/>
      <c r="GB55" s="727"/>
      <c r="GC55" s="727"/>
      <c r="GD55" s="727"/>
      <c r="GE55" s="727"/>
      <c r="GW55" s="731" t="s">
        <v>219</v>
      </c>
      <c r="GX55" s="731" t="s">
        <v>1216</v>
      </c>
      <c r="GY55" s="548" t="s">
        <v>726</v>
      </c>
      <c r="GZ55" s="731"/>
      <c r="HA55" s="731"/>
      <c r="HB55" s="731"/>
      <c r="HC55" s="731"/>
    </row>
    <row r="56" spans="2:211" ht="16">
      <c r="B56" s="734" t="s">
        <v>73</v>
      </c>
      <c r="C56" s="733" t="s">
        <v>76</v>
      </c>
      <c r="D56" s="539">
        <v>31.88</v>
      </c>
      <c r="E56" s="539">
        <v>65.03</v>
      </c>
      <c r="F56" s="539">
        <v>838</v>
      </c>
      <c r="G56" s="539" t="s">
        <v>42</v>
      </c>
      <c r="H56" s="539">
        <v>-1.6</v>
      </c>
      <c r="I56" s="539">
        <v>10.7</v>
      </c>
      <c r="J56" s="539">
        <v>22.4</v>
      </c>
      <c r="K56" s="539">
        <v>33.5</v>
      </c>
      <c r="L56" s="539">
        <v>62</v>
      </c>
      <c r="M56" s="539">
        <v>61</v>
      </c>
      <c r="N56" s="539">
        <v>62</v>
      </c>
      <c r="O56" s="539">
        <v>10</v>
      </c>
      <c r="P56" s="539">
        <v>103</v>
      </c>
      <c r="Q56" s="734">
        <v>3</v>
      </c>
      <c r="R56" s="539">
        <v>22.1</v>
      </c>
      <c r="S56" s="734">
        <v>0.53</v>
      </c>
      <c r="T56" s="744">
        <v>26.9</v>
      </c>
      <c r="U56" s="744">
        <v>2.6</v>
      </c>
      <c r="V56" s="734">
        <v>160</v>
      </c>
      <c r="W56" s="734">
        <v>38</v>
      </c>
      <c r="X56" s="734">
        <v>1.0999999999999999E-2</v>
      </c>
      <c r="Y56" s="734">
        <v>0.02</v>
      </c>
      <c r="Z56" s="547">
        <v>130</v>
      </c>
      <c r="AA56" s="547">
        <f t="shared" si="0"/>
        <v>1.3</v>
      </c>
      <c r="AB56" s="734">
        <v>30</v>
      </c>
      <c r="AC56" s="538"/>
      <c r="AD56" s="733" t="str">
        <f t="shared" si="3"/>
        <v>DIQUE LA VIÑA</v>
      </c>
      <c r="AE56" s="737">
        <v>23.3</v>
      </c>
      <c r="AF56" s="737">
        <v>22.5</v>
      </c>
      <c r="AG56" s="737">
        <v>19.5</v>
      </c>
      <c r="AH56" s="737">
        <v>16.399999999999999</v>
      </c>
      <c r="AI56" s="737">
        <v>13.1</v>
      </c>
      <c r="AJ56" s="737">
        <v>10.3</v>
      </c>
      <c r="AK56" s="737">
        <v>9.8000000000000007</v>
      </c>
      <c r="AL56" s="737">
        <v>11.2</v>
      </c>
      <c r="AM56" s="737">
        <v>13.9</v>
      </c>
      <c r="AN56" s="737">
        <v>16.899999999999999</v>
      </c>
      <c r="AO56" s="737">
        <v>19.899999999999999</v>
      </c>
      <c r="AP56" s="737">
        <v>22.9</v>
      </c>
      <c r="AQ56" s="538"/>
      <c r="AR56" s="733" t="str">
        <f t="shared" si="1"/>
        <v>CD</v>
      </c>
      <c r="AS56" s="733" t="str">
        <f t="shared" si="4"/>
        <v>DIQUE LA VIÑA</v>
      </c>
      <c r="AT56" s="731">
        <v>6</v>
      </c>
      <c r="AU56" s="731">
        <v>5</v>
      </c>
      <c r="AV56" s="731">
        <v>4</v>
      </c>
      <c r="AW56" s="731">
        <v>3.5</v>
      </c>
      <c r="AX56" s="731">
        <v>3</v>
      </c>
      <c r="AY56" s="731">
        <v>2</v>
      </c>
      <c r="AZ56" s="731">
        <v>2.5</v>
      </c>
      <c r="BA56" s="731">
        <v>3.5</v>
      </c>
      <c r="BB56" s="731">
        <v>4</v>
      </c>
      <c r="BC56" s="731">
        <v>5</v>
      </c>
      <c r="BD56" s="731">
        <v>6</v>
      </c>
      <c r="BE56" s="731">
        <v>6</v>
      </c>
      <c r="BG56" s="733" t="str">
        <f t="shared" si="5"/>
        <v>CD</v>
      </c>
      <c r="BH56" s="733" t="str">
        <f t="shared" si="6"/>
        <v>DIQUE LA VIÑA</v>
      </c>
      <c r="BI56" s="731">
        <v>115</v>
      </c>
      <c r="BJ56" s="731">
        <v>110</v>
      </c>
      <c r="BK56" s="731">
        <v>101</v>
      </c>
      <c r="BL56" s="731">
        <v>45</v>
      </c>
      <c r="BM56" s="731">
        <v>23</v>
      </c>
      <c r="BN56" s="731">
        <v>12</v>
      </c>
      <c r="BO56" s="731">
        <v>11</v>
      </c>
      <c r="BP56" s="731">
        <v>11</v>
      </c>
      <c r="BQ56" s="731">
        <v>31</v>
      </c>
      <c r="BR56" s="731">
        <v>76</v>
      </c>
      <c r="BS56" s="731">
        <v>95</v>
      </c>
      <c r="BT56" s="731">
        <v>118</v>
      </c>
      <c r="CY56" s="538"/>
      <c r="DB56" s="538"/>
      <c r="DC56" s="538"/>
      <c r="DD56" s="538"/>
      <c r="DE56" s="538"/>
      <c r="DF56" s="538"/>
      <c r="DG56" s="538"/>
      <c r="DH56" s="538"/>
      <c r="DI56" s="538"/>
      <c r="DJ56" s="538"/>
      <c r="DK56" s="538"/>
      <c r="DL56" s="538"/>
      <c r="DM56" s="538"/>
      <c r="DN56" s="538"/>
      <c r="DU56" s="538"/>
      <c r="DV56" s="538"/>
      <c r="DW56" s="538"/>
      <c r="DX56" s="538"/>
      <c r="DY56" s="538"/>
      <c r="DZ56" s="538"/>
      <c r="EA56" s="538"/>
      <c r="EB56" s="538"/>
      <c r="EC56" s="538"/>
      <c r="ED56" s="538"/>
      <c r="EE56" s="538"/>
      <c r="EF56" s="538"/>
      <c r="EG56" s="538"/>
      <c r="EH56" s="538"/>
      <c r="EI56" s="538"/>
      <c r="EJ56" s="538"/>
      <c r="EK56" s="538"/>
      <c r="EL56" s="538"/>
      <c r="EM56" s="538"/>
      <c r="EN56" s="538"/>
      <c r="EO56" s="538"/>
      <c r="EP56" s="538"/>
      <c r="EQ56" s="538"/>
      <c r="ER56" s="538"/>
      <c r="ES56" s="538"/>
      <c r="ET56" s="538"/>
      <c r="EU56" s="538"/>
      <c r="EV56" s="538"/>
      <c r="EW56" s="538"/>
      <c r="EX56" s="538"/>
      <c r="EY56" s="538"/>
      <c r="EZ56" s="538"/>
      <c r="FA56" s="538"/>
      <c r="FB56" s="538"/>
      <c r="FC56" s="538"/>
      <c r="FD56" s="538"/>
      <c r="FE56" s="538"/>
      <c r="FF56" s="538"/>
      <c r="FG56" s="538"/>
      <c r="FH56" s="538"/>
      <c r="FI56" s="538"/>
      <c r="FJ56" s="538"/>
      <c r="FK56" s="538"/>
      <c r="FL56" s="538"/>
      <c r="FM56" s="538"/>
      <c r="FN56" s="538"/>
      <c r="FO56" s="538"/>
      <c r="FP56" s="538"/>
      <c r="FQ56" s="542" t="s">
        <v>1603</v>
      </c>
      <c r="FR56" s="727">
        <v>0.36</v>
      </c>
      <c r="FS56" s="727">
        <f>FR56</f>
        <v>0.36</v>
      </c>
      <c r="FT56" s="727"/>
      <c r="FU56" s="542" t="s">
        <v>1605</v>
      </c>
      <c r="FV56" s="727">
        <v>0.85</v>
      </c>
      <c r="FW56" s="727"/>
      <c r="FX56" s="727"/>
      <c r="FY56" s="727"/>
      <c r="FZ56" s="727"/>
      <c r="GA56" s="727"/>
      <c r="GB56" s="727"/>
      <c r="GC56" s="727"/>
      <c r="GD56" s="727"/>
      <c r="GE56" s="727"/>
      <c r="GW56" s="731" t="s">
        <v>593</v>
      </c>
      <c r="GX56" s="731" t="s">
        <v>1216</v>
      </c>
      <c r="GZ56" s="731"/>
      <c r="HA56" s="731"/>
      <c r="HB56" s="731"/>
      <c r="HC56" s="731"/>
    </row>
    <row r="57" spans="2:211" ht="16">
      <c r="B57" s="734" t="s">
        <v>73</v>
      </c>
      <c r="C57" s="733" t="s">
        <v>77</v>
      </c>
      <c r="D57" s="539">
        <v>30.33</v>
      </c>
      <c r="E57" s="539">
        <v>64</v>
      </c>
      <c r="F57" s="539">
        <v>600</v>
      </c>
      <c r="G57" s="539" t="s">
        <v>78</v>
      </c>
      <c r="H57" s="539">
        <v>-0.3</v>
      </c>
      <c r="I57" s="539">
        <v>11.2</v>
      </c>
      <c r="J57" s="539">
        <v>22.5</v>
      </c>
      <c r="K57" s="539">
        <v>33.799999999999997</v>
      </c>
      <c r="L57" s="539">
        <v>66</v>
      </c>
      <c r="M57" s="539">
        <v>66</v>
      </c>
      <c r="N57" s="539">
        <v>66</v>
      </c>
      <c r="O57" s="539">
        <v>14</v>
      </c>
      <c r="P57" s="539">
        <v>112</v>
      </c>
      <c r="Q57" s="734">
        <v>2</v>
      </c>
      <c r="R57" s="539">
        <v>22.4</v>
      </c>
      <c r="S57" s="734">
        <v>0.51</v>
      </c>
      <c r="T57" s="744">
        <v>26.9</v>
      </c>
      <c r="U57" s="744">
        <v>2.6</v>
      </c>
      <c r="V57" s="734">
        <v>160</v>
      </c>
      <c r="W57" s="734">
        <v>38</v>
      </c>
      <c r="X57" s="734">
        <v>1.0999999999999999E-2</v>
      </c>
      <c r="Y57" s="734">
        <v>0.02</v>
      </c>
      <c r="Z57" s="547">
        <v>130</v>
      </c>
      <c r="AA57" s="547">
        <f t="shared" si="0"/>
        <v>1.3</v>
      </c>
      <c r="AB57" s="734">
        <v>30</v>
      </c>
      <c r="AC57" s="538"/>
      <c r="AD57" s="733" t="str">
        <f t="shared" si="3"/>
        <v>DIQUE PISCO HUASI</v>
      </c>
      <c r="AE57" s="737">
        <v>22.2</v>
      </c>
      <c r="AF57" s="737">
        <v>21.3</v>
      </c>
      <c r="AG57" s="737">
        <v>18.7</v>
      </c>
      <c r="AH57" s="737">
        <v>15.6</v>
      </c>
      <c r="AI57" s="737">
        <v>13</v>
      </c>
      <c r="AJ57" s="737">
        <v>10.3</v>
      </c>
      <c r="AK57" s="737">
        <v>9.9</v>
      </c>
      <c r="AL57" s="737">
        <v>11.6</v>
      </c>
      <c r="AM57" s="737">
        <v>14.2</v>
      </c>
      <c r="AN57" s="737">
        <v>16.8</v>
      </c>
      <c r="AO57" s="737">
        <v>19.100000000000001</v>
      </c>
      <c r="AP57" s="737">
        <v>21.7</v>
      </c>
      <c r="AQ57" s="538"/>
      <c r="AR57" s="733" t="str">
        <f t="shared" si="1"/>
        <v>CD</v>
      </c>
      <c r="AS57" s="733" t="str">
        <f t="shared" si="4"/>
        <v>DIQUE PISCO HUASI</v>
      </c>
      <c r="AT57" s="731">
        <v>6</v>
      </c>
      <c r="AU57" s="731">
        <v>5.5</v>
      </c>
      <c r="AV57" s="731">
        <v>4</v>
      </c>
      <c r="AW57" s="731">
        <v>3.5</v>
      </c>
      <c r="AX57" s="731">
        <v>3</v>
      </c>
      <c r="AY57" s="731">
        <v>2.5</v>
      </c>
      <c r="AZ57" s="731">
        <v>2.5</v>
      </c>
      <c r="BA57" s="731">
        <v>3</v>
      </c>
      <c r="BB57" s="731">
        <v>4</v>
      </c>
      <c r="BC57" s="731">
        <v>5</v>
      </c>
      <c r="BD57" s="731">
        <v>5.5</v>
      </c>
      <c r="BE57" s="731">
        <v>6</v>
      </c>
      <c r="BG57" s="733" t="str">
        <f t="shared" si="5"/>
        <v>CD</v>
      </c>
      <c r="BH57" s="733" t="str">
        <f t="shared" si="6"/>
        <v>DIQUE PISCO HUASI</v>
      </c>
      <c r="BI57" s="731">
        <v>115</v>
      </c>
      <c r="BJ57" s="731">
        <v>110</v>
      </c>
      <c r="BK57" s="731">
        <v>101</v>
      </c>
      <c r="BL57" s="731">
        <v>45</v>
      </c>
      <c r="BM57" s="731">
        <v>23</v>
      </c>
      <c r="BN57" s="731">
        <v>12</v>
      </c>
      <c r="BO57" s="731">
        <v>11</v>
      </c>
      <c r="BP57" s="731">
        <v>11</v>
      </c>
      <c r="BQ57" s="731">
        <v>31</v>
      </c>
      <c r="BR57" s="731">
        <v>76</v>
      </c>
      <c r="BS57" s="731">
        <v>95</v>
      </c>
      <c r="BT57" s="731">
        <v>118</v>
      </c>
      <c r="CY57" s="538"/>
      <c r="DB57" s="538"/>
      <c r="DC57" s="538"/>
      <c r="DD57" s="538"/>
      <c r="DE57" s="538"/>
      <c r="DF57" s="538"/>
      <c r="DG57" s="538"/>
      <c r="DH57" s="538"/>
      <c r="DI57" s="538"/>
      <c r="DJ57" s="538"/>
      <c r="DK57" s="538"/>
      <c r="DL57" s="538"/>
      <c r="DM57" s="538"/>
      <c r="DN57" s="538"/>
      <c r="DU57" s="538"/>
      <c r="DV57" s="538"/>
      <c r="DW57" s="538"/>
      <c r="DX57" s="538"/>
      <c r="DY57" s="538"/>
      <c r="DZ57" s="538"/>
      <c r="EA57" s="538"/>
      <c r="EB57" s="538"/>
      <c r="EC57" s="538"/>
      <c r="ED57" s="538"/>
      <c r="EE57" s="538"/>
      <c r="EF57" s="538"/>
      <c r="EG57" s="538"/>
      <c r="EH57" s="538"/>
      <c r="EI57" s="538"/>
      <c r="EJ57" s="538"/>
      <c r="EK57" s="538"/>
      <c r="EL57" s="538"/>
      <c r="EM57" s="538"/>
      <c r="EN57" s="538"/>
      <c r="EO57" s="538"/>
      <c r="EP57" s="538"/>
      <c r="EQ57" s="538"/>
      <c r="ER57" s="538"/>
      <c r="ES57" s="538"/>
      <c r="ET57" s="538"/>
      <c r="EU57" s="538"/>
      <c r="EV57" s="538"/>
      <c r="EW57" s="538"/>
      <c r="EX57" s="538"/>
      <c r="EY57" s="538"/>
      <c r="EZ57" s="538"/>
      <c r="FA57" s="538"/>
      <c r="FB57" s="538"/>
      <c r="FC57" s="538"/>
      <c r="FD57" s="538"/>
      <c r="FE57" s="538"/>
      <c r="FF57" s="538"/>
      <c r="FG57" s="538"/>
      <c r="FH57" s="538"/>
      <c r="FI57" s="538"/>
      <c r="FJ57" s="538"/>
      <c r="FK57" s="538"/>
      <c r="FL57" s="538"/>
      <c r="FM57" s="538"/>
      <c r="FN57" s="538"/>
      <c r="FO57" s="538"/>
      <c r="FP57" s="538"/>
      <c r="FQ57" s="542" t="s">
        <v>1612</v>
      </c>
      <c r="FR57" s="727">
        <v>0.43</v>
      </c>
      <c r="FS57" s="727">
        <f t="shared" ref="FS57:FS58" si="10">FR57</f>
        <v>0.43</v>
      </c>
      <c r="FT57" s="727"/>
      <c r="FU57" s="727"/>
      <c r="FV57" s="727"/>
      <c r="FW57" s="727"/>
      <c r="FX57" s="727"/>
      <c r="FY57" s="727"/>
      <c r="FZ57" s="727"/>
      <c r="GA57" s="727"/>
      <c r="GB57" s="727"/>
      <c r="GC57" s="727"/>
      <c r="GD57" s="727"/>
      <c r="GE57" s="727"/>
    </row>
    <row r="58" spans="2:211" ht="16">
      <c r="B58" s="734" t="s">
        <v>73</v>
      </c>
      <c r="C58" s="733" t="s">
        <v>79</v>
      </c>
      <c r="D58" s="539">
        <v>32.18</v>
      </c>
      <c r="E58" s="539">
        <v>64.38</v>
      </c>
      <c r="F58" s="539">
        <v>548</v>
      </c>
      <c r="G58" s="539" t="s">
        <v>42</v>
      </c>
      <c r="H58" s="539">
        <v>0.3</v>
      </c>
      <c r="I58" s="539">
        <v>10.8</v>
      </c>
      <c r="J58" s="539">
        <v>22.1</v>
      </c>
      <c r="K58" s="539">
        <v>33.200000000000003</v>
      </c>
      <c r="L58" s="539">
        <v>67</v>
      </c>
      <c r="M58" s="539">
        <v>68</v>
      </c>
      <c r="N58" s="539">
        <v>62</v>
      </c>
      <c r="O58" s="539">
        <v>10</v>
      </c>
      <c r="P58" s="539">
        <v>101</v>
      </c>
      <c r="Q58" s="734">
        <v>3</v>
      </c>
      <c r="R58" s="539">
        <v>22.9</v>
      </c>
      <c r="S58" s="734">
        <v>0.53</v>
      </c>
      <c r="T58" s="744">
        <v>26.9</v>
      </c>
      <c r="U58" s="744">
        <v>2.6</v>
      </c>
      <c r="V58" s="734">
        <v>160</v>
      </c>
      <c r="W58" s="734">
        <v>38</v>
      </c>
      <c r="X58" s="734">
        <v>1.0999999999999999E-2</v>
      </c>
      <c r="Y58" s="734">
        <v>0.02</v>
      </c>
      <c r="Z58" s="547">
        <v>140</v>
      </c>
      <c r="AA58" s="547">
        <f t="shared" si="0"/>
        <v>1.4000000000000001</v>
      </c>
      <c r="AB58" s="734">
        <v>30</v>
      </c>
      <c r="AC58" s="538"/>
      <c r="AD58" s="733" t="str">
        <f t="shared" si="3"/>
        <v>EMBALSE</v>
      </c>
      <c r="AE58" s="737">
        <v>23.4</v>
      </c>
      <c r="AF58" s="737">
        <v>22.5</v>
      </c>
      <c r="AG58" s="737">
        <v>19.399999999999999</v>
      </c>
      <c r="AH58" s="737">
        <v>16.399999999999999</v>
      </c>
      <c r="AI58" s="737">
        <v>13.2</v>
      </c>
      <c r="AJ58" s="737">
        <v>10.3</v>
      </c>
      <c r="AK58" s="737">
        <v>9.8000000000000007</v>
      </c>
      <c r="AL58" s="737">
        <v>11.1</v>
      </c>
      <c r="AM58" s="737">
        <v>14</v>
      </c>
      <c r="AN58" s="737">
        <v>16.899999999999999</v>
      </c>
      <c r="AO58" s="737">
        <v>19.8</v>
      </c>
      <c r="AP58" s="737">
        <v>22.8</v>
      </c>
      <c r="AQ58" s="538"/>
      <c r="AR58" s="733" t="str">
        <f t="shared" si="1"/>
        <v>CD</v>
      </c>
      <c r="AS58" s="733" t="str">
        <f t="shared" si="4"/>
        <v>EMBALSE</v>
      </c>
      <c r="AT58" s="731">
        <v>6</v>
      </c>
      <c r="AU58" s="731">
        <v>5.5</v>
      </c>
      <c r="AV58" s="731">
        <v>4.5</v>
      </c>
      <c r="AW58" s="731">
        <v>3.5</v>
      </c>
      <c r="AX58" s="731">
        <v>3</v>
      </c>
      <c r="AY58" s="731">
        <v>2</v>
      </c>
      <c r="AZ58" s="731">
        <v>2.5</v>
      </c>
      <c r="BA58" s="731">
        <v>3.5</v>
      </c>
      <c r="BB58" s="731">
        <v>4</v>
      </c>
      <c r="BC58" s="731">
        <v>5</v>
      </c>
      <c r="BD58" s="731">
        <v>6</v>
      </c>
      <c r="BE58" s="731">
        <v>6</v>
      </c>
      <c r="BG58" s="733" t="str">
        <f t="shared" si="5"/>
        <v>CD</v>
      </c>
      <c r="BH58" s="733" t="str">
        <f t="shared" si="6"/>
        <v>EMBALSE</v>
      </c>
      <c r="BI58" s="731">
        <v>115</v>
      </c>
      <c r="BJ58" s="731">
        <v>110</v>
      </c>
      <c r="BK58" s="731">
        <v>101</v>
      </c>
      <c r="BL58" s="731">
        <v>45</v>
      </c>
      <c r="BM58" s="731">
        <v>23</v>
      </c>
      <c r="BN58" s="731">
        <v>12</v>
      </c>
      <c r="BO58" s="731">
        <v>11</v>
      </c>
      <c r="BP58" s="731">
        <v>11</v>
      </c>
      <c r="BQ58" s="731">
        <v>31</v>
      </c>
      <c r="BR58" s="731">
        <v>76</v>
      </c>
      <c r="BS58" s="731">
        <v>95</v>
      </c>
      <c r="BT58" s="731">
        <v>118</v>
      </c>
      <c r="CY58" s="538"/>
      <c r="DB58" s="538"/>
      <c r="DC58" s="538"/>
      <c r="DD58" s="538"/>
      <c r="DE58" s="538"/>
      <c r="DF58" s="538"/>
      <c r="DG58" s="538"/>
      <c r="DH58" s="538"/>
      <c r="DI58" s="538"/>
      <c r="DJ58" s="538"/>
      <c r="DK58" s="538"/>
      <c r="DL58" s="538"/>
      <c r="DM58" s="538"/>
      <c r="DN58" s="538"/>
      <c r="DU58" s="538"/>
      <c r="DV58" s="538"/>
      <c r="DW58" s="538"/>
      <c r="DX58" s="538"/>
      <c r="DY58" s="538"/>
      <c r="DZ58" s="538"/>
      <c r="EA58" s="538"/>
      <c r="EB58" s="538"/>
      <c r="EC58" s="538"/>
      <c r="ED58" s="538"/>
      <c r="EE58" s="538"/>
      <c r="EF58" s="538"/>
      <c r="EG58" s="538"/>
      <c r="EH58" s="538"/>
      <c r="EI58" s="538"/>
      <c r="EJ58" s="538"/>
      <c r="EK58" s="538"/>
      <c r="EL58" s="538"/>
      <c r="EM58" s="538"/>
      <c r="EN58" s="538"/>
      <c r="EO58" s="538"/>
      <c r="EP58" s="538"/>
      <c r="EQ58" s="538"/>
      <c r="ER58" s="538"/>
      <c r="ES58" s="538"/>
      <c r="ET58" s="538"/>
      <c r="EU58" s="538"/>
      <c r="EV58" s="538"/>
      <c r="EW58" s="538"/>
      <c r="EX58" s="538"/>
      <c r="EY58" s="538"/>
      <c r="EZ58" s="538"/>
      <c r="FA58" s="538"/>
      <c r="FB58" s="538"/>
      <c r="FC58" s="538"/>
      <c r="FD58" s="538"/>
      <c r="FE58" s="538"/>
      <c r="FF58" s="538"/>
      <c r="FG58" s="538"/>
      <c r="FH58" s="538"/>
      <c r="FI58" s="538"/>
      <c r="FJ58" s="538"/>
      <c r="FK58" s="538"/>
      <c r="FL58" s="538"/>
      <c r="FM58" s="538"/>
      <c r="FN58" s="538"/>
      <c r="FO58" s="538"/>
      <c r="FP58" s="538"/>
      <c r="FQ58" s="542" t="s">
        <v>1606</v>
      </c>
      <c r="FR58" s="727">
        <v>0.35</v>
      </c>
      <c r="FS58" s="727">
        <f t="shared" si="10"/>
        <v>0.35</v>
      </c>
      <c r="FT58" s="727"/>
      <c r="FU58" s="727"/>
      <c r="FV58" s="727"/>
      <c r="FW58" s="727"/>
      <c r="FX58" s="727"/>
      <c r="FY58" s="727"/>
      <c r="FZ58" s="727"/>
      <c r="GA58" s="727"/>
      <c r="GB58" s="727"/>
      <c r="GC58" s="727"/>
      <c r="GD58" s="727"/>
      <c r="GE58" s="727"/>
      <c r="GW58" s="1205" t="s">
        <v>2081</v>
      </c>
      <c r="GX58" s="1205"/>
      <c r="GY58" s="1205"/>
      <c r="HA58" s="1205" t="s">
        <v>2083</v>
      </c>
      <c r="HB58" s="1205"/>
      <c r="HC58" s="1205"/>
    </row>
    <row r="59" spans="2:211" ht="16">
      <c r="B59" s="734" t="s">
        <v>73</v>
      </c>
      <c r="C59" s="733" t="s">
        <v>80</v>
      </c>
      <c r="D59" s="539">
        <v>31.08</v>
      </c>
      <c r="E59" s="539">
        <v>64.48</v>
      </c>
      <c r="F59" s="539">
        <v>1015</v>
      </c>
      <c r="G59" s="539" t="s">
        <v>69</v>
      </c>
      <c r="H59" s="539">
        <v>-2.5</v>
      </c>
      <c r="I59" s="539">
        <v>9.1</v>
      </c>
      <c r="J59" s="539">
        <v>19.2</v>
      </c>
      <c r="K59" s="539">
        <v>29.7</v>
      </c>
      <c r="L59" s="539">
        <v>73</v>
      </c>
      <c r="M59" s="539">
        <v>71</v>
      </c>
      <c r="N59" s="539">
        <v>73</v>
      </c>
      <c r="O59" s="539">
        <v>4</v>
      </c>
      <c r="P59" s="539">
        <v>105</v>
      </c>
      <c r="Q59" s="734">
        <v>2</v>
      </c>
      <c r="R59" s="539">
        <v>19.5</v>
      </c>
      <c r="S59" s="734">
        <v>0.53</v>
      </c>
      <c r="T59" s="744">
        <v>26.9</v>
      </c>
      <c r="U59" s="744">
        <v>2.6</v>
      </c>
      <c r="V59" s="734">
        <v>160</v>
      </c>
      <c r="W59" s="734">
        <v>38</v>
      </c>
      <c r="X59" s="734">
        <v>1.0999999999999999E-2</v>
      </c>
      <c r="Y59" s="734">
        <v>0.02</v>
      </c>
      <c r="Z59" s="547">
        <v>105</v>
      </c>
      <c r="AA59" s="547">
        <f t="shared" si="0"/>
        <v>1.05</v>
      </c>
      <c r="AB59" s="734">
        <v>30</v>
      </c>
      <c r="AC59" s="538"/>
      <c r="AD59" s="733" t="str">
        <f t="shared" si="3"/>
        <v>HUERTA GRANDE</v>
      </c>
      <c r="AE59" s="737">
        <v>20.5</v>
      </c>
      <c r="AF59" s="737">
        <v>19.399999999999999</v>
      </c>
      <c r="AG59" s="737">
        <v>16.600000000000001</v>
      </c>
      <c r="AH59" s="737">
        <v>14.2</v>
      </c>
      <c r="AI59" s="737">
        <v>11.4</v>
      </c>
      <c r="AJ59" s="737">
        <v>8.9</v>
      </c>
      <c r="AK59" s="737">
        <v>8.5</v>
      </c>
      <c r="AL59" s="737">
        <v>9.8000000000000007</v>
      </c>
      <c r="AM59" s="737">
        <v>12.5</v>
      </c>
      <c r="AN59" s="737">
        <v>15</v>
      </c>
      <c r="AO59" s="737">
        <v>17.3</v>
      </c>
      <c r="AP59" s="737">
        <v>20.2</v>
      </c>
      <c r="AQ59" s="538"/>
      <c r="AR59" s="733" t="str">
        <f t="shared" si="1"/>
        <v>CD</v>
      </c>
      <c r="AS59" s="733" t="str">
        <f t="shared" si="4"/>
        <v>HUERTA GRANDE</v>
      </c>
      <c r="AT59" s="731">
        <v>6</v>
      </c>
      <c r="AU59" s="731">
        <v>5.5</v>
      </c>
      <c r="AV59" s="731">
        <v>4.5</v>
      </c>
      <c r="AW59" s="731">
        <v>3.5</v>
      </c>
      <c r="AX59" s="731">
        <v>3</v>
      </c>
      <c r="AY59" s="731">
        <v>2</v>
      </c>
      <c r="AZ59" s="731">
        <v>2.5</v>
      </c>
      <c r="BA59" s="731">
        <v>3</v>
      </c>
      <c r="BB59" s="731">
        <v>4</v>
      </c>
      <c r="BC59" s="731">
        <v>5</v>
      </c>
      <c r="BD59" s="731">
        <v>5.5</v>
      </c>
      <c r="BE59" s="731">
        <v>6</v>
      </c>
      <c r="BG59" s="733" t="str">
        <f t="shared" si="5"/>
        <v>CD</v>
      </c>
      <c r="BH59" s="733" t="str">
        <f t="shared" si="6"/>
        <v>HUERTA GRANDE</v>
      </c>
      <c r="BI59" s="731">
        <v>115</v>
      </c>
      <c r="BJ59" s="731">
        <v>110</v>
      </c>
      <c r="BK59" s="731">
        <v>101</v>
      </c>
      <c r="BL59" s="731">
        <v>45</v>
      </c>
      <c r="BM59" s="731">
        <v>23</v>
      </c>
      <c r="BN59" s="731">
        <v>12</v>
      </c>
      <c r="BO59" s="731">
        <v>11</v>
      </c>
      <c r="BP59" s="731">
        <v>11</v>
      </c>
      <c r="BQ59" s="731">
        <v>31</v>
      </c>
      <c r="BR59" s="731">
        <v>76</v>
      </c>
      <c r="BS59" s="731">
        <v>95</v>
      </c>
      <c r="BT59" s="731">
        <v>118</v>
      </c>
      <c r="CY59" s="538"/>
      <c r="CZ59" s="538"/>
      <c r="DA59" s="538"/>
      <c r="DB59" s="538"/>
      <c r="DC59" s="538"/>
      <c r="DD59" s="538"/>
      <c r="DE59" s="538"/>
      <c r="DF59" s="538"/>
      <c r="DG59" s="538"/>
      <c r="DH59" s="538"/>
      <c r="DI59" s="538"/>
      <c r="DJ59" s="538"/>
      <c r="DK59" s="538"/>
      <c r="DL59" s="538"/>
      <c r="DM59" s="538"/>
      <c r="DN59" s="538"/>
      <c r="DO59" s="538"/>
      <c r="DP59" s="538"/>
      <c r="DQ59" s="538"/>
      <c r="DR59" s="538"/>
      <c r="DS59" s="538"/>
      <c r="DT59" s="538"/>
      <c r="DU59" s="538"/>
      <c r="DV59" s="538"/>
      <c r="DW59" s="538"/>
      <c r="DX59" s="538"/>
      <c r="DY59" s="538"/>
      <c r="DZ59" s="538"/>
      <c r="EA59" s="538"/>
      <c r="EB59" s="538"/>
      <c r="EC59" s="538"/>
      <c r="ED59" s="538"/>
      <c r="EE59" s="538"/>
      <c r="EF59" s="538"/>
      <c r="EG59" s="538"/>
      <c r="EH59" s="538"/>
      <c r="EI59" s="538"/>
      <c r="EJ59" s="538"/>
      <c r="EK59" s="538"/>
      <c r="EL59" s="538"/>
      <c r="EM59" s="538"/>
      <c r="EN59" s="538"/>
      <c r="EO59" s="538"/>
      <c r="EP59" s="538"/>
      <c r="EQ59" s="538"/>
      <c r="ER59" s="538"/>
      <c r="ES59" s="538"/>
      <c r="ET59" s="538"/>
      <c r="EU59" s="538"/>
      <c r="EV59" s="538"/>
      <c r="EW59" s="538"/>
      <c r="EX59" s="538"/>
      <c r="EY59" s="538"/>
      <c r="EZ59" s="538"/>
      <c r="FA59" s="538"/>
      <c r="FB59" s="538"/>
      <c r="FC59" s="538"/>
      <c r="FD59" s="538"/>
      <c r="FE59" s="538"/>
      <c r="FF59" s="538"/>
      <c r="FG59" s="538"/>
      <c r="FH59" s="538"/>
      <c r="FI59" s="538"/>
      <c r="FJ59" s="538"/>
      <c r="FK59" s="538"/>
      <c r="FL59" s="538"/>
      <c r="FM59" s="538"/>
      <c r="FN59" s="538"/>
      <c r="FO59" s="538"/>
      <c r="FP59" s="538"/>
      <c r="FQ59" s="542" t="s">
        <v>1602</v>
      </c>
      <c r="FR59" s="727">
        <v>0.42</v>
      </c>
      <c r="FS59" s="727">
        <f>FR59</f>
        <v>0.42</v>
      </c>
      <c r="FT59" s="727"/>
      <c r="FU59" s="727"/>
      <c r="FV59" s="727"/>
      <c r="FW59" s="727"/>
      <c r="FX59" s="727"/>
      <c r="FY59" s="727"/>
      <c r="FZ59" s="727"/>
      <c r="GA59" s="727"/>
      <c r="GB59" s="727"/>
      <c r="GC59" s="727"/>
      <c r="GD59" s="727"/>
      <c r="GE59" s="727"/>
      <c r="GW59" s="1270" t="s">
        <v>1147</v>
      </c>
      <c r="GX59" s="1270"/>
      <c r="GY59" s="1270"/>
      <c r="HA59" s="1271" t="s">
        <v>6</v>
      </c>
      <c r="HB59" s="1271"/>
      <c r="HC59" s="1271"/>
    </row>
    <row r="60" spans="2:211" ht="16">
      <c r="B60" s="734" t="s">
        <v>73</v>
      </c>
      <c r="C60" s="733" t="s">
        <v>81</v>
      </c>
      <c r="D60" s="539">
        <v>34.130000000000003</v>
      </c>
      <c r="E60" s="539">
        <v>63.4</v>
      </c>
      <c r="F60" s="539">
        <v>138</v>
      </c>
      <c r="G60" s="539" t="s">
        <v>42</v>
      </c>
      <c r="H60" s="539">
        <v>-1.2</v>
      </c>
      <c r="I60" s="539">
        <v>9.6999999999999993</v>
      </c>
      <c r="J60" s="539">
        <v>23.2</v>
      </c>
      <c r="K60" s="539">
        <v>35.1</v>
      </c>
      <c r="L60" s="539">
        <v>62</v>
      </c>
      <c r="M60" s="539">
        <v>71</v>
      </c>
      <c r="N60" s="539">
        <v>62</v>
      </c>
      <c r="O60" s="539">
        <v>44</v>
      </c>
      <c r="P60" s="539">
        <v>93</v>
      </c>
      <c r="Q60" s="734">
        <v>3</v>
      </c>
      <c r="R60" s="539">
        <v>23.3</v>
      </c>
      <c r="S60" s="734">
        <v>0.55000000000000004</v>
      </c>
      <c r="T60" s="744">
        <v>26.9</v>
      </c>
      <c r="U60" s="744">
        <v>2.6</v>
      </c>
      <c r="V60" s="734">
        <v>160</v>
      </c>
      <c r="W60" s="734">
        <v>38</v>
      </c>
      <c r="X60" s="734">
        <v>1.0999999999999999E-2</v>
      </c>
      <c r="Y60" s="734">
        <v>0.02</v>
      </c>
      <c r="Z60" s="547">
        <v>145</v>
      </c>
      <c r="AA60" s="547">
        <f t="shared" si="0"/>
        <v>1.45</v>
      </c>
      <c r="AB60" s="734">
        <v>30</v>
      </c>
      <c r="AC60" s="538"/>
      <c r="AD60" s="733" t="str">
        <f t="shared" si="3"/>
        <v>LABOULAYE</v>
      </c>
      <c r="AE60" s="737">
        <v>24.6</v>
      </c>
      <c r="AF60" s="737">
        <v>23.3</v>
      </c>
      <c r="AG60" s="737">
        <v>21</v>
      </c>
      <c r="AH60" s="737">
        <v>16</v>
      </c>
      <c r="AI60" s="737">
        <v>13.2</v>
      </c>
      <c r="AJ60" s="737">
        <v>9.6999999999999993</v>
      </c>
      <c r="AK60" s="737">
        <v>9.5</v>
      </c>
      <c r="AL60" s="737">
        <v>11.1</v>
      </c>
      <c r="AM60" s="737">
        <v>13.5</v>
      </c>
      <c r="AN60" s="737">
        <v>16.8</v>
      </c>
      <c r="AO60" s="737">
        <v>20.399999999999999</v>
      </c>
      <c r="AP60" s="737">
        <v>22.8</v>
      </c>
      <c r="AQ60" s="538"/>
      <c r="AR60" s="733" t="str">
        <f t="shared" si="1"/>
        <v>CD</v>
      </c>
      <c r="AS60" s="733" t="str">
        <f t="shared" si="4"/>
        <v>LABOULAYE</v>
      </c>
      <c r="AT60" s="731">
        <v>6.5</v>
      </c>
      <c r="AU60" s="731">
        <v>6</v>
      </c>
      <c r="AV60" s="731">
        <v>4.5</v>
      </c>
      <c r="AW60" s="731">
        <v>3</v>
      </c>
      <c r="AX60" s="731">
        <v>2.5</v>
      </c>
      <c r="AY60" s="731">
        <v>2</v>
      </c>
      <c r="AZ60" s="731">
        <v>2</v>
      </c>
      <c r="BA60" s="731">
        <v>3</v>
      </c>
      <c r="BB60" s="731">
        <v>4</v>
      </c>
      <c r="BC60" s="731">
        <v>5</v>
      </c>
      <c r="BD60" s="731">
        <v>6</v>
      </c>
      <c r="BE60" s="731">
        <v>6.5</v>
      </c>
      <c r="BG60" s="733" t="str">
        <f t="shared" si="5"/>
        <v>CD</v>
      </c>
      <c r="BH60" s="733" t="str">
        <f t="shared" si="6"/>
        <v>LABOULAYE</v>
      </c>
      <c r="BI60" s="731">
        <v>115</v>
      </c>
      <c r="BJ60" s="731">
        <v>110</v>
      </c>
      <c r="BK60" s="731">
        <v>101</v>
      </c>
      <c r="BL60" s="731">
        <v>45</v>
      </c>
      <c r="BM60" s="731">
        <v>23</v>
      </c>
      <c r="BN60" s="731">
        <v>12</v>
      </c>
      <c r="BO60" s="731">
        <v>11</v>
      </c>
      <c r="BP60" s="731">
        <v>11</v>
      </c>
      <c r="BQ60" s="731">
        <v>31</v>
      </c>
      <c r="BR60" s="731">
        <v>76</v>
      </c>
      <c r="BS60" s="731">
        <v>95</v>
      </c>
      <c r="BT60" s="731">
        <v>118</v>
      </c>
      <c r="CY60" s="538"/>
      <c r="CZ60" s="538"/>
      <c r="DA60" s="538"/>
      <c r="DB60" s="538"/>
      <c r="DC60" s="538"/>
      <c r="DD60" s="538"/>
      <c r="DE60" s="538"/>
      <c r="DF60" s="538"/>
      <c r="DG60" s="538"/>
      <c r="DH60" s="538"/>
      <c r="DI60" s="538"/>
      <c r="DJ60" s="538"/>
      <c r="DK60" s="538"/>
      <c r="DL60" s="538"/>
      <c r="DM60" s="538"/>
      <c r="DN60" s="538"/>
      <c r="DO60" s="538"/>
      <c r="DP60" s="538"/>
      <c r="DQ60" s="538"/>
      <c r="DR60" s="538"/>
      <c r="DS60" s="538"/>
      <c r="DT60" s="538"/>
      <c r="DU60" s="538"/>
      <c r="DV60" s="538"/>
      <c r="DW60" s="538"/>
      <c r="DX60" s="538"/>
      <c r="DY60" s="538"/>
      <c r="DZ60" s="538"/>
      <c r="EA60" s="538"/>
      <c r="EB60" s="538"/>
      <c r="EC60" s="538"/>
      <c r="ED60" s="538"/>
      <c r="EE60" s="538"/>
      <c r="EF60" s="538"/>
      <c r="EG60" s="538"/>
      <c r="EH60" s="538"/>
      <c r="EI60" s="538"/>
      <c r="EJ60" s="538"/>
      <c r="EK60" s="538"/>
      <c r="EL60" s="538"/>
      <c r="EM60" s="538"/>
      <c r="EN60" s="538"/>
      <c r="EO60" s="538"/>
      <c r="EP60" s="538"/>
      <c r="EQ60" s="538"/>
      <c r="ER60" s="538"/>
      <c r="ES60" s="538"/>
      <c r="ET60" s="538"/>
      <c r="EU60" s="538"/>
      <c r="EV60" s="538"/>
      <c r="EW60" s="538"/>
      <c r="EX60" s="538"/>
      <c r="EY60" s="538"/>
      <c r="EZ60" s="538"/>
      <c r="FA60" s="538"/>
      <c r="FB60" s="538"/>
      <c r="FC60" s="538"/>
      <c r="FD60" s="538"/>
      <c r="FE60" s="538"/>
      <c r="FF60" s="538"/>
      <c r="FG60" s="538"/>
      <c r="FH60" s="538"/>
      <c r="FI60" s="538"/>
      <c r="FJ60" s="538"/>
      <c r="FK60" s="538"/>
      <c r="FL60" s="538"/>
      <c r="FM60" s="538"/>
      <c r="FN60" s="538"/>
      <c r="FO60" s="538"/>
      <c r="FP60" s="538"/>
      <c r="FQ60" s="542" t="s">
        <v>1594</v>
      </c>
      <c r="FR60" s="727">
        <v>0.87</v>
      </c>
      <c r="FS60" s="727">
        <f>FR60</f>
        <v>0.87</v>
      </c>
      <c r="FT60" s="727"/>
      <c r="FU60" s="727"/>
      <c r="FV60" s="727"/>
      <c r="FW60" s="727"/>
      <c r="FX60" s="727"/>
      <c r="FY60" s="727"/>
      <c r="FZ60" s="727"/>
      <c r="GA60" s="727"/>
      <c r="GB60" s="727"/>
      <c r="GC60" s="727"/>
      <c r="GD60" s="727"/>
      <c r="GE60" s="727"/>
    </row>
    <row r="61" spans="2:211" ht="16">
      <c r="B61" s="734" t="s">
        <v>73</v>
      </c>
      <c r="C61" s="733" t="s">
        <v>1266</v>
      </c>
      <c r="D61" s="539">
        <v>32.700000000000003</v>
      </c>
      <c r="E61" s="539">
        <v>62.15</v>
      </c>
      <c r="F61" s="539">
        <v>114</v>
      </c>
      <c r="G61" s="539" t="s">
        <v>42</v>
      </c>
      <c r="H61" s="539">
        <v>-1.1000000000000001</v>
      </c>
      <c r="I61" s="539">
        <v>10.4</v>
      </c>
      <c r="J61" s="539">
        <v>23.1</v>
      </c>
      <c r="K61" s="539">
        <v>34.299999999999997</v>
      </c>
      <c r="L61" s="539">
        <v>67</v>
      </c>
      <c r="M61" s="539">
        <v>76</v>
      </c>
      <c r="N61" s="539">
        <v>67</v>
      </c>
      <c r="O61" s="539">
        <v>17</v>
      </c>
      <c r="P61" s="539">
        <v>102</v>
      </c>
      <c r="Q61" s="734">
        <v>3</v>
      </c>
      <c r="R61" s="539">
        <v>22.9</v>
      </c>
      <c r="S61" s="734">
        <v>0.53</v>
      </c>
      <c r="T61" s="744">
        <v>26.9</v>
      </c>
      <c r="U61" s="744">
        <v>2.6</v>
      </c>
      <c r="V61" s="734">
        <v>160</v>
      </c>
      <c r="W61" s="734">
        <v>38</v>
      </c>
      <c r="X61" s="734">
        <v>1.0999999999999999E-2</v>
      </c>
      <c r="Y61" s="734">
        <v>0.02</v>
      </c>
      <c r="Z61" s="547">
        <v>155</v>
      </c>
      <c r="AA61" s="547">
        <f t="shared" si="0"/>
        <v>1.55</v>
      </c>
      <c r="AB61" s="734">
        <v>30</v>
      </c>
      <c r="AC61" s="538"/>
      <c r="AD61" s="733" t="str">
        <f t="shared" si="3"/>
        <v>MARCOS JUÁREZ</v>
      </c>
      <c r="AE61" s="737">
        <v>24.3</v>
      </c>
      <c r="AF61" s="737">
        <v>23.5</v>
      </c>
      <c r="AG61" s="737">
        <v>21.4</v>
      </c>
      <c r="AH61" s="737">
        <v>15.9</v>
      </c>
      <c r="AI61" s="737">
        <v>14.1</v>
      </c>
      <c r="AJ61" s="737">
        <v>10.6</v>
      </c>
      <c r="AK61" s="737">
        <v>10.6</v>
      </c>
      <c r="AL61" s="737">
        <v>11.8</v>
      </c>
      <c r="AM61" s="737">
        <v>14</v>
      </c>
      <c r="AN61" s="737">
        <v>16.899999999999999</v>
      </c>
      <c r="AO61" s="737">
        <v>20.399999999999999</v>
      </c>
      <c r="AP61" s="737">
        <v>22.5</v>
      </c>
      <c r="AQ61" s="538"/>
      <c r="AR61" s="733" t="str">
        <f t="shared" si="1"/>
        <v>CD</v>
      </c>
      <c r="AS61" s="733" t="str">
        <f t="shared" si="4"/>
        <v>MARCOS JUÁREZ</v>
      </c>
      <c r="AT61" s="731">
        <v>6.5</v>
      </c>
      <c r="AU61" s="731">
        <v>5.5</v>
      </c>
      <c r="AV61" s="731">
        <v>4.5</v>
      </c>
      <c r="AW61" s="731">
        <v>3.5</v>
      </c>
      <c r="AX61" s="731">
        <v>2.5</v>
      </c>
      <c r="AY61" s="731">
        <v>2</v>
      </c>
      <c r="AZ61" s="731">
        <v>2</v>
      </c>
      <c r="BA61" s="731">
        <v>3</v>
      </c>
      <c r="BB61" s="731">
        <v>4</v>
      </c>
      <c r="BC61" s="731">
        <v>5.5</v>
      </c>
      <c r="BD61" s="731">
        <v>6</v>
      </c>
      <c r="BE61" s="731">
        <v>6.5</v>
      </c>
      <c r="BG61" s="733" t="str">
        <f t="shared" si="5"/>
        <v>CD</v>
      </c>
      <c r="BH61" s="733" t="str">
        <f t="shared" si="6"/>
        <v>MARCOS JUÁREZ</v>
      </c>
      <c r="BI61" s="731">
        <v>115</v>
      </c>
      <c r="BJ61" s="731">
        <v>110</v>
      </c>
      <c r="BK61" s="731">
        <v>101</v>
      </c>
      <c r="BL61" s="731">
        <v>45</v>
      </c>
      <c r="BM61" s="731">
        <v>23</v>
      </c>
      <c r="BN61" s="731">
        <v>12</v>
      </c>
      <c r="BO61" s="731">
        <v>11</v>
      </c>
      <c r="BP61" s="731">
        <v>11</v>
      </c>
      <c r="BQ61" s="731">
        <v>31</v>
      </c>
      <c r="BR61" s="731">
        <v>76</v>
      </c>
      <c r="BS61" s="731">
        <v>95</v>
      </c>
      <c r="BT61" s="731">
        <v>118</v>
      </c>
      <c r="CY61" s="538"/>
      <c r="DB61" s="538"/>
      <c r="DC61" s="538"/>
      <c r="DD61" s="538"/>
      <c r="DE61" s="538"/>
      <c r="DF61" s="538"/>
      <c r="DG61" s="538"/>
      <c r="DH61" s="538"/>
      <c r="DI61" s="538"/>
      <c r="DJ61" s="538"/>
      <c r="DK61" s="538"/>
      <c r="DL61" s="538"/>
      <c r="DM61" s="538"/>
      <c r="DN61" s="538"/>
      <c r="DO61" s="538"/>
      <c r="DP61" s="538"/>
      <c r="DQ61" s="538"/>
      <c r="DR61" s="538"/>
      <c r="DS61" s="538"/>
      <c r="DT61" s="538"/>
      <c r="DU61" s="538"/>
      <c r="DV61" s="538"/>
      <c r="DW61" s="538"/>
      <c r="DX61" s="538"/>
      <c r="DY61" s="538"/>
      <c r="DZ61" s="538"/>
      <c r="EA61" s="538"/>
      <c r="EB61" s="538"/>
      <c r="EC61" s="538"/>
      <c r="ED61" s="538"/>
      <c r="EE61" s="538"/>
      <c r="EF61" s="538"/>
      <c r="EG61" s="538"/>
      <c r="EH61" s="538"/>
      <c r="EI61" s="538"/>
      <c r="EJ61" s="538"/>
      <c r="EK61" s="538"/>
      <c r="EL61" s="538"/>
      <c r="EM61" s="538"/>
      <c r="EN61" s="538"/>
      <c r="EO61" s="538"/>
      <c r="EP61" s="538"/>
      <c r="EQ61" s="538"/>
      <c r="ER61" s="538"/>
      <c r="ES61" s="538"/>
      <c r="ET61" s="538"/>
      <c r="EU61" s="538"/>
      <c r="EV61" s="538"/>
      <c r="EW61" s="538"/>
      <c r="EX61" s="538"/>
      <c r="EY61" s="538"/>
      <c r="EZ61" s="538"/>
      <c r="FA61" s="538"/>
      <c r="FB61" s="538"/>
      <c r="FC61" s="538"/>
      <c r="FD61" s="538"/>
      <c r="FE61" s="538"/>
      <c r="FF61" s="538"/>
      <c r="FG61" s="538"/>
      <c r="FH61" s="538"/>
      <c r="FI61" s="538"/>
      <c r="FJ61" s="538"/>
      <c r="FK61" s="538"/>
      <c r="FL61" s="538"/>
      <c r="FM61" s="538"/>
      <c r="FN61" s="538"/>
      <c r="FO61" s="538"/>
      <c r="FP61" s="538"/>
      <c r="FQ61" s="542" t="s">
        <v>1587</v>
      </c>
      <c r="FR61" s="727">
        <v>0.42</v>
      </c>
      <c r="FS61" s="727">
        <f>FR61</f>
        <v>0.42</v>
      </c>
      <c r="FT61" s="727"/>
      <c r="FU61" s="727"/>
      <c r="FV61" s="727"/>
      <c r="FW61" s="727"/>
      <c r="FX61" s="727"/>
      <c r="FY61" s="727"/>
      <c r="FZ61" s="727"/>
      <c r="GA61" s="727"/>
      <c r="GB61" s="727"/>
      <c r="GC61" s="727"/>
      <c r="GD61" s="727"/>
      <c r="GE61" s="727"/>
    </row>
    <row r="62" spans="2:211" ht="16">
      <c r="B62" s="734" t="s">
        <v>73</v>
      </c>
      <c r="C62" s="733" t="s">
        <v>82</v>
      </c>
      <c r="D62" s="539">
        <v>30.88</v>
      </c>
      <c r="E62" s="539">
        <v>62.67</v>
      </c>
      <c r="F62" s="539">
        <v>80</v>
      </c>
      <c r="G62" s="539" t="s">
        <v>69</v>
      </c>
      <c r="H62" s="539">
        <v>1</v>
      </c>
      <c r="I62" s="539">
        <v>12.2</v>
      </c>
      <c r="J62" s="539">
        <v>24</v>
      </c>
      <c r="K62" s="539">
        <v>34.700000000000003</v>
      </c>
      <c r="L62" s="539">
        <v>76</v>
      </c>
      <c r="M62" s="539">
        <v>78</v>
      </c>
      <c r="N62" s="539">
        <v>76</v>
      </c>
      <c r="O62" s="539">
        <v>15</v>
      </c>
      <c r="P62" s="539">
        <v>133</v>
      </c>
      <c r="Q62" s="734">
        <v>2</v>
      </c>
      <c r="R62" s="539">
        <v>24.4</v>
      </c>
      <c r="S62" s="734">
        <v>0.53</v>
      </c>
      <c r="T62" s="744">
        <v>26.9</v>
      </c>
      <c r="U62" s="744">
        <v>2.6</v>
      </c>
      <c r="V62" s="734">
        <v>160</v>
      </c>
      <c r="W62" s="734">
        <v>38</v>
      </c>
      <c r="X62" s="734">
        <v>1.0999999999999999E-2</v>
      </c>
      <c r="Y62" s="734">
        <v>0.02</v>
      </c>
      <c r="Z62" s="547">
        <v>165</v>
      </c>
      <c r="AA62" s="547">
        <f t="shared" si="0"/>
        <v>1.6500000000000001</v>
      </c>
      <c r="AB62" s="734">
        <v>30</v>
      </c>
      <c r="AC62" s="538"/>
      <c r="AD62" s="733" t="str">
        <f t="shared" si="3"/>
        <v>MIRAMAR</v>
      </c>
      <c r="AE62" s="737">
        <v>19.399999999999999</v>
      </c>
      <c r="AF62" s="737">
        <v>19.3</v>
      </c>
      <c r="AG62" s="737">
        <v>17.399999999999999</v>
      </c>
      <c r="AH62" s="737">
        <v>14.2</v>
      </c>
      <c r="AI62" s="737">
        <v>11.1</v>
      </c>
      <c r="AJ62" s="737">
        <v>8.8000000000000007</v>
      </c>
      <c r="AK62" s="737">
        <v>7.8</v>
      </c>
      <c r="AL62" s="737">
        <v>8.5</v>
      </c>
      <c r="AM62" s="737">
        <v>9.8000000000000007</v>
      </c>
      <c r="AN62" s="737">
        <v>12.1</v>
      </c>
      <c r="AO62" s="737">
        <v>15.2</v>
      </c>
      <c r="AP62" s="737">
        <v>17.5</v>
      </c>
      <c r="AQ62" s="538"/>
      <c r="AR62" s="733" t="str">
        <f t="shared" si="1"/>
        <v>CD</v>
      </c>
      <c r="AS62" s="733" t="str">
        <f t="shared" si="4"/>
        <v>MIRAMAR</v>
      </c>
      <c r="AT62" s="731">
        <v>6</v>
      </c>
      <c r="AU62" s="731">
        <v>5.5</v>
      </c>
      <c r="AV62" s="731">
        <v>4.5</v>
      </c>
      <c r="AW62" s="731">
        <v>3.5</v>
      </c>
      <c r="AX62" s="731">
        <v>3</v>
      </c>
      <c r="AY62" s="731">
        <v>2.5</v>
      </c>
      <c r="AZ62" s="731">
        <v>2.5</v>
      </c>
      <c r="BA62" s="731">
        <v>3</v>
      </c>
      <c r="BB62" s="731">
        <v>4.5</v>
      </c>
      <c r="BC62" s="731">
        <v>5.5</v>
      </c>
      <c r="BD62" s="731">
        <v>6</v>
      </c>
      <c r="BE62" s="731">
        <v>6</v>
      </c>
      <c r="BG62" s="733" t="str">
        <f t="shared" si="5"/>
        <v>CD</v>
      </c>
      <c r="BH62" s="733" t="str">
        <f t="shared" si="6"/>
        <v>MIRAMAR</v>
      </c>
      <c r="BI62" s="731">
        <v>115</v>
      </c>
      <c r="BJ62" s="731">
        <v>110</v>
      </c>
      <c r="BK62" s="731">
        <v>101</v>
      </c>
      <c r="BL62" s="731">
        <v>45</v>
      </c>
      <c r="BM62" s="731">
        <v>23</v>
      </c>
      <c r="BN62" s="731">
        <v>12</v>
      </c>
      <c r="BO62" s="731">
        <v>11</v>
      </c>
      <c r="BP62" s="731">
        <v>11</v>
      </c>
      <c r="BQ62" s="731">
        <v>31</v>
      </c>
      <c r="BR62" s="731">
        <v>76</v>
      </c>
      <c r="BS62" s="731">
        <v>95</v>
      </c>
      <c r="BT62" s="731">
        <v>118</v>
      </c>
      <c r="CY62" s="538"/>
      <c r="DB62" s="538"/>
      <c r="DC62" s="538"/>
      <c r="DD62" s="538"/>
      <c r="DE62" s="538"/>
      <c r="DF62" s="538"/>
      <c r="DG62" s="538"/>
      <c r="DH62" s="538"/>
      <c r="DI62" s="538"/>
      <c r="DJ62" s="538"/>
      <c r="DK62" s="538"/>
      <c r="DL62" s="538"/>
      <c r="DM62" s="538"/>
      <c r="DN62" s="538"/>
      <c r="DO62" s="538"/>
      <c r="DP62" s="538"/>
      <c r="DQ62" s="538"/>
      <c r="DR62" s="538"/>
      <c r="DS62" s="538"/>
      <c r="DT62" s="538"/>
      <c r="DU62" s="538"/>
      <c r="DV62" s="538"/>
      <c r="DW62" s="538"/>
      <c r="DX62" s="538"/>
      <c r="DY62" s="538"/>
      <c r="DZ62" s="538"/>
      <c r="EA62" s="538"/>
      <c r="EB62" s="538"/>
      <c r="EC62" s="538"/>
      <c r="ED62" s="538"/>
      <c r="EE62" s="538"/>
      <c r="EF62" s="538"/>
      <c r="EG62" s="538"/>
      <c r="EH62" s="538"/>
      <c r="EI62" s="538"/>
      <c r="EJ62" s="538"/>
      <c r="EK62" s="538"/>
      <c r="EL62" s="538"/>
      <c r="EM62" s="538"/>
      <c r="EN62" s="538"/>
      <c r="EO62" s="538"/>
      <c r="EP62" s="538"/>
      <c r="EQ62" s="538"/>
      <c r="ER62" s="538"/>
      <c r="ES62" s="538"/>
      <c r="ET62" s="538"/>
      <c r="EU62" s="538"/>
      <c r="EV62" s="538"/>
      <c r="EW62" s="538"/>
      <c r="EX62" s="538"/>
      <c r="EY62" s="538"/>
      <c r="EZ62" s="538"/>
      <c r="FA62" s="538"/>
      <c r="FB62" s="538"/>
      <c r="FC62" s="538"/>
      <c r="FD62" s="538"/>
      <c r="FE62" s="538"/>
      <c r="FF62" s="538"/>
      <c r="FG62" s="538"/>
      <c r="FH62" s="538"/>
      <c r="FI62" s="538"/>
      <c r="FJ62" s="538"/>
      <c r="FK62" s="538"/>
      <c r="FL62" s="538"/>
      <c r="FM62" s="538"/>
      <c r="FN62" s="538"/>
      <c r="FO62" s="538"/>
      <c r="FP62" s="538"/>
      <c r="FQ62" s="542" t="s">
        <v>1605</v>
      </c>
      <c r="FR62" s="727">
        <v>0.63</v>
      </c>
      <c r="FS62" s="727">
        <f t="shared" ref="FS62" si="11">FR62</f>
        <v>0.63</v>
      </c>
      <c r="FT62" s="727"/>
      <c r="FU62" s="727"/>
      <c r="FV62" s="1189"/>
      <c r="FW62" s="1189"/>
      <c r="FX62" s="1189"/>
      <c r="FY62" s="1189"/>
      <c r="FZ62" s="727"/>
      <c r="GA62" s="727"/>
      <c r="GB62" s="727"/>
      <c r="GC62" s="727"/>
      <c r="GD62" s="727"/>
      <c r="GE62" s="727"/>
    </row>
    <row r="63" spans="2:211" ht="16">
      <c r="B63" s="734" t="s">
        <v>73</v>
      </c>
      <c r="C63" s="733" t="s">
        <v>83</v>
      </c>
      <c r="D63" s="539">
        <v>31.67</v>
      </c>
      <c r="E63" s="539">
        <v>63.88</v>
      </c>
      <c r="F63" s="539">
        <v>338</v>
      </c>
      <c r="G63" s="539" t="s">
        <v>42</v>
      </c>
      <c r="H63" s="539">
        <v>-1.1000000000000001</v>
      </c>
      <c r="I63" s="539">
        <v>11</v>
      </c>
      <c r="J63" s="539">
        <v>22.8</v>
      </c>
      <c r="K63" s="539">
        <v>33.799999999999997</v>
      </c>
      <c r="L63" s="539">
        <v>66</v>
      </c>
      <c r="M63" s="539">
        <v>66</v>
      </c>
      <c r="N63" s="539">
        <v>66</v>
      </c>
      <c r="O63" s="539">
        <v>10</v>
      </c>
      <c r="P63" s="539">
        <v>101</v>
      </c>
      <c r="Q63" s="734">
        <v>3</v>
      </c>
      <c r="R63" s="539">
        <v>22.9</v>
      </c>
      <c r="S63" s="734">
        <v>0.53</v>
      </c>
      <c r="T63" s="744">
        <v>26.9</v>
      </c>
      <c r="U63" s="744">
        <v>2.6</v>
      </c>
      <c r="V63" s="734">
        <v>160</v>
      </c>
      <c r="W63" s="734">
        <v>38</v>
      </c>
      <c r="X63" s="734">
        <v>1.0999999999999999E-2</v>
      </c>
      <c r="Y63" s="734">
        <v>0.02</v>
      </c>
      <c r="Z63" s="547">
        <v>145</v>
      </c>
      <c r="AA63" s="547">
        <f t="shared" si="0"/>
        <v>1.45</v>
      </c>
      <c r="AB63" s="734">
        <v>30</v>
      </c>
      <c r="AC63" s="538"/>
      <c r="AD63" s="733" t="str">
        <f t="shared" si="3"/>
        <v>PILAR</v>
      </c>
      <c r="AE63" s="737">
        <v>23.4</v>
      </c>
      <c r="AF63" s="737">
        <v>22.1</v>
      </c>
      <c r="AG63" s="737">
        <v>20.399999999999999</v>
      </c>
      <c r="AH63" s="737">
        <v>15.6</v>
      </c>
      <c r="AI63" s="737">
        <v>12.9</v>
      </c>
      <c r="AJ63" s="737">
        <v>9.9</v>
      </c>
      <c r="AK63" s="737">
        <v>9.8000000000000007</v>
      </c>
      <c r="AL63" s="737">
        <v>11.3</v>
      </c>
      <c r="AM63" s="737">
        <v>13</v>
      </c>
      <c r="AN63" s="737">
        <v>15.5</v>
      </c>
      <c r="AO63" s="737">
        <v>19</v>
      </c>
      <c r="AP63" s="737">
        <v>21.4</v>
      </c>
      <c r="AQ63" s="538"/>
      <c r="AR63" s="733" t="str">
        <f t="shared" si="1"/>
        <v>CD</v>
      </c>
      <c r="AS63" s="733" t="str">
        <f t="shared" si="4"/>
        <v>PILAR</v>
      </c>
      <c r="AT63" s="731">
        <v>6</v>
      </c>
      <c r="AU63" s="731">
        <v>5.5</v>
      </c>
      <c r="AV63" s="731">
        <v>4.5</v>
      </c>
      <c r="AW63" s="731">
        <v>3.5</v>
      </c>
      <c r="AX63" s="731">
        <v>3</v>
      </c>
      <c r="AY63" s="731">
        <v>2</v>
      </c>
      <c r="AZ63" s="731">
        <v>2.5</v>
      </c>
      <c r="BA63" s="731">
        <v>3</v>
      </c>
      <c r="BB63" s="731">
        <v>4</v>
      </c>
      <c r="BC63" s="731">
        <v>5</v>
      </c>
      <c r="BD63" s="731">
        <v>6</v>
      </c>
      <c r="BE63" s="731">
        <v>6</v>
      </c>
      <c r="BG63" s="733" t="str">
        <f t="shared" si="5"/>
        <v>CD</v>
      </c>
      <c r="BH63" s="733" t="str">
        <f t="shared" si="6"/>
        <v>PILAR</v>
      </c>
      <c r="BI63" s="731">
        <v>115</v>
      </c>
      <c r="BJ63" s="731">
        <v>110</v>
      </c>
      <c r="BK63" s="731">
        <v>101</v>
      </c>
      <c r="BL63" s="731">
        <v>45</v>
      </c>
      <c r="BM63" s="731">
        <v>23</v>
      </c>
      <c r="BN63" s="731">
        <v>12</v>
      </c>
      <c r="BO63" s="731">
        <v>11</v>
      </c>
      <c r="BP63" s="731">
        <v>11</v>
      </c>
      <c r="BQ63" s="731">
        <v>31</v>
      </c>
      <c r="BR63" s="731">
        <v>76</v>
      </c>
      <c r="BS63" s="731">
        <v>95</v>
      </c>
      <c r="BT63" s="731">
        <v>118</v>
      </c>
      <c r="CY63" s="538"/>
      <c r="DB63" s="538"/>
      <c r="DC63" s="538"/>
      <c r="DD63" s="538"/>
      <c r="DE63" s="538"/>
      <c r="DF63" s="538"/>
      <c r="DG63" s="538"/>
      <c r="DH63" s="538"/>
      <c r="DI63" s="538"/>
      <c r="DJ63" s="538"/>
      <c r="DK63" s="538"/>
      <c r="DL63" s="538"/>
      <c r="DM63" s="538"/>
      <c r="DN63" s="538"/>
      <c r="DO63" s="538"/>
      <c r="DP63" s="538"/>
      <c r="DQ63" s="538"/>
      <c r="DR63" s="538"/>
      <c r="DS63" s="538"/>
      <c r="DT63" s="538"/>
      <c r="DU63" s="538"/>
      <c r="DV63" s="538"/>
      <c r="DW63" s="538"/>
      <c r="DX63" s="538"/>
      <c r="DY63" s="538"/>
      <c r="DZ63" s="538"/>
      <c r="EA63" s="538"/>
      <c r="EB63" s="538"/>
      <c r="EC63" s="538"/>
      <c r="ED63" s="538"/>
      <c r="EE63" s="538"/>
      <c r="EF63" s="538"/>
      <c r="EG63" s="538"/>
      <c r="EH63" s="538"/>
      <c r="EI63" s="538"/>
      <c r="EJ63" s="538"/>
      <c r="EK63" s="538"/>
      <c r="EL63" s="538"/>
      <c r="EM63" s="538"/>
      <c r="EN63" s="538"/>
      <c r="EO63" s="538"/>
      <c r="EP63" s="538"/>
      <c r="EQ63" s="538"/>
      <c r="ER63" s="538"/>
      <c r="ES63" s="538"/>
      <c r="ET63" s="538"/>
      <c r="EU63" s="538"/>
      <c r="EV63" s="538"/>
      <c r="EW63" s="538"/>
      <c r="EX63" s="538"/>
      <c r="EY63" s="538"/>
      <c r="EZ63" s="538"/>
      <c r="FA63" s="538"/>
      <c r="FB63" s="538"/>
      <c r="FC63" s="538"/>
      <c r="FD63" s="538"/>
      <c r="FE63" s="538"/>
      <c r="FF63" s="538"/>
      <c r="FG63" s="538"/>
      <c r="FH63" s="538"/>
      <c r="FI63" s="538"/>
      <c r="FJ63" s="538"/>
      <c r="FK63" s="538"/>
      <c r="FL63" s="538"/>
      <c r="FM63" s="538"/>
      <c r="FN63" s="538"/>
      <c r="FO63" s="538"/>
      <c r="FP63" s="538"/>
      <c r="FQ63" s="727"/>
      <c r="FR63" s="727"/>
      <c r="FS63" s="727"/>
      <c r="FT63" s="727"/>
      <c r="FU63" s="727"/>
      <c r="FV63" s="1189"/>
      <c r="FW63" s="1189"/>
      <c r="FX63" s="1189"/>
      <c r="FY63" s="1189"/>
      <c r="FZ63" s="727"/>
      <c r="GA63" s="727"/>
      <c r="GB63" s="727"/>
      <c r="GC63" s="727"/>
      <c r="GD63" s="727"/>
      <c r="GE63" s="727"/>
    </row>
    <row r="64" spans="2:211" ht="16">
      <c r="B64" s="734" t="s">
        <v>73</v>
      </c>
      <c r="C64" s="733" t="s">
        <v>84</v>
      </c>
      <c r="D64" s="539">
        <v>33.08</v>
      </c>
      <c r="E64" s="539">
        <v>64.27</v>
      </c>
      <c r="F64" s="539">
        <v>421</v>
      </c>
      <c r="G64" s="539" t="s">
        <v>42</v>
      </c>
      <c r="H64" s="539">
        <v>-0.4</v>
      </c>
      <c r="I64" s="539">
        <v>10</v>
      </c>
      <c r="J64" s="539">
        <v>22.1</v>
      </c>
      <c r="K64" s="539">
        <v>32.6</v>
      </c>
      <c r="L64" s="539">
        <v>64</v>
      </c>
      <c r="M64" s="539">
        <v>64</v>
      </c>
      <c r="N64" s="539">
        <v>63</v>
      </c>
      <c r="O64" s="539">
        <v>11</v>
      </c>
      <c r="P64" s="539">
        <v>113</v>
      </c>
      <c r="Q64" s="734">
        <v>3</v>
      </c>
      <c r="R64" s="539">
        <v>22.2</v>
      </c>
      <c r="S64" s="734">
        <v>0.55000000000000004</v>
      </c>
      <c r="T64" s="744">
        <v>26.9</v>
      </c>
      <c r="U64" s="744">
        <v>2.6</v>
      </c>
      <c r="V64" s="734">
        <v>160</v>
      </c>
      <c r="W64" s="734">
        <v>38</v>
      </c>
      <c r="X64" s="734">
        <v>1.0999999999999999E-2</v>
      </c>
      <c r="Y64" s="734">
        <v>0.02</v>
      </c>
      <c r="Z64" s="547">
        <v>130</v>
      </c>
      <c r="AA64" s="547">
        <f t="shared" si="0"/>
        <v>1.3</v>
      </c>
      <c r="AB64" s="734">
        <v>30</v>
      </c>
      <c r="AC64" s="538"/>
      <c r="AD64" s="733" t="str">
        <f t="shared" si="3"/>
        <v>RIO CUARTO</v>
      </c>
      <c r="AE64" s="737">
        <v>22.6</v>
      </c>
      <c r="AF64" s="737">
        <v>22.2</v>
      </c>
      <c r="AG64" s="737">
        <v>19.5</v>
      </c>
      <c r="AH64" s="737">
        <v>16.8</v>
      </c>
      <c r="AI64" s="737">
        <v>13.6</v>
      </c>
      <c r="AJ64" s="737">
        <v>9.5</v>
      </c>
      <c r="AK64" s="737">
        <v>9.4</v>
      </c>
      <c r="AL64" s="737">
        <v>11</v>
      </c>
      <c r="AM64" s="737">
        <v>13.4</v>
      </c>
      <c r="AN64" s="737">
        <v>14.2</v>
      </c>
      <c r="AO64" s="737">
        <v>19.8</v>
      </c>
      <c r="AP64" s="737">
        <v>21.6</v>
      </c>
      <c r="AQ64" s="538"/>
      <c r="AR64" s="733" t="str">
        <f t="shared" si="1"/>
        <v>CD</v>
      </c>
      <c r="AS64" s="733" t="str">
        <f t="shared" si="4"/>
        <v>RIO CUARTO</v>
      </c>
      <c r="AT64" s="731">
        <v>6.5</v>
      </c>
      <c r="AU64" s="731">
        <v>5.5</v>
      </c>
      <c r="AV64" s="731">
        <v>4.5</v>
      </c>
      <c r="AW64" s="731">
        <v>3</v>
      </c>
      <c r="AX64" s="731">
        <v>2.5</v>
      </c>
      <c r="AY64" s="731">
        <v>2</v>
      </c>
      <c r="AZ64" s="731">
        <v>2</v>
      </c>
      <c r="BA64" s="731">
        <v>3</v>
      </c>
      <c r="BB64" s="731">
        <v>4</v>
      </c>
      <c r="BC64" s="731">
        <v>5.5</v>
      </c>
      <c r="BD64" s="731">
        <v>6</v>
      </c>
      <c r="BE64" s="731">
        <v>6</v>
      </c>
      <c r="BG64" s="733" t="str">
        <f t="shared" si="5"/>
        <v>CD</v>
      </c>
      <c r="BH64" s="733" t="str">
        <f t="shared" si="6"/>
        <v>RIO CUARTO</v>
      </c>
      <c r="BI64" s="731">
        <v>115</v>
      </c>
      <c r="BJ64" s="731">
        <v>110</v>
      </c>
      <c r="BK64" s="731">
        <v>101</v>
      </c>
      <c r="BL64" s="731">
        <v>45</v>
      </c>
      <c r="BM64" s="731">
        <v>23</v>
      </c>
      <c r="BN64" s="731">
        <v>12</v>
      </c>
      <c r="BO64" s="731">
        <v>11</v>
      </c>
      <c r="BP64" s="731">
        <v>11</v>
      </c>
      <c r="BQ64" s="731">
        <v>31</v>
      </c>
      <c r="BR64" s="731">
        <v>76</v>
      </c>
      <c r="BS64" s="731">
        <v>95</v>
      </c>
      <c r="BT64" s="731">
        <v>118</v>
      </c>
      <c r="CY64" s="538"/>
      <c r="DB64" s="538"/>
      <c r="DC64" s="538"/>
      <c r="DD64" s="538"/>
      <c r="DE64" s="538"/>
      <c r="DF64" s="538"/>
      <c r="DG64" s="538"/>
      <c r="DH64" s="538"/>
      <c r="DI64" s="538"/>
      <c r="DJ64" s="538"/>
      <c r="DK64" s="538"/>
      <c r="DL64" s="538"/>
      <c r="DM64" s="538"/>
      <c r="DN64" s="538"/>
      <c r="DO64" s="538"/>
      <c r="DP64" s="538"/>
      <c r="DQ64" s="538"/>
      <c r="DR64" s="538"/>
      <c r="DS64" s="538"/>
      <c r="DT64" s="538"/>
      <c r="DU64" s="538"/>
      <c r="DV64" s="538"/>
      <c r="DW64" s="538"/>
      <c r="DX64" s="538"/>
      <c r="DY64" s="538"/>
      <c r="DZ64" s="538"/>
      <c r="EA64" s="538"/>
      <c r="EB64" s="538"/>
      <c r="EC64" s="538"/>
      <c r="ED64" s="538"/>
      <c r="EE64" s="538"/>
      <c r="EF64" s="538"/>
      <c r="EG64" s="538"/>
      <c r="EH64" s="538"/>
      <c r="EI64" s="538"/>
      <c r="EJ64" s="538"/>
      <c r="EK64" s="538"/>
      <c r="EL64" s="538"/>
      <c r="EM64" s="538"/>
      <c r="EN64" s="538"/>
      <c r="EO64" s="538"/>
      <c r="EP64" s="538"/>
      <c r="EQ64" s="538"/>
      <c r="ER64" s="538"/>
      <c r="ES64" s="538"/>
      <c r="ET64" s="538"/>
      <c r="EU64" s="538"/>
      <c r="EV64" s="538"/>
      <c r="EW64" s="538"/>
      <c r="EX64" s="538"/>
      <c r="EY64" s="538"/>
      <c r="EZ64" s="538"/>
      <c r="FA64" s="538"/>
      <c r="FB64" s="538"/>
      <c r="FC64" s="538"/>
      <c r="FD64" s="538"/>
      <c r="FE64" s="538"/>
      <c r="FF64" s="538"/>
      <c r="FG64" s="538"/>
      <c r="FH64" s="538"/>
      <c r="FI64" s="538"/>
      <c r="FJ64" s="538"/>
      <c r="FK64" s="538"/>
      <c r="FL64" s="538"/>
      <c r="FM64" s="538"/>
      <c r="FN64" s="538"/>
      <c r="FO64" s="538"/>
      <c r="FP64" s="538"/>
      <c r="FQ64" s="727"/>
      <c r="FR64" s="727"/>
      <c r="FS64" s="727"/>
      <c r="FT64" s="727"/>
      <c r="FU64" s="727"/>
      <c r="FV64" s="1189"/>
      <c r="FW64" s="1189"/>
      <c r="FX64" s="1189"/>
      <c r="FY64" s="1189"/>
      <c r="FZ64" s="727"/>
      <c r="GA64" s="727"/>
      <c r="GB64" s="727"/>
      <c r="GC64" s="727"/>
      <c r="GD64" s="727"/>
      <c r="GE64" s="727"/>
    </row>
    <row r="65" spans="2:187" ht="16">
      <c r="B65" s="734" t="s">
        <v>73</v>
      </c>
      <c r="C65" s="733" t="s">
        <v>85</v>
      </c>
      <c r="D65" s="539">
        <v>31.95</v>
      </c>
      <c r="E65" s="539">
        <v>65.13</v>
      </c>
      <c r="F65" s="539">
        <v>569</v>
      </c>
      <c r="G65" s="539" t="s">
        <v>42</v>
      </c>
      <c r="H65" s="539">
        <v>-2</v>
      </c>
      <c r="I65" s="539">
        <v>11.5</v>
      </c>
      <c r="J65" s="539">
        <v>24.3</v>
      </c>
      <c r="K65" s="539">
        <v>35.4</v>
      </c>
      <c r="L65" s="539">
        <v>55</v>
      </c>
      <c r="M65" s="539">
        <v>55</v>
      </c>
      <c r="N65" s="539">
        <v>55</v>
      </c>
      <c r="O65" s="539">
        <v>9</v>
      </c>
      <c r="P65" s="539">
        <v>94</v>
      </c>
      <c r="Q65" s="734">
        <v>3</v>
      </c>
      <c r="R65" s="539">
        <v>24.3</v>
      </c>
      <c r="S65" s="734">
        <v>0.53</v>
      </c>
      <c r="T65" s="744">
        <v>26.9</v>
      </c>
      <c r="U65" s="744">
        <v>2.6</v>
      </c>
      <c r="V65" s="734">
        <v>160</v>
      </c>
      <c r="W65" s="734">
        <v>38</v>
      </c>
      <c r="X65" s="734">
        <v>1.0999999999999999E-2</v>
      </c>
      <c r="Y65" s="734">
        <v>0.02</v>
      </c>
      <c r="Z65" s="547">
        <v>145</v>
      </c>
      <c r="AA65" s="547">
        <f t="shared" si="0"/>
        <v>1.45</v>
      </c>
      <c r="AB65" s="734">
        <v>30</v>
      </c>
      <c r="AC65" s="538"/>
      <c r="AD65" s="733" t="str">
        <f t="shared" si="3"/>
        <v>VILLA DOLORES</v>
      </c>
      <c r="AE65" s="737">
        <v>25.5</v>
      </c>
      <c r="AF65" s="737">
        <v>24.1</v>
      </c>
      <c r="AG65" s="737">
        <v>22.1</v>
      </c>
      <c r="AH65" s="737">
        <v>17.8</v>
      </c>
      <c r="AI65" s="737">
        <v>14.5</v>
      </c>
      <c r="AJ65" s="737">
        <v>11.1</v>
      </c>
      <c r="AK65" s="737">
        <v>11</v>
      </c>
      <c r="AL65" s="737">
        <v>13.2</v>
      </c>
      <c r="AM65" s="737">
        <v>16.3</v>
      </c>
      <c r="AN65" s="737">
        <v>19.3</v>
      </c>
      <c r="AO65" s="737">
        <v>22.3</v>
      </c>
      <c r="AP65" s="737">
        <v>24.4</v>
      </c>
      <c r="AQ65" s="538"/>
      <c r="AR65" s="733" t="str">
        <f t="shared" si="1"/>
        <v>CD</v>
      </c>
      <c r="AS65" s="733" t="str">
        <f t="shared" si="4"/>
        <v>VILLA DOLORES</v>
      </c>
      <c r="AT65" s="731">
        <v>6</v>
      </c>
      <c r="AU65" s="731">
        <v>5</v>
      </c>
      <c r="AV65" s="731">
        <v>4.5</v>
      </c>
      <c r="AW65" s="731">
        <v>3.5</v>
      </c>
      <c r="AX65" s="731">
        <v>3</v>
      </c>
      <c r="AY65" s="731">
        <v>2</v>
      </c>
      <c r="AZ65" s="731">
        <v>2.5</v>
      </c>
      <c r="BA65" s="731">
        <v>3.5</v>
      </c>
      <c r="BB65" s="731">
        <v>4</v>
      </c>
      <c r="BC65" s="731">
        <v>5</v>
      </c>
      <c r="BD65" s="731">
        <v>6</v>
      </c>
      <c r="BE65" s="731">
        <v>6</v>
      </c>
      <c r="BG65" s="733" t="str">
        <f t="shared" si="5"/>
        <v>CD</v>
      </c>
      <c r="BH65" s="733" t="str">
        <f t="shared" si="6"/>
        <v>VILLA DOLORES</v>
      </c>
      <c r="BI65" s="731">
        <v>115</v>
      </c>
      <c r="BJ65" s="731">
        <v>110</v>
      </c>
      <c r="BK65" s="731">
        <v>101</v>
      </c>
      <c r="BL65" s="731">
        <v>45</v>
      </c>
      <c r="BM65" s="731">
        <v>23</v>
      </c>
      <c r="BN65" s="731">
        <v>12</v>
      </c>
      <c r="BO65" s="731">
        <v>11</v>
      </c>
      <c r="BP65" s="731">
        <v>11</v>
      </c>
      <c r="BQ65" s="731">
        <v>31</v>
      </c>
      <c r="BR65" s="731">
        <v>76</v>
      </c>
      <c r="BS65" s="731">
        <v>95</v>
      </c>
      <c r="BT65" s="731">
        <v>118</v>
      </c>
      <c r="CY65" s="538"/>
      <c r="CZ65" s="538"/>
      <c r="DA65" s="538"/>
      <c r="DB65" s="538"/>
      <c r="DC65" s="538"/>
      <c r="DD65" s="538"/>
      <c r="DE65" s="538"/>
      <c r="DF65" s="538"/>
      <c r="DG65" s="538"/>
      <c r="DH65" s="538"/>
      <c r="DI65" s="538"/>
      <c r="DJ65" s="538"/>
      <c r="DK65" s="538"/>
      <c r="DL65" s="538"/>
      <c r="DM65" s="538"/>
      <c r="DN65" s="538"/>
      <c r="DO65" s="538"/>
      <c r="DP65" s="538"/>
      <c r="DQ65" s="538"/>
      <c r="DR65" s="538"/>
      <c r="DS65" s="538"/>
      <c r="DT65" s="538"/>
      <c r="DU65" s="538"/>
      <c r="DV65" s="538"/>
      <c r="DW65" s="538"/>
      <c r="DX65" s="538"/>
      <c r="DY65" s="538"/>
      <c r="DZ65" s="538"/>
      <c r="EA65" s="538"/>
      <c r="EB65" s="538"/>
      <c r="EC65" s="538"/>
      <c r="ED65" s="538"/>
      <c r="EE65" s="538"/>
      <c r="EF65" s="538"/>
      <c r="EG65" s="538"/>
      <c r="EH65" s="538"/>
      <c r="EI65" s="538"/>
      <c r="EJ65" s="538"/>
      <c r="EK65" s="538"/>
      <c r="EL65" s="538"/>
      <c r="EM65" s="538"/>
      <c r="EN65" s="538"/>
      <c r="EO65" s="538"/>
      <c r="EP65" s="538"/>
      <c r="EQ65" s="538"/>
      <c r="ER65" s="538"/>
      <c r="ES65" s="538"/>
      <c r="ET65" s="538"/>
      <c r="EU65" s="538"/>
      <c r="EV65" s="538"/>
      <c r="EW65" s="538"/>
      <c r="EX65" s="538"/>
      <c r="EY65" s="538"/>
      <c r="EZ65" s="538"/>
      <c r="FA65" s="538"/>
      <c r="FB65" s="538"/>
      <c r="FC65" s="538"/>
      <c r="FD65" s="538"/>
      <c r="FE65" s="538"/>
      <c r="FF65" s="538"/>
      <c r="FG65" s="538"/>
      <c r="FH65" s="538"/>
      <c r="FI65" s="538"/>
      <c r="FJ65" s="538"/>
      <c r="FK65" s="538"/>
      <c r="FL65" s="538"/>
      <c r="FM65" s="538"/>
      <c r="FN65" s="538"/>
      <c r="FO65" s="538"/>
      <c r="FP65" s="538"/>
      <c r="FQ65" s="727"/>
      <c r="FR65" s="727"/>
      <c r="FS65" s="727"/>
      <c r="FT65" s="727"/>
      <c r="FU65" s="727"/>
      <c r="FV65" s="727"/>
      <c r="FW65" s="727"/>
      <c r="FX65" s="727"/>
      <c r="FY65" s="727"/>
      <c r="FZ65" s="727"/>
      <c r="GA65" s="727"/>
      <c r="GB65" s="727"/>
      <c r="GC65" s="727"/>
      <c r="GD65" s="727"/>
      <c r="GE65" s="727"/>
    </row>
    <row r="66" spans="2:187" ht="16">
      <c r="B66" s="734" t="s">
        <v>73</v>
      </c>
      <c r="C66" s="733" t="s">
        <v>1267</v>
      </c>
      <c r="D66" s="539">
        <v>29.9</v>
      </c>
      <c r="E66" s="539">
        <v>63.68</v>
      </c>
      <c r="F66" s="539">
        <v>341</v>
      </c>
      <c r="G66" s="539" t="s">
        <v>42</v>
      </c>
      <c r="H66" s="539">
        <v>-2.6</v>
      </c>
      <c r="I66" s="539">
        <v>12.2</v>
      </c>
      <c r="J66" s="539">
        <v>24.3</v>
      </c>
      <c r="K66" s="539">
        <v>35.200000000000003</v>
      </c>
      <c r="L66" s="539">
        <v>67</v>
      </c>
      <c r="M66" s="539">
        <v>67</v>
      </c>
      <c r="N66" s="539">
        <v>67</v>
      </c>
      <c r="O66" s="539">
        <v>18</v>
      </c>
      <c r="P66" s="539">
        <v>123</v>
      </c>
      <c r="Q66" s="734">
        <v>3</v>
      </c>
      <c r="R66" s="539">
        <v>23.5</v>
      </c>
      <c r="S66" s="734">
        <v>0.53</v>
      </c>
      <c r="T66" s="744">
        <v>26.9</v>
      </c>
      <c r="U66" s="744">
        <v>2.6</v>
      </c>
      <c r="V66" s="734">
        <v>160</v>
      </c>
      <c r="W66" s="734">
        <v>38</v>
      </c>
      <c r="X66" s="734">
        <v>1.0999999999999999E-2</v>
      </c>
      <c r="Y66" s="734">
        <v>0.02</v>
      </c>
      <c r="Z66" s="547">
        <v>155</v>
      </c>
      <c r="AA66" s="547">
        <f>Z66*0.01</f>
        <v>1.55</v>
      </c>
      <c r="AB66" s="734">
        <v>30</v>
      </c>
      <c r="AC66" s="538"/>
      <c r="AD66" s="733" t="str">
        <f t="shared" si="3"/>
        <v>VILLA MARÍA</v>
      </c>
      <c r="AE66" s="737">
        <v>23.9</v>
      </c>
      <c r="AF66" s="737">
        <v>22.7</v>
      </c>
      <c r="AG66" s="737">
        <v>20.7</v>
      </c>
      <c r="AH66" s="737">
        <v>15.9</v>
      </c>
      <c r="AI66" s="737">
        <v>13.6</v>
      </c>
      <c r="AJ66" s="737">
        <v>10.1</v>
      </c>
      <c r="AK66" s="737">
        <v>10</v>
      </c>
      <c r="AL66" s="737">
        <v>11.6</v>
      </c>
      <c r="AM66" s="737">
        <v>14</v>
      </c>
      <c r="AN66" s="737">
        <v>17</v>
      </c>
      <c r="AO66" s="737">
        <v>20.2</v>
      </c>
      <c r="AP66" s="737">
        <v>22.4</v>
      </c>
      <c r="AQ66" s="538"/>
      <c r="AR66" s="733" t="str">
        <f t="shared" si="1"/>
        <v>CD</v>
      </c>
      <c r="AS66" s="733" t="str">
        <f t="shared" si="4"/>
        <v>VILLA MARÍA</v>
      </c>
      <c r="AT66" s="731">
        <v>6</v>
      </c>
      <c r="AU66" s="731">
        <v>5.5</v>
      </c>
      <c r="AV66" s="731">
        <v>4.5</v>
      </c>
      <c r="AW66" s="731">
        <v>3.5</v>
      </c>
      <c r="AX66" s="731">
        <v>2.5</v>
      </c>
      <c r="AY66" s="731">
        <v>2</v>
      </c>
      <c r="AZ66" s="731">
        <v>2.5</v>
      </c>
      <c r="BA66" s="731">
        <v>3</v>
      </c>
      <c r="BB66" s="731">
        <v>4</v>
      </c>
      <c r="BC66" s="731">
        <v>5.5</v>
      </c>
      <c r="BD66" s="731">
        <v>6</v>
      </c>
      <c r="BE66" s="731">
        <v>6</v>
      </c>
      <c r="BG66" s="733" t="str">
        <f t="shared" si="5"/>
        <v>CD</v>
      </c>
      <c r="BH66" s="733" t="str">
        <f t="shared" si="6"/>
        <v>VILLA MARÍA</v>
      </c>
      <c r="BI66" s="731">
        <v>115</v>
      </c>
      <c r="BJ66" s="731">
        <v>110</v>
      </c>
      <c r="BK66" s="731">
        <v>101</v>
      </c>
      <c r="BL66" s="731">
        <v>45</v>
      </c>
      <c r="BM66" s="731">
        <v>23</v>
      </c>
      <c r="BN66" s="731">
        <v>12</v>
      </c>
      <c r="BO66" s="731">
        <v>11</v>
      </c>
      <c r="BP66" s="731">
        <v>11</v>
      </c>
      <c r="BQ66" s="731">
        <v>31</v>
      </c>
      <c r="BR66" s="731">
        <v>76</v>
      </c>
      <c r="BS66" s="731">
        <v>95</v>
      </c>
      <c r="BT66" s="731">
        <v>118</v>
      </c>
      <c r="CW66" s="538"/>
      <c r="CX66" s="538"/>
      <c r="CY66" s="538"/>
      <c r="CZ66" s="538"/>
      <c r="DA66" s="538"/>
      <c r="DB66" s="538"/>
      <c r="DC66" s="538"/>
      <c r="DD66" s="538"/>
      <c r="DE66" s="538"/>
      <c r="DF66" s="538"/>
      <c r="DG66" s="538"/>
      <c r="DH66" s="538"/>
      <c r="DI66" s="538"/>
      <c r="DJ66" s="538"/>
      <c r="DK66" s="538"/>
      <c r="DL66" s="538"/>
      <c r="DM66" s="538"/>
      <c r="DN66" s="538"/>
      <c r="DO66" s="538"/>
      <c r="DP66" s="538"/>
      <c r="DQ66" s="538"/>
      <c r="DR66" s="538"/>
      <c r="DS66" s="538"/>
      <c r="DT66" s="538"/>
      <c r="DU66" s="538"/>
      <c r="DV66" s="538"/>
      <c r="DW66" s="538"/>
      <c r="DX66" s="538"/>
      <c r="DY66" s="538"/>
      <c r="DZ66" s="538"/>
      <c r="EA66" s="538"/>
      <c r="EB66" s="538"/>
      <c r="EC66" s="538"/>
      <c r="ED66" s="538"/>
      <c r="EE66" s="538"/>
      <c r="EF66" s="538"/>
      <c r="EG66" s="538"/>
      <c r="EH66" s="538"/>
      <c r="EI66" s="538"/>
      <c r="EJ66" s="538"/>
      <c r="EK66" s="538"/>
      <c r="EL66" s="538"/>
      <c r="EM66" s="538"/>
      <c r="EN66" s="538"/>
      <c r="EO66" s="538"/>
      <c r="EP66" s="538"/>
      <c r="EQ66" s="538"/>
      <c r="ER66" s="538"/>
      <c r="ES66" s="538"/>
      <c r="ET66" s="538"/>
      <c r="EU66" s="538"/>
      <c r="EV66" s="538"/>
      <c r="EW66" s="538"/>
      <c r="EX66" s="538"/>
      <c r="EY66" s="538"/>
      <c r="EZ66" s="538"/>
      <c r="FA66" s="538"/>
      <c r="FB66" s="538"/>
      <c r="FC66" s="538"/>
      <c r="FD66" s="538"/>
      <c r="FE66" s="538"/>
      <c r="FF66" s="538"/>
      <c r="FG66" s="538"/>
      <c r="FH66" s="538"/>
      <c r="FI66" s="538"/>
      <c r="FJ66" s="538"/>
      <c r="FK66" s="538"/>
      <c r="FL66" s="538"/>
      <c r="FM66" s="538"/>
      <c r="FN66" s="538"/>
      <c r="FO66" s="538"/>
      <c r="FQ66" s="727"/>
      <c r="FR66" s="727"/>
      <c r="FS66" s="727"/>
      <c r="FT66" s="727"/>
      <c r="FU66" s="727"/>
      <c r="FV66" s="727"/>
      <c r="FW66" s="727"/>
      <c r="FX66" s="727"/>
      <c r="FY66" s="727"/>
      <c r="FZ66" s="727"/>
      <c r="GA66" s="727"/>
      <c r="GB66" s="727"/>
      <c r="GC66" s="727"/>
      <c r="GD66" s="727"/>
      <c r="GE66" s="727"/>
    </row>
    <row r="67" spans="2:187" ht="16">
      <c r="B67" s="734" t="s">
        <v>86</v>
      </c>
      <c r="C67" s="733" t="s">
        <v>87</v>
      </c>
      <c r="D67" s="539">
        <v>28.43</v>
      </c>
      <c r="E67" s="539">
        <v>58.92</v>
      </c>
      <c r="F67" s="539">
        <v>70</v>
      </c>
      <c r="G67" s="539" t="s">
        <v>88</v>
      </c>
      <c r="H67" s="539">
        <v>4.5999999999999996</v>
      </c>
      <c r="I67" s="539">
        <v>15.3</v>
      </c>
      <c r="J67" s="539">
        <v>25.9</v>
      </c>
      <c r="K67" s="539">
        <v>35.299999999999997</v>
      </c>
      <c r="L67" s="539">
        <v>67</v>
      </c>
      <c r="M67" s="539">
        <v>76</v>
      </c>
      <c r="N67" s="539">
        <v>67</v>
      </c>
      <c r="O67" s="539">
        <v>40</v>
      </c>
      <c r="P67" s="539">
        <v>107</v>
      </c>
      <c r="Q67" s="734">
        <v>1</v>
      </c>
      <c r="R67" s="539">
        <v>25.3</v>
      </c>
      <c r="S67" s="734">
        <v>0.51</v>
      </c>
      <c r="T67" s="734">
        <v>8.9</v>
      </c>
      <c r="U67" s="734">
        <v>17.600000000000001</v>
      </c>
      <c r="V67" s="734">
        <v>38</v>
      </c>
      <c r="W67" s="734">
        <v>93</v>
      </c>
      <c r="X67" s="734">
        <v>1.0999999999999999E-2</v>
      </c>
      <c r="Y67" s="734">
        <v>1.4E-2</v>
      </c>
      <c r="Z67" s="547">
        <v>155</v>
      </c>
      <c r="AA67" s="547">
        <f t="shared" ref="AA67:AA130" si="12">Z67*0.01</f>
        <v>1.55</v>
      </c>
      <c r="AB67" s="734">
        <v>30</v>
      </c>
      <c r="AC67" s="538"/>
      <c r="AD67" s="733" t="str">
        <f t="shared" si="3"/>
        <v>BELLAVISTA</v>
      </c>
      <c r="AE67" s="737">
        <v>26.7</v>
      </c>
      <c r="AF67" s="737">
        <v>26.1</v>
      </c>
      <c r="AG67" s="737">
        <v>23.5</v>
      </c>
      <c r="AH67" s="737">
        <v>20.3</v>
      </c>
      <c r="AI67" s="737">
        <v>17.600000000000001</v>
      </c>
      <c r="AJ67" s="737">
        <v>15.2</v>
      </c>
      <c r="AK67" s="737">
        <v>14.5</v>
      </c>
      <c r="AL67" s="737">
        <v>16.3</v>
      </c>
      <c r="AM67" s="737">
        <v>18.2</v>
      </c>
      <c r="AN67" s="737">
        <v>20.5</v>
      </c>
      <c r="AO67" s="737">
        <v>23.3</v>
      </c>
      <c r="AP67" s="737">
        <v>25.4</v>
      </c>
      <c r="AQ67" s="538"/>
      <c r="AR67" s="733" t="str">
        <f t="shared" si="1"/>
        <v>CR</v>
      </c>
      <c r="AS67" s="733" t="str">
        <f t="shared" si="4"/>
        <v>BELLAVISTA</v>
      </c>
      <c r="AT67" s="731">
        <v>6.5</v>
      </c>
      <c r="AU67" s="731">
        <v>6</v>
      </c>
      <c r="AV67" s="731">
        <v>5</v>
      </c>
      <c r="AW67" s="731">
        <v>4</v>
      </c>
      <c r="AX67" s="731">
        <v>3</v>
      </c>
      <c r="AY67" s="731">
        <v>2.5</v>
      </c>
      <c r="AZ67" s="731">
        <v>2.5</v>
      </c>
      <c r="BA67" s="731">
        <v>3.5</v>
      </c>
      <c r="BB67" s="731">
        <v>4.5</v>
      </c>
      <c r="BC67" s="731">
        <v>5.5</v>
      </c>
      <c r="BD67" s="731">
        <v>6</v>
      </c>
      <c r="BE67" s="731">
        <v>6.5</v>
      </c>
      <c r="BG67" s="733" t="str">
        <f t="shared" si="5"/>
        <v>CR</v>
      </c>
      <c r="BH67" s="733" t="str">
        <f t="shared" si="6"/>
        <v>BELLAVISTA</v>
      </c>
      <c r="BI67" s="731">
        <v>151</v>
      </c>
      <c r="BJ67" s="731">
        <v>139</v>
      </c>
      <c r="BK67" s="731">
        <v>143</v>
      </c>
      <c r="BL67" s="731">
        <v>161</v>
      </c>
      <c r="BM67" s="731">
        <v>88</v>
      </c>
      <c r="BN67" s="731">
        <v>56</v>
      </c>
      <c r="BO67" s="731">
        <v>43</v>
      </c>
      <c r="BP67" s="731">
        <v>43</v>
      </c>
      <c r="BQ67" s="731">
        <v>68</v>
      </c>
      <c r="BR67" s="731">
        <v>132</v>
      </c>
      <c r="BS67" s="731">
        <v>134</v>
      </c>
      <c r="BT67" s="731">
        <v>131</v>
      </c>
      <c r="FQ67" s="727"/>
      <c r="FR67" s="727"/>
      <c r="FS67" s="727"/>
      <c r="FT67" s="727"/>
      <c r="FU67" s="727"/>
      <c r="FV67" s="727"/>
      <c r="FW67" s="727"/>
      <c r="FX67" s="727"/>
      <c r="FY67" s="727"/>
      <c r="FZ67" s="727"/>
      <c r="GA67" s="727"/>
      <c r="GB67" s="727"/>
      <c r="GC67" s="727"/>
      <c r="GD67" s="727"/>
      <c r="GE67" s="727"/>
    </row>
    <row r="68" spans="2:187" ht="16">
      <c r="B68" s="734" t="s">
        <v>86</v>
      </c>
      <c r="C68" s="733" t="s">
        <v>89</v>
      </c>
      <c r="D68" s="539">
        <v>27.45</v>
      </c>
      <c r="E68" s="539">
        <v>58.77</v>
      </c>
      <c r="F68" s="539">
        <v>62</v>
      </c>
      <c r="G68" s="539" t="s">
        <v>88</v>
      </c>
      <c r="H68" s="539">
        <v>4.4000000000000004</v>
      </c>
      <c r="I68" s="539">
        <v>15.8</v>
      </c>
      <c r="J68" s="539">
        <v>26</v>
      </c>
      <c r="K68" s="539">
        <v>35.700000000000003</v>
      </c>
      <c r="L68" s="539">
        <v>70</v>
      </c>
      <c r="M68" s="539">
        <v>77</v>
      </c>
      <c r="N68" s="539">
        <v>70</v>
      </c>
      <c r="O68" s="539">
        <v>42</v>
      </c>
      <c r="P68" s="539">
        <v>151</v>
      </c>
      <c r="Q68" s="734">
        <v>1</v>
      </c>
      <c r="R68" s="539">
        <v>25.7</v>
      </c>
      <c r="S68" s="734">
        <v>0.51</v>
      </c>
      <c r="T68" s="734">
        <v>8.9</v>
      </c>
      <c r="U68" s="734">
        <v>17.600000000000001</v>
      </c>
      <c r="V68" s="734">
        <v>38</v>
      </c>
      <c r="W68" s="734">
        <v>93</v>
      </c>
      <c r="X68" s="734">
        <v>1.0999999999999999E-2</v>
      </c>
      <c r="Y68" s="734">
        <v>1.4E-2</v>
      </c>
      <c r="Z68" s="547">
        <v>155</v>
      </c>
      <c r="AA68" s="547">
        <f t="shared" si="12"/>
        <v>1.55</v>
      </c>
      <c r="AB68" s="734">
        <v>30</v>
      </c>
      <c r="AC68" s="538"/>
      <c r="AD68" s="733" t="str">
        <f t="shared" si="3"/>
        <v>CORRIENTES AERO</v>
      </c>
      <c r="AE68" s="737">
        <v>27.5</v>
      </c>
      <c r="AF68" s="737">
        <v>26.5</v>
      </c>
      <c r="AG68" s="737">
        <v>25</v>
      </c>
      <c r="AH68" s="737">
        <v>21.5</v>
      </c>
      <c r="AI68" s="737">
        <v>18.5</v>
      </c>
      <c r="AJ68" s="737">
        <v>16.3</v>
      </c>
      <c r="AK68" s="737">
        <v>16</v>
      </c>
      <c r="AL68" s="737">
        <v>17</v>
      </c>
      <c r="AM68" s="737">
        <v>19.3</v>
      </c>
      <c r="AN68" s="737">
        <v>21.4</v>
      </c>
      <c r="AO68" s="737">
        <v>23.7</v>
      </c>
      <c r="AP68" s="737">
        <v>26.3</v>
      </c>
      <c r="AQ68" s="538"/>
      <c r="AR68" s="733" t="str">
        <f t="shared" si="1"/>
        <v>CR</v>
      </c>
      <c r="AS68" s="733" t="str">
        <f t="shared" si="4"/>
        <v>CORRIENTES AERO</v>
      </c>
      <c r="AT68" s="731">
        <v>6.5</v>
      </c>
      <c r="AU68" s="731">
        <v>6</v>
      </c>
      <c r="AV68" s="731">
        <v>5</v>
      </c>
      <c r="AW68" s="731">
        <v>4</v>
      </c>
      <c r="AX68" s="731">
        <v>3</v>
      </c>
      <c r="AY68" s="731">
        <v>2.5</v>
      </c>
      <c r="AZ68" s="731">
        <v>2.5</v>
      </c>
      <c r="BA68" s="731">
        <v>3.5</v>
      </c>
      <c r="BB68" s="731">
        <v>4</v>
      </c>
      <c r="BC68" s="731">
        <v>5.5</v>
      </c>
      <c r="BD68" s="731">
        <v>5.5</v>
      </c>
      <c r="BE68" s="731">
        <v>6.5</v>
      </c>
      <c r="BG68" s="733" t="str">
        <f t="shared" si="5"/>
        <v>CR</v>
      </c>
      <c r="BH68" s="733" t="str">
        <f t="shared" si="6"/>
        <v>CORRIENTES AERO</v>
      </c>
      <c r="BI68" s="731">
        <v>151</v>
      </c>
      <c r="BJ68" s="731">
        <v>139</v>
      </c>
      <c r="BK68" s="731">
        <v>143</v>
      </c>
      <c r="BL68" s="731">
        <v>161</v>
      </c>
      <c r="BM68" s="731">
        <v>88</v>
      </c>
      <c r="BN68" s="731">
        <v>56</v>
      </c>
      <c r="BO68" s="731">
        <v>43</v>
      </c>
      <c r="BP68" s="731">
        <v>43</v>
      </c>
      <c r="BQ68" s="731">
        <v>68</v>
      </c>
      <c r="BR68" s="731">
        <v>132</v>
      </c>
      <c r="BS68" s="731">
        <v>134</v>
      </c>
      <c r="BT68" s="731">
        <v>131</v>
      </c>
      <c r="FQ68" s="727"/>
      <c r="FR68" s="727"/>
      <c r="FS68" s="727"/>
      <c r="FT68" s="727"/>
      <c r="FU68" s="727"/>
      <c r="FV68" s="727"/>
      <c r="FW68" s="727"/>
      <c r="FX68" s="727"/>
      <c r="FY68" s="727"/>
      <c r="FZ68" s="727"/>
      <c r="GA68" s="727"/>
      <c r="GB68" s="727"/>
      <c r="GC68" s="727"/>
      <c r="GD68" s="727"/>
      <c r="GE68" s="727"/>
    </row>
    <row r="69" spans="2:187" ht="16">
      <c r="B69" s="734" t="s">
        <v>86</v>
      </c>
      <c r="C69" s="733" t="s">
        <v>90</v>
      </c>
      <c r="D69" s="539">
        <v>27.47</v>
      </c>
      <c r="E69" s="539">
        <v>58.82</v>
      </c>
      <c r="F69" s="539">
        <v>60</v>
      </c>
      <c r="G69" s="539" t="s">
        <v>88</v>
      </c>
      <c r="H69" s="539">
        <v>6.6</v>
      </c>
      <c r="I69" s="539">
        <v>16.899999999999999</v>
      </c>
      <c r="J69" s="539">
        <v>26.8</v>
      </c>
      <c r="K69" s="539">
        <v>36.6</v>
      </c>
      <c r="L69" s="539">
        <v>68</v>
      </c>
      <c r="M69" s="539">
        <v>75</v>
      </c>
      <c r="N69" s="539">
        <v>68</v>
      </c>
      <c r="O69" s="539">
        <v>41</v>
      </c>
      <c r="P69" s="539">
        <v>168</v>
      </c>
      <c r="Q69" s="734">
        <v>1</v>
      </c>
      <c r="R69" s="539">
        <v>26.6</v>
      </c>
      <c r="S69" s="734">
        <v>0.51</v>
      </c>
      <c r="T69" s="734">
        <v>8.9</v>
      </c>
      <c r="U69" s="734">
        <v>17.600000000000001</v>
      </c>
      <c r="V69" s="734">
        <v>38</v>
      </c>
      <c r="W69" s="734">
        <v>93</v>
      </c>
      <c r="X69" s="734">
        <v>1.0999999999999999E-2</v>
      </c>
      <c r="Y69" s="734">
        <v>1.4E-2</v>
      </c>
      <c r="Z69" s="547">
        <v>155</v>
      </c>
      <c r="AA69" s="547">
        <f t="shared" si="12"/>
        <v>1.55</v>
      </c>
      <c r="AB69" s="734">
        <v>30</v>
      </c>
      <c r="AC69" s="538"/>
      <c r="AD69" s="733" t="str">
        <f t="shared" si="3"/>
        <v>CORRIENTES</v>
      </c>
      <c r="AE69" s="737">
        <v>27.5</v>
      </c>
      <c r="AF69" s="737">
        <v>27.2</v>
      </c>
      <c r="AG69" s="737">
        <v>25.3</v>
      </c>
      <c r="AH69" s="737">
        <v>22.5</v>
      </c>
      <c r="AI69" s="737">
        <v>18.5</v>
      </c>
      <c r="AJ69" s="737">
        <v>17</v>
      </c>
      <c r="AK69" s="737">
        <v>16</v>
      </c>
      <c r="AL69" s="737">
        <v>18.5</v>
      </c>
      <c r="AM69" s="737">
        <v>19.399999999999999</v>
      </c>
      <c r="AN69" s="737">
        <v>21.8</v>
      </c>
      <c r="AO69" s="737">
        <v>24.2</v>
      </c>
      <c r="AP69" s="737">
        <v>26.8</v>
      </c>
      <c r="AQ69" s="538"/>
      <c r="AR69" s="733" t="str">
        <f t="shared" si="1"/>
        <v>CR</v>
      </c>
      <c r="AS69" s="733" t="str">
        <f t="shared" si="4"/>
        <v>CORRIENTES</v>
      </c>
      <c r="AT69" s="731">
        <v>6.5</v>
      </c>
      <c r="AU69" s="731">
        <v>6</v>
      </c>
      <c r="AV69" s="731">
        <v>5</v>
      </c>
      <c r="AW69" s="731">
        <v>4</v>
      </c>
      <c r="AX69" s="731">
        <v>3</v>
      </c>
      <c r="AY69" s="731">
        <v>2.5</v>
      </c>
      <c r="AZ69" s="731">
        <v>2.5</v>
      </c>
      <c r="BA69" s="731">
        <v>3.5</v>
      </c>
      <c r="BB69" s="731">
        <v>4</v>
      </c>
      <c r="BC69" s="731">
        <v>5.5</v>
      </c>
      <c r="BD69" s="731">
        <v>5.5</v>
      </c>
      <c r="BE69" s="731">
        <v>6.5</v>
      </c>
      <c r="BG69" s="733" t="str">
        <f t="shared" si="5"/>
        <v>CR</v>
      </c>
      <c r="BH69" s="733" t="str">
        <f t="shared" si="6"/>
        <v>CORRIENTES</v>
      </c>
      <c r="BI69" s="731">
        <v>151</v>
      </c>
      <c r="BJ69" s="731">
        <v>139</v>
      </c>
      <c r="BK69" s="731">
        <v>143</v>
      </c>
      <c r="BL69" s="731">
        <v>161</v>
      </c>
      <c r="BM69" s="731">
        <v>88</v>
      </c>
      <c r="BN69" s="731">
        <v>56</v>
      </c>
      <c r="BO69" s="731">
        <v>43</v>
      </c>
      <c r="BP69" s="731">
        <v>43</v>
      </c>
      <c r="BQ69" s="731">
        <v>68</v>
      </c>
      <c r="BR69" s="731">
        <v>132</v>
      </c>
      <c r="BS69" s="731">
        <v>134</v>
      </c>
      <c r="BT69" s="731">
        <v>131</v>
      </c>
      <c r="FQ69" s="727"/>
      <c r="FR69" s="727"/>
      <c r="FS69" s="727"/>
      <c r="FT69" s="727"/>
      <c r="FU69" s="727"/>
      <c r="FV69" s="727"/>
      <c r="FW69" s="727"/>
      <c r="FX69" s="727"/>
      <c r="FY69" s="727"/>
      <c r="FZ69" s="727"/>
      <c r="GA69" s="727"/>
      <c r="GB69" s="727"/>
      <c r="GC69" s="727"/>
      <c r="GD69" s="727"/>
      <c r="GE69" s="727"/>
    </row>
    <row r="70" spans="2:187" ht="16">
      <c r="B70" s="734" t="s">
        <v>86</v>
      </c>
      <c r="C70" s="733" t="s">
        <v>91</v>
      </c>
      <c r="D70" s="539">
        <v>27.75</v>
      </c>
      <c r="E70" s="539">
        <v>57.63</v>
      </c>
      <c r="F70" s="539">
        <v>74</v>
      </c>
      <c r="G70" s="539" t="s">
        <v>88</v>
      </c>
      <c r="H70" s="539">
        <v>5.3</v>
      </c>
      <c r="I70" s="539">
        <v>16.100000000000001</v>
      </c>
      <c r="J70" s="539">
        <v>25.9</v>
      </c>
      <c r="K70" s="539">
        <v>35.9</v>
      </c>
      <c r="L70" s="539">
        <v>73</v>
      </c>
      <c r="M70" s="539">
        <v>79</v>
      </c>
      <c r="N70" s="539">
        <v>73</v>
      </c>
      <c r="O70" s="539">
        <v>61</v>
      </c>
      <c r="P70" s="539">
        <v>149</v>
      </c>
      <c r="Q70" s="734">
        <v>1</v>
      </c>
      <c r="R70" s="539">
        <v>25.7</v>
      </c>
      <c r="S70" s="734">
        <v>0.51</v>
      </c>
      <c r="T70" s="734">
        <v>8.9</v>
      </c>
      <c r="U70" s="734">
        <v>17.600000000000001</v>
      </c>
      <c r="V70" s="734">
        <v>38</v>
      </c>
      <c r="W70" s="734">
        <v>93</v>
      </c>
      <c r="X70" s="734">
        <v>1.0999999999999999E-2</v>
      </c>
      <c r="Y70" s="734">
        <v>1.4E-2</v>
      </c>
      <c r="Z70" s="547">
        <v>155</v>
      </c>
      <c r="AA70" s="547">
        <f t="shared" si="12"/>
        <v>1.55</v>
      </c>
      <c r="AB70" s="734">
        <v>30</v>
      </c>
      <c r="AC70" s="538"/>
      <c r="AD70" s="733" t="str">
        <f t="shared" si="3"/>
        <v>GENERAL PAZ</v>
      </c>
      <c r="AE70" s="737">
        <v>21.8</v>
      </c>
      <c r="AF70" s="737">
        <v>20.9</v>
      </c>
      <c r="AG70" s="737">
        <v>18.7</v>
      </c>
      <c r="AH70" s="737">
        <v>15.3</v>
      </c>
      <c r="AI70" s="737">
        <v>12.7</v>
      </c>
      <c r="AJ70" s="737">
        <v>10</v>
      </c>
      <c r="AK70" s="737">
        <v>9.9</v>
      </c>
      <c r="AL70" s="737">
        <v>11.4</v>
      </c>
      <c r="AM70" s="737">
        <v>13.8</v>
      </c>
      <c r="AN70" s="737">
        <v>16.2</v>
      </c>
      <c r="AO70" s="737">
        <v>18.8</v>
      </c>
      <c r="AP70" s="737">
        <v>20.9</v>
      </c>
      <c r="AQ70" s="538"/>
      <c r="AR70" s="733" t="str">
        <f t="shared" ref="AR70:AR133" si="13">B70</f>
        <v>CR</v>
      </c>
      <c r="AS70" s="733" t="str">
        <f t="shared" si="4"/>
        <v>GENERAL PAZ</v>
      </c>
      <c r="AT70" s="731">
        <v>6.5</v>
      </c>
      <c r="AU70" s="731">
        <v>6</v>
      </c>
      <c r="AV70" s="731">
        <v>5</v>
      </c>
      <c r="AW70" s="731">
        <v>4</v>
      </c>
      <c r="AX70" s="731">
        <v>3</v>
      </c>
      <c r="AY70" s="731">
        <v>2.5</v>
      </c>
      <c r="AZ70" s="731">
        <v>2.5</v>
      </c>
      <c r="BA70" s="731">
        <v>3.5</v>
      </c>
      <c r="BB70" s="731">
        <v>4</v>
      </c>
      <c r="BC70" s="731">
        <v>5.5</v>
      </c>
      <c r="BD70" s="731">
        <v>6</v>
      </c>
      <c r="BE70" s="731">
        <v>6.5</v>
      </c>
      <c r="BG70" s="733" t="str">
        <f t="shared" si="5"/>
        <v>CR</v>
      </c>
      <c r="BH70" s="733" t="str">
        <f t="shared" si="6"/>
        <v>GENERAL PAZ</v>
      </c>
      <c r="BI70" s="731">
        <v>151</v>
      </c>
      <c r="BJ70" s="731">
        <v>139</v>
      </c>
      <c r="BK70" s="731">
        <v>143</v>
      </c>
      <c r="BL70" s="731">
        <v>161</v>
      </c>
      <c r="BM70" s="731">
        <v>88</v>
      </c>
      <c r="BN70" s="731">
        <v>56</v>
      </c>
      <c r="BO70" s="731">
        <v>43</v>
      </c>
      <c r="BP70" s="731">
        <v>43</v>
      </c>
      <c r="BQ70" s="731">
        <v>68</v>
      </c>
      <c r="BR70" s="731">
        <v>132</v>
      </c>
      <c r="BS70" s="731">
        <v>134</v>
      </c>
      <c r="BT70" s="731">
        <v>131</v>
      </c>
      <c r="FQ70" s="727"/>
      <c r="FR70" s="727"/>
      <c r="FS70" s="727"/>
      <c r="FT70" s="727"/>
      <c r="FU70" s="727"/>
      <c r="FV70" s="727"/>
      <c r="FW70" s="727"/>
      <c r="FX70" s="727"/>
      <c r="FY70" s="727"/>
      <c r="FZ70" s="727"/>
      <c r="GA70" s="727"/>
      <c r="GB70" s="727"/>
      <c r="GC70" s="727"/>
      <c r="GD70" s="727"/>
      <c r="GE70" s="727"/>
    </row>
    <row r="71" spans="2:187" ht="16">
      <c r="B71" s="734" t="s">
        <v>86</v>
      </c>
      <c r="C71" s="733" t="s">
        <v>92</v>
      </c>
      <c r="D71" s="539">
        <v>29.13</v>
      </c>
      <c r="E71" s="539">
        <v>59.27</v>
      </c>
      <c r="F71" s="539">
        <v>36</v>
      </c>
      <c r="G71" s="539" t="s">
        <v>78</v>
      </c>
      <c r="H71" s="539">
        <v>2.7</v>
      </c>
      <c r="I71" s="539">
        <v>15.2</v>
      </c>
      <c r="J71" s="539">
        <v>26.1</v>
      </c>
      <c r="K71" s="539">
        <v>35.799999999999997</v>
      </c>
      <c r="L71" s="539">
        <v>71</v>
      </c>
      <c r="M71" s="539">
        <v>78</v>
      </c>
      <c r="N71" s="539">
        <v>71</v>
      </c>
      <c r="O71" s="539">
        <v>40</v>
      </c>
      <c r="P71" s="539">
        <v>126</v>
      </c>
      <c r="Q71" s="734">
        <v>2</v>
      </c>
      <c r="R71" s="539">
        <v>25.1</v>
      </c>
      <c r="S71" s="734">
        <v>0.51</v>
      </c>
      <c r="T71" s="734">
        <v>8.9</v>
      </c>
      <c r="U71" s="734">
        <v>17.600000000000001</v>
      </c>
      <c r="V71" s="734">
        <v>38</v>
      </c>
      <c r="W71" s="734">
        <v>93</v>
      </c>
      <c r="X71" s="734">
        <v>1.0999999999999999E-2</v>
      </c>
      <c r="Y71" s="734">
        <v>1.4E-2</v>
      </c>
      <c r="Z71" s="547">
        <v>155</v>
      </c>
      <c r="AA71" s="547">
        <f t="shared" si="12"/>
        <v>1.55</v>
      </c>
      <c r="AB71" s="734">
        <v>30</v>
      </c>
      <c r="AC71" s="538"/>
      <c r="AD71" s="733" t="str">
        <f t="shared" ref="AD71:AD134" si="14">C71</f>
        <v>GOYA</v>
      </c>
      <c r="AE71" s="737">
        <v>26.5</v>
      </c>
      <c r="AF71" s="737">
        <v>26</v>
      </c>
      <c r="AG71" s="737">
        <v>24.3</v>
      </c>
      <c r="AH71" s="737">
        <v>19.7</v>
      </c>
      <c r="AI71" s="737">
        <v>17</v>
      </c>
      <c r="AJ71" s="737">
        <v>14.5</v>
      </c>
      <c r="AK71" s="737">
        <v>14.5</v>
      </c>
      <c r="AL71" s="737">
        <v>15.6</v>
      </c>
      <c r="AM71" s="737">
        <v>17.5</v>
      </c>
      <c r="AN71" s="737">
        <v>20.2</v>
      </c>
      <c r="AO71" s="737">
        <v>22.8</v>
      </c>
      <c r="AP71" s="737">
        <v>25.2</v>
      </c>
      <c r="AQ71" s="538"/>
      <c r="AR71" s="733" t="str">
        <f t="shared" si="13"/>
        <v>CR</v>
      </c>
      <c r="AS71" s="733" t="str">
        <f t="shared" ref="AS71:AS134" si="15">AD71</f>
        <v>GOYA</v>
      </c>
      <c r="AT71" s="731">
        <v>6.5</v>
      </c>
      <c r="AU71" s="731">
        <v>6</v>
      </c>
      <c r="AV71" s="731">
        <v>5</v>
      </c>
      <c r="AW71" s="731">
        <v>4</v>
      </c>
      <c r="AX71" s="731">
        <v>3</v>
      </c>
      <c r="AY71" s="731">
        <v>2.5</v>
      </c>
      <c r="AZ71" s="731">
        <v>2.5</v>
      </c>
      <c r="BA71" s="731">
        <v>3.5</v>
      </c>
      <c r="BB71" s="731">
        <v>4.5</v>
      </c>
      <c r="BC71" s="731">
        <v>5.5</v>
      </c>
      <c r="BD71" s="731">
        <v>6</v>
      </c>
      <c r="BE71" s="731">
        <v>6.5</v>
      </c>
      <c r="BG71" s="733" t="str">
        <f t="shared" ref="BG71:BG134" si="16">+AR71</f>
        <v>CR</v>
      </c>
      <c r="BH71" s="733" t="str">
        <f t="shared" ref="BH71:BH134" si="17">+AS71</f>
        <v>GOYA</v>
      </c>
      <c r="BI71" s="731">
        <v>151</v>
      </c>
      <c r="BJ71" s="731">
        <v>139</v>
      </c>
      <c r="BK71" s="731">
        <v>143</v>
      </c>
      <c r="BL71" s="731">
        <v>161</v>
      </c>
      <c r="BM71" s="731">
        <v>88</v>
      </c>
      <c r="BN71" s="731">
        <v>56</v>
      </c>
      <c r="BO71" s="731">
        <v>43</v>
      </c>
      <c r="BP71" s="731">
        <v>43</v>
      </c>
      <c r="BQ71" s="731">
        <v>68</v>
      </c>
      <c r="BR71" s="731">
        <v>132</v>
      </c>
      <c r="BS71" s="731">
        <v>134</v>
      </c>
      <c r="BT71" s="731">
        <v>131</v>
      </c>
      <c r="FQ71" s="727"/>
      <c r="FR71" s="727"/>
      <c r="FS71" s="727"/>
      <c r="FT71" s="727"/>
      <c r="FU71" s="727"/>
      <c r="FV71" s="727"/>
      <c r="FW71" s="727"/>
      <c r="FX71" s="727"/>
      <c r="FY71" s="727"/>
      <c r="FZ71" s="727"/>
      <c r="GA71" s="727"/>
      <c r="GB71" s="727"/>
      <c r="GC71" s="727"/>
      <c r="GD71" s="727"/>
      <c r="GE71" s="727"/>
    </row>
    <row r="72" spans="2:187" ht="16">
      <c r="B72" s="734" t="s">
        <v>86</v>
      </c>
      <c r="C72" s="733" t="s">
        <v>93</v>
      </c>
      <c r="D72" s="539">
        <v>27.6</v>
      </c>
      <c r="E72" s="539">
        <v>56.7</v>
      </c>
      <c r="F72" s="539">
        <v>80</v>
      </c>
      <c r="G72" s="539" t="s">
        <v>88</v>
      </c>
      <c r="H72" s="539">
        <v>6.3</v>
      </c>
      <c r="I72" s="539">
        <v>16.7</v>
      </c>
      <c r="J72" s="539">
        <v>26.1</v>
      </c>
      <c r="K72" s="539">
        <v>35.299999999999997</v>
      </c>
      <c r="L72" s="539">
        <v>76</v>
      </c>
      <c r="M72" s="539">
        <v>80</v>
      </c>
      <c r="N72" s="539">
        <v>76</v>
      </c>
      <c r="O72" s="539">
        <v>92</v>
      </c>
      <c r="P72" s="539">
        <v>164</v>
      </c>
      <c r="Q72" s="734">
        <v>1</v>
      </c>
      <c r="R72" s="539">
        <v>25.1</v>
      </c>
      <c r="S72" s="734">
        <v>0.51</v>
      </c>
      <c r="T72" s="734">
        <v>8.9</v>
      </c>
      <c r="U72" s="734">
        <v>17.600000000000001</v>
      </c>
      <c r="V72" s="734">
        <v>38</v>
      </c>
      <c r="W72" s="734">
        <v>93</v>
      </c>
      <c r="X72" s="734">
        <v>1.0999999999999999E-2</v>
      </c>
      <c r="Y72" s="734">
        <v>1.4E-2</v>
      </c>
      <c r="Z72" s="547">
        <v>145</v>
      </c>
      <c r="AA72" s="547">
        <f t="shared" si="12"/>
        <v>1.45</v>
      </c>
      <c r="AB72" s="734">
        <v>30</v>
      </c>
      <c r="AC72" s="538"/>
      <c r="AD72" s="733" t="str">
        <f t="shared" si="14"/>
        <v>ITUZAINGO</v>
      </c>
      <c r="AE72" s="737">
        <v>23.3</v>
      </c>
      <c r="AF72" s="737">
        <v>22</v>
      </c>
      <c r="AG72" s="737">
        <v>20.3</v>
      </c>
      <c r="AH72" s="737">
        <v>15.6</v>
      </c>
      <c r="AI72" s="737">
        <v>12.9</v>
      </c>
      <c r="AJ72" s="737">
        <v>10.3</v>
      </c>
      <c r="AK72" s="737">
        <v>10.1</v>
      </c>
      <c r="AL72" s="737">
        <v>11.2</v>
      </c>
      <c r="AM72" s="737">
        <v>13</v>
      </c>
      <c r="AN72" s="737">
        <v>15.8</v>
      </c>
      <c r="AO72" s="737">
        <v>18.8</v>
      </c>
      <c r="AP72" s="737">
        <v>21.2</v>
      </c>
      <c r="AQ72" s="538"/>
      <c r="AR72" s="733" t="str">
        <f t="shared" si="13"/>
        <v>CR</v>
      </c>
      <c r="AS72" s="733" t="str">
        <f t="shared" si="15"/>
        <v>ITUZAINGO</v>
      </c>
      <c r="AT72" s="731">
        <v>6</v>
      </c>
      <c r="AU72" s="731">
        <v>6</v>
      </c>
      <c r="AV72" s="731">
        <v>5</v>
      </c>
      <c r="AW72" s="731">
        <v>4</v>
      </c>
      <c r="AX72" s="731">
        <v>3</v>
      </c>
      <c r="AY72" s="731">
        <v>2.5</v>
      </c>
      <c r="AZ72" s="731">
        <v>2.5</v>
      </c>
      <c r="BA72" s="731">
        <v>3.5</v>
      </c>
      <c r="BB72" s="731">
        <v>4</v>
      </c>
      <c r="BC72" s="731">
        <v>5</v>
      </c>
      <c r="BD72" s="731">
        <v>5.5</v>
      </c>
      <c r="BE72" s="731">
        <v>6.5</v>
      </c>
      <c r="BG72" s="733" t="str">
        <f t="shared" si="16"/>
        <v>CR</v>
      </c>
      <c r="BH72" s="733" t="str">
        <f t="shared" si="17"/>
        <v>ITUZAINGO</v>
      </c>
      <c r="BI72" s="731">
        <v>151</v>
      </c>
      <c r="BJ72" s="731">
        <v>139</v>
      </c>
      <c r="BK72" s="731">
        <v>143</v>
      </c>
      <c r="BL72" s="731">
        <v>161</v>
      </c>
      <c r="BM72" s="731">
        <v>88</v>
      </c>
      <c r="BN72" s="731">
        <v>56</v>
      </c>
      <c r="BO72" s="731">
        <v>43</v>
      </c>
      <c r="BP72" s="731">
        <v>43</v>
      </c>
      <c r="BQ72" s="731">
        <v>68</v>
      </c>
      <c r="BR72" s="731">
        <v>132</v>
      </c>
      <c r="BS72" s="731">
        <v>134</v>
      </c>
      <c r="BT72" s="731">
        <v>131</v>
      </c>
      <c r="FQ72" s="727"/>
      <c r="FR72" s="727"/>
      <c r="FS72" s="727"/>
      <c r="FT72" s="727"/>
      <c r="FU72" s="727"/>
      <c r="FV72" s="727"/>
      <c r="FW72" s="727"/>
      <c r="FX72" s="727"/>
      <c r="FY72" s="727"/>
      <c r="FZ72" s="727"/>
      <c r="GA72" s="727"/>
      <c r="GB72" s="727"/>
      <c r="GC72" s="727"/>
      <c r="GD72" s="727"/>
      <c r="GE72" s="727"/>
    </row>
    <row r="73" spans="2:187" ht="16">
      <c r="B73" s="734" t="s">
        <v>86</v>
      </c>
      <c r="C73" s="733" t="s">
        <v>94</v>
      </c>
      <c r="D73" s="539">
        <v>30.27</v>
      </c>
      <c r="E73" s="539">
        <v>57.65</v>
      </c>
      <c r="F73" s="539">
        <v>54</v>
      </c>
      <c r="G73" s="539" t="s">
        <v>78</v>
      </c>
      <c r="H73" s="539">
        <v>3.7</v>
      </c>
      <c r="I73" s="539">
        <v>14</v>
      </c>
      <c r="J73" s="539">
        <v>25.2</v>
      </c>
      <c r="K73" s="539">
        <v>34.700000000000003</v>
      </c>
      <c r="L73" s="539">
        <v>64</v>
      </c>
      <c r="M73" s="539">
        <v>78</v>
      </c>
      <c r="N73" s="539">
        <v>64</v>
      </c>
      <c r="O73" s="539">
        <v>59</v>
      </c>
      <c r="P73" s="539">
        <v>134</v>
      </c>
      <c r="Q73" s="734">
        <v>2</v>
      </c>
      <c r="R73" s="539">
        <v>24.6</v>
      </c>
      <c r="S73" s="734">
        <v>0.51</v>
      </c>
      <c r="T73" s="734">
        <v>8.9</v>
      </c>
      <c r="U73" s="734">
        <v>17.600000000000001</v>
      </c>
      <c r="V73" s="734">
        <v>38</v>
      </c>
      <c r="W73" s="734">
        <v>93</v>
      </c>
      <c r="X73" s="734">
        <v>1.0999999999999999E-2</v>
      </c>
      <c r="Y73" s="734">
        <v>1.4E-2</v>
      </c>
      <c r="Z73" s="547">
        <v>155</v>
      </c>
      <c r="AA73" s="547">
        <f t="shared" si="12"/>
        <v>1.55</v>
      </c>
      <c r="AB73" s="734">
        <v>30</v>
      </c>
      <c r="AC73" s="538"/>
      <c r="AD73" s="733" t="str">
        <f t="shared" si="14"/>
        <v>MONTE CASEROS</v>
      </c>
      <c r="AE73" s="737">
        <v>26.5</v>
      </c>
      <c r="AF73" s="737">
        <v>25.5</v>
      </c>
      <c r="AG73" s="737">
        <v>24</v>
      </c>
      <c r="AH73" s="737">
        <v>20.5</v>
      </c>
      <c r="AI73" s="737">
        <v>16.5</v>
      </c>
      <c r="AJ73" s="737">
        <v>14</v>
      </c>
      <c r="AK73" s="737">
        <v>13.5</v>
      </c>
      <c r="AL73" s="737">
        <v>16</v>
      </c>
      <c r="AM73" s="737">
        <v>18</v>
      </c>
      <c r="AN73" s="737">
        <v>20</v>
      </c>
      <c r="AO73" s="737">
        <v>22.5</v>
      </c>
      <c r="AP73" s="737">
        <v>25.5</v>
      </c>
      <c r="AQ73" s="538"/>
      <c r="AR73" s="733" t="str">
        <f t="shared" si="13"/>
        <v>CR</v>
      </c>
      <c r="AS73" s="733" t="str">
        <f t="shared" si="15"/>
        <v>MONTE CASEROS</v>
      </c>
      <c r="AT73" s="731">
        <v>6.5</v>
      </c>
      <c r="AU73" s="731">
        <v>6</v>
      </c>
      <c r="AV73" s="731">
        <v>5</v>
      </c>
      <c r="AW73" s="731">
        <v>4</v>
      </c>
      <c r="AX73" s="731">
        <v>3</v>
      </c>
      <c r="AY73" s="731">
        <v>2.5</v>
      </c>
      <c r="AZ73" s="731">
        <v>2.5</v>
      </c>
      <c r="BA73" s="731">
        <v>3.5</v>
      </c>
      <c r="BB73" s="731">
        <v>4</v>
      </c>
      <c r="BC73" s="731">
        <v>5.5</v>
      </c>
      <c r="BD73" s="731">
        <v>6</v>
      </c>
      <c r="BE73" s="731">
        <v>6.5</v>
      </c>
      <c r="BG73" s="733" t="str">
        <f t="shared" si="16"/>
        <v>CR</v>
      </c>
      <c r="BH73" s="733" t="str">
        <f t="shared" si="17"/>
        <v>MONTE CASEROS</v>
      </c>
      <c r="BI73" s="731">
        <v>151</v>
      </c>
      <c r="BJ73" s="731">
        <v>139</v>
      </c>
      <c r="BK73" s="731">
        <v>143</v>
      </c>
      <c r="BL73" s="731">
        <v>161</v>
      </c>
      <c r="BM73" s="731">
        <v>88</v>
      </c>
      <c r="BN73" s="731">
        <v>56</v>
      </c>
      <c r="BO73" s="731">
        <v>43</v>
      </c>
      <c r="BP73" s="731">
        <v>43</v>
      </c>
      <c r="BQ73" s="731">
        <v>68</v>
      </c>
      <c r="BR73" s="731">
        <v>132</v>
      </c>
      <c r="BS73" s="731">
        <v>134</v>
      </c>
      <c r="BT73" s="731">
        <v>131</v>
      </c>
      <c r="FQ73" s="727"/>
      <c r="FR73" s="727"/>
      <c r="FS73" s="727"/>
      <c r="FT73" s="727"/>
      <c r="FU73" s="727"/>
      <c r="FV73" s="727"/>
      <c r="FW73" s="727"/>
      <c r="FX73" s="727"/>
      <c r="FY73" s="727"/>
      <c r="FZ73" s="727"/>
      <c r="GA73" s="727"/>
      <c r="GB73" s="727"/>
      <c r="GC73" s="727"/>
      <c r="GD73" s="727"/>
      <c r="GE73" s="727"/>
    </row>
    <row r="74" spans="2:187" ht="16">
      <c r="B74" s="734" t="s">
        <v>86</v>
      </c>
      <c r="C74" s="733" t="s">
        <v>95</v>
      </c>
      <c r="D74" s="539">
        <v>29.68</v>
      </c>
      <c r="E74" s="539">
        <v>57.15</v>
      </c>
      <c r="F74" s="539">
        <v>70</v>
      </c>
      <c r="G74" s="539" t="s">
        <v>78</v>
      </c>
      <c r="H74" s="539">
        <v>3.4</v>
      </c>
      <c r="I74" s="539">
        <v>14.1</v>
      </c>
      <c r="J74" s="539">
        <v>25.4</v>
      </c>
      <c r="K74" s="539">
        <v>34.9</v>
      </c>
      <c r="L74" s="539">
        <v>65</v>
      </c>
      <c r="M74" s="539">
        <v>80</v>
      </c>
      <c r="N74" s="539">
        <v>65</v>
      </c>
      <c r="O74" s="539">
        <v>67</v>
      </c>
      <c r="P74" s="539">
        <v>123</v>
      </c>
      <c r="Q74" s="734">
        <v>2</v>
      </c>
      <c r="R74" s="539">
        <v>24.7</v>
      </c>
      <c r="S74" s="734">
        <v>0.51</v>
      </c>
      <c r="T74" s="734">
        <v>8.9</v>
      </c>
      <c r="U74" s="734">
        <v>17.600000000000001</v>
      </c>
      <c r="V74" s="734">
        <v>38</v>
      </c>
      <c r="W74" s="734">
        <v>93</v>
      </c>
      <c r="X74" s="734">
        <v>1.0999999999999999E-2</v>
      </c>
      <c r="Y74" s="734">
        <v>1.4E-2</v>
      </c>
      <c r="Z74" s="547">
        <v>145</v>
      </c>
      <c r="AA74" s="547">
        <f t="shared" si="12"/>
        <v>1.45</v>
      </c>
      <c r="AB74" s="734">
        <v>30</v>
      </c>
      <c r="AC74" s="538"/>
      <c r="AD74" s="733" t="str">
        <f t="shared" si="14"/>
        <v>PASO DE LOS LIBRES</v>
      </c>
      <c r="AE74" s="737">
        <v>26.4</v>
      </c>
      <c r="AF74" s="737">
        <v>25.9</v>
      </c>
      <c r="AG74" s="737">
        <v>23.7</v>
      </c>
      <c r="AH74" s="737">
        <v>19.8</v>
      </c>
      <c r="AI74" s="737">
        <v>16.8</v>
      </c>
      <c r="AJ74" s="737">
        <v>14.5</v>
      </c>
      <c r="AK74" s="737">
        <v>13.7</v>
      </c>
      <c r="AL74" s="737">
        <v>15.5</v>
      </c>
      <c r="AM74" s="737">
        <v>17.100000000000001</v>
      </c>
      <c r="AN74" s="737">
        <v>19.5</v>
      </c>
      <c r="AO74" s="737">
        <v>22.5</v>
      </c>
      <c r="AP74" s="737">
        <v>25</v>
      </c>
      <c r="AQ74" s="538"/>
      <c r="AR74" s="733" t="str">
        <f t="shared" si="13"/>
        <v>CR</v>
      </c>
      <c r="AS74" s="733" t="str">
        <f t="shared" si="15"/>
        <v>PASO DE LOS LIBRES</v>
      </c>
      <c r="AT74" s="731">
        <v>6</v>
      </c>
      <c r="AU74" s="731">
        <v>6</v>
      </c>
      <c r="AV74" s="731">
        <v>5</v>
      </c>
      <c r="AW74" s="731">
        <v>4</v>
      </c>
      <c r="AX74" s="731">
        <v>3</v>
      </c>
      <c r="AY74" s="731">
        <v>2.5</v>
      </c>
      <c r="AZ74" s="731">
        <v>2.5</v>
      </c>
      <c r="BA74" s="731">
        <v>3.5</v>
      </c>
      <c r="BB74" s="731">
        <v>4</v>
      </c>
      <c r="BC74" s="731">
        <v>5.5</v>
      </c>
      <c r="BD74" s="731">
        <v>5.5</v>
      </c>
      <c r="BE74" s="731">
        <v>6.5</v>
      </c>
      <c r="BG74" s="733" t="str">
        <f t="shared" si="16"/>
        <v>CR</v>
      </c>
      <c r="BH74" s="733" t="str">
        <f t="shared" si="17"/>
        <v>PASO DE LOS LIBRES</v>
      </c>
      <c r="BI74" s="731">
        <v>151</v>
      </c>
      <c r="BJ74" s="731">
        <v>139</v>
      </c>
      <c r="BK74" s="731">
        <v>143</v>
      </c>
      <c r="BL74" s="731">
        <v>161</v>
      </c>
      <c r="BM74" s="731">
        <v>88</v>
      </c>
      <c r="BN74" s="731">
        <v>56</v>
      </c>
      <c r="BO74" s="731">
        <v>43</v>
      </c>
      <c r="BP74" s="731">
        <v>43</v>
      </c>
      <c r="BQ74" s="731">
        <v>68</v>
      </c>
      <c r="BR74" s="731">
        <v>132</v>
      </c>
      <c r="BS74" s="731">
        <v>134</v>
      </c>
      <c r="BT74" s="731">
        <v>131</v>
      </c>
      <c r="FQ74" s="727"/>
      <c r="FR74" s="727"/>
      <c r="FS74" s="727"/>
      <c r="FT74" s="727"/>
      <c r="FU74" s="727"/>
      <c r="FV74" s="727"/>
      <c r="FW74" s="727"/>
      <c r="FX74" s="727"/>
      <c r="FY74" s="727"/>
      <c r="FZ74" s="727"/>
      <c r="GA74" s="727"/>
      <c r="GB74" s="727"/>
      <c r="GC74" s="727"/>
      <c r="GD74" s="727"/>
      <c r="GE74" s="727"/>
    </row>
    <row r="75" spans="2:187" ht="16">
      <c r="B75" s="734" t="s">
        <v>96</v>
      </c>
      <c r="C75" s="733" t="s">
        <v>97</v>
      </c>
      <c r="D75" s="539">
        <v>25.95</v>
      </c>
      <c r="E75" s="539">
        <v>60.63</v>
      </c>
      <c r="F75" s="539">
        <v>111</v>
      </c>
      <c r="G75" s="539" t="s">
        <v>98</v>
      </c>
      <c r="H75" s="539">
        <v>2.7</v>
      </c>
      <c r="I75" s="539">
        <v>16.3</v>
      </c>
      <c r="J75" s="539">
        <v>26.5</v>
      </c>
      <c r="K75" s="539">
        <v>38.700000000000003</v>
      </c>
      <c r="L75" s="539">
        <v>66</v>
      </c>
      <c r="M75" s="539">
        <v>68</v>
      </c>
      <c r="N75" s="539">
        <v>66</v>
      </c>
      <c r="O75" s="539">
        <v>18</v>
      </c>
      <c r="P75" s="539">
        <v>126</v>
      </c>
      <c r="Q75" s="734">
        <v>1</v>
      </c>
      <c r="R75" s="539">
        <v>27.3</v>
      </c>
      <c r="S75" s="734">
        <v>0.49</v>
      </c>
      <c r="T75" s="734">
        <v>10.3</v>
      </c>
      <c r="U75" s="734">
        <v>13.7</v>
      </c>
      <c r="V75" s="734">
        <v>49</v>
      </c>
      <c r="W75" s="734">
        <v>97</v>
      </c>
      <c r="X75" s="734">
        <v>0.01</v>
      </c>
      <c r="Y75" s="734">
        <v>0.01</v>
      </c>
      <c r="Z75" s="547">
        <v>165</v>
      </c>
      <c r="AA75" s="547">
        <f t="shared" si="12"/>
        <v>1.6500000000000001</v>
      </c>
      <c r="AB75" s="734">
        <v>30</v>
      </c>
      <c r="AC75" s="538"/>
      <c r="AD75" s="733" t="str">
        <f t="shared" si="14"/>
        <v>COLONIA CASTELLI</v>
      </c>
      <c r="AE75" s="737">
        <v>22.2</v>
      </c>
      <c r="AF75" s="737">
        <v>21.1</v>
      </c>
      <c r="AG75" s="737">
        <v>19.600000000000001</v>
      </c>
      <c r="AH75" s="737">
        <v>14.8</v>
      </c>
      <c r="AI75" s="737">
        <v>11.8</v>
      </c>
      <c r="AJ75" s="737">
        <v>9.1999999999999993</v>
      </c>
      <c r="AK75" s="737">
        <v>9</v>
      </c>
      <c r="AL75" s="737">
        <v>10</v>
      </c>
      <c r="AM75" s="737">
        <v>11.8</v>
      </c>
      <c r="AN75" s="737">
        <v>14.7</v>
      </c>
      <c r="AO75" s="737">
        <v>17.8</v>
      </c>
      <c r="AP75" s="737">
        <v>20</v>
      </c>
      <c r="AQ75" s="538"/>
      <c r="AR75" s="733" t="str">
        <f t="shared" si="13"/>
        <v>CHC</v>
      </c>
      <c r="AS75" s="733" t="str">
        <f t="shared" si="15"/>
        <v>COLONIA CASTELLI</v>
      </c>
      <c r="AT75" s="731">
        <v>6</v>
      </c>
      <c r="AU75" s="731">
        <v>5.5</v>
      </c>
      <c r="AV75" s="731">
        <v>4.5</v>
      </c>
      <c r="AW75" s="731">
        <v>3.5</v>
      </c>
      <c r="AX75" s="731">
        <v>3</v>
      </c>
      <c r="AY75" s="731">
        <v>2.5</v>
      </c>
      <c r="AZ75" s="731">
        <v>2.5</v>
      </c>
      <c r="BA75" s="731">
        <v>3</v>
      </c>
      <c r="BB75" s="731">
        <v>4</v>
      </c>
      <c r="BC75" s="731">
        <v>5</v>
      </c>
      <c r="BD75" s="731">
        <v>5.5</v>
      </c>
      <c r="BE75" s="731">
        <v>6</v>
      </c>
      <c r="BG75" s="733" t="str">
        <f t="shared" si="16"/>
        <v>CHC</v>
      </c>
      <c r="BH75" s="733" t="str">
        <f t="shared" si="17"/>
        <v>COLONIA CASTELLI</v>
      </c>
      <c r="BI75" s="731">
        <v>172</v>
      </c>
      <c r="BJ75" s="731">
        <v>214</v>
      </c>
      <c r="BK75" s="731">
        <v>237</v>
      </c>
      <c r="BL75" s="731">
        <v>292</v>
      </c>
      <c r="BM75" s="731">
        <v>280</v>
      </c>
      <c r="BN75" s="731">
        <v>302</v>
      </c>
      <c r="BO75" s="731">
        <v>288</v>
      </c>
      <c r="BP75" s="731">
        <v>209</v>
      </c>
      <c r="BQ75" s="731">
        <v>231</v>
      </c>
      <c r="BR75" s="731">
        <v>192</v>
      </c>
      <c r="BS75" s="731">
        <v>178</v>
      </c>
      <c r="BT75" s="731">
        <v>149</v>
      </c>
      <c r="FQ75" s="727"/>
      <c r="FR75" s="727"/>
      <c r="FS75" s="727"/>
      <c r="FT75" s="727"/>
      <c r="FU75" s="727"/>
      <c r="FV75" s="727"/>
      <c r="FW75" s="727"/>
      <c r="FX75" s="727"/>
      <c r="FY75" s="727"/>
      <c r="FZ75" s="727"/>
      <c r="GA75" s="727"/>
      <c r="GB75" s="727"/>
      <c r="GC75" s="727"/>
      <c r="GD75" s="727"/>
      <c r="GE75" s="727"/>
    </row>
    <row r="76" spans="2:187" ht="16">
      <c r="B76" s="734" t="s">
        <v>96</v>
      </c>
      <c r="C76" s="733" t="s">
        <v>99</v>
      </c>
      <c r="D76" s="539">
        <v>27.08</v>
      </c>
      <c r="E76" s="539">
        <v>61.12</v>
      </c>
      <c r="F76" s="539">
        <v>102</v>
      </c>
      <c r="G76" s="539" t="s">
        <v>98</v>
      </c>
      <c r="H76" s="539">
        <v>2.2000000000000002</v>
      </c>
      <c r="I76" s="539">
        <v>15.3</v>
      </c>
      <c r="J76" s="539">
        <v>26</v>
      </c>
      <c r="K76" s="539">
        <v>37</v>
      </c>
      <c r="L76" s="539">
        <v>64</v>
      </c>
      <c r="M76" s="539">
        <v>67</v>
      </c>
      <c r="N76" s="539">
        <v>64</v>
      </c>
      <c r="O76" s="539">
        <v>19</v>
      </c>
      <c r="P76" s="539">
        <v>133</v>
      </c>
      <c r="Q76" s="734">
        <v>1</v>
      </c>
      <c r="R76" s="539">
        <v>26.2</v>
      </c>
      <c r="S76" s="734">
        <v>0.49</v>
      </c>
      <c r="T76" s="734">
        <v>10.3</v>
      </c>
      <c r="U76" s="734">
        <v>13.7</v>
      </c>
      <c r="V76" s="734">
        <v>49</v>
      </c>
      <c r="W76" s="734">
        <v>97</v>
      </c>
      <c r="X76" s="734">
        <v>0.01</v>
      </c>
      <c r="Y76" s="734">
        <v>0.01</v>
      </c>
      <c r="Z76" s="547">
        <v>165</v>
      </c>
      <c r="AA76" s="547">
        <f t="shared" si="12"/>
        <v>1.6500000000000001</v>
      </c>
      <c r="AB76" s="734">
        <v>30</v>
      </c>
      <c r="AC76" s="538"/>
      <c r="AD76" s="733" t="str">
        <f t="shared" si="14"/>
        <v>LAS BREÑAS</v>
      </c>
      <c r="AE76" s="737">
        <v>27.9</v>
      </c>
      <c r="AF76" s="737">
        <v>26.8</v>
      </c>
      <c r="AG76" s="737">
        <v>25</v>
      </c>
      <c r="AH76" s="737">
        <v>20.5</v>
      </c>
      <c r="AI76" s="737">
        <v>18.2</v>
      </c>
      <c r="AJ76" s="737">
        <v>15.5</v>
      </c>
      <c r="AK76" s="737">
        <v>15.4</v>
      </c>
      <c r="AL76" s="737">
        <v>17.899999999999999</v>
      </c>
      <c r="AM76" s="737">
        <v>20</v>
      </c>
      <c r="AN76" s="737">
        <v>22.6</v>
      </c>
      <c r="AO76" s="737">
        <v>24.6</v>
      </c>
      <c r="AP76" s="737">
        <v>26.9</v>
      </c>
      <c r="AQ76" s="538"/>
      <c r="AR76" s="733" t="str">
        <f t="shared" si="13"/>
        <v>CHC</v>
      </c>
      <c r="AS76" s="733" t="str">
        <f t="shared" si="15"/>
        <v>LAS BREÑAS</v>
      </c>
      <c r="AT76" s="731">
        <v>6</v>
      </c>
      <c r="AU76" s="731">
        <v>6</v>
      </c>
      <c r="AV76" s="731">
        <v>5</v>
      </c>
      <c r="AW76" s="731">
        <v>4</v>
      </c>
      <c r="AX76" s="731">
        <v>3</v>
      </c>
      <c r="AY76" s="731">
        <v>2.5</v>
      </c>
      <c r="AZ76" s="731">
        <v>2.5</v>
      </c>
      <c r="BA76" s="731">
        <v>3</v>
      </c>
      <c r="BB76" s="731">
        <v>4.5</v>
      </c>
      <c r="BC76" s="731">
        <v>5</v>
      </c>
      <c r="BD76" s="731">
        <v>5.5</v>
      </c>
      <c r="BE76" s="731">
        <v>6</v>
      </c>
      <c r="BG76" s="733" t="str">
        <f t="shared" si="16"/>
        <v>CHC</v>
      </c>
      <c r="BH76" s="733" t="str">
        <f t="shared" si="17"/>
        <v>LAS BREÑAS</v>
      </c>
      <c r="BI76" s="731">
        <v>172</v>
      </c>
      <c r="BJ76" s="731">
        <v>214</v>
      </c>
      <c r="BK76" s="731">
        <v>237</v>
      </c>
      <c r="BL76" s="731">
        <v>292</v>
      </c>
      <c r="BM76" s="731">
        <v>280</v>
      </c>
      <c r="BN76" s="731">
        <v>302</v>
      </c>
      <c r="BO76" s="731">
        <v>288</v>
      </c>
      <c r="BP76" s="731">
        <v>209</v>
      </c>
      <c r="BQ76" s="731">
        <v>231</v>
      </c>
      <c r="BR76" s="731">
        <v>192</v>
      </c>
      <c r="BS76" s="731">
        <v>178</v>
      </c>
      <c r="BT76" s="731">
        <v>149</v>
      </c>
      <c r="FQ76" s="727"/>
      <c r="FR76" s="727"/>
      <c r="FS76" s="727"/>
      <c r="FT76" s="727"/>
      <c r="FU76" s="727"/>
      <c r="FV76" s="727"/>
      <c r="FW76" s="727"/>
      <c r="FX76" s="727"/>
      <c r="FY76" s="727"/>
      <c r="FZ76" s="727"/>
      <c r="GA76" s="727"/>
      <c r="GB76" s="727"/>
      <c r="GC76" s="727"/>
      <c r="GD76" s="727"/>
      <c r="GE76" s="727"/>
    </row>
    <row r="77" spans="2:187" ht="16">
      <c r="B77" s="734" t="s">
        <v>96</v>
      </c>
      <c r="C77" s="733" t="s">
        <v>100</v>
      </c>
      <c r="D77" s="539">
        <v>26.82</v>
      </c>
      <c r="E77" s="539">
        <v>60.45</v>
      </c>
      <c r="F77" s="539">
        <v>92</v>
      </c>
      <c r="G77" s="539" t="s">
        <v>98</v>
      </c>
      <c r="H77" s="539">
        <v>3.8</v>
      </c>
      <c r="I77" s="539">
        <v>16.100000000000001</v>
      </c>
      <c r="J77" s="539">
        <v>26.5</v>
      </c>
      <c r="K77" s="539">
        <v>36.9</v>
      </c>
      <c r="L77" s="539">
        <v>68</v>
      </c>
      <c r="M77" s="539">
        <v>73</v>
      </c>
      <c r="N77" s="539">
        <v>68</v>
      </c>
      <c r="O77" s="539">
        <v>18</v>
      </c>
      <c r="P77" s="539">
        <v>137</v>
      </c>
      <c r="Q77" s="734">
        <v>1</v>
      </c>
      <c r="R77" s="539">
        <v>26.3</v>
      </c>
      <c r="S77" s="734">
        <v>0.49</v>
      </c>
      <c r="T77" s="734">
        <v>10.3</v>
      </c>
      <c r="U77" s="734">
        <v>13.7</v>
      </c>
      <c r="V77" s="734">
        <v>49</v>
      </c>
      <c r="W77" s="734">
        <v>97</v>
      </c>
      <c r="X77" s="734">
        <v>0.01</v>
      </c>
      <c r="Y77" s="734">
        <v>0.01</v>
      </c>
      <c r="Z77" s="547">
        <v>165</v>
      </c>
      <c r="AA77" s="547">
        <f t="shared" si="12"/>
        <v>1.6500000000000001</v>
      </c>
      <c r="AB77" s="734">
        <v>30</v>
      </c>
      <c r="AC77" s="538"/>
      <c r="AD77" s="733" t="str">
        <f t="shared" si="14"/>
        <v>PRESIDENCIA R S PEÑA</v>
      </c>
      <c r="AE77" s="737">
        <v>28</v>
      </c>
      <c r="AF77" s="737">
        <v>27.5</v>
      </c>
      <c r="AG77" s="737">
        <v>26</v>
      </c>
      <c r="AH77" s="737">
        <v>22.5</v>
      </c>
      <c r="AI77" s="737">
        <v>19</v>
      </c>
      <c r="AJ77" s="737">
        <v>16.5</v>
      </c>
      <c r="AK77" s="737">
        <v>16</v>
      </c>
      <c r="AL77" s="737">
        <v>18.5</v>
      </c>
      <c r="AM77" s="737">
        <v>19.5</v>
      </c>
      <c r="AN77" s="737">
        <v>24</v>
      </c>
      <c r="AO77" s="737">
        <v>24.8</v>
      </c>
      <c r="AP77" s="737">
        <v>27.5</v>
      </c>
      <c r="AQ77" s="538"/>
      <c r="AR77" s="733" t="str">
        <f t="shared" si="13"/>
        <v>CHC</v>
      </c>
      <c r="AS77" s="733" t="str">
        <f t="shared" si="15"/>
        <v>PRESIDENCIA R S PEÑA</v>
      </c>
      <c r="AT77" s="731">
        <v>6</v>
      </c>
      <c r="AU77" s="731">
        <v>6</v>
      </c>
      <c r="AV77" s="731">
        <v>4.5</v>
      </c>
      <c r="AW77" s="731">
        <v>3.5</v>
      </c>
      <c r="AX77" s="731">
        <v>3</v>
      </c>
      <c r="AY77" s="731">
        <v>2.5</v>
      </c>
      <c r="AZ77" s="731">
        <v>2.5</v>
      </c>
      <c r="BA77" s="731">
        <v>3</v>
      </c>
      <c r="BB77" s="731">
        <v>4.5</v>
      </c>
      <c r="BC77" s="731">
        <v>5</v>
      </c>
      <c r="BD77" s="731">
        <v>5.5</v>
      </c>
      <c r="BE77" s="731">
        <v>6</v>
      </c>
      <c r="BG77" s="733" t="str">
        <f t="shared" si="16"/>
        <v>CHC</v>
      </c>
      <c r="BH77" s="733" t="str">
        <f t="shared" si="17"/>
        <v>PRESIDENCIA R S PEÑA</v>
      </c>
      <c r="BI77" s="731">
        <v>172</v>
      </c>
      <c r="BJ77" s="731">
        <v>214</v>
      </c>
      <c r="BK77" s="731">
        <v>237</v>
      </c>
      <c r="BL77" s="731">
        <v>292</v>
      </c>
      <c r="BM77" s="731">
        <v>280</v>
      </c>
      <c r="BN77" s="731">
        <v>302</v>
      </c>
      <c r="BO77" s="731">
        <v>288</v>
      </c>
      <c r="BP77" s="731">
        <v>209</v>
      </c>
      <c r="BQ77" s="731">
        <v>231</v>
      </c>
      <c r="BR77" s="731">
        <v>192</v>
      </c>
      <c r="BS77" s="731">
        <v>178</v>
      </c>
      <c r="BT77" s="731">
        <v>149</v>
      </c>
      <c r="FQ77" s="727"/>
      <c r="FR77" s="727"/>
      <c r="FS77" s="727"/>
      <c r="FT77" s="727"/>
      <c r="FU77" s="727"/>
      <c r="FV77" s="727"/>
      <c r="FW77" s="727"/>
      <c r="FX77" s="727"/>
      <c r="FY77" s="727"/>
      <c r="FZ77" s="727"/>
      <c r="GA77" s="727"/>
      <c r="GB77" s="727"/>
      <c r="GC77" s="727"/>
      <c r="GD77" s="727"/>
      <c r="GE77" s="727"/>
    </row>
    <row r="78" spans="2:187" ht="16">
      <c r="B78" s="734" t="s">
        <v>96</v>
      </c>
      <c r="C78" s="733" t="s">
        <v>101</v>
      </c>
      <c r="D78" s="539">
        <v>27.45</v>
      </c>
      <c r="E78" s="539">
        <v>59.05</v>
      </c>
      <c r="F78" s="539">
        <v>52</v>
      </c>
      <c r="G78" s="539" t="s">
        <v>88</v>
      </c>
      <c r="H78" s="539">
        <v>4.2</v>
      </c>
      <c r="I78" s="539">
        <v>15.5</v>
      </c>
      <c r="J78" s="539">
        <v>25.9</v>
      </c>
      <c r="K78" s="539">
        <v>35.9</v>
      </c>
      <c r="L78" s="539">
        <v>70</v>
      </c>
      <c r="M78" s="539">
        <v>78</v>
      </c>
      <c r="N78" s="539">
        <v>70</v>
      </c>
      <c r="O78" s="539">
        <v>48</v>
      </c>
      <c r="P78" s="539">
        <v>157</v>
      </c>
      <c r="Q78" s="734">
        <v>1</v>
      </c>
      <c r="R78" s="539">
        <v>25.8</v>
      </c>
      <c r="S78" s="734">
        <v>0.51</v>
      </c>
      <c r="T78" s="734">
        <v>10.3</v>
      </c>
      <c r="U78" s="734">
        <v>13.7</v>
      </c>
      <c r="V78" s="734">
        <v>49</v>
      </c>
      <c r="W78" s="734">
        <v>97</v>
      </c>
      <c r="X78" s="734">
        <v>0.01</v>
      </c>
      <c r="Y78" s="734">
        <v>0.01</v>
      </c>
      <c r="Z78" s="547">
        <v>165</v>
      </c>
      <c r="AA78" s="547">
        <f t="shared" si="12"/>
        <v>1.6500000000000001</v>
      </c>
      <c r="AB78" s="734">
        <v>30</v>
      </c>
      <c r="AC78" s="538"/>
      <c r="AD78" s="733" t="str">
        <f t="shared" si="14"/>
        <v>RESISTENCIA</v>
      </c>
      <c r="AE78" s="737">
        <v>27.5</v>
      </c>
      <c r="AF78" s="737">
        <v>26.5</v>
      </c>
      <c r="AG78" s="737">
        <v>25</v>
      </c>
      <c r="AH78" s="737">
        <v>22.5</v>
      </c>
      <c r="AI78" s="737">
        <v>18.5</v>
      </c>
      <c r="AJ78" s="737">
        <v>17</v>
      </c>
      <c r="AK78" s="737">
        <v>16</v>
      </c>
      <c r="AL78" s="737">
        <v>18.5</v>
      </c>
      <c r="AM78" s="737">
        <v>19.399999999999999</v>
      </c>
      <c r="AN78" s="737">
        <v>21.8</v>
      </c>
      <c r="AO78" s="737">
        <v>23.7</v>
      </c>
      <c r="AP78" s="737">
        <v>26.8</v>
      </c>
      <c r="AQ78" s="538"/>
      <c r="AR78" s="733" t="str">
        <f t="shared" si="13"/>
        <v>CHC</v>
      </c>
      <c r="AS78" s="733" t="str">
        <f t="shared" si="15"/>
        <v>RESISTENCIA</v>
      </c>
      <c r="AT78" s="731">
        <v>6.5</v>
      </c>
      <c r="AU78" s="731">
        <v>6</v>
      </c>
      <c r="AV78" s="731">
        <v>5</v>
      </c>
      <c r="AW78" s="731">
        <v>4</v>
      </c>
      <c r="AX78" s="731">
        <v>3</v>
      </c>
      <c r="AY78" s="731">
        <v>2.5</v>
      </c>
      <c r="AZ78" s="731">
        <v>2.5</v>
      </c>
      <c r="BA78" s="731">
        <v>3</v>
      </c>
      <c r="BB78" s="731">
        <v>4</v>
      </c>
      <c r="BC78" s="731">
        <v>5.5</v>
      </c>
      <c r="BD78" s="731">
        <v>5.5</v>
      </c>
      <c r="BE78" s="731">
        <v>6.5</v>
      </c>
      <c r="BG78" s="733" t="str">
        <f t="shared" si="16"/>
        <v>CHC</v>
      </c>
      <c r="BH78" s="733" t="str">
        <f t="shared" si="17"/>
        <v>RESISTENCIA</v>
      </c>
      <c r="BI78" s="731">
        <v>172</v>
      </c>
      <c r="BJ78" s="731">
        <v>214</v>
      </c>
      <c r="BK78" s="731">
        <v>237</v>
      </c>
      <c r="BL78" s="731">
        <v>292</v>
      </c>
      <c r="BM78" s="731">
        <v>280</v>
      </c>
      <c r="BN78" s="731">
        <v>302</v>
      </c>
      <c r="BO78" s="731">
        <v>288</v>
      </c>
      <c r="BP78" s="731">
        <v>209</v>
      </c>
      <c r="BQ78" s="731">
        <v>231</v>
      </c>
      <c r="BR78" s="731">
        <v>192</v>
      </c>
      <c r="BS78" s="731">
        <v>178</v>
      </c>
      <c r="BT78" s="731">
        <v>149</v>
      </c>
      <c r="FQ78" s="727"/>
      <c r="FR78" s="727"/>
      <c r="FS78" s="727"/>
      <c r="FT78" s="727"/>
      <c r="FU78" s="727"/>
      <c r="FV78" s="727"/>
      <c r="FW78" s="727"/>
      <c r="FX78" s="727"/>
      <c r="FY78" s="727"/>
      <c r="FZ78" s="727"/>
      <c r="GA78" s="727"/>
      <c r="GB78" s="727"/>
      <c r="GC78" s="727"/>
      <c r="GD78" s="727"/>
      <c r="GE78" s="727"/>
    </row>
    <row r="79" spans="2:187" ht="16">
      <c r="B79" s="734" t="s">
        <v>96</v>
      </c>
      <c r="C79" s="733" t="s">
        <v>102</v>
      </c>
      <c r="D79" s="539">
        <v>27.47</v>
      </c>
      <c r="E79" s="539">
        <v>58.98</v>
      </c>
      <c r="F79" s="539">
        <v>51</v>
      </c>
      <c r="G79" s="539" t="s">
        <v>88</v>
      </c>
      <c r="H79" s="539">
        <v>4.7</v>
      </c>
      <c r="I79" s="539">
        <v>16</v>
      </c>
      <c r="J79" s="539">
        <v>26.1</v>
      </c>
      <c r="K79" s="539">
        <v>35.4</v>
      </c>
      <c r="L79" s="539">
        <v>70</v>
      </c>
      <c r="M79" s="539">
        <v>77</v>
      </c>
      <c r="N79" s="539">
        <v>70</v>
      </c>
      <c r="O79" s="539">
        <v>39</v>
      </c>
      <c r="P79" s="539">
        <v>155</v>
      </c>
      <c r="Q79" s="734">
        <v>1</v>
      </c>
      <c r="R79" s="539">
        <v>25.9</v>
      </c>
      <c r="S79" s="734">
        <v>0.51</v>
      </c>
      <c r="T79" s="734">
        <v>10.3</v>
      </c>
      <c r="U79" s="734">
        <v>13.7</v>
      </c>
      <c r="V79" s="734">
        <v>49</v>
      </c>
      <c r="W79" s="734">
        <v>97</v>
      </c>
      <c r="X79" s="734">
        <v>0.01</v>
      </c>
      <c r="Y79" s="734">
        <v>0.01</v>
      </c>
      <c r="Z79" s="547">
        <v>165</v>
      </c>
      <c r="AA79" s="547">
        <f t="shared" si="12"/>
        <v>1.6500000000000001</v>
      </c>
      <c r="AB79" s="734">
        <v>30</v>
      </c>
      <c r="AC79" s="538"/>
      <c r="AD79" s="733" t="str">
        <f t="shared" si="14"/>
        <v>RESISTENCIA AEROCLUB</v>
      </c>
      <c r="AE79" s="737">
        <v>27</v>
      </c>
      <c r="AF79" s="737">
        <v>26.5</v>
      </c>
      <c r="AG79" s="737">
        <v>24.5</v>
      </c>
      <c r="AH79" s="737">
        <v>20.8</v>
      </c>
      <c r="AI79" s="737">
        <v>18</v>
      </c>
      <c r="AJ79" s="737">
        <v>16.100000000000001</v>
      </c>
      <c r="AK79" s="737">
        <v>15.4</v>
      </c>
      <c r="AL79" s="737">
        <v>17</v>
      </c>
      <c r="AM79" s="737">
        <v>18.899999999999999</v>
      </c>
      <c r="AN79" s="737">
        <v>21.2</v>
      </c>
      <c r="AO79" s="737">
        <v>23.7</v>
      </c>
      <c r="AP79" s="737">
        <v>26</v>
      </c>
      <c r="AQ79" s="538"/>
      <c r="AR79" s="733" t="str">
        <f t="shared" si="13"/>
        <v>CHC</v>
      </c>
      <c r="AS79" s="733" t="str">
        <f t="shared" si="15"/>
        <v>RESISTENCIA AEROCLUB</v>
      </c>
      <c r="AT79" s="731">
        <v>6.5</v>
      </c>
      <c r="AU79" s="731">
        <v>6</v>
      </c>
      <c r="AV79" s="731">
        <v>5</v>
      </c>
      <c r="AW79" s="731">
        <v>4</v>
      </c>
      <c r="AX79" s="731">
        <v>3</v>
      </c>
      <c r="AY79" s="731">
        <v>2.5</v>
      </c>
      <c r="AZ79" s="731">
        <v>2.5</v>
      </c>
      <c r="BA79" s="731">
        <v>3</v>
      </c>
      <c r="BB79" s="731">
        <v>4</v>
      </c>
      <c r="BC79" s="731">
        <v>5.5</v>
      </c>
      <c r="BD79" s="731">
        <v>5.5</v>
      </c>
      <c r="BE79" s="731">
        <v>6.5</v>
      </c>
      <c r="BG79" s="733" t="str">
        <f t="shared" si="16"/>
        <v>CHC</v>
      </c>
      <c r="BH79" s="733" t="str">
        <f t="shared" si="17"/>
        <v>RESISTENCIA AEROCLUB</v>
      </c>
      <c r="BI79" s="731">
        <v>172</v>
      </c>
      <c r="BJ79" s="731">
        <v>214</v>
      </c>
      <c r="BK79" s="731">
        <v>237</v>
      </c>
      <c r="BL79" s="731">
        <v>292</v>
      </c>
      <c r="BM79" s="731">
        <v>280</v>
      </c>
      <c r="BN79" s="731">
        <v>302</v>
      </c>
      <c r="BO79" s="731">
        <v>288</v>
      </c>
      <c r="BP79" s="731">
        <v>209</v>
      </c>
      <c r="BQ79" s="731">
        <v>231</v>
      </c>
      <c r="BR79" s="731">
        <v>192</v>
      </c>
      <c r="BS79" s="731">
        <v>178</v>
      </c>
      <c r="BT79" s="731">
        <v>149</v>
      </c>
      <c r="FQ79" s="727"/>
      <c r="FR79" s="727"/>
      <c r="FS79" s="727"/>
      <c r="FT79" s="727"/>
      <c r="FU79" s="727"/>
      <c r="FV79" s="727"/>
      <c r="FW79" s="727"/>
      <c r="FX79" s="727"/>
      <c r="FY79" s="727"/>
      <c r="FZ79" s="727"/>
      <c r="GA79" s="727"/>
      <c r="GB79" s="727"/>
      <c r="GC79" s="727"/>
      <c r="GD79" s="727"/>
      <c r="GE79" s="727"/>
    </row>
    <row r="80" spans="2:187" ht="16">
      <c r="B80" s="734" t="s">
        <v>96</v>
      </c>
      <c r="C80" s="733" t="s">
        <v>103</v>
      </c>
      <c r="D80" s="539">
        <v>27.57</v>
      </c>
      <c r="E80" s="539">
        <v>60.73</v>
      </c>
      <c r="F80" s="539">
        <v>74</v>
      </c>
      <c r="G80" s="539" t="s">
        <v>98</v>
      </c>
      <c r="H80" s="539">
        <v>2.4</v>
      </c>
      <c r="I80" s="539">
        <v>14.9</v>
      </c>
      <c r="J80" s="539">
        <v>26</v>
      </c>
      <c r="K80" s="539">
        <v>37.299999999999997</v>
      </c>
      <c r="L80" s="539">
        <v>68</v>
      </c>
      <c r="M80" s="539">
        <v>72</v>
      </c>
      <c r="N80" s="539">
        <v>67</v>
      </c>
      <c r="O80" s="539">
        <v>22</v>
      </c>
      <c r="P80" s="539">
        <v>126</v>
      </c>
      <c r="Q80" s="734">
        <v>1</v>
      </c>
      <c r="R80" s="539">
        <v>26.3</v>
      </c>
      <c r="S80" s="734">
        <v>0.51</v>
      </c>
      <c r="T80" s="734">
        <v>10.3</v>
      </c>
      <c r="U80" s="734">
        <v>13.7</v>
      </c>
      <c r="V80" s="734">
        <v>49</v>
      </c>
      <c r="W80" s="734">
        <v>97</v>
      </c>
      <c r="X80" s="734">
        <v>0.01</v>
      </c>
      <c r="Y80" s="734">
        <v>0.01</v>
      </c>
      <c r="Z80" s="547">
        <v>165</v>
      </c>
      <c r="AA80" s="547">
        <f t="shared" si="12"/>
        <v>1.6500000000000001</v>
      </c>
      <c r="AB80" s="734">
        <v>30</v>
      </c>
      <c r="AC80" s="538"/>
      <c r="AD80" s="733" t="str">
        <f t="shared" si="14"/>
        <v>VILLA ANGELA</v>
      </c>
      <c r="AE80" s="737">
        <v>28.2</v>
      </c>
      <c r="AF80" s="737">
        <v>27</v>
      </c>
      <c r="AG80" s="737">
        <v>25.6</v>
      </c>
      <c r="AH80" s="737">
        <v>20.3</v>
      </c>
      <c r="AI80" s="737">
        <v>18.5</v>
      </c>
      <c r="AJ80" s="737">
        <v>15.3</v>
      </c>
      <c r="AK80" s="737">
        <v>15.5</v>
      </c>
      <c r="AL80" s="737">
        <v>17.7</v>
      </c>
      <c r="AM80" s="737">
        <v>20.100000000000001</v>
      </c>
      <c r="AN80" s="737">
        <v>21.7</v>
      </c>
      <c r="AO80" s="737">
        <v>24.1</v>
      </c>
      <c r="AP80" s="737">
        <v>26.5</v>
      </c>
      <c r="AQ80" s="538"/>
      <c r="AR80" s="733" t="str">
        <f t="shared" si="13"/>
        <v>CHC</v>
      </c>
      <c r="AS80" s="733" t="str">
        <f t="shared" si="15"/>
        <v>VILLA ANGELA</v>
      </c>
      <c r="AT80" s="731">
        <v>6</v>
      </c>
      <c r="AU80" s="731">
        <v>6</v>
      </c>
      <c r="AV80" s="731">
        <v>5</v>
      </c>
      <c r="AW80" s="731">
        <v>4</v>
      </c>
      <c r="AX80" s="731">
        <v>3</v>
      </c>
      <c r="AY80" s="731">
        <v>2.5</v>
      </c>
      <c r="AZ80" s="731">
        <v>2.5</v>
      </c>
      <c r="BA80" s="731">
        <v>3</v>
      </c>
      <c r="BB80" s="731">
        <v>4.5</v>
      </c>
      <c r="BC80" s="731">
        <v>5.5</v>
      </c>
      <c r="BD80" s="731">
        <v>5.5</v>
      </c>
      <c r="BE80" s="731">
        <v>6.5</v>
      </c>
      <c r="BG80" s="733" t="str">
        <f t="shared" si="16"/>
        <v>CHC</v>
      </c>
      <c r="BH80" s="733" t="str">
        <f t="shared" si="17"/>
        <v>VILLA ANGELA</v>
      </c>
      <c r="BI80" s="731">
        <v>172</v>
      </c>
      <c r="BJ80" s="731">
        <v>214</v>
      </c>
      <c r="BK80" s="731">
        <v>237</v>
      </c>
      <c r="BL80" s="731">
        <v>292</v>
      </c>
      <c r="BM80" s="731">
        <v>280</v>
      </c>
      <c r="BN80" s="731">
        <v>302</v>
      </c>
      <c r="BO80" s="731">
        <v>288</v>
      </c>
      <c r="BP80" s="731">
        <v>209</v>
      </c>
      <c r="BQ80" s="731">
        <v>231</v>
      </c>
      <c r="BR80" s="731">
        <v>192</v>
      </c>
      <c r="BS80" s="731">
        <v>178</v>
      </c>
      <c r="BT80" s="731">
        <v>149</v>
      </c>
      <c r="FQ80" s="727"/>
      <c r="FR80" s="727"/>
      <c r="FS80" s="727"/>
      <c r="FT80" s="727"/>
      <c r="FU80" s="727"/>
      <c r="FV80" s="727"/>
      <c r="FW80" s="727"/>
      <c r="FX80" s="727"/>
      <c r="FY80" s="727"/>
      <c r="FZ80" s="727"/>
      <c r="GA80" s="727"/>
      <c r="GB80" s="727"/>
      <c r="GC80" s="727"/>
      <c r="GD80" s="727"/>
      <c r="GE80" s="727"/>
    </row>
    <row r="81" spans="2:187" ht="16">
      <c r="B81" s="734" t="s">
        <v>104</v>
      </c>
      <c r="C81" s="733" t="s">
        <v>105</v>
      </c>
      <c r="D81" s="539">
        <v>45.78</v>
      </c>
      <c r="E81" s="539">
        <v>67.5</v>
      </c>
      <c r="F81" s="539">
        <v>61</v>
      </c>
      <c r="G81" s="539" t="s">
        <v>106</v>
      </c>
      <c r="H81" s="539">
        <v>-1.8</v>
      </c>
      <c r="I81" s="539">
        <v>7.1</v>
      </c>
      <c r="J81" s="539">
        <v>18.2</v>
      </c>
      <c r="K81" s="539">
        <v>28.1</v>
      </c>
      <c r="L81" s="539">
        <v>40</v>
      </c>
      <c r="M81" s="539">
        <v>58</v>
      </c>
      <c r="N81" s="539">
        <v>40</v>
      </c>
      <c r="O81" s="539">
        <v>22</v>
      </c>
      <c r="P81" s="539">
        <v>13</v>
      </c>
      <c r="Q81" s="734">
        <v>5</v>
      </c>
      <c r="R81" s="539">
        <v>18.100000000000001</v>
      </c>
      <c r="S81" s="734">
        <v>0.51</v>
      </c>
      <c r="T81" s="734">
        <v>48.8</v>
      </c>
      <c r="U81" s="734">
        <v>1.2</v>
      </c>
      <c r="V81" s="734">
        <v>276</v>
      </c>
      <c r="W81" s="734">
        <v>35</v>
      </c>
      <c r="X81" s="734">
        <v>2.8000000000000001E-2</v>
      </c>
      <c r="Y81" s="734">
        <v>0.04</v>
      </c>
      <c r="Z81" s="547">
        <v>105</v>
      </c>
      <c r="AA81" s="547">
        <f t="shared" si="12"/>
        <v>1.05</v>
      </c>
      <c r="AB81" s="734">
        <v>40</v>
      </c>
      <c r="AC81" s="538"/>
      <c r="AD81" s="733" t="str">
        <f t="shared" si="14"/>
        <v>COMODORO RIVADAVIA</v>
      </c>
      <c r="AE81" s="737">
        <v>18.7</v>
      </c>
      <c r="AF81" s="737">
        <v>18.2</v>
      </c>
      <c r="AG81" s="737">
        <v>16</v>
      </c>
      <c r="AH81" s="737">
        <v>12.6</v>
      </c>
      <c r="AI81" s="737">
        <v>9.4</v>
      </c>
      <c r="AJ81" s="737">
        <v>6.9</v>
      </c>
      <c r="AK81" s="737">
        <v>6.7</v>
      </c>
      <c r="AL81" s="737">
        <v>7.4</v>
      </c>
      <c r="AM81" s="737">
        <v>9.6</v>
      </c>
      <c r="AN81" s="737">
        <v>12.8</v>
      </c>
      <c r="AO81" s="737">
        <v>15.5</v>
      </c>
      <c r="AP81" s="737">
        <v>17.399999999999999</v>
      </c>
      <c r="AQ81" s="538"/>
      <c r="AR81" s="733" t="str">
        <f t="shared" si="13"/>
        <v>CHB</v>
      </c>
      <c r="AS81" s="733" t="str">
        <f t="shared" si="15"/>
        <v>COMODORO RIVADAVIA</v>
      </c>
      <c r="AT81" s="731">
        <v>6.5</v>
      </c>
      <c r="AU81" s="731">
        <v>5.5</v>
      </c>
      <c r="AV81" s="731">
        <v>4</v>
      </c>
      <c r="AW81" s="731">
        <v>3.5</v>
      </c>
      <c r="AX81" s="731">
        <v>3</v>
      </c>
      <c r="AY81" s="731">
        <v>2.5</v>
      </c>
      <c r="AZ81" s="731">
        <v>1</v>
      </c>
      <c r="BA81" s="731">
        <v>2</v>
      </c>
      <c r="BB81" s="731">
        <v>3.5</v>
      </c>
      <c r="BC81" s="731">
        <v>5</v>
      </c>
      <c r="BD81" s="731">
        <v>6</v>
      </c>
      <c r="BE81" s="731">
        <v>6.5</v>
      </c>
      <c r="BG81" s="733" t="str">
        <f t="shared" si="16"/>
        <v>CHB</v>
      </c>
      <c r="BH81" s="733" t="str">
        <f t="shared" si="17"/>
        <v>COMODORO RIVADAVIA</v>
      </c>
      <c r="BI81" s="731">
        <v>9</v>
      </c>
      <c r="BJ81" s="731">
        <v>13</v>
      </c>
      <c r="BK81" s="731">
        <v>17</v>
      </c>
      <c r="BL81" s="731">
        <v>27</v>
      </c>
      <c r="BM81" s="731">
        <v>56</v>
      </c>
      <c r="BN81" s="731">
        <v>54</v>
      </c>
      <c r="BO81" s="731">
        <v>35</v>
      </c>
      <c r="BP81" s="731">
        <v>33</v>
      </c>
      <c r="BQ81" s="731">
        <v>18</v>
      </c>
      <c r="BR81" s="731">
        <v>12</v>
      </c>
      <c r="BS81" s="731">
        <v>18</v>
      </c>
      <c r="BT81" s="731">
        <v>9</v>
      </c>
      <c r="FQ81" s="727"/>
      <c r="FR81" s="727"/>
      <c r="FS81" s="727"/>
      <c r="FT81" s="727"/>
      <c r="FU81" s="727"/>
      <c r="FV81" s="727"/>
      <c r="FW81" s="727"/>
      <c r="FX81" s="727"/>
      <c r="FY81" s="727"/>
      <c r="FZ81" s="727"/>
      <c r="GA81" s="727"/>
      <c r="GB81" s="727"/>
      <c r="GC81" s="727"/>
      <c r="GD81" s="727"/>
      <c r="GE81" s="727"/>
    </row>
    <row r="82" spans="2:187" ht="16">
      <c r="B82" s="734" t="s">
        <v>104</v>
      </c>
      <c r="C82" s="733" t="s">
        <v>107</v>
      </c>
      <c r="D82" s="539">
        <v>42.9</v>
      </c>
      <c r="E82" s="539">
        <v>71.37</v>
      </c>
      <c r="F82" s="539">
        <v>785</v>
      </c>
      <c r="G82" s="539" t="s">
        <v>108</v>
      </c>
      <c r="H82" s="539">
        <v>-12.4</v>
      </c>
      <c r="I82" s="539">
        <v>2.2000000000000002</v>
      </c>
      <c r="J82" s="539">
        <v>13.4</v>
      </c>
      <c r="K82" s="539">
        <v>23.5</v>
      </c>
      <c r="L82" s="539">
        <v>51</v>
      </c>
      <c r="M82" s="539">
        <v>76</v>
      </c>
      <c r="N82" s="539">
        <v>51</v>
      </c>
      <c r="O82" s="539">
        <v>77</v>
      </c>
      <c r="P82" s="539">
        <v>22</v>
      </c>
      <c r="Q82" s="734">
        <v>6</v>
      </c>
      <c r="R82" s="539">
        <v>12.8</v>
      </c>
      <c r="S82" s="734">
        <v>0.53</v>
      </c>
      <c r="T82" s="734">
        <v>48.8</v>
      </c>
      <c r="U82" s="734">
        <v>1.2</v>
      </c>
      <c r="V82" s="734">
        <v>276</v>
      </c>
      <c r="W82" s="734">
        <v>35</v>
      </c>
      <c r="X82" s="734">
        <v>2.8000000000000001E-2</v>
      </c>
      <c r="Y82" s="734">
        <v>0.04</v>
      </c>
      <c r="Z82" s="547">
        <v>95</v>
      </c>
      <c r="AA82" s="547">
        <f t="shared" si="12"/>
        <v>0.95000000000000007</v>
      </c>
      <c r="AB82" s="734">
        <v>40</v>
      </c>
      <c r="AC82" s="538"/>
      <c r="AD82" s="733" t="str">
        <f t="shared" si="14"/>
        <v>ESQUEL</v>
      </c>
      <c r="AE82" s="737">
        <v>14.1</v>
      </c>
      <c r="AF82" s="737">
        <v>13.5</v>
      </c>
      <c r="AG82" s="737">
        <v>12.1</v>
      </c>
      <c r="AH82" s="737">
        <v>8.4</v>
      </c>
      <c r="AI82" s="737">
        <v>5.5</v>
      </c>
      <c r="AJ82" s="737">
        <v>1.7</v>
      </c>
      <c r="AK82" s="737">
        <v>1.8</v>
      </c>
      <c r="AL82" s="737">
        <v>3.1</v>
      </c>
      <c r="AM82" s="737">
        <v>4.7</v>
      </c>
      <c r="AN82" s="737">
        <v>7.8</v>
      </c>
      <c r="AO82" s="737">
        <v>11.2</v>
      </c>
      <c r="AP82" s="737">
        <v>12.4</v>
      </c>
      <c r="AQ82" s="538"/>
      <c r="AR82" s="733" t="str">
        <f t="shared" si="13"/>
        <v>CHB</v>
      </c>
      <c r="AS82" s="733" t="str">
        <f t="shared" si="15"/>
        <v>ESQUEL</v>
      </c>
      <c r="AT82" s="731">
        <v>7</v>
      </c>
      <c r="AU82" s="731">
        <v>6</v>
      </c>
      <c r="AV82" s="731">
        <v>4</v>
      </c>
      <c r="AW82" s="731">
        <v>3.5</v>
      </c>
      <c r="AX82" s="731">
        <v>3</v>
      </c>
      <c r="AY82" s="731">
        <v>2.5</v>
      </c>
      <c r="AZ82" s="731">
        <v>1</v>
      </c>
      <c r="BA82" s="731">
        <v>2</v>
      </c>
      <c r="BB82" s="731">
        <v>3.5</v>
      </c>
      <c r="BC82" s="731">
        <v>5</v>
      </c>
      <c r="BD82" s="731">
        <v>6</v>
      </c>
      <c r="BE82" s="731">
        <v>7</v>
      </c>
      <c r="BG82" s="733" t="str">
        <f t="shared" si="16"/>
        <v>CHB</v>
      </c>
      <c r="BH82" s="733" t="str">
        <f t="shared" si="17"/>
        <v>ESQUEL</v>
      </c>
      <c r="BI82" s="731">
        <v>9</v>
      </c>
      <c r="BJ82" s="731">
        <v>13</v>
      </c>
      <c r="BK82" s="731">
        <v>17</v>
      </c>
      <c r="BL82" s="731">
        <v>27</v>
      </c>
      <c r="BM82" s="731">
        <v>56</v>
      </c>
      <c r="BN82" s="731">
        <v>54</v>
      </c>
      <c r="BO82" s="731">
        <v>35</v>
      </c>
      <c r="BP82" s="731">
        <v>33</v>
      </c>
      <c r="BQ82" s="731">
        <v>18</v>
      </c>
      <c r="BR82" s="731">
        <v>12</v>
      </c>
      <c r="BS82" s="731">
        <v>18</v>
      </c>
      <c r="BT82" s="731">
        <v>9</v>
      </c>
      <c r="FQ82" s="727"/>
      <c r="FR82" s="727"/>
      <c r="FS82" s="727"/>
      <c r="FT82" s="727"/>
      <c r="FU82" s="727"/>
      <c r="FV82" s="727"/>
      <c r="FW82" s="727"/>
      <c r="FX82" s="727"/>
      <c r="FY82" s="727"/>
      <c r="FZ82" s="727"/>
      <c r="GA82" s="727"/>
      <c r="GB82" s="727"/>
      <c r="GC82" s="727"/>
      <c r="GD82" s="727"/>
      <c r="GE82" s="727"/>
    </row>
    <row r="83" spans="2:187" ht="16">
      <c r="B83" s="734" t="s">
        <v>104</v>
      </c>
      <c r="C83" s="733" t="s">
        <v>109</v>
      </c>
      <c r="D83" s="539">
        <v>44.03</v>
      </c>
      <c r="E83" s="539">
        <v>70.400000000000006</v>
      </c>
      <c r="F83" s="539">
        <v>730</v>
      </c>
      <c r="G83" s="539" t="s">
        <v>108</v>
      </c>
      <c r="H83" s="539">
        <v>-12.1</v>
      </c>
      <c r="I83" s="539">
        <v>2.1</v>
      </c>
      <c r="J83" s="539">
        <v>13</v>
      </c>
      <c r="K83" s="539">
        <v>24.4</v>
      </c>
      <c r="L83" s="539">
        <v>50</v>
      </c>
      <c r="M83" s="539">
        <v>74</v>
      </c>
      <c r="N83" s="539">
        <v>50</v>
      </c>
      <c r="O83" s="539">
        <v>25</v>
      </c>
      <c r="P83" s="539">
        <v>6</v>
      </c>
      <c r="Q83" s="734">
        <v>6</v>
      </c>
      <c r="R83" s="539">
        <v>12.7</v>
      </c>
      <c r="S83" s="734">
        <v>0.53</v>
      </c>
      <c r="T83" s="734">
        <v>48.8</v>
      </c>
      <c r="U83" s="734">
        <v>1.2</v>
      </c>
      <c r="V83" s="734">
        <v>276</v>
      </c>
      <c r="W83" s="734">
        <v>35</v>
      </c>
      <c r="X83" s="734">
        <v>2.8000000000000001E-2</v>
      </c>
      <c r="Y83" s="734">
        <v>0.04</v>
      </c>
      <c r="Z83" s="547">
        <v>95</v>
      </c>
      <c r="AA83" s="547">
        <f t="shared" si="12"/>
        <v>0.95000000000000007</v>
      </c>
      <c r="AB83" s="734">
        <v>40</v>
      </c>
      <c r="AC83" s="538"/>
      <c r="AD83" s="733" t="str">
        <f t="shared" si="14"/>
        <v>GOBERNADOR COSTA</v>
      </c>
      <c r="AE83" s="737">
        <v>23.4</v>
      </c>
      <c r="AF83" s="737">
        <v>22.4</v>
      </c>
      <c r="AG83" s="737">
        <v>20.7</v>
      </c>
      <c r="AH83" s="737">
        <v>16.2</v>
      </c>
      <c r="AI83" s="737">
        <v>13.2</v>
      </c>
      <c r="AJ83" s="737">
        <v>10.7</v>
      </c>
      <c r="AK83" s="737">
        <v>10.4</v>
      </c>
      <c r="AL83" s="737">
        <v>11.3</v>
      </c>
      <c r="AM83" s="737">
        <v>13.2</v>
      </c>
      <c r="AN83" s="737">
        <v>16.2</v>
      </c>
      <c r="AO83" s="737">
        <v>19.3</v>
      </c>
      <c r="AP83" s="737">
        <v>21.7</v>
      </c>
      <c r="AQ83" s="538"/>
      <c r="AR83" s="733" t="str">
        <f t="shared" si="13"/>
        <v>CHB</v>
      </c>
      <c r="AS83" s="733" t="str">
        <f t="shared" si="15"/>
        <v>GOBERNADOR COSTA</v>
      </c>
      <c r="AT83" s="731">
        <v>7</v>
      </c>
      <c r="AU83" s="731">
        <v>6</v>
      </c>
      <c r="AV83" s="731">
        <v>4</v>
      </c>
      <c r="AW83" s="731">
        <v>3.5</v>
      </c>
      <c r="AX83" s="731">
        <v>3</v>
      </c>
      <c r="AY83" s="731">
        <v>2.5</v>
      </c>
      <c r="AZ83" s="731">
        <v>1</v>
      </c>
      <c r="BA83" s="731">
        <v>2</v>
      </c>
      <c r="BB83" s="731">
        <v>3.5</v>
      </c>
      <c r="BC83" s="731">
        <v>5</v>
      </c>
      <c r="BD83" s="731">
        <v>6</v>
      </c>
      <c r="BE83" s="731">
        <v>6.5</v>
      </c>
      <c r="BG83" s="733" t="str">
        <f t="shared" si="16"/>
        <v>CHB</v>
      </c>
      <c r="BH83" s="733" t="str">
        <f t="shared" si="17"/>
        <v>GOBERNADOR COSTA</v>
      </c>
      <c r="BI83" s="731">
        <v>9</v>
      </c>
      <c r="BJ83" s="731">
        <v>13</v>
      </c>
      <c r="BK83" s="731">
        <v>17</v>
      </c>
      <c r="BL83" s="731">
        <v>27</v>
      </c>
      <c r="BM83" s="731">
        <v>56</v>
      </c>
      <c r="BN83" s="731">
        <v>54</v>
      </c>
      <c r="BO83" s="731">
        <v>35</v>
      </c>
      <c r="BP83" s="731">
        <v>33</v>
      </c>
      <c r="BQ83" s="731">
        <v>18</v>
      </c>
      <c r="BR83" s="731">
        <v>12</v>
      </c>
      <c r="BS83" s="731">
        <v>18</v>
      </c>
      <c r="BT83" s="731">
        <v>9</v>
      </c>
      <c r="FQ83" s="727"/>
      <c r="FR83" s="727"/>
      <c r="FS83" s="727"/>
      <c r="FT83" s="727"/>
      <c r="FU83" s="727"/>
      <c r="FV83" s="727"/>
      <c r="FW83" s="727"/>
      <c r="FX83" s="727"/>
      <c r="FY83" s="727"/>
      <c r="FZ83" s="727"/>
      <c r="GA83" s="727"/>
      <c r="GB83" s="727"/>
      <c r="GC83" s="727"/>
      <c r="GD83" s="727"/>
      <c r="GE83" s="727"/>
    </row>
    <row r="84" spans="2:187" ht="16">
      <c r="B84" s="734" t="s">
        <v>104</v>
      </c>
      <c r="C84" s="733" t="s">
        <v>110</v>
      </c>
      <c r="D84" s="539">
        <v>43.23</v>
      </c>
      <c r="E84" s="539">
        <v>65.3</v>
      </c>
      <c r="F84" s="539">
        <v>39</v>
      </c>
      <c r="G84" s="539" t="s">
        <v>38</v>
      </c>
      <c r="H84" s="539">
        <v>-3.4</v>
      </c>
      <c r="I84" s="539">
        <v>6.8</v>
      </c>
      <c r="J84" s="539">
        <v>19.7</v>
      </c>
      <c r="K84" s="539">
        <v>30.9</v>
      </c>
      <c r="L84" s="539">
        <v>38</v>
      </c>
      <c r="M84" s="539">
        <v>60</v>
      </c>
      <c r="N84" s="539">
        <v>38</v>
      </c>
      <c r="O84" s="539">
        <v>14</v>
      </c>
      <c r="P84" s="539">
        <v>11</v>
      </c>
      <c r="Q84" s="734">
        <v>4</v>
      </c>
      <c r="R84" s="539">
        <v>19.7</v>
      </c>
      <c r="S84" s="734">
        <v>0.51</v>
      </c>
      <c r="T84" s="734">
        <v>48.8</v>
      </c>
      <c r="U84" s="734">
        <v>1.2</v>
      </c>
      <c r="V84" s="734">
        <v>276</v>
      </c>
      <c r="W84" s="734">
        <v>35</v>
      </c>
      <c r="X84" s="734">
        <v>2.8000000000000001E-2</v>
      </c>
      <c r="Y84" s="734">
        <v>0.04</v>
      </c>
      <c r="Z84" s="547">
        <v>115</v>
      </c>
      <c r="AA84" s="547">
        <f t="shared" si="12"/>
        <v>1.1500000000000001</v>
      </c>
      <c r="AB84" s="734">
        <v>40</v>
      </c>
      <c r="AC84" s="538"/>
      <c r="AD84" s="733" t="str">
        <f t="shared" si="14"/>
        <v>TRELEW</v>
      </c>
      <c r="AE84" s="737">
        <v>20.6</v>
      </c>
      <c r="AF84" s="737">
        <v>20.100000000000001</v>
      </c>
      <c r="AG84" s="737">
        <v>17.3</v>
      </c>
      <c r="AH84" s="737">
        <v>13.5</v>
      </c>
      <c r="AI84" s="737">
        <v>9.4</v>
      </c>
      <c r="AJ84" s="737">
        <v>6</v>
      </c>
      <c r="AK84" s="737">
        <v>6</v>
      </c>
      <c r="AL84" s="737">
        <v>7.8</v>
      </c>
      <c r="AM84" s="737">
        <v>10.5</v>
      </c>
      <c r="AN84" s="737">
        <v>13.9</v>
      </c>
      <c r="AO84" s="737">
        <v>17.100000000000001</v>
      </c>
      <c r="AP84" s="737">
        <v>19.3</v>
      </c>
      <c r="AQ84" s="538"/>
      <c r="AR84" s="733" t="str">
        <f t="shared" si="13"/>
        <v>CHB</v>
      </c>
      <c r="AS84" s="733" t="str">
        <f t="shared" si="15"/>
        <v>TRELEW</v>
      </c>
      <c r="AT84" s="731">
        <v>7</v>
      </c>
      <c r="AU84" s="731">
        <v>6</v>
      </c>
      <c r="AV84" s="731">
        <v>4.5</v>
      </c>
      <c r="AW84" s="731">
        <v>3.5</v>
      </c>
      <c r="AX84" s="731">
        <v>3</v>
      </c>
      <c r="AY84" s="731">
        <v>2.5</v>
      </c>
      <c r="AZ84" s="731">
        <v>1.5</v>
      </c>
      <c r="BA84" s="731">
        <v>2.5</v>
      </c>
      <c r="BB84" s="731">
        <v>3.5</v>
      </c>
      <c r="BC84" s="731">
        <v>5</v>
      </c>
      <c r="BD84" s="731">
        <v>6.5</v>
      </c>
      <c r="BE84" s="731">
        <v>7</v>
      </c>
      <c r="BG84" s="733" t="str">
        <f t="shared" si="16"/>
        <v>CHB</v>
      </c>
      <c r="BH84" s="733" t="str">
        <f t="shared" si="17"/>
        <v>TRELEW</v>
      </c>
      <c r="BI84" s="731">
        <v>9</v>
      </c>
      <c r="BJ84" s="731">
        <v>13</v>
      </c>
      <c r="BK84" s="731">
        <v>17</v>
      </c>
      <c r="BL84" s="731">
        <v>27</v>
      </c>
      <c r="BM84" s="731">
        <v>56</v>
      </c>
      <c r="BN84" s="731">
        <v>54</v>
      </c>
      <c r="BO84" s="731">
        <v>35</v>
      </c>
      <c r="BP84" s="731">
        <v>33</v>
      </c>
      <c r="BQ84" s="731">
        <v>18</v>
      </c>
      <c r="BR84" s="731">
        <v>12</v>
      </c>
      <c r="BS84" s="731">
        <v>18</v>
      </c>
      <c r="BT84" s="731">
        <v>9</v>
      </c>
      <c r="FQ84" s="727"/>
      <c r="FR84" s="727"/>
      <c r="FS84" s="727"/>
      <c r="FT84" s="727"/>
      <c r="FU84" s="727"/>
      <c r="FV84" s="727"/>
      <c r="FW84" s="727"/>
      <c r="FX84" s="727"/>
      <c r="FY84" s="727"/>
      <c r="FZ84" s="727"/>
      <c r="GA84" s="727"/>
      <c r="GB84" s="727"/>
      <c r="GC84" s="727"/>
      <c r="GD84" s="727"/>
      <c r="GE84" s="727"/>
    </row>
    <row r="85" spans="2:187" ht="16" customHeight="1">
      <c r="B85" s="734" t="s">
        <v>111</v>
      </c>
      <c r="C85" s="733" t="s">
        <v>112</v>
      </c>
      <c r="D85" s="539">
        <v>31.3</v>
      </c>
      <c r="E85" s="539">
        <v>58.02</v>
      </c>
      <c r="F85" s="539">
        <v>38</v>
      </c>
      <c r="G85" s="539" t="s">
        <v>78</v>
      </c>
      <c r="H85" s="539">
        <v>2.4</v>
      </c>
      <c r="I85" s="539">
        <v>13.1</v>
      </c>
      <c r="J85" s="539">
        <v>24.8</v>
      </c>
      <c r="K85" s="539">
        <v>34.5</v>
      </c>
      <c r="L85" s="539">
        <v>63</v>
      </c>
      <c r="M85" s="539">
        <v>80</v>
      </c>
      <c r="N85" s="539">
        <v>63</v>
      </c>
      <c r="O85" s="539">
        <v>90</v>
      </c>
      <c r="P85" s="539">
        <v>128</v>
      </c>
      <c r="Q85" s="734">
        <v>2</v>
      </c>
      <c r="R85" s="539">
        <v>24.1</v>
      </c>
      <c r="S85" s="734">
        <v>0.53</v>
      </c>
      <c r="T85" s="734">
        <v>18.100000000000001</v>
      </c>
      <c r="U85" s="734">
        <v>14.6</v>
      </c>
      <c r="V85" s="734">
        <v>50</v>
      </c>
      <c r="W85" s="734">
        <v>115</v>
      </c>
      <c r="X85" s="734">
        <v>8.9999999999999993E-3</v>
      </c>
      <c r="Y85" s="734">
        <v>8.0000000000000002E-3</v>
      </c>
      <c r="Z85" s="547">
        <v>155</v>
      </c>
      <c r="AA85" s="547">
        <f t="shared" si="12"/>
        <v>1.55</v>
      </c>
      <c r="AB85" s="734">
        <v>30</v>
      </c>
      <c r="AC85" s="538"/>
      <c r="AD85" s="733" t="str">
        <f t="shared" si="14"/>
        <v>CONCORDIA</v>
      </c>
      <c r="AE85" s="737">
        <v>25.4</v>
      </c>
      <c r="AF85" s="737">
        <v>24.5</v>
      </c>
      <c r="AG85" s="737">
        <v>22.5</v>
      </c>
      <c r="AH85" s="737">
        <v>18.100000000000001</v>
      </c>
      <c r="AI85" s="737">
        <v>15.5</v>
      </c>
      <c r="AJ85" s="737">
        <v>12.8</v>
      </c>
      <c r="AK85" s="737">
        <v>12.4</v>
      </c>
      <c r="AL85" s="737">
        <v>13.6</v>
      </c>
      <c r="AM85" s="737">
        <v>15.2</v>
      </c>
      <c r="AN85" s="737">
        <v>18.100000000000001</v>
      </c>
      <c r="AO85" s="737">
        <v>21.1</v>
      </c>
      <c r="AP85" s="737">
        <v>23.8</v>
      </c>
      <c r="AQ85" s="538"/>
      <c r="AR85" s="733" t="str">
        <f t="shared" si="13"/>
        <v>ER</v>
      </c>
      <c r="AS85" s="733" t="str">
        <f t="shared" si="15"/>
        <v>CONCORDIA</v>
      </c>
      <c r="AT85" s="731">
        <v>6.5</v>
      </c>
      <c r="AU85" s="731">
        <v>5.5</v>
      </c>
      <c r="AV85" s="731">
        <v>5</v>
      </c>
      <c r="AW85" s="731">
        <v>3.5</v>
      </c>
      <c r="AX85" s="731">
        <v>3</v>
      </c>
      <c r="AY85" s="731">
        <v>2</v>
      </c>
      <c r="AZ85" s="731">
        <v>2</v>
      </c>
      <c r="BA85" s="731">
        <v>3</v>
      </c>
      <c r="BB85" s="731">
        <v>4</v>
      </c>
      <c r="BC85" s="731">
        <v>5.5</v>
      </c>
      <c r="BD85" s="731">
        <v>6</v>
      </c>
      <c r="BE85" s="731">
        <v>6.5</v>
      </c>
      <c r="BG85" s="733" t="str">
        <f t="shared" si="16"/>
        <v>ER</v>
      </c>
      <c r="BH85" s="733" t="str">
        <f t="shared" si="17"/>
        <v>CONCORDIA</v>
      </c>
      <c r="BI85" s="731">
        <v>65</v>
      </c>
      <c r="BJ85" s="731">
        <v>79</v>
      </c>
      <c r="BK85" s="731">
        <v>123</v>
      </c>
      <c r="BL85" s="731">
        <v>162</v>
      </c>
      <c r="BM85" s="731">
        <v>191</v>
      </c>
      <c r="BN85" s="731">
        <v>157</v>
      </c>
      <c r="BO85" s="731">
        <v>139</v>
      </c>
      <c r="BP85" s="731">
        <v>107</v>
      </c>
      <c r="BQ85" s="731">
        <v>72</v>
      </c>
      <c r="BR85" s="731">
        <v>68</v>
      </c>
      <c r="BS85" s="731">
        <v>84</v>
      </c>
      <c r="BT85" s="731">
        <v>92</v>
      </c>
      <c r="FQ85" s="1272" t="s">
        <v>2087</v>
      </c>
      <c r="FR85" s="1272"/>
      <c r="FS85" s="1272"/>
      <c r="FT85" s="1272"/>
      <c r="FU85" s="1272"/>
      <c r="FV85" s="1272"/>
      <c r="FW85" s="1272"/>
      <c r="FX85" s="1272"/>
      <c r="FY85" s="1272"/>
      <c r="FZ85" s="1272"/>
      <c r="GA85" s="1272"/>
      <c r="GB85" s="1272"/>
      <c r="GC85" s="1272"/>
      <c r="GD85" s="1272"/>
      <c r="GE85" s="1272"/>
    </row>
    <row r="86" spans="2:187" ht="16">
      <c r="B86" s="734" t="s">
        <v>111</v>
      </c>
      <c r="C86" s="733" t="s">
        <v>1268</v>
      </c>
      <c r="D86" s="539">
        <v>32.869999999999997</v>
      </c>
      <c r="E86" s="539">
        <v>58.52</v>
      </c>
      <c r="F86" s="539">
        <v>14</v>
      </c>
      <c r="G86" s="539" t="s">
        <v>23</v>
      </c>
      <c r="H86" s="539">
        <v>0.1</v>
      </c>
      <c r="I86" s="539">
        <v>11.5</v>
      </c>
      <c r="J86" s="539">
        <v>23.7</v>
      </c>
      <c r="K86" s="539">
        <v>33.799999999999997</v>
      </c>
      <c r="L86" s="539">
        <v>67</v>
      </c>
      <c r="M86" s="539">
        <v>84</v>
      </c>
      <c r="N86" s="539">
        <v>67</v>
      </c>
      <c r="O86" s="539">
        <v>62</v>
      </c>
      <c r="P86" s="539">
        <v>93</v>
      </c>
      <c r="Q86" s="734">
        <v>3</v>
      </c>
      <c r="R86" s="539">
        <v>22.6</v>
      </c>
      <c r="S86" s="734">
        <v>0.53</v>
      </c>
      <c r="T86" s="734">
        <v>18.100000000000001</v>
      </c>
      <c r="U86" s="734">
        <v>14.6</v>
      </c>
      <c r="V86" s="734">
        <v>50</v>
      </c>
      <c r="W86" s="734">
        <v>115</v>
      </c>
      <c r="X86" s="734">
        <v>8.9999999999999993E-3</v>
      </c>
      <c r="Y86" s="734">
        <v>8.0000000000000002E-3</v>
      </c>
      <c r="Z86" s="547">
        <v>145</v>
      </c>
      <c r="AA86" s="547">
        <f t="shared" si="12"/>
        <v>1.45</v>
      </c>
      <c r="AB86" s="734">
        <v>30</v>
      </c>
      <c r="AC86" s="538"/>
      <c r="AD86" s="733" t="str">
        <f t="shared" si="14"/>
        <v>GUALEGUAYCHÚ</v>
      </c>
      <c r="AE86" s="737">
        <v>25</v>
      </c>
      <c r="AF86" s="737">
        <v>23.9</v>
      </c>
      <c r="AG86" s="737">
        <v>23</v>
      </c>
      <c r="AH86" s="737">
        <v>18.8</v>
      </c>
      <c r="AI86" s="737">
        <v>14.5</v>
      </c>
      <c r="AJ86" s="737">
        <v>12.5</v>
      </c>
      <c r="AK86" s="737">
        <v>11.5</v>
      </c>
      <c r="AL86" s="737">
        <v>14</v>
      </c>
      <c r="AM86" s="737">
        <v>15</v>
      </c>
      <c r="AN86" s="737">
        <v>18.8</v>
      </c>
      <c r="AO86" s="737">
        <v>20.8</v>
      </c>
      <c r="AP86" s="737">
        <v>23.9</v>
      </c>
      <c r="AQ86" s="538"/>
      <c r="AR86" s="733" t="str">
        <f t="shared" si="13"/>
        <v>ER</v>
      </c>
      <c r="AS86" s="733" t="str">
        <f t="shared" si="15"/>
        <v>GUALEGUAYCHÚ</v>
      </c>
      <c r="AT86" s="731">
        <v>6.5</v>
      </c>
      <c r="AU86" s="731">
        <v>5.5</v>
      </c>
      <c r="AV86" s="731">
        <v>5</v>
      </c>
      <c r="AW86" s="731">
        <v>3.5</v>
      </c>
      <c r="AX86" s="731">
        <v>2.5</v>
      </c>
      <c r="AY86" s="731">
        <v>2</v>
      </c>
      <c r="AZ86" s="731">
        <v>2</v>
      </c>
      <c r="BA86" s="731">
        <v>3</v>
      </c>
      <c r="BB86" s="731">
        <v>4</v>
      </c>
      <c r="BC86" s="731">
        <v>5</v>
      </c>
      <c r="BD86" s="731">
        <v>6</v>
      </c>
      <c r="BE86" s="731">
        <v>6.5</v>
      </c>
      <c r="BG86" s="733" t="str">
        <f t="shared" si="16"/>
        <v>ER</v>
      </c>
      <c r="BH86" s="733" t="str">
        <f t="shared" si="17"/>
        <v>GUALEGUAYCHÚ</v>
      </c>
      <c r="BI86" s="731">
        <v>65</v>
      </c>
      <c r="BJ86" s="731">
        <v>79</v>
      </c>
      <c r="BK86" s="731">
        <v>123</v>
      </c>
      <c r="BL86" s="731">
        <v>162</v>
      </c>
      <c r="BM86" s="731">
        <v>191</v>
      </c>
      <c r="BN86" s="731">
        <v>157</v>
      </c>
      <c r="BO86" s="731">
        <v>139</v>
      </c>
      <c r="BP86" s="731">
        <v>107</v>
      </c>
      <c r="BQ86" s="731">
        <v>72</v>
      </c>
      <c r="BR86" s="731">
        <v>68</v>
      </c>
      <c r="BS86" s="731">
        <v>84</v>
      </c>
      <c r="BT86" s="731">
        <v>92</v>
      </c>
      <c r="FQ86" s="1186" t="s">
        <v>1046</v>
      </c>
      <c r="FR86" s="1186"/>
      <c r="FS86" s="727"/>
      <c r="FT86" s="727"/>
      <c r="FU86" s="727"/>
      <c r="FV86" s="727"/>
      <c r="FW86" s="727"/>
      <c r="FX86" s="727"/>
      <c r="FY86" s="727"/>
      <c r="FZ86" s="727"/>
      <c r="GA86" s="727"/>
      <c r="GB86" s="727"/>
      <c r="GC86" s="727"/>
      <c r="GD86" s="727"/>
      <c r="GE86" s="727"/>
    </row>
    <row r="87" spans="2:187" ht="16">
      <c r="B87" s="734" t="s">
        <v>111</v>
      </c>
      <c r="C87" s="733" t="s">
        <v>1269</v>
      </c>
      <c r="D87" s="539">
        <v>33</v>
      </c>
      <c r="E87" s="539">
        <v>58.62</v>
      </c>
      <c r="F87" s="539">
        <v>24</v>
      </c>
      <c r="G87" s="539" t="s">
        <v>23</v>
      </c>
      <c r="H87" s="539">
        <v>0.3</v>
      </c>
      <c r="I87" s="539">
        <v>11.3</v>
      </c>
      <c r="J87" s="539">
        <v>23.7</v>
      </c>
      <c r="K87" s="539">
        <v>34.1</v>
      </c>
      <c r="L87" s="539">
        <v>64</v>
      </c>
      <c r="M87" s="539">
        <v>81</v>
      </c>
      <c r="N87" s="539">
        <v>64</v>
      </c>
      <c r="O87" s="539">
        <v>56</v>
      </c>
      <c r="P87" s="539">
        <v>92</v>
      </c>
      <c r="Q87" s="734">
        <v>3</v>
      </c>
      <c r="R87" s="539">
        <v>23.2</v>
      </c>
      <c r="S87" s="734">
        <v>0.53</v>
      </c>
      <c r="T87" s="734">
        <v>18.100000000000001</v>
      </c>
      <c r="U87" s="734">
        <v>14.6</v>
      </c>
      <c r="V87" s="734">
        <v>50</v>
      </c>
      <c r="W87" s="734">
        <v>115</v>
      </c>
      <c r="X87" s="734">
        <v>8.9999999999999993E-3</v>
      </c>
      <c r="Y87" s="734">
        <v>8.0000000000000002E-3</v>
      </c>
      <c r="Z87" s="547">
        <v>145</v>
      </c>
      <c r="AA87" s="547">
        <f t="shared" si="12"/>
        <v>1.45</v>
      </c>
      <c r="AB87" s="734">
        <v>30</v>
      </c>
      <c r="AC87" s="538"/>
      <c r="AD87" s="733" t="str">
        <f t="shared" si="14"/>
        <v>GUALEGUAYCHÚ AERO</v>
      </c>
      <c r="AE87" s="737">
        <v>24.8</v>
      </c>
      <c r="AF87" s="737">
        <v>23.6</v>
      </c>
      <c r="AG87" s="737">
        <v>21.8</v>
      </c>
      <c r="AH87" s="737">
        <v>17.399999999999999</v>
      </c>
      <c r="AI87" s="737">
        <v>14.2</v>
      </c>
      <c r="AJ87" s="737">
        <v>11.6</v>
      </c>
      <c r="AK87" s="737">
        <v>11.4</v>
      </c>
      <c r="AL87" s="737">
        <v>12.5</v>
      </c>
      <c r="AM87" s="737">
        <v>14.4</v>
      </c>
      <c r="AN87" s="737">
        <v>17.3</v>
      </c>
      <c r="AO87" s="737">
        <v>20</v>
      </c>
      <c r="AP87" s="737">
        <v>22.8</v>
      </c>
      <c r="AQ87" s="538"/>
      <c r="AR87" s="733" t="str">
        <f t="shared" si="13"/>
        <v>ER</v>
      </c>
      <c r="AS87" s="733" t="str">
        <f t="shared" si="15"/>
        <v>GUALEGUAYCHÚ AERO</v>
      </c>
      <c r="AT87" s="731">
        <v>6.5</v>
      </c>
      <c r="AU87" s="731">
        <v>5.5</v>
      </c>
      <c r="AV87" s="731">
        <v>5</v>
      </c>
      <c r="AW87" s="731">
        <v>3.5</v>
      </c>
      <c r="AX87" s="731">
        <v>2.5</v>
      </c>
      <c r="AY87" s="731">
        <v>2</v>
      </c>
      <c r="AZ87" s="731">
        <v>2</v>
      </c>
      <c r="BA87" s="731">
        <v>3</v>
      </c>
      <c r="BB87" s="731">
        <v>4</v>
      </c>
      <c r="BC87" s="731">
        <v>5</v>
      </c>
      <c r="BD87" s="731">
        <v>6</v>
      </c>
      <c r="BE87" s="731">
        <v>6.5</v>
      </c>
      <c r="BG87" s="733" t="str">
        <f t="shared" si="16"/>
        <v>ER</v>
      </c>
      <c r="BH87" s="733" t="str">
        <f t="shared" si="17"/>
        <v>GUALEGUAYCHÚ AERO</v>
      </c>
      <c r="BI87" s="731">
        <v>65</v>
      </c>
      <c r="BJ87" s="731">
        <v>79</v>
      </c>
      <c r="BK87" s="731">
        <v>123</v>
      </c>
      <c r="BL87" s="731">
        <v>162</v>
      </c>
      <c r="BM87" s="731">
        <v>191</v>
      </c>
      <c r="BN87" s="731">
        <v>157</v>
      </c>
      <c r="BO87" s="731">
        <v>139</v>
      </c>
      <c r="BP87" s="731">
        <v>107</v>
      </c>
      <c r="BQ87" s="731">
        <v>72</v>
      </c>
      <c r="BR87" s="731">
        <v>68</v>
      </c>
      <c r="BS87" s="731">
        <v>84</v>
      </c>
      <c r="BT87" s="731">
        <v>92</v>
      </c>
      <c r="FQ87" s="727" t="s">
        <v>1047</v>
      </c>
      <c r="FR87" s="727">
        <v>1.52</v>
      </c>
      <c r="FS87" s="727"/>
      <c r="FT87" s="727"/>
      <c r="FU87" s="727"/>
      <c r="FV87" s="727"/>
      <c r="FW87" s="727"/>
      <c r="FX87" s="727"/>
      <c r="FY87" s="727"/>
      <c r="FZ87" s="727"/>
      <c r="GA87" s="727"/>
      <c r="GB87" s="727"/>
      <c r="GC87" s="727"/>
      <c r="GD87" s="727"/>
      <c r="GE87" s="727"/>
    </row>
    <row r="88" spans="2:187" ht="16">
      <c r="B88" s="734" t="s">
        <v>111</v>
      </c>
      <c r="C88" s="733" t="s">
        <v>113</v>
      </c>
      <c r="D88" s="539">
        <v>33.58</v>
      </c>
      <c r="E88" s="539">
        <v>59.4</v>
      </c>
      <c r="F88" s="539">
        <v>5</v>
      </c>
      <c r="G88" s="539" t="s">
        <v>23</v>
      </c>
      <c r="H88" s="539">
        <v>0.9</v>
      </c>
      <c r="I88" s="539">
        <v>11</v>
      </c>
      <c r="J88" s="539">
        <v>22.9</v>
      </c>
      <c r="K88" s="539">
        <v>33.5</v>
      </c>
      <c r="L88" s="539">
        <v>68</v>
      </c>
      <c r="M88" s="539">
        <v>82</v>
      </c>
      <c r="N88" s="539">
        <v>68</v>
      </c>
      <c r="O88" s="539">
        <v>51</v>
      </c>
      <c r="P88" s="539">
        <v>101</v>
      </c>
      <c r="Q88" s="734">
        <v>3</v>
      </c>
      <c r="R88" s="539">
        <v>22.7</v>
      </c>
      <c r="S88" s="734">
        <v>0.53</v>
      </c>
      <c r="T88" s="734">
        <v>18.100000000000001</v>
      </c>
      <c r="U88" s="734">
        <v>14.6</v>
      </c>
      <c r="V88" s="734">
        <v>50</v>
      </c>
      <c r="W88" s="734">
        <v>115</v>
      </c>
      <c r="X88" s="734">
        <v>8.9999999999999993E-3</v>
      </c>
      <c r="Y88" s="734">
        <v>8.0000000000000002E-3</v>
      </c>
      <c r="Z88" s="547">
        <v>145</v>
      </c>
      <c r="AA88" s="547">
        <f t="shared" si="12"/>
        <v>1.45</v>
      </c>
      <c r="AB88" s="734">
        <v>30</v>
      </c>
      <c r="AC88" s="538"/>
      <c r="AD88" s="733" t="str">
        <f t="shared" si="14"/>
        <v>MAZARUCA</v>
      </c>
      <c r="AE88" s="737">
        <v>23.9</v>
      </c>
      <c r="AF88" s="737">
        <v>22.9</v>
      </c>
      <c r="AG88" s="737">
        <v>21.2</v>
      </c>
      <c r="AH88" s="737">
        <v>16.100000000000001</v>
      </c>
      <c r="AI88" s="737">
        <v>13.6</v>
      </c>
      <c r="AJ88" s="737">
        <v>10.8</v>
      </c>
      <c r="AK88" s="737">
        <v>10.7</v>
      </c>
      <c r="AL88" s="737">
        <v>12</v>
      </c>
      <c r="AM88" s="737">
        <v>13.9</v>
      </c>
      <c r="AN88" s="737">
        <v>16.5</v>
      </c>
      <c r="AO88" s="737">
        <v>19.600000000000001</v>
      </c>
      <c r="AP88" s="737">
        <v>21.7</v>
      </c>
      <c r="AQ88" s="538"/>
      <c r="AR88" s="733" t="str">
        <f t="shared" si="13"/>
        <v>ER</v>
      </c>
      <c r="AS88" s="733" t="str">
        <f t="shared" si="15"/>
        <v>MAZARUCA</v>
      </c>
      <c r="AT88" s="731">
        <v>6.5</v>
      </c>
      <c r="AU88" s="731">
        <v>5.5</v>
      </c>
      <c r="AV88" s="731">
        <v>5</v>
      </c>
      <c r="AW88" s="731">
        <v>3.5</v>
      </c>
      <c r="AX88" s="731">
        <v>2.5</v>
      </c>
      <c r="AY88" s="731">
        <v>2</v>
      </c>
      <c r="AZ88" s="731">
        <v>2</v>
      </c>
      <c r="BA88" s="731">
        <v>3</v>
      </c>
      <c r="BB88" s="731">
        <v>4</v>
      </c>
      <c r="BC88" s="731">
        <v>5</v>
      </c>
      <c r="BD88" s="731">
        <v>6</v>
      </c>
      <c r="BE88" s="731">
        <v>6.5</v>
      </c>
      <c r="BG88" s="733" t="str">
        <f t="shared" si="16"/>
        <v>ER</v>
      </c>
      <c r="BH88" s="733" t="str">
        <f t="shared" si="17"/>
        <v>MAZARUCA</v>
      </c>
      <c r="BI88" s="731">
        <v>65</v>
      </c>
      <c r="BJ88" s="731">
        <v>79</v>
      </c>
      <c r="BK88" s="731">
        <v>123</v>
      </c>
      <c r="BL88" s="731">
        <v>162</v>
      </c>
      <c r="BM88" s="731">
        <v>191</v>
      </c>
      <c r="BN88" s="731">
        <v>157</v>
      </c>
      <c r="BO88" s="731">
        <v>139</v>
      </c>
      <c r="BP88" s="731">
        <v>107</v>
      </c>
      <c r="BQ88" s="731">
        <v>72</v>
      </c>
      <c r="BR88" s="731">
        <v>68</v>
      </c>
      <c r="BS88" s="731">
        <v>84</v>
      </c>
      <c r="BT88" s="731">
        <v>92</v>
      </c>
      <c r="FQ88" s="727" t="s">
        <v>1048</v>
      </c>
      <c r="FR88" s="727">
        <v>1.64</v>
      </c>
      <c r="FS88" s="727"/>
      <c r="FT88" s="727"/>
      <c r="FU88" s="727"/>
      <c r="FV88" s="727"/>
      <c r="FW88" s="727"/>
      <c r="FX88" s="727"/>
      <c r="FY88" s="727"/>
      <c r="FZ88" s="727"/>
      <c r="GA88" s="727"/>
      <c r="GB88" s="727"/>
      <c r="GC88" s="727"/>
      <c r="GD88" s="727"/>
      <c r="GE88" s="727"/>
    </row>
    <row r="89" spans="2:187" ht="16">
      <c r="B89" s="734" t="s">
        <v>111</v>
      </c>
      <c r="C89" s="733" t="s">
        <v>1270</v>
      </c>
      <c r="D89" s="539">
        <v>31.78</v>
      </c>
      <c r="E89" s="539">
        <v>60.48</v>
      </c>
      <c r="F89" s="539">
        <v>62</v>
      </c>
      <c r="G89" s="539" t="s">
        <v>78</v>
      </c>
      <c r="H89" s="539">
        <v>1.2</v>
      </c>
      <c r="I89" s="539">
        <v>12.2</v>
      </c>
      <c r="J89" s="539">
        <v>24.3</v>
      </c>
      <c r="K89" s="539">
        <v>34.4</v>
      </c>
      <c r="L89" s="539">
        <v>63</v>
      </c>
      <c r="M89" s="539">
        <v>72</v>
      </c>
      <c r="N89" s="539">
        <v>63</v>
      </c>
      <c r="O89" s="539">
        <v>29</v>
      </c>
      <c r="P89" s="539">
        <v>107</v>
      </c>
      <c r="Q89" s="734">
        <v>2</v>
      </c>
      <c r="R89" s="539">
        <v>23.7</v>
      </c>
      <c r="S89" s="734">
        <v>0.53</v>
      </c>
      <c r="T89" s="734">
        <v>18.100000000000001</v>
      </c>
      <c r="U89" s="734">
        <v>14.6</v>
      </c>
      <c r="V89" s="734">
        <v>50</v>
      </c>
      <c r="W89" s="734">
        <v>115</v>
      </c>
      <c r="X89" s="734">
        <v>8.9999999999999993E-3</v>
      </c>
      <c r="Y89" s="734">
        <v>8.0000000000000002E-3</v>
      </c>
      <c r="Z89" s="547">
        <v>155</v>
      </c>
      <c r="AA89" s="547">
        <f t="shared" si="12"/>
        <v>1.55</v>
      </c>
      <c r="AB89" s="734">
        <v>30</v>
      </c>
      <c r="AC89" s="538"/>
      <c r="AD89" s="733" t="str">
        <f t="shared" si="14"/>
        <v>PARANÁ AERO</v>
      </c>
      <c r="AE89" s="737">
        <v>25.2</v>
      </c>
      <c r="AF89" s="737">
        <v>24.1</v>
      </c>
      <c r="AG89" s="737">
        <v>22.3</v>
      </c>
      <c r="AH89" s="737">
        <v>17</v>
      </c>
      <c r="AI89" s="737">
        <v>14.9</v>
      </c>
      <c r="AJ89" s="737">
        <v>12.1</v>
      </c>
      <c r="AK89" s="737">
        <v>11.9</v>
      </c>
      <c r="AL89" s="737">
        <v>13.3</v>
      </c>
      <c r="AM89" s="737">
        <v>14.9</v>
      </c>
      <c r="AN89" s="737">
        <v>17.8</v>
      </c>
      <c r="AO89" s="737">
        <v>21.1</v>
      </c>
      <c r="AP89" s="737">
        <v>23.2</v>
      </c>
      <c r="AQ89" s="538"/>
      <c r="AR89" s="733" t="str">
        <f t="shared" si="13"/>
        <v>ER</v>
      </c>
      <c r="AS89" s="733" t="str">
        <f t="shared" si="15"/>
        <v>PARANÁ AERO</v>
      </c>
      <c r="AT89" s="731">
        <v>6.5</v>
      </c>
      <c r="AU89" s="731">
        <v>5.5</v>
      </c>
      <c r="AV89" s="731">
        <v>5</v>
      </c>
      <c r="AW89" s="731">
        <v>3.5</v>
      </c>
      <c r="AX89" s="731">
        <v>3</v>
      </c>
      <c r="AY89" s="731">
        <v>2.5</v>
      </c>
      <c r="AZ89" s="731">
        <v>2.5</v>
      </c>
      <c r="BA89" s="731">
        <v>3.5</v>
      </c>
      <c r="BB89" s="731">
        <v>4</v>
      </c>
      <c r="BC89" s="731">
        <v>5.5</v>
      </c>
      <c r="BD89" s="731">
        <v>6</v>
      </c>
      <c r="BE89" s="731">
        <v>6.5</v>
      </c>
      <c r="BG89" s="733" t="str">
        <f t="shared" si="16"/>
        <v>ER</v>
      </c>
      <c r="BH89" s="733" t="str">
        <f t="shared" si="17"/>
        <v>PARANÁ AERO</v>
      </c>
      <c r="BI89" s="731">
        <v>65</v>
      </c>
      <c r="BJ89" s="731">
        <v>79</v>
      </c>
      <c r="BK89" s="731">
        <v>123</v>
      </c>
      <c r="BL89" s="731">
        <v>162</v>
      </c>
      <c r="BM89" s="731">
        <v>191</v>
      </c>
      <c r="BN89" s="731">
        <v>157</v>
      </c>
      <c r="BO89" s="731">
        <v>139</v>
      </c>
      <c r="BP89" s="731">
        <v>107</v>
      </c>
      <c r="BQ89" s="731">
        <v>72</v>
      </c>
      <c r="BR89" s="731">
        <v>68</v>
      </c>
      <c r="BS89" s="731">
        <v>84</v>
      </c>
      <c r="BT89" s="731">
        <v>92</v>
      </c>
      <c r="FQ89" s="727" t="s">
        <v>1049</v>
      </c>
      <c r="FR89" s="727">
        <v>1.91</v>
      </c>
      <c r="FS89" s="727"/>
      <c r="FT89" s="727"/>
      <c r="FU89" s="727"/>
      <c r="FV89" s="727"/>
      <c r="FW89" s="727"/>
      <c r="FX89" s="727"/>
      <c r="FY89" s="727"/>
      <c r="FZ89" s="727"/>
      <c r="GA89" s="727"/>
      <c r="GB89" s="727"/>
      <c r="GC89" s="727"/>
      <c r="GD89" s="727"/>
      <c r="GE89" s="727"/>
    </row>
    <row r="90" spans="2:187" ht="16">
      <c r="B90" s="734" t="s">
        <v>111</v>
      </c>
      <c r="C90" s="733" t="s">
        <v>1271</v>
      </c>
      <c r="D90" s="539">
        <v>31.83</v>
      </c>
      <c r="E90" s="539">
        <v>60.52</v>
      </c>
      <c r="F90" s="539">
        <v>110</v>
      </c>
      <c r="G90" s="539" t="s">
        <v>78</v>
      </c>
      <c r="H90" s="539">
        <v>3.1</v>
      </c>
      <c r="I90" s="539">
        <v>12.5</v>
      </c>
      <c r="J90" s="539">
        <v>24.1</v>
      </c>
      <c r="K90" s="539">
        <v>33.799999999999997</v>
      </c>
      <c r="L90" s="539">
        <v>63</v>
      </c>
      <c r="M90" s="539">
        <v>77</v>
      </c>
      <c r="N90" s="539">
        <v>63</v>
      </c>
      <c r="O90" s="539">
        <v>32</v>
      </c>
      <c r="P90" s="539">
        <v>103</v>
      </c>
      <c r="Q90" s="734">
        <v>2</v>
      </c>
      <c r="R90" s="539">
        <v>23.8</v>
      </c>
      <c r="S90" s="734">
        <v>0.53</v>
      </c>
      <c r="T90" s="734">
        <v>18.100000000000001</v>
      </c>
      <c r="U90" s="734">
        <v>14.6</v>
      </c>
      <c r="V90" s="734">
        <v>50</v>
      </c>
      <c r="W90" s="734">
        <v>115</v>
      </c>
      <c r="X90" s="734">
        <v>8.9999999999999993E-3</v>
      </c>
      <c r="Y90" s="734">
        <v>8.0000000000000002E-3</v>
      </c>
      <c r="Z90" s="547">
        <v>155</v>
      </c>
      <c r="AA90" s="547">
        <f t="shared" si="12"/>
        <v>1.55</v>
      </c>
      <c r="AB90" s="734">
        <v>30</v>
      </c>
      <c r="AC90" s="538"/>
      <c r="AD90" s="733" t="str">
        <f t="shared" si="14"/>
        <v>PARANÁ</v>
      </c>
      <c r="AE90" s="737">
        <v>25.5</v>
      </c>
      <c r="AF90" s="737">
        <v>24.4</v>
      </c>
      <c r="AG90" s="737">
        <v>23.5</v>
      </c>
      <c r="AH90" s="737">
        <v>19.3</v>
      </c>
      <c r="AI90" s="737">
        <v>15</v>
      </c>
      <c r="AJ90" s="737">
        <v>12.4</v>
      </c>
      <c r="AK90" s="737">
        <v>12</v>
      </c>
      <c r="AL90" s="737">
        <v>14</v>
      </c>
      <c r="AM90" s="737">
        <v>15.8</v>
      </c>
      <c r="AN90" s="737">
        <v>19</v>
      </c>
      <c r="AO90" s="737">
        <v>21.5</v>
      </c>
      <c r="AP90" s="737">
        <v>24.5</v>
      </c>
      <c r="AQ90" s="538"/>
      <c r="AR90" s="733" t="str">
        <f t="shared" si="13"/>
        <v>ER</v>
      </c>
      <c r="AS90" s="733" t="str">
        <f t="shared" si="15"/>
        <v>PARANÁ</v>
      </c>
      <c r="AT90" s="731">
        <v>6.5</v>
      </c>
      <c r="AU90" s="731">
        <v>5.5</v>
      </c>
      <c r="AV90" s="731">
        <v>5</v>
      </c>
      <c r="AW90" s="731">
        <v>3.5</v>
      </c>
      <c r="AX90" s="731">
        <v>3</v>
      </c>
      <c r="AY90" s="731">
        <v>2.5</v>
      </c>
      <c r="AZ90" s="731">
        <v>2.5</v>
      </c>
      <c r="BA90" s="731">
        <v>3.5</v>
      </c>
      <c r="BB90" s="731">
        <v>4</v>
      </c>
      <c r="BC90" s="731">
        <v>5.5</v>
      </c>
      <c r="BD90" s="731">
        <v>6</v>
      </c>
      <c r="BE90" s="731">
        <v>6.5</v>
      </c>
      <c r="BG90" s="733" t="str">
        <f t="shared" si="16"/>
        <v>ER</v>
      </c>
      <c r="BH90" s="733" t="str">
        <f t="shared" si="17"/>
        <v>PARANÁ</v>
      </c>
      <c r="BI90" s="731">
        <v>65</v>
      </c>
      <c r="BJ90" s="731">
        <v>79</v>
      </c>
      <c r="BK90" s="731">
        <v>123</v>
      </c>
      <c r="BL90" s="731">
        <v>162</v>
      </c>
      <c r="BM90" s="731">
        <v>191</v>
      </c>
      <c r="BN90" s="731">
        <v>157</v>
      </c>
      <c r="BO90" s="731">
        <v>139</v>
      </c>
      <c r="BP90" s="731">
        <v>107</v>
      </c>
      <c r="BQ90" s="731">
        <v>72</v>
      </c>
      <c r="BR90" s="731">
        <v>68</v>
      </c>
      <c r="BS90" s="731">
        <v>84</v>
      </c>
      <c r="BT90" s="731">
        <v>92</v>
      </c>
      <c r="FQ90" s="727" t="s">
        <v>1050</v>
      </c>
      <c r="FR90" s="727">
        <v>2.1800000000000002</v>
      </c>
      <c r="FS90" s="727"/>
      <c r="FT90" s="727"/>
      <c r="FU90" s="727"/>
      <c r="FV90" s="727"/>
      <c r="FW90" s="727"/>
      <c r="FX90" s="727"/>
      <c r="FY90" s="727"/>
      <c r="FZ90" s="727"/>
      <c r="GA90" s="727"/>
      <c r="GB90" s="727"/>
      <c r="GC90" s="727"/>
      <c r="GD90" s="727"/>
      <c r="GE90" s="727"/>
    </row>
    <row r="91" spans="2:187" ht="16">
      <c r="B91" s="734" t="s">
        <v>111</v>
      </c>
      <c r="C91" s="733" t="s">
        <v>114</v>
      </c>
      <c r="D91" s="539">
        <v>31.2</v>
      </c>
      <c r="E91" s="539">
        <v>57.92</v>
      </c>
      <c r="F91" s="539">
        <v>37</v>
      </c>
      <c r="G91" s="539" t="s">
        <v>23</v>
      </c>
      <c r="H91" s="539">
        <v>3</v>
      </c>
      <c r="I91" s="539">
        <v>909</v>
      </c>
      <c r="J91" s="539">
        <v>22.9</v>
      </c>
      <c r="K91" s="539">
        <v>33.5</v>
      </c>
      <c r="L91" s="539">
        <v>68</v>
      </c>
      <c r="M91" s="539">
        <v>82</v>
      </c>
      <c r="N91" s="539">
        <v>68</v>
      </c>
      <c r="O91" s="539">
        <v>51</v>
      </c>
      <c r="P91" s="539">
        <v>101</v>
      </c>
      <c r="Q91" s="734">
        <v>3</v>
      </c>
      <c r="R91" s="539">
        <v>22.7</v>
      </c>
      <c r="S91" s="734">
        <v>0.53</v>
      </c>
      <c r="T91" s="734">
        <v>18.100000000000001</v>
      </c>
      <c r="U91" s="734">
        <v>14.6</v>
      </c>
      <c r="V91" s="734">
        <v>50</v>
      </c>
      <c r="W91" s="734">
        <v>115</v>
      </c>
      <c r="X91" s="734">
        <v>8.9999999999999993E-3</v>
      </c>
      <c r="Y91" s="734">
        <v>8.0000000000000002E-3</v>
      </c>
      <c r="Z91" s="547">
        <v>155</v>
      </c>
      <c r="AA91" s="547">
        <f t="shared" si="12"/>
        <v>1.55</v>
      </c>
      <c r="AB91" s="734">
        <v>30</v>
      </c>
      <c r="AC91" s="538"/>
      <c r="AD91" s="733" t="str">
        <f t="shared" si="14"/>
        <v>SALTO GRANDE</v>
      </c>
      <c r="AE91" s="737">
        <v>24.1</v>
      </c>
      <c r="AF91" s="737">
        <v>23.1</v>
      </c>
      <c r="AG91" s="737">
        <v>21.1</v>
      </c>
      <c r="AH91" s="737">
        <v>16.7</v>
      </c>
      <c r="AI91" s="737">
        <v>14.2</v>
      </c>
      <c r="AJ91" s="737">
        <v>10.9</v>
      </c>
      <c r="AK91" s="737">
        <v>11</v>
      </c>
      <c r="AL91" s="737">
        <v>11.8</v>
      </c>
      <c r="AM91" s="737">
        <v>14.1</v>
      </c>
      <c r="AN91" s="737">
        <v>17</v>
      </c>
      <c r="AO91" s="737">
        <v>20</v>
      </c>
      <c r="AP91" s="737">
        <v>22.5</v>
      </c>
      <c r="AQ91" s="538"/>
      <c r="AR91" s="733" t="str">
        <f t="shared" si="13"/>
        <v>ER</v>
      </c>
      <c r="AS91" s="733" t="str">
        <f t="shared" si="15"/>
        <v>SALTO GRANDE</v>
      </c>
      <c r="AT91" s="731">
        <v>6.5</v>
      </c>
      <c r="AU91" s="731">
        <v>5.5</v>
      </c>
      <c r="AV91" s="731">
        <v>5</v>
      </c>
      <c r="AW91" s="731">
        <v>3.5</v>
      </c>
      <c r="AX91" s="731">
        <v>3</v>
      </c>
      <c r="AY91" s="731">
        <v>2.5</v>
      </c>
      <c r="AZ91" s="731">
        <v>2.5</v>
      </c>
      <c r="BA91" s="731">
        <v>3</v>
      </c>
      <c r="BB91" s="731">
        <v>4</v>
      </c>
      <c r="BC91" s="731">
        <v>5.5</v>
      </c>
      <c r="BD91" s="731">
        <v>6</v>
      </c>
      <c r="BE91" s="731">
        <v>6.5</v>
      </c>
      <c r="BG91" s="733" t="str">
        <f t="shared" si="16"/>
        <v>ER</v>
      </c>
      <c r="BH91" s="733" t="str">
        <f t="shared" si="17"/>
        <v>SALTO GRANDE</v>
      </c>
      <c r="BI91" s="731">
        <v>65</v>
      </c>
      <c r="BJ91" s="731">
        <v>79</v>
      </c>
      <c r="BK91" s="731">
        <v>123</v>
      </c>
      <c r="BL91" s="731">
        <v>162</v>
      </c>
      <c r="BM91" s="731">
        <v>191</v>
      </c>
      <c r="BN91" s="731">
        <v>157</v>
      </c>
      <c r="BO91" s="731">
        <v>139</v>
      </c>
      <c r="BP91" s="731">
        <v>107</v>
      </c>
      <c r="BQ91" s="731">
        <v>72</v>
      </c>
      <c r="BR91" s="731">
        <v>68</v>
      </c>
      <c r="BS91" s="731">
        <v>84</v>
      </c>
      <c r="BT91" s="731">
        <v>92</v>
      </c>
      <c r="FQ91" s="727" t="s">
        <v>1051</v>
      </c>
      <c r="FR91" s="727">
        <v>2.52</v>
      </c>
      <c r="FS91" s="727"/>
      <c r="FT91" s="727"/>
      <c r="FU91" s="727"/>
      <c r="FV91" s="727"/>
      <c r="FW91" s="727"/>
      <c r="FX91" s="727"/>
      <c r="FY91" s="727"/>
      <c r="FZ91" s="727"/>
      <c r="GA91" s="727"/>
      <c r="GB91" s="727"/>
      <c r="GC91" s="727"/>
      <c r="GD91" s="727"/>
      <c r="GE91" s="727"/>
    </row>
    <row r="92" spans="2:187" ht="16">
      <c r="B92" s="734" t="s">
        <v>111</v>
      </c>
      <c r="C92" s="733" t="s">
        <v>115</v>
      </c>
      <c r="D92" s="539">
        <v>32.619999999999997</v>
      </c>
      <c r="E92" s="539">
        <v>60.18</v>
      </c>
      <c r="F92" s="539">
        <v>29</v>
      </c>
      <c r="G92" s="539" t="s">
        <v>23</v>
      </c>
      <c r="H92" s="539">
        <v>2.1</v>
      </c>
      <c r="I92" s="539">
        <v>1020</v>
      </c>
      <c r="J92" s="539">
        <v>22.9</v>
      </c>
      <c r="K92" s="539">
        <v>33.5</v>
      </c>
      <c r="L92" s="539">
        <v>68</v>
      </c>
      <c r="M92" s="539">
        <v>82</v>
      </c>
      <c r="N92" s="539">
        <v>68</v>
      </c>
      <c r="O92" s="539">
        <v>51</v>
      </c>
      <c r="P92" s="539">
        <v>101</v>
      </c>
      <c r="Q92" s="734">
        <v>3</v>
      </c>
      <c r="R92" s="539">
        <v>22.7</v>
      </c>
      <c r="S92" s="734">
        <v>0.53</v>
      </c>
      <c r="T92" s="734">
        <v>18.100000000000001</v>
      </c>
      <c r="U92" s="734">
        <v>14.6</v>
      </c>
      <c r="V92" s="734">
        <v>50</v>
      </c>
      <c r="W92" s="734">
        <v>115</v>
      </c>
      <c r="X92" s="734">
        <v>8.9999999999999993E-3</v>
      </c>
      <c r="Y92" s="734">
        <v>8.0000000000000002E-3</v>
      </c>
      <c r="Z92" s="547">
        <v>155</v>
      </c>
      <c r="AA92" s="547">
        <f t="shared" si="12"/>
        <v>1.55</v>
      </c>
      <c r="AB92" s="734">
        <v>30</v>
      </c>
      <c r="AC92" s="538"/>
      <c r="AD92" s="733" t="str">
        <f t="shared" si="14"/>
        <v>VICTORIA</v>
      </c>
      <c r="AE92" s="737">
        <v>25.1</v>
      </c>
      <c r="AF92" s="737">
        <v>24.1</v>
      </c>
      <c r="AG92" s="737">
        <v>22.3</v>
      </c>
      <c r="AH92" s="737">
        <v>17.3</v>
      </c>
      <c r="AI92" s="737">
        <v>15</v>
      </c>
      <c r="AJ92" s="737">
        <v>11.8</v>
      </c>
      <c r="AK92" s="737">
        <v>11.8</v>
      </c>
      <c r="AL92" s="737">
        <v>13.1</v>
      </c>
      <c r="AM92" s="737">
        <v>15</v>
      </c>
      <c r="AN92" s="737">
        <v>17.7</v>
      </c>
      <c r="AO92" s="737">
        <v>20.7</v>
      </c>
      <c r="AP92" s="737">
        <v>22.8</v>
      </c>
      <c r="AQ92" s="538"/>
      <c r="AR92" s="733" t="str">
        <f t="shared" si="13"/>
        <v>ER</v>
      </c>
      <c r="AS92" s="733" t="str">
        <f t="shared" si="15"/>
        <v>VICTORIA</v>
      </c>
      <c r="AT92" s="731">
        <v>6.5</v>
      </c>
      <c r="AU92" s="731">
        <v>5.5</v>
      </c>
      <c r="AV92" s="731">
        <v>5</v>
      </c>
      <c r="AW92" s="731">
        <v>3.5</v>
      </c>
      <c r="AX92" s="731">
        <v>2.5</v>
      </c>
      <c r="AY92" s="731">
        <v>2</v>
      </c>
      <c r="AZ92" s="731">
        <v>2</v>
      </c>
      <c r="BA92" s="731">
        <v>3</v>
      </c>
      <c r="BB92" s="731">
        <v>4</v>
      </c>
      <c r="BC92" s="731">
        <v>5.5</v>
      </c>
      <c r="BD92" s="731">
        <v>6</v>
      </c>
      <c r="BE92" s="731">
        <v>6.5</v>
      </c>
      <c r="BG92" s="733" t="str">
        <f t="shared" si="16"/>
        <v>ER</v>
      </c>
      <c r="BH92" s="733" t="str">
        <f t="shared" si="17"/>
        <v>VICTORIA</v>
      </c>
      <c r="BI92" s="731">
        <v>65</v>
      </c>
      <c r="BJ92" s="731">
        <v>79</v>
      </c>
      <c r="BK92" s="731">
        <v>123</v>
      </c>
      <c r="BL92" s="731">
        <v>162</v>
      </c>
      <c r="BM92" s="731">
        <v>191</v>
      </c>
      <c r="BN92" s="731">
        <v>157</v>
      </c>
      <c r="BO92" s="731">
        <v>139</v>
      </c>
      <c r="BP92" s="731">
        <v>107</v>
      </c>
      <c r="BQ92" s="731">
        <v>72</v>
      </c>
      <c r="BR92" s="731">
        <v>68</v>
      </c>
      <c r="BS92" s="731">
        <v>84</v>
      </c>
      <c r="BT92" s="731">
        <v>92</v>
      </c>
      <c r="FQ92" s="727" t="s">
        <v>1052</v>
      </c>
      <c r="FR92" s="727">
        <v>2.63</v>
      </c>
      <c r="FS92" s="727"/>
      <c r="FT92" s="727"/>
      <c r="FU92" s="727"/>
      <c r="FV92" s="727"/>
      <c r="FW92" s="727"/>
      <c r="FX92" s="727"/>
      <c r="FY92" s="727"/>
      <c r="FZ92" s="727"/>
      <c r="GA92" s="727"/>
      <c r="GB92" s="727"/>
      <c r="GC92" s="727"/>
      <c r="GD92" s="727"/>
      <c r="GE92" s="727"/>
    </row>
    <row r="93" spans="2:187" ht="16">
      <c r="B93" s="734" t="s">
        <v>111</v>
      </c>
      <c r="C93" s="733" t="s">
        <v>116</v>
      </c>
      <c r="D93" s="539">
        <v>31.85</v>
      </c>
      <c r="E93" s="539">
        <v>59.08</v>
      </c>
      <c r="F93" s="539">
        <v>43</v>
      </c>
      <c r="G93" s="539" t="s">
        <v>78</v>
      </c>
      <c r="H93" s="539">
        <v>0.3</v>
      </c>
      <c r="I93" s="539">
        <v>1121</v>
      </c>
      <c r="J93" s="539">
        <v>24.3</v>
      </c>
      <c r="K93" s="539">
        <v>34.4</v>
      </c>
      <c r="L93" s="539">
        <v>63</v>
      </c>
      <c r="M93" s="539">
        <v>72</v>
      </c>
      <c r="N93" s="539">
        <v>63</v>
      </c>
      <c r="O93" s="539">
        <v>29</v>
      </c>
      <c r="P93" s="539">
        <v>107</v>
      </c>
      <c r="Q93" s="734">
        <v>2</v>
      </c>
      <c r="R93" s="539">
        <v>23.7</v>
      </c>
      <c r="S93" s="734">
        <v>0.53</v>
      </c>
      <c r="T93" s="734">
        <v>18.100000000000001</v>
      </c>
      <c r="U93" s="734">
        <v>14.6</v>
      </c>
      <c r="V93" s="734">
        <v>50</v>
      </c>
      <c r="W93" s="734">
        <v>115</v>
      </c>
      <c r="X93" s="734">
        <v>8.9999999999999993E-3</v>
      </c>
      <c r="Y93" s="734">
        <v>8.0000000000000002E-3</v>
      </c>
      <c r="Z93" s="547">
        <v>155</v>
      </c>
      <c r="AA93" s="547">
        <f t="shared" si="12"/>
        <v>1.55</v>
      </c>
      <c r="AB93" s="734">
        <v>30</v>
      </c>
      <c r="AC93" s="538"/>
      <c r="AD93" s="733" t="str">
        <f t="shared" si="14"/>
        <v>VILLAGUAY</v>
      </c>
      <c r="AE93" s="737">
        <v>25.2</v>
      </c>
      <c r="AF93" s="737">
        <v>24</v>
      </c>
      <c r="AG93" s="737">
        <v>21.2</v>
      </c>
      <c r="AH93" s="737">
        <v>17.5</v>
      </c>
      <c r="AI93" s="737">
        <v>14.3</v>
      </c>
      <c r="AJ93" s="737">
        <v>11.8</v>
      </c>
      <c r="AK93" s="737">
        <v>11.3</v>
      </c>
      <c r="AL93" s="737">
        <v>12.7</v>
      </c>
      <c r="AM93" s="737">
        <v>15.2</v>
      </c>
      <c r="AN93" s="737">
        <v>17.899999999999999</v>
      </c>
      <c r="AO93" s="737">
        <v>21.4</v>
      </c>
      <c r="AP93" s="737">
        <v>23.9</v>
      </c>
      <c r="AQ93" s="538"/>
      <c r="AR93" s="733" t="str">
        <f t="shared" si="13"/>
        <v>ER</v>
      </c>
      <c r="AS93" s="733" t="str">
        <f t="shared" si="15"/>
        <v>VILLAGUAY</v>
      </c>
      <c r="AT93" s="731">
        <v>6.5</v>
      </c>
      <c r="AU93" s="731">
        <v>5.5</v>
      </c>
      <c r="AV93" s="731">
        <v>5</v>
      </c>
      <c r="AW93" s="731">
        <v>3.5</v>
      </c>
      <c r="AX93" s="731">
        <v>3</v>
      </c>
      <c r="AY93" s="731">
        <v>2</v>
      </c>
      <c r="AZ93" s="731">
        <v>2.5</v>
      </c>
      <c r="BA93" s="731">
        <v>3</v>
      </c>
      <c r="BB93" s="731">
        <v>4</v>
      </c>
      <c r="BC93" s="731">
        <v>5.5</v>
      </c>
      <c r="BD93" s="731">
        <v>6</v>
      </c>
      <c r="BE93" s="731">
        <v>6.5</v>
      </c>
      <c r="BG93" s="733" t="str">
        <f t="shared" si="16"/>
        <v>ER</v>
      </c>
      <c r="BH93" s="733" t="str">
        <f t="shared" si="17"/>
        <v>VILLAGUAY</v>
      </c>
      <c r="BI93" s="731">
        <v>65</v>
      </c>
      <c r="BJ93" s="731">
        <v>79</v>
      </c>
      <c r="BK93" s="731">
        <v>123</v>
      </c>
      <c r="BL93" s="731">
        <v>162</v>
      </c>
      <c r="BM93" s="731">
        <v>191</v>
      </c>
      <c r="BN93" s="731">
        <v>157</v>
      </c>
      <c r="BO93" s="731">
        <v>139</v>
      </c>
      <c r="BP93" s="731">
        <v>107</v>
      </c>
      <c r="BQ93" s="731">
        <v>72</v>
      </c>
      <c r="BR93" s="731">
        <v>68</v>
      </c>
      <c r="BS93" s="731">
        <v>84</v>
      </c>
      <c r="BT93" s="731">
        <v>92</v>
      </c>
      <c r="FQ93" s="727" t="s">
        <v>751</v>
      </c>
      <c r="FR93" s="727">
        <v>2.8</v>
      </c>
      <c r="FS93" s="727"/>
      <c r="FT93" s="727"/>
      <c r="FU93" s="727"/>
      <c r="FV93" s="727"/>
      <c r="FW93" s="727"/>
      <c r="FX93" s="727"/>
      <c r="FY93" s="727"/>
      <c r="FZ93" s="727"/>
      <c r="GA93" s="727"/>
      <c r="GB93" s="727"/>
      <c r="GC93" s="727"/>
      <c r="GD93" s="727"/>
      <c r="GE93" s="727"/>
    </row>
    <row r="94" spans="2:187" ht="16">
      <c r="B94" s="734" t="s">
        <v>117</v>
      </c>
      <c r="C94" s="733" t="s">
        <v>118</v>
      </c>
      <c r="D94" s="539">
        <v>26.2</v>
      </c>
      <c r="E94" s="539">
        <v>58.23</v>
      </c>
      <c r="F94" s="539">
        <v>60</v>
      </c>
      <c r="G94" s="539" t="s">
        <v>88</v>
      </c>
      <c r="H94" s="539">
        <v>5.7</v>
      </c>
      <c r="I94" s="539">
        <v>17.2</v>
      </c>
      <c r="J94" s="539">
        <v>26.6</v>
      </c>
      <c r="K94" s="539">
        <v>36.5</v>
      </c>
      <c r="L94" s="539">
        <v>71</v>
      </c>
      <c r="M94" s="539">
        <v>76</v>
      </c>
      <c r="N94" s="539">
        <v>71</v>
      </c>
      <c r="O94" s="539">
        <v>58</v>
      </c>
      <c r="P94" s="539">
        <v>159</v>
      </c>
      <c r="Q94" s="734">
        <v>1</v>
      </c>
      <c r="R94" s="539">
        <v>26.6</v>
      </c>
      <c r="S94" s="734">
        <v>0.49</v>
      </c>
      <c r="T94" s="734">
        <v>6.2</v>
      </c>
      <c r="U94" s="734">
        <v>19.7</v>
      </c>
      <c r="V94" s="734">
        <v>31</v>
      </c>
      <c r="W94" s="734">
        <v>101</v>
      </c>
      <c r="X94" s="734">
        <v>8.9999999999999993E-3</v>
      </c>
      <c r="Y94" s="734">
        <v>0.01</v>
      </c>
      <c r="Z94" s="547">
        <v>155</v>
      </c>
      <c r="AA94" s="547">
        <f t="shared" si="12"/>
        <v>1.55</v>
      </c>
      <c r="AB94" s="734">
        <v>25</v>
      </c>
      <c r="AC94" s="538"/>
      <c r="AD94" s="733" t="str">
        <f t="shared" si="14"/>
        <v>FORMOSA</v>
      </c>
      <c r="AE94" s="737">
        <v>28</v>
      </c>
      <c r="AF94" s="737">
        <v>27.2</v>
      </c>
      <c r="AG94" s="737">
        <v>26</v>
      </c>
      <c r="AH94" s="737">
        <v>22</v>
      </c>
      <c r="AI94" s="737">
        <v>19.5</v>
      </c>
      <c r="AJ94" s="737">
        <v>17.8</v>
      </c>
      <c r="AK94" s="737">
        <v>17</v>
      </c>
      <c r="AL94" s="737">
        <v>19.600000000000001</v>
      </c>
      <c r="AM94" s="737">
        <v>20.5</v>
      </c>
      <c r="AN94" s="737">
        <v>24</v>
      </c>
      <c r="AO94" s="737">
        <v>25</v>
      </c>
      <c r="AP94" s="737">
        <v>26</v>
      </c>
      <c r="AQ94" s="538"/>
      <c r="AR94" s="733" t="str">
        <f t="shared" si="13"/>
        <v>FM</v>
      </c>
      <c r="AS94" s="733" t="str">
        <f t="shared" si="15"/>
        <v>FORMOSA</v>
      </c>
      <c r="AT94" s="731">
        <v>6</v>
      </c>
      <c r="AU94" s="731">
        <v>5.5</v>
      </c>
      <c r="AV94" s="731">
        <v>4.5</v>
      </c>
      <c r="AW94" s="731">
        <v>3.5</v>
      </c>
      <c r="AX94" s="731">
        <v>3</v>
      </c>
      <c r="AY94" s="731">
        <v>2.5</v>
      </c>
      <c r="AZ94" s="731">
        <v>2.5</v>
      </c>
      <c r="BA94" s="731">
        <v>3</v>
      </c>
      <c r="BB94" s="731">
        <v>4</v>
      </c>
      <c r="BC94" s="731">
        <v>5</v>
      </c>
      <c r="BD94" s="731">
        <v>5.5</v>
      </c>
      <c r="BE94" s="731">
        <v>6.5</v>
      </c>
      <c r="BG94" s="733" t="str">
        <f t="shared" si="16"/>
        <v>FM</v>
      </c>
      <c r="BH94" s="733" t="str">
        <f t="shared" si="17"/>
        <v>FORMOSA</v>
      </c>
      <c r="BI94" s="731">
        <v>171</v>
      </c>
      <c r="BJ94" s="731">
        <v>143</v>
      </c>
      <c r="BK94" s="731">
        <v>151</v>
      </c>
      <c r="BL94" s="731">
        <v>155</v>
      </c>
      <c r="BM94" s="731">
        <v>108</v>
      </c>
      <c r="BN94" s="731">
        <v>68</v>
      </c>
      <c r="BO94" s="731">
        <v>47</v>
      </c>
      <c r="BP94" s="731">
        <v>52</v>
      </c>
      <c r="BQ94" s="731">
        <v>86</v>
      </c>
      <c r="BR94" s="731">
        <v>132</v>
      </c>
      <c r="BS94" s="731">
        <v>157</v>
      </c>
      <c r="BT94" s="731">
        <v>149</v>
      </c>
      <c r="FQ94" s="727" t="s">
        <v>1062</v>
      </c>
      <c r="FR94" s="727">
        <v>5.8</v>
      </c>
      <c r="FS94" s="727"/>
      <c r="FT94" s="727"/>
      <c r="FU94" s="727"/>
      <c r="FV94" s="727"/>
      <c r="FW94" s="727"/>
      <c r="FX94" s="727"/>
      <c r="FY94" s="727"/>
      <c r="FZ94" s="727"/>
      <c r="GA94" s="727"/>
      <c r="GB94" s="727"/>
      <c r="GC94" s="727"/>
      <c r="GD94" s="727"/>
      <c r="GE94" s="727"/>
    </row>
    <row r="95" spans="2:187" ht="16">
      <c r="B95" s="734" t="s">
        <v>117</v>
      </c>
      <c r="C95" s="733" t="s">
        <v>119</v>
      </c>
      <c r="D95" s="539">
        <v>24.7</v>
      </c>
      <c r="E95" s="539">
        <v>60.58</v>
      </c>
      <c r="F95" s="539">
        <v>130</v>
      </c>
      <c r="G95" s="539" t="s">
        <v>98</v>
      </c>
      <c r="H95" s="539">
        <v>2.4</v>
      </c>
      <c r="I95" s="539">
        <v>17.3</v>
      </c>
      <c r="J95" s="539">
        <v>27.4</v>
      </c>
      <c r="K95" s="539">
        <v>38.200000000000003</v>
      </c>
      <c r="L95" s="539">
        <v>64</v>
      </c>
      <c r="M95" s="539">
        <v>68</v>
      </c>
      <c r="N95" s="539">
        <v>64</v>
      </c>
      <c r="O95" s="539">
        <v>13</v>
      </c>
      <c r="P95" s="539">
        <v>114</v>
      </c>
      <c r="Q95" s="734">
        <v>1</v>
      </c>
      <c r="R95" s="539">
        <v>27.3</v>
      </c>
      <c r="S95" s="734">
        <v>0.47</v>
      </c>
      <c r="T95" s="734">
        <v>6.2</v>
      </c>
      <c r="U95" s="734">
        <v>19.7</v>
      </c>
      <c r="V95" s="734">
        <v>31</v>
      </c>
      <c r="W95" s="734">
        <v>101</v>
      </c>
      <c r="X95" s="734">
        <v>8.9999999999999993E-3</v>
      </c>
      <c r="Y95" s="734">
        <v>0.01</v>
      </c>
      <c r="Z95" s="547">
        <v>175</v>
      </c>
      <c r="AA95" s="547">
        <f t="shared" si="12"/>
        <v>1.75</v>
      </c>
      <c r="AB95" s="734">
        <v>25</v>
      </c>
      <c r="AC95" s="538"/>
      <c r="AD95" s="733" t="str">
        <f t="shared" si="14"/>
        <v>LAS LOMITAS</v>
      </c>
      <c r="AE95" s="737">
        <v>27.9</v>
      </c>
      <c r="AF95" s="737">
        <v>27.4</v>
      </c>
      <c r="AG95" s="737">
        <v>25.1</v>
      </c>
      <c r="AH95" s="737">
        <v>21.2</v>
      </c>
      <c r="AI95" s="737">
        <v>18.100000000000001</v>
      </c>
      <c r="AJ95" s="737">
        <v>17.600000000000001</v>
      </c>
      <c r="AK95" s="737">
        <v>16.399999999999999</v>
      </c>
      <c r="AL95" s="737">
        <v>18.899999999999999</v>
      </c>
      <c r="AM95" s="737">
        <v>21.6</v>
      </c>
      <c r="AN95" s="737">
        <v>23.7</v>
      </c>
      <c r="AO95" s="737">
        <v>25.5</v>
      </c>
      <c r="AP95" s="737">
        <v>27</v>
      </c>
      <c r="AQ95" s="538"/>
      <c r="AR95" s="733" t="str">
        <f t="shared" si="13"/>
        <v>FM</v>
      </c>
      <c r="AS95" s="733" t="str">
        <f t="shared" si="15"/>
        <v>LAS LOMITAS</v>
      </c>
      <c r="AT95" s="731">
        <v>6</v>
      </c>
      <c r="AU95" s="731">
        <v>5.5</v>
      </c>
      <c r="AV95" s="731">
        <v>4.5</v>
      </c>
      <c r="AW95" s="731">
        <v>3.5</v>
      </c>
      <c r="AX95" s="731">
        <v>3</v>
      </c>
      <c r="AY95" s="731">
        <v>2.5</v>
      </c>
      <c r="AZ95" s="731">
        <v>2.5</v>
      </c>
      <c r="BA95" s="731">
        <v>3</v>
      </c>
      <c r="BB95" s="731">
        <v>4</v>
      </c>
      <c r="BC95" s="731">
        <v>5</v>
      </c>
      <c r="BD95" s="731">
        <v>5.5</v>
      </c>
      <c r="BE95" s="731">
        <v>6</v>
      </c>
      <c r="BG95" s="733" t="str">
        <f t="shared" si="16"/>
        <v>FM</v>
      </c>
      <c r="BH95" s="733" t="str">
        <f t="shared" si="17"/>
        <v>LAS LOMITAS</v>
      </c>
      <c r="BI95" s="731">
        <v>171</v>
      </c>
      <c r="BJ95" s="731">
        <v>143</v>
      </c>
      <c r="BK95" s="731">
        <v>151</v>
      </c>
      <c r="BL95" s="731">
        <v>155</v>
      </c>
      <c r="BM95" s="731">
        <v>108</v>
      </c>
      <c r="BN95" s="731">
        <v>68</v>
      </c>
      <c r="BO95" s="731">
        <v>47</v>
      </c>
      <c r="BP95" s="731">
        <v>52</v>
      </c>
      <c r="BQ95" s="731">
        <v>86</v>
      </c>
      <c r="BR95" s="731">
        <v>132</v>
      </c>
      <c r="BS95" s="731">
        <v>157</v>
      </c>
      <c r="BT95" s="731">
        <v>149</v>
      </c>
      <c r="FQ95" s="727" t="s">
        <v>1063</v>
      </c>
      <c r="FR95" s="727">
        <v>3.3</v>
      </c>
      <c r="FS95" s="727"/>
      <c r="FT95" s="727"/>
      <c r="FU95" s="727"/>
      <c r="FV95" s="727"/>
      <c r="FW95" s="727"/>
      <c r="FX95" s="727"/>
      <c r="FY95" s="727"/>
      <c r="FZ95" s="727"/>
      <c r="GA95" s="727"/>
      <c r="GB95" s="727"/>
      <c r="GC95" s="727"/>
      <c r="GD95" s="727"/>
      <c r="GE95" s="727"/>
    </row>
    <row r="96" spans="2:187" ht="16">
      <c r="B96" s="734" t="s">
        <v>117</v>
      </c>
      <c r="C96" s="733" t="s">
        <v>120</v>
      </c>
      <c r="D96" s="539">
        <v>26.2</v>
      </c>
      <c r="E96" s="539">
        <v>58.7</v>
      </c>
      <c r="F96" s="539">
        <v>75</v>
      </c>
      <c r="G96" s="539" t="s">
        <v>98</v>
      </c>
      <c r="H96" s="539">
        <v>4.7</v>
      </c>
      <c r="I96" s="539">
        <v>17</v>
      </c>
      <c r="J96" s="539">
        <v>27</v>
      </c>
      <c r="K96" s="539">
        <v>38.1</v>
      </c>
      <c r="L96" s="539">
        <v>70</v>
      </c>
      <c r="M96" s="539">
        <v>77</v>
      </c>
      <c r="N96" s="539">
        <v>70</v>
      </c>
      <c r="O96" s="539">
        <v>39</v>
      </c>
      <c r="P96" s="539">
        <v>163</v>
      </c>
      <c r="Q96" s="734">
        <v>1</v>
      </c>
      <c r="R96" s="539">
        <v>27.1</v>
      </c>
      <c r="S96" s="734">
        <v>0.49</v>
      </c>
      <c r="T96" s="734">
        <v>6.2</v>
      </c>
      <c r="U96" s="734">
        <v>19.7</v>
      </c>
      <c r="V96" s="734">
        <v>31</v>
      </c>
      <c r="W96" s="734">
        <v>101</v>
      </c>
      <c r="X96" s="734">
        <v>8.9999999999999993E-3</v>
      </c>
      <c r="Y96" s="734">
        <v>0.01</v>
      </c>
      <c r="Z96" s="547">
        <v>155</v>
      </c>
      <c r="AA96" s="547">
        <f t="shared" si="12"/>
        <v>1.55</v>
      </c>
      <c r="AB96" s="734">
        <v>25</v>
      </c>
      <c r="AC96" s="538"/>
      <c r="AD96" s="733" t="str">
        <f t="shared" si="14"/>
        <v>SAN FRANCISCO</v>
      </c>
      <c r="AE96" s="737">
        <v>24.3</v>
      </c>
      <c r="AF96" s="737">
        <v>24</v>
      </c>
      <c r="AG96" s="737">
        <v>20.8</v>
      </c>
      <c r="AH96" s="737">
        <v>17.399999999999999</v>
      </c>
      <c r="AI96" s="737">
        <v>14.3</v>
      </c>
      <c r="AJ96" s="737">
        <v>11.3</v>
      </c>
      <c r="AK96" s="737">
        <v>10.7</v>
      </c>
      <c r="AL96" s="737">
        <v>12</v>
      </c>
      <c r="AM96" s="737">
        <v>14.7</v>
      </c>
      <c r="AN96" s="737">
        <v>17.600000000000001</v>
      </c>
      <c r="AO96" s="737">
        <v>20.8</v>
      </c>
      <c r="AP96" s="737">
        <v>23.6</v>
      </c>
      <c r="AQ96" s="538"/>
      <c r="AR96" s="733" t="str">
        <f t="shared" si="13"/>
        <v>FM</v>
      </c>
      <c r="AS96" s="733" t="str">
        <f t="shared" si="15"/>
        <v>SAN FRANCISCO</v>
      </c>
      <c r="AT96" s="731">
        <v>6</v>
      </c>
      <c r="AU96" s="731">
        <v>5.5</v>
      </c>
      <c r="AV96" s="731">
        <v>4.5</v>
      </c>
      <c r="AW96" s="731">
        <v>3.5</v>
      </c>
      <c r="AX96" s="731">
        <v>3</v>
      </c>
      <c r="AY96" s="731">
        <v>2.5</v>
      </c>
      <c r="AZ96" s="731">
        <v>2.5</v>
      </c>
      <c r="BA96" s="731">
        <v>3</v>
      </c>
      <c r="BB96" s="731">
        <v>4</v>
      </c>
      <c r="BC96" s="731">
        <v>5</v>
      </c>
      <c r="BD96" s="731">
        <v>5.5</v>
      </c>
      <c r="BE96" s="731">
        <v>6.5</v>
      </c>
      <c r="BG96" s="733" t="str">
        <f t="shared" si="16"/>
        <v>FM</v>
      </c>
      <c r="BH96" s="733" t="str">
        <f t="shared" si="17"/>
        <v>SAN FRANCISCO</v>
      </c>
      <c r="BI96" s="731">
        <v>171</v>
      </c>
      <c r="BJ96" s="731">
        <v>143</v>
      </c>
      <c r="BK96" s="731">
        <v>151</v>
      </c>
      <c r="BL96" s="731">
        <v>155</v>
      </c>
      <c r="BM96" s="731">
        <v>108</v>
      </c>
      <c r="BN96" s="731">
        <v>68</v>
      </c>
      <c r="BO96" s="731">
        <v>47</v>
      </c>
      <c r="BP96" s="731">
        <v>52</v>
      </c>
      <c r="BQ96" s="731">
        <v>86</v>
      </c>
      <c r="BR96" s="731">
        <v>132</v>
      </c>
      <c r="BS96" s="731">
        <v>157</v>
      </c>
      <c r="BT96" s="731">
        <v>149</v>
      </c>
      <c r="FQ96" s="727" t="s">
        <v>1631</v>
      </c>
      <c r="FR96" s="727">
        <v>5.7</v>
      </c>
      <c r="FS96" s="727"/>
      <c r="FT96" s="727"/>
      <c r="FU96" s="727"/>
      <c r="FV96" s="727"/>
      <c r="FW96" s="727"/>
      <c r="FX96" s="727"/>
      <c r="FY96" s="727"/>
      <c r="FZ96" s="727"/>
      <c r="GA96" s="727"/>
      <c r="GB96" s="727"/>
      <c r="GC96" s="727"/>
      <c r="GD96" s="727"/>
      <c r="GE96" s="727"/>
    </row>
    <row r="97" spans="2:187" ht="16">
      <c r="B97" s="734" t="s">
        <v>117</v>
      </c>
      <c r="C97" s="733" t="s">
        <v>121</v>
      </c>
      <c r="D97" s="539">
        <v>24.97</v>
      </c>
      <c r="E97" s="539">
        <v>58.82</v>
      </c>
      <c r="F97" s="539">
        <v>87</v>
      </c>
      <c r="G97" s="539" t="s">
        <v>98</v>
      </c>
      <c r="H97" s="539">
        <v>5.9</v>
      </c>
      <c r="I97" s="539">
        <v>18.3</v>
      </c>
      <c r="J97" s="539">
        <v>27.7</v>
      </c>
      <c r="K97" s="539">
        <v>38.200000000000003</v>
      </c>
      <c r="L97" s="539">
        <v>68</v>
      </c>
      <c r="M97" s="539">
        <v>73</v>
      </c>
      <c r="N97" s="539">
        <v>68</v>
      </c>
      <c r="O97" s="539">
        <v>32</v>
      </c>
      <c r="P97" s="539">
        <v>134</v>
      </c>
      <c r="Q97" s="734">
        <v>1</v>
      </c>
      <c r="R97" s="539">
        <v>27.8</v>
      </c>
      <c r="S97" s="734">
        <v>0.49</v>
      </c>
      <c r="T97" s="734">
        <v>6.2</v>
      </c>
      <c r="U97" s="734">
        <v>19.7</v>
      </c>
      <c r="V97" s="734">
        <v>31</v>
      </c>
      <c r="W97" s="734">
        <v>101</v>
      </c>
      <c r="X97" s="734">
        <v>8.9999999999999993E-3</v>
      </c>
      <c r="Y97" s="734">
        <v>0.01</v>
      </c>
      <c r="Z97" s="547">
        <v>165</v>
      </c>
      <c r="AA97" s="547">
        <f t="shared" si="12"/>
        <v>1.6500000000000001</v>
      </c>
      <c r="AB97" s="734">
        <v>25</v>
      </c>
      <c r="AC97" s="538"/>
      <c r="AD97" s="733" t="str">
        <f t="shared" si="14"/>
        <v>TACAAGLE</v>
      </c>
      <c r="AE97" s="737">
        <v>28.2</v>
      </c>
      <c r="AF97" s="737">
        <v>27.7</v>
      </c>
      <c r="AG97" s="737">
        <v>25.7</v>
      </c>
      <c r="AH97" s="737">
        <v>21.8</v>
      </c>
      <c r="AI97" s="737">
        <v>19.399999999999999</v>
      </c>
      <c r="AJ97" s="737">
        <v>17.7</v>
      </c>
      <c r="AK97" s="737">
        <v>17.100000000000001</v>
      </c>
      <c r="AL97" s="737">
        <v>19.2</v>
      </c>
      <c r="AM97" s="737">
        <v>21.2</v>
      </c>
      <c r="AN97" s="737">
        <v>23.4</v>
      </c>
      <c r="AO97" s="737">
        <v>25.3</v>
      </c>
      <c r="AP97" s="737">
        <v>27.3</v>
      </c>
      <c r="AQ97" s="538"/>
      <c r="AR97" s="733" t="str">
        <f t="shared" si="13"/>
        <v>FM</v>
      </c>
      <c r="AS97" s="733" t="str">
        <f t="shared" si="15"/>
        <v>TACAAGLE</v>
      </c>
      <c r="AT97" s="731">
        <v>6</v>
      </c>
      <c r="AU97" s="731">
        <v>5.5</v>
      </c>
      <c r="AV97" s="731">
        <v>4.5</v>
      </c>
      <c r="AW97" s="731">
        <v>3.5</v>
      </c>
      <c r="AX97" s="731">
        <v>3</v>
      </c>
      <c r="AY97" s="731">
        <v>2.5</v>
      </c>
      <c r="AZ97" s="731">
        <v>2.5</v>
      </c>
      <c r="BA97" s="731">
        <v>3</v>
      </c>
      <c r="BB97" s="731">
        <v>4</v>
      </c>
      <c r="BC97" s="731">
        <v>5</v>
      </c>
      <c r="BD97" s="731">
        <v>5.5</v>
      </c>
      <c r="BE97" s="731">
        <v>6.5</v>
      </c>
      <c r="BG97" s="733" t="str">
        <f t="shared" si="16"/>
        <v>FM</v>
      </c>
      <c r="BH97" s="733" t="str">
        <f t="shared" si="17"/>
        <v>TACAAGLE</v>
      </c>
      <c r="BI97" s="731">
        <v>171</v>
      </c>
      <c r="BJ97" s="731">
        <v>143</v>
      </c>
      <c r="BK97" s="731">
        <v>151</v>
      </c>
      <c r="BL97" s="731">
        <v>155</v>
      </c>
      <c r="BM97" s="731">
        <v>108</v>
      </c>
      <c r="BN97" s="731">
        <v>68</v>
      </c>
      <c r="BO97" s="731">
        <v>47</v>
      </c>
      <c r="BP97" s="731">
        <v>52</v>
      </c>
      <c r="BQ97" s="731">
        <v>86</v>
      </c>
      <c r="BR97" s="731">
        <v>132</v>
      </c>
      <c r="BS97" s="731">
        <v>157</v>
      </c>
      <c r="BT97" s="731">
        <v>149</v>
      </c>
      <c r="FQ97" s="727" t="s">
        <v>1655</v>
      </c>
      <c r="FR97" s="727">
        <v>1.8</v>
      </c>
      <c r="FS97" s="727"/>
      <c r="FT97" s="727"/>
      <c r="FU97" s="727"/>
      <c r="FV97" s="727"/>
      <c r="FW97" s="727"/>
      <c r="FX97" s="727"/>
      <c r="FY97" s="727"/>
      <c r="FZ97" s="727"/>
      <c r="GA97" s="727"/>
      <c r="GB97" s="727"/>
      <c r="GC97" s="727"/>
      <c r="GD97" s="727"/>
      <c r="GE97" s="727"/>
    </row>
    <row r="98" spans="2:187" ht="16">
      <c r="B98" s="734" t="s">
        <v>122</v>
      </c>
      <c r="C98" s="733" t="s">
        <v>123</v>
      </c>
      <c r="D98" s="539">
        <v>24.23</v>
      </c>
      <c r="E98" s="539">
        <v>65.28</v>
      </c>
      <c r="F98" s="539">
        <v>1253</v>
      </c>
      <c r="G98" s="539" t="s">
        <v>23</v>
      </c>
      <c r="H98" s="539">
        <v>-0.6</v>
      </c>
      <c r="I98" s="539">
        <v>11.5</v>
      </c>
      <c r="J98" s="539">
        <v>20.2</v>
      </c>
      <c r="K98" s="539">
        <v>30</v>
      </c>
      <c r="L98" s="539">
        <v>80</v>
      </c>
      <c r="M98" s="539">
        <v>70</v>
      </c>
      <c r="N98" s="539">
        <v>80</v>
      </c>
      <c r="O98" s="539">
        <v>4</v>
      </c>
      <c r="P98" s="539">
        <v>183</v>
      </c>
      <c r="Q98" s="734">
        <v>3</v>
      </c>
      <c r="R98" s="539">
        <v>20.8</v>
      </c>
      <c r="S98" s="734">
        <v>0.47</v>
      </c>
      <c r="T98" s="734">
        <v>7.9</v>
      </c>
      <c r="U98" s="734">
        <v>12.3</v>
      </c>
      <c r="V98" s="734">
        <v>43</v>
      </c>
      <c r="W98" s="734">
        <v>88</v>
      </c>
      <c r="X98" s="734">
        <v>8.9999999999999993E-3</v>
      </c>
      <c r="Y98" s="734">
        <v>7.0000000000000001E-3</v>
      </c>
      <c r="Z98" s="547">
        <v>105</v>
      </c>
      <c r="AA98" s="547">
        <f t="shared" si="12"/>
        <v>1.05</v>
      </c>
      <c r="AB98" s="734">
        <v>25</v>
      </c>
      <c r="AC98" s="538"/>
      <c r="AD98" s="733" t="str">
        <f t="shared" si="14"/>
        <v>ALTO DEL COMEDERO</v>
      </c>
      <c r="AE98" s="737">
        <v>21.5</v>
      </c>
      <c r="AF98" s="737">
        <v>20.7</v>
      </c>
      <c r="AG98" s="737">
        <v>19.7</v>
      </c>
      <c r="AH98" s="737">
        <v>15.9</v>
      </c>
      <c r="AI98" s="737">
        <v>14</v>
      </c>
      <c r="AJ98" s="737">
        <v>11.7</v>
      </c>
      <c r="AK98" s="737">
        <v>11.3</v>
      </c>
      <c r="AL98" s="737">
        <v>13.7</v>
      </c>
      <c r="AM98" s="737">
        <v>16.399999999999999</v>
      </c>
      <c r="AN98" s="737">
        <v>18.600000000000001</v>
      </c>
      <c r="AO98" s="737">
        <v>20.100000000000001</v>
      </c>
      <c r="AP98" s="737">
        <v>21</v>
      </c>
      <c r="AQ98" s="538"/>
      <c r="AR98" s="733" t="str">
        <f t="shared" si="13"/>
        <v>JJ</v>
      </c>
      <c r="AS98" s="733" t="str">
        <f t="shared" si="15"/>
        <v>ALTO DEL COMEDERO</v>
      </c>
      <c r="AT98" s="731">
        <v>5</v>
      </c>
      <c r="AU98" s="731">
        <v>4.5</v>
      </c>
      <c r="AV98" s="731">
        <v>4.5</v>
      </c>
      <c r="AW98" s="731">
        <v>3.5</v>
      </c>
      <c r="AX98" s="731">
        <v>3</v>
      </c>
      <c r="AY98" s="731">
        <v>3</v>
      </c>
      <c r="AZ98" s="731">
        <v>3</v>
      </c>
      <c r="BA98" s="731">
        <v>3</v>
      </c>
      <c r="BB98" s="731">
        <v>4.5</v>
      </c>
      <c r="BC98" s="731">
        <v>4.5</v>
      </c>
      <c r="BD98" s="731">
        <v>5</v>
      </c>
      <c r="BE98" s="731">
        <v>5.5</v>
      </c>
      <c r="BG98" s="733" t="str">
        <f t="shared" si="16"/>
        <v>JJ</v>
      </c>
      <c r="BH98" s="733" t="str">
        <f t="shared" si="17"/>
        <v>ALTO DEL COMEDERO</v>
      </c>
      <c r="BI98" s="731">
        <v>195</v>
      </c>
      <c r="BJ98" s="731">
        <v>186</v>
      </c>
      <c r="BK98" s="731">
        <v>125</v>
      </c>
      <c r="BL98" s="731">
        <v>35</v>
      </c>
      <c r="BM98" s="731">
        <v>13</v>
      </c>
      <c r="BN98" s="731">
        <v>13</v>
      </c>
      <c r="BO98" s="731">
        <v>9</v>
      </c>
      <c r="BP98" s="731">
        <v>7</v>
      </c>
      <c r="BQ98" s="731">
        <v>9</v>
      </c>
      <c r="BR98" s="731">
        <v>44</v>
      </c>
      <c r="BS98" s="731">
        <v>86</v>
      </c>
      <c r="BT98" s="731">
        <v>142</v>
      </c>
      <c r="FQ98" s="727" t="s">
        <v>1748</v>
      </c>
      <c r="FR98" s="727">
        <v>2.2000000000000002</v>
      </c>
      <c r="FS98" s="727"/>
      <c r="FT98" s="727"/>
      <c r="FU98" s="727"/>
      <c r="FV98" s="727"/>
      <c r="FW98" s="727"/>
      <c r="FX98" s="727"/>
      <c r="FY98" s="727"/>
      <c r="FZ98" s="727"/>
      <c r="GA98" s="727"/>
      <c r="GB98" s="727"/>
      <c r="GC98" s="727"/>
      <c r="GD98" s="727"/>
      <c r="GE98" s="727"/>
    </row>
    <row r="99" spans="2:187" ht="16">
      <c r="B99" s="734" t="s">
        <v>122</v>
      </c>
      <c r="C99" s="733" t="s">
        <v>124</v>
      </c>
      <c r="D99" s="539">
        <v>23.2</v>
      </c>
      <c r="E99" s="539">
        <v>65.37</v>
      </c>
      <c r="F99" s="539">
        <v>2980</v>
      </c>
      <c r="G99" s="539" t="s">
        <v>72</v>
      </c>
      <c r="H99" s="539">
        <v>-8.6999999999999993</v>
      </c>
      <c r="I99" s="539">
        <v>8.4</v>
      </c>
      <c r="J99" s="539">
        <v>14.8</v>
      </c>
      <c r="K99" s="539">
        <v>27.1</v>
      </c>
      <c r="L99" s="539">
        <v>63</v>
      </c>
      <c r="M99" s="539">
        <v>44</v>
      </c>
      <c r="N99" s="539">
        <v>63</v>
      </c>
      <c r="O99" s="539">
        <v>0</v>
      </c>
      <c r="P99" s="539">
        <v>41</v>
      </c>
      <c r="Q99" s="734">
        <v>4</v>
      </c>
      <c r="R99" s="539">
        <v>15.4</v>
      </c>
      <c r="S99" s="734">
        <v>0.47</v>
      </c>
      <c r="T99" s="734">
        <v>7.9</v>
      </c>
      <c r="U99" s="734">
        <v>12.3</v>
      </c>
      <c r="V99" s="734">
        <v>43</v>
      </c>
      <c r="W99" s="734">
        <v>88</v>
      </c>
      <c r="X99" s="734">
        <v>8.9999999999999993E-3</v>
      </c>
      <c r="Y99" s="734">
        <v>7.0000000000000001E-3</v>
      </c>
      <c r="Z99" s="547">
        <v>75</v>
      </c>
      <c r="AA99" s="547">
        <f t="shared" si="12"/>
        <v>0.75</v>
      </c>
      <c r="AB99" s="734">
        <v>25</v>
      </c>
      <c r="AC99" s="538"/>
      <c r="AD99" s="733" t="str">
        <f t="shared" si="14"/>
        <v>HUMAHUACA</v>
      </c>
      <c r="AE99" s="737">
        <v>16.3</v>
      </c>
      <c r="AF99" s="737">
        <v>15.6</v>
      </c>
      <c r="AG99" s="737">
        <v>14.8</v>
      </c>
      <c r="AH99" s="737">
        <v>11.6</v>
      </c>
      <c r="AI99" s="737">
        <v>8.1999999999999993</v>
      </c>
      <c r="AJ99" s="737">
        <v>5.0999999999999996</v>
      </c>
      <c r="AK99" s="737">
        <v>5.0999999999999996</v>
      </c>
      <c r="AL99" s="737">
        <v>7.8</v>
      </c>
      <c r="AM99" s="737">
        <v>11.3</v>
      </c>
      <c r="AN99" s="737">
        <v>13.5</v>
      </c>
      <c r="AO99" s="737">
        <v>15.2</v>
      </c>
      <c r="AP99" s="737">
        <v>15.6</v>
      </c>
      <c r="AQ99" s="538"/>
      <c r="AR99" s="733" t="str">
        <f t="shared" si="13"/>
        <v>JJ</v>
      </c>
      <c r="AS99" s="733" t="str">
        <f t="shared" si="15"/>
        <v>HUMAHUACA</v>
      </c>
      <c r="AT99" s="731">
        <v>5.5</v>
      </c>
      <c r="AU99" s="731">
        <v>5</v>
      </c>
      <c r="AV99" s="731">
        <v>4.5</v>
      </c>
      <c r="AW99" s="731">
        <v>3.5</v>
      </c>
      <c r="AX99" s="731">
        <v>3</v>
      </c>
      <c r="AY99" s="731">
        <v>3</v>
      </c>
      <c r="AZ99" s="731">
        <v>3</v>
      </c>
      <c r="BA99" s="731">
        <v>3</v>
      </c>
      <c r="BB99" s="731">
        <v>4.5</v>
      </c>
      <c r="BC99" s="731">
        <v>4.5</v>
      </c>
      <c r="BD99" s="731">
        <v>5</v>
      </c>
      <c r="BE99" s="731">
        <v>5.5</v>
      </c>
      <c r="BG99" s="733" t="str">
        <f t="shared" si="16"/>
        <v>JJ</v>
      </c>
      <c r="BH99" s="733" t="str">
        <f t="shared" si="17"/>
        <v>HUMAHUACA</v>
      </c>
      <c r="BI99" s="731">
        <v>195</v>
      </c>
      <c r="BJ99" s="731">
        <v>186</v>
      </c>
      <c r="BK99" s="731">
        <v>125</v>
      </c>
      <c r="BL99" s="731">
        <v>35</v>
      </c>
      <c r="BM99" s="731">
        <v>13</v>
      </c>
      <c r="BN99" s="731">
        <v>13</v>
      </c>
      <c r="BO99" s="731">
        <v>9</v>
      </c>
      <c r="BP99" s="731">
        <v>7</v>
      </c>
      <c r="BQ99" s="731">
        <v>9</v>
      </c>
      <c r="BR99" s="731">
        <v>44</v>
      </c>
      <c r="BS99" s="731">
        <v>86</v>
      </c>
      <c r="BT99" s="731">
        <v>142</v>
      </c>
      <c r="FQ99" s="1272" t="s">
        <v>2087</v>
      </c>
      <c r="FR99" s="1272"/>
      <c r="FS99" s="553"/>
      <c r="FT99" s="553"/>
      <c r="FU99" s="553"/>
      <c r="FV99" s="553"/>
      <c r="FW99" s="553"/>
      <c r="FX99" s="553"/>
      <c r="FY99" s="553"/>
      <c r="FZ99" s="553"/>
      <c r="GA99" s="553"/>
      <c r="GB99" s="553"/>
      <c r="GC99" s="553"/>
      <c r="GD99" s="553"/>
      <c r="GE99" s="727"/>
    </row>
    <row r="100" spans="2:187" ht="16">
      <c r="B100" s="734" t="s">
        <v>122</v>
      </c>
      <c r="C100" s="733" t="s">
        <v>125</v>
      </c>
      <c r="D100" s="539">
        <v>24.18</v>
      </c>
      <c r="E100" s="539">
        <v>65.3</v>
      </c>
      <c r="F100" s="539">
        <v>1303</v>
      </c>
      <c r="G100" s="539" t="s">
        <v>23</v>
      </c>
      <c r="H100" s="539">
        <v>-1.5</v>
      </c>
      <c r="I100" s="539">
        <v>11.4</v>
      </c>
      <c r="J100" s="539">
        <v>21</v>
      </c>
      <c r="K100" s="539">
        <v>31.2</v>
      </c>
      <c r="L100" s="539">
        <v>78</v>
      </c>
      <c r="M100" s="539">
        <v>71</v>
      </c>
      <c r="N100" s="539">
        <v>78</v>
      </c>
      <c r="O100" s="539">
        <v>7</v>
      </c>
      <c r="P100" s="539">
        <v>167</v>
      </c>
      <c r="Q100" s="734">
        <v>3</v>
      </c>
      <c r="R100" s="539">
        <v>21</v>
      </c>
      <c r="S100" s="734">
        <v>0.47</v>
      </c>
      <c r="T100" s="734">
        <v>7.9</v>
      </c>
      <c r="U100" s="734">
        <v>12.3</v>
      </c>
      <c r="V100" s="734">
        <v>43</v>
      </c>
      <c r="W100" s="734">
        <v>88</v>
      </c>
      <c r="X100" s="734">
        <v>8.9999999999999993E-3</v>
      </c>
      <c r="Y100" s="734">
        <v>7.0000000000000001E-3</v>
      </c>
      <c r="Z100" s="547">
        <v>105</v>
      </c>
      <c r="AA100" s="547">
        <f t="shared" si="12"/>
        <v>1.05</v>
      </c>
      <c r="AB100" s="734">
        <v>25</v>
      </c>
      <c r="AC100" s="538"/>
      <c r="AD100" s="733" t="str">
        <f t="shared" si="14"/>
        <v>JUJUY</v>
      </c>
      <c r="AE100" s="737">
        <v>21.5</v>
      </c>
      <c r="AF100" s="737">
        <v>20.7</v>
      </c>
      <c r="AG100" s="737">
        <v>19.7</v>
      </c>
      <c r="AH100" s="737">
        <v>15.9</v>
      </c>
      <c r="AI100" s="737">
        <v>14</v>
      </c>
      <c r="AJ100" s="737">
        <v>11.7</v>
      </c>
      <c r="AK100" s="737">
        <v>11.3</v>
      </c>
      <c r="AL100" s="737">
        <v>13.7</v>
      </c>
      <c r="AM100" s="737">
        <v>16.399999999999999</v>
      </c>
      <c r="AN100" s="737">
        <v>18.600000000000001</v>
      </c>
      <c r="AO100" s="737">
        <v>20.100000000000001</v>
      </c>
      <c r="AP100" s="737">
        <v>21</v>
      </c>
      <c r="AQ100" s="538"/>
      <c r="AR100" s="733" t="str">
        <f t="shared" si="13"/>
        <v>JJ</v>
      </c>
      <c r="AS100" s="733" t="str">
        <f t="shared" si="15"/>
        <v>JUJUY</v>
      </c>
      <c r="AT100" s="731">
        <v>5</v>
      </c>
      <c r="AU100" s="731">
        <v>4.5</v>
      </c>
      <c r="AV100" s="731">
        <v>4.5</v>
      </c>
      <c r="AW100" s="731">
        <v>3.5</v>
      </c>
      <c r="AX100" s="731">
        <v>3</v>
      </c>
      <c r="AY100" s="731">
        <v>3</v>
      </c>
      <c r="AZ100" s="731">
        <v>3</v>
      </c>
      <c r="BA100" s="731">
        <v>3</v>
      </c>
      <c r="BB100" s="731">
        <v>4.5</v>
      </c>
      <c r="BC100" s="731">
        <v>4.5</v>
      </c>
      <c r="BD100" s="731">
        <v>5</v>
      </c>
      <c r="BE100" s="731">
        <v>5.5</v>
      </c>
      <c r="BG100" s="733" t="str">
        <f t="shared" si="16"/>
        <v>JJ</v>
      </c>
      <c r="BH100" s="733" t="str">
        <f t="shared" si="17"/>
        <v>JUJUY</v>
      </c>
      <c r="BI100" s="731">
        <v>195</v>
      </c>
      <c r="BJ100" s="731">
        <v>186</v>
      </c>
      <c r="BK100" s="731">
        <v>125</v>
      </c>
      <c r="BL100" s="731">
        <v>35</v>
      </c>
      <c r="BM100" s="731">
        <v>13</v>
      </c>
      <c r="BN100" s="731">
        <v>13</v>
      </c>
      <c r="BO100" s="731">
        <v>9</v>
      </c>
      <c r="BP100" s="731">
        <v>7</v>
      </c>
      <c r="BQ100" s="731">
        <v>9</v>
      </c>
      <c r="BR100" s="731">
        <v>44</v>
      </c>
      <c r="BS100" s="731">
        <v>86</v>
      </c>
      <c r="BT100" s="731">
        <v>142</v>
      </c>
      <c r="FQ100" s="727"/>
      <c r="FR100" s="727"/>
      <c r="FS100" s="727"/>
      <c r="FT100" s="727"/>
      <c r="FU100" s="727"/>
      <c r="FV100" s="727"/>
      <c r="FW100" s="727"/>
      <c r="FX100" s="727"/>
      <c r="FY100" s="727"/>
      <c r="FZ100" s="727"/>
      <c r="GA100" s="727"/>
      <c r="GB100" s="727"/>
      <c r="GC100" s="727"/>
      <c r="GD100" s="727"/>
      <c r="GE100" s="727"/>
    </row>
    <row r="101" spans="2:187" ht="16">
      <c r="B101" s="734" t="s">
        <v>122</v>
      </c>
      <c r="C101" s="733" t="s">
        <v>126</v>
      </c>
      <c r="D101" s="539">
        <v>24.38</v>
      </c>
      <c r="E101" s="539">
        <v>65.08</v>
      </c>
      <c r="F101" s="539">
        <v>905</v>
      </c>
      <c r="G101" s="539" t="s">
        <v>23</v>
      </c>
      <c r="H101" s="539">
        <v>0.2</v>
      </c>
      <c r="I101" s="539">
        <v>13.3</v>
      </c>
      <c r="J101" s="539">
        <v>23.6</v>
      </c>
      <c r="K101" s="539">
        <v>34</v>
      </c>
      <c r="L101" s="539">
        <v>68</v>
      </c>
      <c r="M101" s="539">
        <v>63</v>
      </c>
      <c r="N101" s="539">
        <v>68</v>
      </c>
      <c r="O101" s="539">
        <v>2</v>
      </c>
      <c r="P101" s="539">
        <v>122</v>
      </c>
      <c r="Q101" s="734">
        <v>3</v>
      </c>
      <c r="R101" s="539">
        <v>23.6</v>
      </c>
      <c r="S101" s="734">
        <v>0.47</v>
      </c>
      <c r="T101" s="734">
        <v>7.9</v>
      </c>
      <c r="U101" s="734">
        <v>12.3</v>
      </c>
      <c r="V101" s="734">
        <v>43</v>
      </c>
      <c r="W101" s="734">
        <v>88</v>
      </c>
      <c r="X101" s="734">
        <v>8.9999999999999993E-3</v>
      </c>
      <c r="Y101" s="734">
        <v>7.0000000000000001E-3</v>
      </c>
      <c r="Z101" s="547">
        <v>105</v>
      </c>
      <c r="AA101" s="547">
        <f t="shared" si="12"/>
        <v>1.05</v>
      </c>
      <c r="AB101" s="734">
        <v>25</v>
      </c>
      <c r="AC101" s="538"/>
      <c r="AD101" s="733" t="str">
        <f t="shared" si="14"/>
        <v>JUJUY EL CADILLAL</v>
      </c>
      <c r="AE101" s="737">
        <v>24.2</v>
      </c>
      <c r="AF101" s="737">
        <v>23.4</v>
      </c>
      <c r="AG101" s="737">
        <v>21.5</v>
      </c>
      <c r="AH101" s="737">
        <v>18.100000000000001</v>
      </c>
      <c r="AI101" s="737">
        <v>15.4</v>
      </c>
      <c r="AJ101" s="737">
        <v>12.3</v>
      </c>
      <c r="AK101" s="737">
        <v>12.9</v>
      </c>
      <c r="AL101" s="737">
        <v>14.5</v>
      </c>
      <c r="AM101" s="737">
        <v>17.3</v>
      </c>
      <c r="AN101" s="737">
        <v>19.7</v>
      </c>
      <c r="AO101" s="737">
        <v>22.3</v>
      </c>
      <c r="AP101" s="737">
        <v>23.7</v>
      </c>
      <c r="AQ101" s="538"/>
      <c r="AR101" s="733" t="str">
        <f t="shared" si="13"/>
        <v>JJ</v>
      </c>
      <c r="AS101" s="733" t="str">
        <f t="shared" si="15"/>
        <v>JUJUY EL CADILLAL</v>
      </c>
      <c r="AT101" s="731">
        <v>5</v>
      </c>
      <c r="AU101" s="731">
        <v>4.5</v>
      </c>
      <c r="AV101" s="731">
        <v>4.5</v>
      </c>
      <c r="AW101" s="731">
        <v>3.5</v>
      </c>
      <c r="AX101" s="731">
        <v>3</v>
      </c>
      <c r="AY101" s="731">
        <v>3</v>
      </c>
      <c r="AZ101" s="731">
        <v>3</v>
      </c>
      <c r="BA101" s="731">
        <v>3</v>
      </c>
      <c r="BB101" s="731">
        <v>4.5</v>
      </c>
      <c r="BC101" s="731">
        <v>4.5</v>
      </c>
      <c r="BD101" s="731">
        <v>5</v>
      </c>
      <c r="BE101" s="731">
        <v>5.5</v>
      </c>
      <c r="BG101" s="733" t="str">
        <f t="shared" si="16"/>
        <v>JJ</v>
      </c>
      <c r="BH101" s="733" t="str">
        <f t="shared" si="17"/>
        <v>JUJUY EL CADILLAL</v>
      </c>
      <c r="BI101" s="731">
        <v>195</v>
      </c>
      <c r="BJ101" s="731">
        <v>186</v>
      </c>
      <c r="BK101" s="731">
        <v>125</v>
      </c>
      <c r="BL101" s="731">
        <v>35</v>
      </c>
      <c r="BM101" s="731">
        <v>13</v>
      </c>
      <c r="BN101" s="731">
        <v>13</v>
      </c>
      <c r="BO101" s="731">
        <v>9</v>
      </c>
      <c r="BP101" s="731">
        <v>7</v>
      </c>
      <c r="BQ101" s="731">
        <v>9</v>
      </c>
      <c r="BR101" s="731">
        <v>44</v>
      </c>
      <c r="BS101" s="731">
        <v>86</v>
      </c>
      <c r="BT101" s="731">
        <v>142</v>
      </c>
      <c r="FQ101" s="727"/>
      <c r="FR101" s="727"/>
      <c r="FS101" s="727"/>
      <c r="FT101" s="727"/>
      <c r="FU101" s="727"/>
      <c r="FV101" s="727"/>
      <c r="FW101" s="727"/>
      <c r="FX101" s="727"/>
      <c r="FY101" s="727"/>
      <c r="FZ101" s="727"/>
      <c r="GA101" s="727"/>
      <c r="GB101" s="727"/>
      <c r="GC101" s="727"/>
      <c r="GD101" s="727"/>
      <c r="GE101" s="727"/>
    </row>
    <row r="102" spans="2:187" ht="16">
      <c r="B102" s="734" t="s">
        <v>122</v>
      </c>
      <c r="C102" s="733" t="s">
        <v>127</v>
      </c>
      <c r="D102" s="539">
        <v>22.1</v>
      </c>
      <c r="E102" s="539">
        <v>65.599999999999994</v>
      </c>
      <c r="F102" s="539">
        <v>3459</v>
      </c>
      <c r="G102" s="539" t="s">
        <v>106</v>
      </c>
      <c r="H102" s="539">
        <v>-10.7</v>
      </c>
      <c r="I102" s="539">
        <v>4.7</v>
      </c>
      <c r="J102" s="539">
        <v>12.4</v>
      </c>
      <c r="K102" s="539">
        <v>23.9</v>
      </c>
      <c r="L102" s="539">
        <v>63</v>
      </c>
      <c r="M102" s="539">
        <v>29</v>
      </c>
      <c r="N102" s="539">
        <v>63</v>
      </c>
      <c r="O102" s="539">
        <v>0</v>
      </c>
      <c r="P102" s="539">
        <v>70</v>
      </c>
      <c r="Q102" s="734">
        <v>5</v>
      </c>
      <c r="R102" s="539">
        <v>13.1</v>
      </c>
      <c r="S102" s="734">
        <v>0.47</v>
      </c>
      <c r="T102" s="734">
        <v>7.9</v>
      </c>
      <c r="U102" s="734">
        <v>12.3</v>
      </c>
      <c r="V102" s="734">
        <v>43</v>
      </c>
      <c r="W102" s="734">
        <v>88</v>
      </c>
      <c r="X102" s="734">
        <v>8.9999999999999993E-3</v>
      </c>
      <c r="Y102" s="734">
        <v>7.0000000000000001E-3</v>
      </c>
      <c r="Z102" s="547">
        <v>75</v>
      </c>
      <c r="AA102" s="547">
        <f t="shared" si="12"/>
        <v>0.75</v>
      </c>
      <c r="AB102" s="734">
        <v>25</v>
      </c>
      <c r="AC102" s="538"/>
      <c r="AD102" s="733" t="str">
        <f t="shared" si="14"/>
        <v>LA QUIACA</v>
      </c>
      <c r="AE102" s="737">
        <v>12.7</v>
      </c>
      <c r="AF102" s="737">
        <v>12.5</v>
      </c>
      <c r="AG102" s="737">
        <v>12</v>
      </c>
      <c r="AH102" s="737">
        <v>10.4</v>
      </c>
      <c r="AI102" s="737">
        <v>7</v>
      </c>
      <c r="AJ102" s="737">
        <v>4.3</v>
      </c>
      <c r="AK102" s="737">
        <v>3.7</v>
      </c>
      <c r="AL102" s="737">
        <v>6</v>
      </c>
      <c r="AM102" s="737">
        <v>8.9</v>
      </c>
      <c r="AN102" s="737">
        <v>10.9</v>
      </c>
      <c r="AO102" s="737">
        <v>12</v>
      </c>
      <c r="AP102" s="737">
        <v>12.1</v>
      </c>
      <c r="AQ102" s="538"/>
      <c r="AR102" s="733" t="str">
        <f t="shared" si="13"/>
        <v>JJ</v>
      </c>
      <c r="AS102" s="733" t="str">
        <f t="shared" si="15"/>
        <v>LA QUIACA</v>
      </c>
      <c r="AT102" s="731">
        <v>6</v>
      </c>
      <c r="AU102" s="731">
        <v>5.5</v>
      </c>
      <c r="AV102" s="731">
        <v>5</v>
      </c>
      <c r="AW102" s="731">
        <v>5.5</v>
      </c>
      <c r="AX102" s="731">
        <v>4.5</v>
      </c>
      <c r="AY102" s="731">
        <v>4.5</v>
      </c>
      <c r="AZ102" s="731">
        <v>4</v>
      </c>
      <c r="BA102" s="731">
        <v>5</v>
      </c>
      <c r="BB102" s="731">
        <v>5</v>
      </c>
      <c r="BC102" s="731">
        <v>6.5</v>
      </c>
      <c r="BD102" s="731">
        <v>5.5</v>
      </c>
      <c r="BE102" s="731">
        <v>6.5</v>
      </c>
      <c r="BG102" s="733" t="str">
        <f t="shared" si="16"/>
        <v>JJ</v>
      </c>
      <c r="BH102" s="733" t="str">
        <f t="shared" si="17"/>
        <v>LA QUIACA</v>
      </c>
      <c r="BI102" s="731">
        <v>195</v>
      </c>
      <c r="BJ102" s="731">
        <v>186</v>
      </c>
      <c r="BK102" s="731">
        <v>125</v>
      </c>
      <c r="BL102" s="731">
        <v>35</v>
      </c>
      <c r="BM102" s="731">
        <v>13</v>
      </c>
      <c r="BN102" s="731">
        <v>13</v>
      </c>
      <c r="BO102" s="731">
        <v>9</v>
      </c>
      <c r="BP102" s="731">
        <v>7</v>
      </c>
      <c r="BQ102" s="731">
        <v>9</v>
      </c>
      <c r="BR102" s="731">
        <v>44</v>
      </c>
      <c r="BS102" s="731">
        <v>86</v>
      </c>
      <c r="BT102" s="731">
        <v>142</v>
      </c>
      <c r="FQ102" s="727"/>
      <c r="FR102" s="727"/>
      <c r="FS102" s="727"/>
      <c r="FT102" s="727"/>
      <c r="FU102" s="727"/>
      <c r="FV102" s="727"/>
      <c r="FW102" s="727"/>
      <c r="FX102" s="727"/>
      <c r="FY102" s="727"/>
      <c r="FZ102" s="727"/>
      <c r="GA102" s="727"/>
      <c r="GB102" s="727"/>
      <c r="GC102" s="727"/>
      <c r="GD102" s="727"/>
      <c r="GE102" s="727"/>
    </row>
    <row r="103" spans="2:187" ht="16">
      <c r="B103" s="734" t="s">
        <v>128</v>
      </c>
      <c r="C103" s="733" t="s">
        <v>129</v>
      </c>
      <c r="D103" s="539">
        <v>35.700000000000003</v>
      </c>
      <c r="E103" s="539">
        <v>63.75</v>
      </c>
      <c r="F103" s="539">
        <v>141</v>
      </c>
      <c r="G103" s="539" t="s">
        <v>42</v>
      </c>
      <c r="H103" s="539">
        <v>-4</v>
      </c>
      <c r="I103" s="539">
        <v>8.9</v>
      </c>
      <c r="J103" s="539">
        <v>23.4</v>
      </c>
      <c r="K103" s="539">
        <v>34.4</v>
      </c>
      <c r="L103" s="539">
        <v>56</v>
      </c>
      <c r="M103" s="539">
        <v>74</v>
      </c>
      <c r="N103" s="539">
        <v>54</v>
      </c>
      <c r="O103" s="539">
        <v>15</v>
      </c>
      <c r="P103" s="539">
        <v>78</v>
      </c>
      <c r="Q103" s="734">
        <v>3</v>
      </c>
      <c r="R103" s="539">
        <v>22.5</v>
      </c>
      <c r="S103" s="734">
        <v>0.55000000000000004</v>
      </c>
      <c r="T103" s="734">
        <v>36.9</v>
      </c>
      <c r="U103" s="734">
        <v>3.4</v>
      </c>
      <c r="V103" s="734">
        <v>185</v>
      </c>
      <c r="W103" s="734">
        <v>41</v>
      </c>
      <c r="X103" s="734">
        <v>1.4E-2</v>
      </c>
      <c r="Y103" s="734">
        <v>1.9E-2</v>
      </c>
      <c r="Z103" s="547">
        <v>130</v>
      </c>
      <c r="AA103" s="547">
        <f t="shared" si="12"/>
        <v>1.3</v>
      </c>
      <c r="AB103" s="734">
        <v>35</v>
      </c>
      <c r="AC103" s="538"/>
      <c r="AD103" s="733" t="str">
        <f t="shared" si="14"/>
        <v>GENERAL PICO</v>
      </c>
      <c r="AE103" s="737">
        <v>24.3</v>
      </c>
      <c r="AF103" s="737">
        <v>23.2</v>
      </c>
      <c r="AG103" s="737">
        <v>19.7</v>
      </c>
      <c r="AH103" s="737">
        <v>15.5</v>
      </c>
      <c r="AI103" s="737">
        <v>11.7</v>
      </c>
      <c r="AJ103" s="737">
        <v>8.1</v>
      </c>
      <c r="AK103" s="737">
        <v>8</v>
      </c>
      <c r="AL103" s="737">
        <v>9.6</v>
      </c>
      <c r="AM103" s="737">
        <v>12.6</v>
      </c>
      <c r="AN103" s="737">
        <v>16</v>
      </c>
      <c r="AO103" s="737">
        <v>19.899999999999999</v>
      </c>
      <c r="AP103" s="737">
        <v>23.1</v>
      </c>
      <c r="AQ103" s="538"/>
      <c r="AR103" s="733" t="str">
        <f t="shared" si="13"/>
        <v>LP</v>
      </c>
      <c r="AS103" s="733" t="str">
        <f t="shared" si="15"/>
        <v>GENERAL PICO</v>
      </c>
      <c r="AT103" s="731">
        <v>6.5</v>
      </c>
      <c r="AU103" s="731">
        <v>6</v>
      </c>
      <c r="AV103" s="731">
        <v>4.5</v>
      </c>
      <c r="AW103" s="731">
        <v>3</v>
      </c>
      <c r="AX103" s="731">
        <v>2.5</v>
      </c>
      <c r="AY103" s="731">
        <v>1.5</v>
      </c>
      <c r="AZ103" s="731">
        <v>2</v>
      </c>
      <c r="BA103" s="731">
        <v>3</v>
      </c>
      <c r="BB103" s="731">
        <v>4</v>
      </c>
      <c r="BC103" s="731">
        <v>5</v>
      </c>
      <c r="BD103" s="731">
        <v>6</v>
      </c>
      <c r="BE103" s="731">
        <v>6.5</v>
      </c>
      <c r="BG103" s="733" t="str">
        <f t="shared" si="16"/>
        <v>LP</v>
      </c>
      <c r="BH103" s="733" t="str">
        <f t="shared" si="17"/>
        <v>GENERAL PICO</v>
      </c>
      <c r="BI103" s="731">
        <v>4</v>
      </c>
      <c r="BJ103" s="731">
        <v>6</v>
      </c>
      <c r="BK103" s="731">
        <v>8</v>
      </c>
      <c r="BL103" s="731">
        <v>41</v>
      </c>
      <c r="BM103" s="731">
        <v>126</v>
      </c>
      <c r="BN103" s="731">
        <v>154</v>
      </c>
      <c r="BO103" s="731">
        <v>133</v>
      </c>
      <c r="BP103" s="731">
        <v>99</v>
      </c>
      <c r="BQ103" s="731">
        <v>53</v>
      </c>
      <c r="BR103" s="731">
        <v>26</v>
      </c>
      <c r="BS103" s="731">
        <v>15</v>
      </c>
      <c r="BT103" s="731">
        <v>8</v>
      </c>
      <c r="FQ103" s="727"/>
      <c r="FR103" s="727"/>
      <c r="FS103" s="727"/>
      <c r="FT103" s="727"/>
      <c r="FU103" s="727"/>
      <c r="FV103" s="727"/>
      <c r="FW103" s="727"/>
      <c r="FX103" s="727"/>
      <c r="FY103" s="727"/>
      <c r="FZ103" s="727"/>
      <c r="GA103" s="727"/>
      <c r="GB103" s="727"/>
      <c r="GC103" s="727"/>
      <c r="GD103" s="727"/>
      <c r="GE103" s="727"/>
    </row>
    <row r="104" spans="2:187" ht="16">
      <c r="B104" s="734" t="s">
        <v>128</v>
      </c>
      <c r="C104" s="733" t="s">
        <v>130</v>
      </c>
      <c r="D104" s="539">
        <v>37.630000000000003</v>
      </c>
      <c r="E104" s="539">
        <v>63.57</v>
      </c>
      <c r="F104" s="539">
        <v>175</v>
      </c>
      <c r="G104" s="539" t="s">
        <v>38</v>
      </c>
      <c r="H104" s="539">
        <v>-3.5</v>
      </c>
      <c r="I104" s="539">
        <v>8.4</v>
      </c>
      <c r="J104" s="539">
        <v>21.9</v>
      </c>
      <c r="K104" s="539">
        <v>33.200000000000003</v>
      </c>
      <c r="L104" s="539">
        <v>55</v>
      </c>
      <c r="M104" s="539">
        <v>52</v>
      </c>
      <c r="N104" s="539">
        <v>55</v>
      </c>
      <c r="O104" s="539">
        <v>19</v>
      </c>
      <c r="P104" s="539">
        <v>68</v>
      </c>
      <c r="Q104" s="734">
        <v>4</v>
      </c>
      <c r="R104" s="539">
        <v>21.4</v>
      </c>
      <c r="S104" s="734">
        <v>0.55000000000000004</v>
      </c>
      <c r="T104" s="734">
        <v>36.9</v>
      </c>
      <c r="U104" s="734">
        <v>3.4</v>
      </c>
      <c r="V104" s="734">
        <v>185</v>
      </c>
      <c r="W104" s="734">
        <v>41</v>
      </c>
      <c r="X104" s="734">
        <v>1.4E-2</v>
      </c>
      <c r="Y104" s="734">
        <v>1.9E-2</v>
      </c>
      <c r="Z104" s="547">
        <v>130</v>
      </c>
      <c r="AA104" s="547">
        <f t="shared" si="12"/>
        <v>1.3</v>
      </c>
      <c r="AB104" s="734">
        <v>35</v>
      </c>
      <c r="AC104" s="538"/>
      <c r="AD104" s="733" t="str">
        <f t="shared" si="14"/>
        <v>GUATRACHE</v>
      </c>
      <c r="AE104" s="737">
        <v>23.1</v>
      </c>
      <c r="AF104" s="737">
        <v>22.3</v>
      </c>
      <c r="AG104" s="737">
        <v>19</v>
      </c>
      <c r="AH104" s="737">
        <v>14.1</v>
      </c>
      <c r="AI104" s="737">
        <v>10.5</v>
      </c>
      <c r="AJ104" s="737">
        <v>7.3</v>
      </c>
      <c r="AK104" s="737">
        <v>6.7</v>
      </c>
      <c r="AL104" s="737">
        <v>8.8000000000000007</v>
      </c>
      <c r="AM104" s="737">
        <v>10.9</v>
      </c>
      <c r="AN104" s="737">
        <v>13.9</v>
      </c>
      <c r="AO104" s="737">
        <v>18.399999999999999</v>
      </c>
      <c r="AP104" s="737">
        <v>21.4</v>
      </c>
      <c r="AQ104" s="538"/>
      <c r="AR104" s="733" t="str">
        <f t="shared" si="13"/>
        <v>LP</v>
      </c>
      <c r="AS104" s="733" t="str">
        <f t="shared" si="15"/>
        <v>GUATRACHE</v>
      </c>
      <c r="AT104" s="731">
        <v>6.5</v>
      </c>
      <c r="AU104" s="731">
        <v>6</v>
      </c>
      <c r="AV104" s="731">
        <v>4.5</v>
      </c>
      <c r="AW104" s="731">
        <v>3</v>
      </c>
      <c r="AX104" s="731">
        <v>2</v>
      </c>
      <c r="AY104" s="731">
        <v>1.5</v>
      </c>
      <c r="AZ104" s="731">
        <v>2</v>
      </c>
      <c r="BA104" s="731">
        <v>2.5</v>
      </c>
      <c r="BB104" s="731">
        <v>3.5</v>
      </c>
      <c r="BC104" s="731">
        <v>5</v>
      </c>
      <c r="BD104" s="731">
        <v>6</v>
      </c>
      <c r="BE104" s="731">
        <v>7</v>
      </c>
      <c r="BG104" s="733" t="str">
        <f t="shared" si="16"/>
        <v>LP</v>
      </c>
      <c r="BH104" s="733" t="str">
        <f t="shared" si="17"/>
        <v>GUATRACHE</v>
      </c>
      <c r="BI104" s="731">
        <v>4</v>
      </c>
      <c r="BJ104" s="731">
        <v>6</v>
      </c>
      <c r="BK104" s="731">
        <v>8</v>
      </c>
      <c r="BL104" s="731">
        <v>41</v>
      </c>
      <c r="BM104" s="731">
        <v>126</v>
      </c>
      <c r="BN104" s="731">
        <v>154</v>
      </c>
      <c r="BO104" s="731">
        <v>133</v>
      </c>
      <c r="BP104" s="731">
        <v>99</v>
      </c>
      <c r="BQ104" s="731">
        <v>53</v>
      </c>
      <c r="BR104" s="731">
        <v>26</v>
      </c>
      <c r="BS104" s="731">
        <v>15</v>
      </c>
      <c r="BT104" s="731">
        <v>8</v>
      </c>
      <c r="FQ104" s="727"/>
      <c r="FR104" s="727"/>
      <c r="FS104" s="727"/>
      <c r="FT104" s="727"/>
      <c r="FU104" s="727"/>
      <c r="FV104" s="727"/>
      <c r="FW104" s="727"/>
      <c r="FX104" s="727"/>
      <c r="FY104" s="727"/>
      <c r="FZ104" s="727"/>
      <c r="GA104" s="727"/>
      <c r="GB104" s="727"/>
      <c r="GC104" s="727"/>
      <c r="GD104" s="727"/>
      <c r="GE104" s="727"/>
    </row>
    <row r="105" spans="2:187" ht="16">
      <c r="B105" s="734" t="s">
        <v>128</v>
      </c>
      <c r="C105" s="733" t="s">
        <v>131</v>
      </c>
      <c r="D105" s="539">
        <v>37.130000000000003</v>
      </c>
      <c r="E105" s="539">
        <v>63.68</v>
      </c>
      <c r="F105" s="539">
        <v>142</v>
      </c>
      <c r="G105" s="539" t="s">
        <v>38</v>
      </c>
      <c r="H105" s="539">
        <v>-4.0999999999999996</v>
      </c>
      <c r="I105" s="539">
        <v>8.1999999999999993</v>
      </c>
      <c r="J105" s="539">
        <v>22.5</v>
      </c>
      <c r="K105" s="539">
        <v>34.299999999999997</v>
      </c>
      <c r="L105" s="539">
        <v>54</v>
      </c>
      <c r="M105" s="539">
        <v>71</v>
      </c>
      <c r="N105" s="539">
        <v>54</v>
      </c>
      <c r="O105" s="539">
        <v>19</v>
      </c>
      <c r="P105" s="539">
        <v>70</v>
      </c>
      <c r="Q105" s="734">
        <v>4</v>
      </c>
      <c r="R105" s="539">
        <v>21.9</v>
      </c>
      <c r="S105" s="734">
        <v>0.55000000000000004</v>
      </c>
      <c r="T105" s="734">
        <v>36.9</v>
      </c>
      <c r="U105" s="734">
        <v>3.4</v>
      </c>
      <c r="V105" s="734">
        <v>185</v>
      </c>
      <c r="W105" s="734">
        <v>41</v>
      </c>
      <c r="X105" s="734">
        <v>1.4E-2</v>
      </c>
      <c r="Y105" s="734">
        <v>1.9E-2</v>
      </c>
      <c r="Z105" s="547">
        <v>130</v>
      </c>
      <c r="AA105" s="547">
        <f t="shared" si="12"/>
        <v>1.3</v>
      </c>
      <c r="AB105" s="734">
        <v>35</v>
      </c>
      <c r="AC105" s="538"/>
      <c r="AD105" s="733" t="str">
        <f t="shared" si="14"/>
        <v>MACACHIN</v>
      </c>
      <c r="AE105" s="737">
        <v>23.6</v>
      </c>
      <c r="AF105" s="737">
        <v>22.4</v>
      </c>
      <c r="AG105" s="737">
        <v>19</v>
      </c>
      <c r="AH105" s="737">
        <v>14.4</v>
      </c>
      <c r="AI105" s="737">
        <v>10.5</v>
      </c>
      <c r="AJ105" s="737">
        <v>7.5</v>
      </c>
      <c r="AK105" s="737">
        <v>7.2</v>
      </c>
      <c r="AL105" s="737">
        <v>8.6</v>
      </c>
      <c r="AM105" s="737">
        <v>11.4</v>
      </c>
      <c r="AN105" s="737">
        <v>15</v>
      </c>
      <c r="AO105" s="737">
        <v>19.2</v>
      </c>
      <c r="AP105" s="737">
        <v>22.1</v>
      </c>
      <c r="AQ105" s="538"/>
      <c r="AR105" s="733" t="str">
        <f t="shared" si="13"/>
        <v>LP</v>
      </c>
      <c r="AS105" s="733" t="str">
        <f t="shared" si="15"/>
        <v>MACACHIN</v>
      </c>
      <c r="AT105" s="731">
        <v>6.5</v>
      </c>
      <c r="AU105" s="731">
        <v>6</v>
      </c>
      <c r="AV105" s="731">
        <v>4.5</v>
      </c>
      <c r="AW105" s="731">
        <v>3</v>
      </c>
      <c r="AX105" s="731">
        <v>2</v>
      </c>
      <c r="AY105" s="731">
        <v>1.5</v>
      </c>
      <c r="AZ105" s="731">
        <v>2</v>
      </c>
      <c r="BA105" s="731">
        <v>2.5</v>
      </c>
      <c r="BB105" s="731">
        <v>4</v>
      </c>
      <c r="BC105" s="731">
        <v>5</v>
      </c>
      <c r="BD105" s="731">
        <v>6</v>
      </c>
      <c r="BE105" s="731">
        <v>7</v>
      </c>
      <c r="BG105" s="733" t="str">
        <f t="shared" si="16"/>
        <v>LP</v>
      </c>
      <c r="BH105" s="733" t="str">
        <f t="shared" si="17"/>
        <v>MACACHIN</v>
      </c>
      <c r="BI105" s="731">
        <v>4</v>
      </c>
      <c r="BJ105" s="731">
        <v>6</v>
      </c>
      <c r="BK105" s="731">
        <v>8</v>
      </c>
      <c r="BL105" s="731">
        <v>41</v>
      </c>
      <c r="BM105" s="731">
        <v>126</v>
      </c>
      <c r="BN105" s="731">
        <v>154</v>
      </c>
      <c r="BO105" s="731">
        <v>133</v>
      </c>
      <c r="BP105" s="731">
        <v>99</v>
      </c>
      <c r="BQ105" s="731">
        <v>53</v>
      </c>
      <c r="BR105" s="731">
        <v>26</v>
      </c>
      <c r="BS105" s="731">
        <v>15</v>
      </c>
      <c r="BT105" s="731">
        <v>8</v>
      </c>
      <c r="FQ105" s="727"/>
      <c r="FR105" s="727"/>
      <c r="FS105" s="727"/>
      <c r="FT105" s="727"/>
      <c r="FU105" s="727"/>
      <c r="FV105" s="727"/>
      <c r="FW105" s="727"/>
      <c r="FX105" s="727"/>
      <c r="FY105" s="727"/>
      <c r="FZ105" s="727"/>
      <c r="GA105" s="727"/>
      <c r="GB105" s="727"/>
      <c r="GC105" s="727"/>
      <c r="GD105" s="727"/>
      <c r="GE105" s="727"/>
    </row>
    <row r="106" spans="2:187" ht="16">
      <c r="B106" s="734" t="s">
        <v>128</v>
      </c>
      <c r="C106" s="733" t="s">
        <v>132</v>
      </c>
      <c r="D106" s="539">
        <v>38.130000000000003</v>
      </c>
      <c r="E106" s="539">
        <v>65.92</v>
      </c>
      <c r="F106" s="539">
        <v>232</v>
      </c>
      <c r="G106" s="539" t="s">
        <v>38</v>
      </c>
      <c r="H106" s="539">
        <v>-6</v>
      </c>
      <c r="I106" s="539">
        <v>7.3</v>
      </c>
      <c r="J106" s="539">
        <v>17.399999999999999</v>
      </c>
      <c r="K106" s="539">
        <v>28.1</v>
      </c>
      <c r="L106" s="539">
        <v>51</v>
      </c>
      <c r="M106" s="539">
        <v>69</v>
      </c>
      <c r="N106" s="539">
        <v>51</v>
      </c>
      <c r="O106" s="539">
        <v>14</v>
      </c>
      <c r="P106" s="539">
        <v>21</v>
      </c>
      <c r="Q106" s="734">
        <v>4</v>
      </c>
      <c r="R106" s="539">
        <v>17.3</v>
      </c>
      <c r="S106" s="734">
        <v>0.55000000000000004</v>
      </c>
      <c r="T106" s="734">
        <v>36.9</v>
      </c>
      <c r="U106" s="734">
        <v>3.4</v>
      </c>
      <c r="V106" s="734">
        <v>185</v>
      </c>
      <c r="W106" s="734">
        <v>41</v>
      </c>
      <c r="X106" s="734">
        <v>1.4E-2</v>
      </c>
      <c r="Y106" s="734">
        <v>1.9E-2</v>
      </c>
      <c r="Z106" s="547">
        <v>130</v>
      </c>
      <c r="AA106" s="547">
        <f t="shared" si="12"/>
        <v>1.3</v>
      </c>
      <c r="AB106" s="734">
        <v>35</v>
      </c>
      <c r="AC106" s="538"/>
      <c r="AD106" s="733" t="str">
        <f t="shared" si="14"/>
        <v>PUELCHES</v>
      </c>
      <c r="AE106" s="737">
        <v>25</v>
      </c>
      <c r="AF106" s="737">
        <v>24</v>
      </c>
      <c r="AG106" s="737">
        <v>21.5</v>
      </c>
      <c r="AH106" s="737">
        <v>15.8</v>
      </c>
      <c r="AI106" s="737">
        <v>11.5</v>
      </c>
      <c r="AJ106" s="737">
        <v>8.3000000000000007</v>
      </c>
      <c r="AK106" s="737">
        <v>7.5</v>
      </c>
      <c r="AL106" s="737">
        <v>10</v>
      </c>
      <c r="AM106" s="737">
        <v>12.5</v>
      </c>
      <c r="AN106" s="737">
        <v>16</v>
      </c>
      <c r="AO106" s="737">
        <v>20.3</v>
      </c>
      <c r="AP106" s="737">
        <v>24</v>
      </c>
      <c r="AQ106" s="538"/>
      <c r="AR106" s="733" t="str">
        <f t="shared" si="13"/>
        <v>LP</v>
      </c>
      <c r="AS106" s="733" t="str">
        <f t="shared" si="15"/>
        <v>PUELCHES</v>
      </c>
      <c r="AT106" s="731">
        <v>7</v>
      </c>
      <c r="AU106" s="731">
        <v>6.5</v>
      </c>
      <c r="AV106" s="731">
        <v>5</v>
      </c>
      <c r="AW106" s="731">
        <v>3</v>
      </c>
      <c r="AX106" s="731">
        <v>2</v>
      </c>
      <c r="AY106" s="731">
        <v>1.5</v>
      </c>
      <c r="AZ106" s="731">
        <v>2</v>
      </c>
      <c r="BA106" s="731">
        <v>2.5</v>
      </c>
      <c r="BB106" s="731">
        <v>3.5</v>
      </c>
      <c r="BC106" s="731">
        <v>5</v>
      </c>
      <c r="BD106" s="731">
        <v>6</v>
      </c>
      <c r="BE106" s="731">
        <v>7</v>
      </c>
      <c r="BG106" s="733" t="str">
        <f t="shared" si="16"/>
        <v>LP</v>
      </c>
      <c r="BH106" s="733" t="str">
        <f t="shared" si="17"/>
        <v>PUELCHES</v>
      </c>
      <c r="BI106" s="731">
        <v>4</v>
      </c>
      <c r="BJ106" s="731">
        <v>6</v>
      </c>
      <c r="BK106" s="731">
        <v>8</v>
      </c>
      <c r="BL106" s="731">
        <v>41</v>
      </c>
      <c r="BM106" s="731">
        <v>126</v>
      </c>
      <c r="BN106" s="731">
        <v>154</v>
      </c>
      <c r="BO106" s="731">
        <v>133</v>
      </c>
      <c r="BP106" s="731">
        <v>99</v>
      </c>
      <c r="BQ106" s="731">
        <v>53</v>
      </c>
      <c r="BR106" s="731">
        <v>26</v>
      </c>
      <c r="BS106" s="731">
        <v>15</v>
      </c>
      <c r="BT106" s="731">
        <v>8</v>
      </c>
      <c r="FQ106" s="727"/>
      <c r="FR106" s="727"/>
      <c r="FS106" s="727"/>
      <c r="FT106" s="727"/>
      <c r="FU106" s="727"/>
      <c r="FV106" s="727"/>
      <c r="FW106" s="727"/>
      <c r="FX106" s="727"/>
      <c r="FY106" s="727"/>
      <c r="FZ106" s="727"/>
      <c r="GA106" s="727"/>
      <c r="GB106" s="727"/>
      <c r="GC106" s="727"/>
      <c r="GD106" s="727"/>
      <c r="GE106" s="727"/>
    </row>
    <row r="107" spans="2:187" ht="16">
      <c r="B107" s="734" t="s">
        <v>128</v>
      </c>
      <c r="C107" s="733" t="s">
        <v>133</v>
      </c>
      <c r="D107" s="539">
        <v>36.07</v>
      </c>
      <c r="E107" s="539">
        <v>63.57</v>
      </c>
      <c r="F107" s="539">
        <v>120</v>
      </c>
      <c r="G107" s="539" t="s">
        <v>42</v>
      </c>
      <c r="H107" s="539">
        <v>-3.9</v>
      </c>
      <c r="I107" s="539">
        <v>86</v>
      </c>
      <c r="J107" s="539">
        <v>23.2</v>
      </c>
      <c r="K107" s="539">
        <v>34.799999999999997</v>
      </c>
      <c r="L107" s="539">
        <v>54</v>
      </c>
      <c r="M107" s="539">
        <v>71</v>
      </c>
      <c r="N107" s="539">
        <v>54</v>
      </c>
      <c r="O107" s="539">
        <v>18</v>
      </c>
      <c r="P107" s="539">
        <v>73</v>
      </c>
      <c r="Q107" s="734">
        <v>3</v>
      </c>
      <c r="R107" s="539">
        <v>22.8</v>
      </c>
      <c r="S107" s="734">
        <v>0.55000000000000004</v>
      </c>
      <c r="T107" s="734">
        <v>36.9</v>
      </c>
      <c r="U107" s="734">
        <v>3.4</v>
      </c>
      <c r="V107" s="734">
        <v>185</v>
      </c>
      <c r="W107" s="734">
        <v>41</v>
      </c>
      <c r="X107" s="734">
        <v>1.4E-2</v>
      </c>
      <c r="Y107" s="734">
        <v>1.9E-2</v>
      </c>
      <c r="Z107" s="547">
        <v>130</v>
      </c>
      <c r="AA107" s="547">
        <f t="shared" si="12"/>
        <v>1.3</v>
      </c>
      <c r="AB107" s="734">
        <v>35</v>
      </c>
      <c r="AC107" s="538"/>
      <c r="AD107" s="733" t="str">
        <f t="shared" si="14"/>
        <v>QUEMU QUEMU</v>
      </c>
      <c r="AE107" s="737">
        <v>24.2</v>
      </c>
      <c r="AF107" s="737">
        <v>23.2</v>
      </c>
      <c r="AG107" s="737">
        <v>20.100000000000001</v>
      </c>
      <c r="AH107" s="737">
        <v>14.8</v>
      </c>
      <c r="AI107" s="737">
        <v>11.7</v>
      </c>
      <c r="AJ107" s="737">
        <v>7.9</v>
      </c>
      <c r="AK107" s="737">
        <v>8.1</v>
      </c>
      <c r="AL107" s="737">
        <v>9.9</v>
      </c>
      <c r="AM107" s="737">
        <v>12.4</v>
      </c>
      <c r="AN107" s="737">
        <v>15.7</v>
      </c>
      <c r="AO107" s="737">
        <v>19.8</v>
      </c>
      <c r="AP107" s="737">
        <v>22.5</v>
      </c>
      <c r="AQ107" s="538"/>
      <c r="AR107" s="733" t="str">
        <f t="shared" si="13"/>
        <v>LP</v>
      </c>
      <c r="AS107" s="733" t="str">
        <f t="shared" si="15"/>
        <v>QUEMU QUEMU</v>
      </c>
      <c r="AT107" s="731">
        <v>6.5</v>
      </c>
      <c r="AU107" s="731">
        <v>6</v>
      </c>
      <c r="AV107" s="731">
        <v>4.5</v>
      </c>
      <c r="AW107" s="731">
        <v>3</v>
      </c>
      <c r="AX107" s="731">
        <v>2.5</v>
      </c>
      <c r="AY107" s="731">
        <v>1.5</v>
      </c>
      <c r="AZ107" s="731">
        <v>2</v>
      </c>
      <c r="BA107" s="731">
        <v>3</v>
      </c>
      <c r="BB107" s="731">
        <v>4</v>
      </c>
      <c r="BC107" s="731">
        <v>5</v>
      </c>
      <c r="BD107" s="731">
        <v>6</v>
      </c>
      <c r="BE107" s="731">
        <v>6.5</v>
      </c>
      <c r="BG107" s="733" t="str">
        <f t="shared" si="16"/>
        <v>LP</v>
      </c>
      <c r="BH107" s="733" t="str">
        <f t="shared" si="17"/>
        <v>QUEMU QUEMU</v>
      </c>
      <c r="BI107" s="731">
        <v>4</v>
      </c>
      <c r="BJ107" s="731">
        <v>6</v>
      </c>
      <c r="BK107" s="731">
        <v>8</v>
      </c>
      <c r="BL107" s="731">
        <v>41</v>
      </c>
      <c r="BM107" s="731">
        <v>126</v>
      </c>
      <c r="BN107" s="731">
        <v>154</v>
      </c>
      <c r="BO107" s="731">
        <v>133</v>
      </c>
      <c r="BP107" s="731">
        <v>99</v>
      </c>
      <c r="BQ107" s="731">
        <v>53</v>
      </c>
      <c r="BR107" s="731">
        <v>26</v>
      </c>
      <c r="BS107" s="731">
        <v>15</v>
      </c>
      <c r="BT107" s="731">
        <v>8</v>
      </c>
      <c r="FQ107" s="727"/>
      <c r="FR107" s="727"/>
      <c r="FS107" s="727"/>
      <c r="FT107" s="727"/>
      <c r="FU107" s="727"/>
      <c r="FV107" s="727"/>
      <c r="FW107" s="727"/>
      <c r="FX107" s="727"/>
      <c r="FY107" s="727"/>
      <c r="FZ107" s="727"/>
      <c r="GA107" s="727"/>
      <c r="GB107" s="727"/>
      <c r="GC107" s="727"/>
      <c r="GD107" s="727"/>
      <c r="GE107" s="727"/>
    </row>
    <row r="108" spans="2:187" ht="16">
      <c r="B108" s="734" t="s">
        <v>128</v>
      </c>
      <c r="C108" s="733" t="s">
        <v>134</v>
      </c>
      <c r="D108" s="539">
        <v>36.57</v>
      </c>
      <c r="E108" s="539">
        <v>64.27</v>
      </c>
      <c r="F108" s="539">
        <v>189</v>
      </c>
      <c r="G108" s="539" t="s">
        <v>42</v>
      </c>
      <c r="H108" s="539">
        <v>-4.9000000000000004</v>
      </c>
      <c r="I108" s="539">
        <v>8.1999999999999993</v>
      </c>
      <c r="J108" s="539">
        <v>22.3</v>
      </c>
      <c r="K108" s="539">
        <v>33.799999999999997</v>
      </c>
      <c r="L108" s="539">
        <v>59</v>
      </c>
      <c r="M108" s="539">
        <v>76</v>
      </c>
      <c r="N108" s="539">
        <v>59</v>
      </c>
      <c r="O108" s="539">
        <v>17</v>
      </c>
      <c r="P108" s="539">
        <v>74</v>
      </c>
      <c r="Q108" s="734">
        <v>3</v>
      </c>
      <c r="R108" s="539">
        <v>21.6</v>
      </c>
      <c r="S108" s="734">
        <v>0.55000000000000004</v>
      </c>
      <c r="T108" s="734">
        <v>36.9</v>
      </c>
      <c r="U108" s="734">
        <v>3.4</v>
      </c>
      <c r="V108" s="734">
        <v>185</v>
      </c>
      <c r="W108" s="734">
        <v>41</v>
      </c>
      <c r="X108" s="734">
        <v>1.4E-2</v>
      </c>
      <c r="Y108" s="734">
        <v>1.9E-2</v>
      </c>
      <c r="Z108" s="547">
        <v>130</v>
      </c>
      <c r="AA108" s="547">
        <f t="shared" si="12"/>
        <v>1.3</v>
      </c>
      <c r="AB108" s="734">
        <v>35</v>
      </c>
      <c r="AC108" s="538"/>
      <c r="AD108" s="733" t="str">
        <f t="shared" si="14"/>
        <v>SANTA ROSA</v>
      </c>
      <c r="AE108" s="737">
        <v>23.4</v>
      </c>
      <c r="AF108" s="737">
        <v>22.6</v>
      </c>
      <c r="AG108" s="737">
        <v>20</v>
      </c>
      <c r="AH108" s="737">
        <v>14.1</v>
      </c>
      <c r="AI108" s="737">
        <v>10.9</v>
      </c>
      <c r="AJ108" s="737">
        <v>7.7</v>
      </c>
      <c r="AK108" s="737">
        <v>8</v>
      </c>
      <c r="AL108" s="737">
        <v>9.1999999999999993</v>
      </c>
      <c r="AM108" s="737">
        <v>11.8</v>
      </c>
      <c r="AN108" s="737">
        <v>14.9</v>
      </c>
      <c r="AO108" s="737">
        <v>19.2</v>
      </c>
      <c r="AP108" s="737">
        <v>22.2</v>
      </c>
      <c r="AQ108" s="538"/>
      <c r="AR108" s="733" t="str">
        <f t="shared" si="13"/>
        <v>LP</v>
      </c>
      <c r="AS108" s="733" t="str">
        <f t="shared" si="15"/>
        <v>SANTA ROSA</v>
      </c>
      <c r="AT108" s="731">
        <v>6.5</v>
      </c>
      <c r="AU108" s="731">
        <v>6</v>
      </c>
      <c r="AV108" s="731">
        <v>4.5</v>
      </c>
      <c r="AW108" s="731">
        <v>3</v>
      </c>
      <c r="AX108" s="731">
        <v>2.5</v>
      </c>
      <c r="AY108" s="731">
        <v>1.5</v>
      </c>
      <c r="AZ108" s="731">
        <v>2</v>
      </c>
      <c r="BA108" s="731">
        <v>3</v>
      </c>
      <c r="BB108" s="731">
        <v>4</v>
      </c>
      <c r="BC108" s="731">
        <v>5</v>
      </c>
      <c r="BD108" s="731">
        <v>6</v>
      </c>
      <c r="BE108" s="731">
        <v>7</v>
      </c>
      <c r="BG108" s="733" t="str">
        <f t="shared" si="16"/>
        <v>LP</v>
      </c>
      <c r="BH108" s="733" t="str">
        <f t="shared" si="17"/>
        <v>SANTA ROSA</v>
      </c>
      <c r="BI108" s="731">
        <v>4</v>
      </c>
      <c r="BJ108" s="731">
        <v>6</v>
      </c>
      <c r="BK108" s="731">
        <v>8</v>
      </c>
      <c r="BL108" s="731">
        <v>41</v>
      </c>
      <c r="BM108" s="731">
        <v>126</v>
      </c>
      <c r="BN108" s="731">
        <v>154</v>
      </c>
      <c r="BO108" s="731">
        <v>133</v>
      </c>
      <c r="BP108" s="731">
        <v>99</v>
      </c>
      <c r="BQ108" s="731">
        <v>53</v>
      </c>
      <c r="BR108" s="731">
        <v>26</v>
      </c>
      <c r="BS108" s="731">
        <v>15</v>
      </c>
      <c r="BT108" s="731">
        <v>8</v>
      </c>
      <c r="FQ108" s="727"/>
      <c r="FR108" s="727"/>
      <c r="FS108" s="727"/>
      <c r="FT108" s="727"/>
      <c r="FU108" s="727"/>
      <c r="FV108" s="727"/>
      <c r="FW108" s="727"/>
      <c r="FX108" s="727"/>
      <c r="FY108" s="727"/>
      <c r="FZ108" s="727"/>
      <c r="GA108" s="727"/>
      <c r="GB108" s="727"/>
      <c r="GC108" s="727"/>
      <c r="GD108" s="727"/>
      <c r="GE108" s="727"/>
    </row>
    <row r="109" spans="2:187" ht="16">
      <c r="B109" s="734" t="s">
        <v>135</v>
      </c>
      <c r="C109" s="733" t="s">
        <v>136</v>
      </c>
      <c r="D109" s="539">
        <v>30.37</v>
      </c>
      <c r="E109" s="539">
        <v>66.28</v>
      </c>
      <c r="F109" s="539">
        <v>461</v>
      </c>
      <c r="G109" s="539" t="s">
        <v>69</v>
      </c>
      <c r="H109" s="539">
        <v>-0.2</v>
      </c>
      <c r="I109" s="539">
        <v>12.6</v>
      </c>
      <c r="J109" s="539">
        <v>25.9</v>
      </c>
      <c r="K109" s="539">
        <v>36.6</v>
      </c>
      <c r="L109" s="539">
        <v>54</v>
      </c>
      <c r="M109" s="539">
        <v>58</v>
      </c>
      <c r="N109" s="539">
        <v>54</v>
      </c>
      <c r="O109" s="539">
        <v>4</v>
      </c>
      <c r="P109" s="539">
        <v>67</v>
      </c>
      <c r="Q109" s="734">
        <v>2</v>
      </c>
      <c r="R109" s="539">
        <v>25.7</v>
      </c>
      <c r="S109" s="734">
        <v>0.49</v>
      </c>
      <c r="T109" s="734">
        <v>7.9</v>
      </c>
      <c r="U109" s="734">
        <v>12.3</v>
      </c>
      <c r="V109" s="734">
        <v>165</v>
      </c>
      <c r="W109" s="734">
        <v>50</v>
      </c>
      <c r="X109" s="734">
        <v>8.9999999999999993E-3</v>
      </c>
      <c r="Y109" s="734">
        <v>7.0000000000000001E-3</v>
      </c>
      <c r="Z109" s="547">
        <v>155</v>
      </c>
      <c r="AA109" s="547">
        <f t="shared" si="12"/>
        <v>1.55</v>
      </c>
      <c r="AB109" s="734">
        <v>30</v>
      </c>
      <c r="AC109" s="538"/>
      <c r="AD109" s="733" t="str">
        <f t="shared" si="14"/>
        <v>CHAMICAL</v>
      </c>
      <c r="AE109" s="737">
        <v>26.9</v>
      </c>
      <c r="AF109" s="737">
        <v>25.5</v>
      </c>
      <c r="AG109" s="737">
        <v>23.3</v>
      </c>
      <c r="AH109" s="737">
        <v>19.5</v>
      </c>
      <c r="AI109" s="737">
        <v>16</v>
      </c>
      <c r="AJ109" s="737">
        <v>12.2</v>
      </c>
      <c r="AK109" s="737">
        <v>11.9</v>
      </c>
      <c r="AL109" s="737">
        <v>14.3</v>
      </c>
      <c r="AM109" s="737">
        <v>17.5</v>
      </c>
      <c r="AN109" s="737">
        <v>21.6</v>
      </c>
      <c r="AO109" s="737">
        <v>24.1</v>
      </c>
      <c r="AP109" s="737">
        <v>26.4</v>
      </c>
      <c r="AQ109" s="538"/>
      <c r="AR109" s="733" t="str">
        <f t="shared" si="13"/>
        <v>LR</v>
      </c>
      <c r="AS109" s="733" t="str">
        <f t="shared" si="15"/>
        <v>CHAMICAL</v>
      </c>
      <c r="AT109" s="731">
        <v>5.5</v>
      </c>
      <c r="AU109" s="731">
        <v>5</v>
      </c>
      <c r="AV109" s="731">
        <v>4</v>
      </c>
      <c r="AW109" s="731">
        <v>3.5</v>
      </c>
      <c r="AX109" s="731">
        <v>3</v>
      </c>
      <c r="AY109" s="731">
        <v>2.5</v>
      </c>
      <c r="AZ109" s="731">
        <v>2.5</v>
      </c>
      <c r="BA109" s="731">
        <v>3.5</v>
      </c>
      <c r="BB109" s="731">
        <v>4.5</v>
      </c>
      <c r="BC109" s="731">
        <v>5</v>
      </c>
      <c r="BD109" s="731">
        <v>5.5</v>
      </c>
      <c r="BE109" s="731">
        <v>5.5</v>
      </c>
      <c r="BG109" s="733" t="str">
        <f t="shared" si="16"/>
        <v>LR</v>
      </c>
      <c r="BH109" s="733" t="str">
        <f t="shared" si="17"/>
        <v>CHAMICAL</v>
      </c>
      <c r="BI109" s="731">
        <v>71</v>
      </c>
      <c r="BJ109" s="731">
        <v>58</v>
      </c>
      <c r="BK109" s="731">
        <v>54</v>
      </c>
      <c r="BL109" s="731">
        <v>18</v>
      </c>
      <c r="BM109" s="731">
        <v>10</v>
      </c>
      <c r="BN109" s="731">
        <v>3</v>
      </c>
      <c r="BO109" s="731">
        <v>4</v>
      </c>
      <c r="BP109" s="731">
        <v>5</v>
      </c>
      <c r="BQ109" s="731">
        <v>6</v>
      </c>
      <c r="BR109" s="731">
        <v>20</v>
      </c>
      <c r="BS109" s="731">
        <v>30</v>
      </c>
      <c r="BT109" s="731">
        <v>51</v>
      </c>
      <c r="FQ109" s="727"/>
      <c r="FR109" s="727"/>
      <c r="FS109" s="727"/>
      <c r="FT109" s="727"/>
      <c r="FU109" s="727"/>
      <c r="FV109" s="727"/>
      <c r="FW109" s="727"/>
      <c r="FX109" s="727"/>
      <c r="FY109" s="727"/>
      <c r="FZ109" s="727"/>
      <c r="GA109" s="727"/>
      <c r="GB109" s="727"/>
      <c r="GC109" s="727"/>
      <c r="GD109" s="727"/>
      <c r="GE109" s="727"/>
    </row>
    <row r="110" spans="2:187" ht="16">
      <c r="B110" s="734" t="s">
        <v>135</v>
      </c>
      <c r="C110" s="733" t="s">
        <v>137</v>
      </c>
      <c r="D110" s="539">
        <v>31.33</v>
      </c>
      <c r="E110" s="539">
        <v>66.599999999999994</v>
      </c>
      <c r="F110" s="539">
        <v>658</v>
      </c>
      <c r="G110" s="539" t="s">
        <v>69</v>
      </c>
      <c r="H110" s="539">
        <v>-0.8</v>
      </c>
      <c r="I110" s="539">
        <v>11.5</v>
      </c>
      <c r="J110" s="539">
        <v>25.8</v>
      </c>
      <c r="K110" s="539">
        <v>37.200000000000003</v>
      </c>
      <c r="L110" s="539">
        <v>57</v>
      </c>
      <c r="M110" s="539">
        <v>63</v>
      </c>
      <c r="N110" s="539">
        <v>57</v>
      </c>
      <c r="O110" s="539">
        <v>5</v>
      </c>
      <c r="P110" s="539">
        <v>60</v>
      </c>
      <c r="Q110" s="734">
        <v>2</v>
      </c>
      <c r="R110" s="539">
        <v>26.2</v>
      </c>
      <c r="S110" s="734">
        <v>0.51</v>
      </c>
      <c r="T110" s="734">
        <v>7.9</v>
      </c>
      <c r="U110" s="734">
        <v>12.3</v>
      </c>
      <c r="V110" s="734">
        <v>165</v>
      </c>
      <c r="W110" s="734">
        <v>50</v>
      </c>
      <c r="X110" s="734">
        <v>8.9999999999999993E-3</v>
      </c>
      <c r="Y110" s="734">
        <v>7.0000000000000001E-3</v>
      </c>
      <c r="Z110" s="547">
        <v>145</v>
      </c>
      <c r="AA110" s="547">
        <f t="shared" si="12"/>
        <v>1.45</v>
      </c>
      <c r="AB110" s="734">
        <v>30</v>
      </c>
      <c r="AC110" s="538"/>
      <c r="AD110" s="733" t="str">
        <f t="shared" si="14"/>
        <v>CHEPES</v>
      </c>
      <c r="AE110" s="737">
        <v>26.5</v>
      </c>
      <c r="AF110" s="737">
        <v>25.5</v>
      </c>
      <c r="AG110" s="737">
        <v>23</v>
      </c>
      <c r="AH110" s="737">
        <v>18.100000000000001</v>
      </c>
      <c r="AI110" s="737">
        <v>14.4</v>
      </c>
      <c r="AJ110" s="737">
        <v>10.9</v>
      </c>
      <c r="AK110" s="737">
        <v>10.8</v>
      </c>
      <c r="AL110" s="737">
        <v>12.7</v>
      </c>
      <c r="AM110" s="737">
        <v>16.399999999999999</v>
      </c>
      <c r="AN110" s="737">
        <v>19.399999999999999</v>
      </c>
      <c r="AO110" s="737">
        <v>22.5</v>
      </c>
      <c r="AP110" s="737">
        <v>25</v>
      </c>
      <c r="AQ110" s="538"/>
      <c r="AR110" s="733" t="str">
        <f t="shared" si="13"/>
        <v>LR</v>
      </c>
      <c r="AS110" s="733" t="str">
        <f t="shared" si="15"/>
        <v>CHEPES</v>
      </c>
      <c r="AT110" s="731">
        <v>5.5</v>
      </c>
      <c r="AU110" s="731">
        <v>5</v>
      </c>
      <c r="AV110" s="731">
        <v>4</v>
      </c>
      <c r="AW110" s="731">
        <v>3.5</v>
      </c>
      <c r="AX110" s="731">
        <v>3</v>
      </c>
      <c r="AY110" s="731">
        <v>2.5</v>
      </c>
      <c r="AZ110" s="731">
        <v>2.5</v>
      </c>
      <c r="BA110" s="731">
        <v>3.5</v>
      </c>
      <c r="BB110" s="731">
        <v>4.5</v>
      </c>
      <c r="BC110" s="731">
        <v>5</v>
      </c>
      <c r="BD110" s="731">
        <v>5.5</v>
      </c>
      <c r="BE110" s="731">
        <v>6</v>
      </c>
      <c r="BG110" s="733" t="str">
        <f t="shared" si="16"/>
        <v>LR</v>
      </c>
      <c r="BH110" s="733" t="str">
        <f t="shared" si="17"/>
        <v>CHEPES</v>
      </c>
      <c r="BI110" s="731">
        <v>71</v>
      </c>
      <c r="BJ110" s="731">
        <v>58</v>
      </c>
      <c r="BK110" s="731">
        <v>54</v>
      </c>
      <c r="BL110" s="731">
        <v>18</v>
      </c>
      <c r="BM110" s="731">
        <v>10</v>
      </c>
      <c r="BN110" s="731">
        <v>3</v>
      </c>
      <c r="BO110" s="731">
        <v>4</v>
      </c>
      <c r="BP110" s="731">
        <v>5</v>
      </c>
      <c r="BQ110" s="731">
        <v>6</v>
      </c>
      <c r="BR110" s="731">
        <v>20</v>
      </c>
      <c r="BS110" s="731">
        <v>30</v>
      </c>
      <c r="BT110" s="731">
        <v>51</v>
      </c>
      <c r="FQ110" s="727"/>
      <c r="FR110" s="727"/>
      <c r="FS110" s="727"/>
      <c r="FT110" s="727"/>
      <c r="FU110" s="727"/>
      <c r="FV110" s="727"/>
      <c r="FW110" s="727"/>
      <c r="FX110" s="727"/>
      <c r="FY110" s="727"/>
      <c r="FZ110" s="727"/>
      <c r="GA110" s="727"/>
      <c r="GB110" s="727"/>
      <c r="GC110" s="727"/>
      <c r="GD110" s="727"/>
      <c r="GE110" s="727"/>
    </row>
    <row r="111" spans="2:187" ht="16">
      <c r="B111" s="734" t="s">
        <v>135</v>
      </c>
      <c r="C111" s="733" t="s">
        <v>138</v>
      </c>
      <c r="D111" s="539">
        <v>29.17</v>
      </c>
      <c r="E111" s="539">
        <v>67.52</v>
      </c>
      <c r="F111" s="539">
        <v>1170</v>
      </c>
      <c r="G111" s="539" t="s">
        <v>42</v>
      </c>
      <c r="H111" s="539">
        <v>-2.2000000000000002</v>
      </c>
      <c r="I111" s="539">
        <v>10.3</v>
      </c>
      <c r="J111" s="539">
        <v>23.4</v>
      </c>
      <c r="K111" s="539">
        <v>34.6</v>
      </c>
      <c r="L111" s="539">
        <v>60</v>
      </c>
      <c r="M111" s="539">
        <v>59</v>
      </c>
      <c r="N111" s="539">
        <v>60</v>
      </c>
      <c r="O111" s="539">
        <v>5</v>
      </c>
      <c r="P111" s="539">
        <v>33</v>
      </c>
      <c r="Q111" s="734">
        <v>3</v>
      </c>
      <c r="R111" s="539">
        <v>23.3</v>
      </c>
      <c r="S111" s="734">
        <v>0.49</v>
      </c>
      <c r="T111" s="734">
        <v>7.9</v>
      </c>
      <c r="U111" s="734">
        <v>12.3</v>
      </c>
      <c r="V111" s="734">
        <v>165</v>
      </c>
      <c r="W111" s="734">
        <v>50</v>
      </c>
      <c r="X111" s="734">
        <v>8.9999999999999993E-3</v>
      </c>
      <c r="Y111" s="734">
        <v>7.0000000000000001E-3</v>
      </c>
      <c r="Z111" s="547">
        <v>95</v>
      </c>
      <c r="AA111" s="547">
        <f t="shared" si="12"/>
        <v>0.95000000000000007</v>
      </c>
      <c r="AB111" s="734">
        <v>30</v>
      </c>
      <c r="AC111" s="538"/>
      <c r="AD111" s="733" t="str">
        <f t="shared" si="14"/>
        <v>CHILECITO</v>
      </c>
      <c r="AE111" s="737">
        <v>25.8</v>
      </c>
      <c r="AF111" s="737">
        <v>24.9</v>
      </c>
      <c r="AG111" s="737">
        <v>21.3</v>
      </c>
      <c r="AH111" s="737">
        <v>16.600000000000001</v>
      </c>
      <c r="AI111" s="737">
        <v>13</v>
      </c>
      <c r="AJ111" s="737">
        <v>9.6999999999999993</v>
      </c>
      <c r="AK111" s="737">
        <v>9.4</v>
      </c>
      <c r="AL111" s="737">
        <v>12.2</v>
      </c>
      <c r="AM111" s="737">
        <v>15.1</v>
      </c>
      <c r="AN111" s="737">
        <v>18.5</v>
      </c>
      <c r="AO111" s="737">
        <v>22.5</v>
      </c>
      <c r="AP111" s="737">
        <v>24.7</v>
      </c>
      <c r="AQ111" s="538"/>
      <c r="AR111" s="733" t="str">
        <f t="shared" si="13"/>
        <v>LR</v>
      </c>
      <c r="AS111" s="733" t="str">
        <f t="shared" si="15"/>
        <v>CHILECITO</v>
      </c>
      <c r="AT111" s="731">
        <v>5.5</v>
      </c>
      <c r="AU111" s="731">
        <v>5.5</v>
      </c>
      <c r="AV111" s="731">
        <v>5</v>
      </c>
      <c r="AW111" s="731">
        <v>4</v>
      </c>
      <c r="AX111" s="731">
        <v>3.5</v>
      </c>
      <c r="AY111" s="731">
        <v>3</v>
      </c>
      <c r="AZ111" s="731">
        <v>3</v>
      </c>
      <c r="BA111" s="731">
        <v>4</v>
      </c>
      <c r="BB111" s="731">
        <v>5</v>
      </c>
      <c r="BC111" s="731">
        <v>6</v>
      </c>
      <c r="BD111" s="731">
        <v>6.5</v>
      </c>
      <c r="BE111" s="731">
        <v>7</v>
      </c>
      <c r="BG111" s="733" t="str">
        <f t="shared" si="16"/>
        <v>LR</v>
      </c>
      <c r="BH111" s="733" t="str">
        <f t="shared" si="17"/>
        <v>CHILECITO</v>
      </c>
      <c r="BI111" s="731">
        <v>71</v>
      </c>
      <c r="BJ111" s="731">
        <v>58</v>
      </c>
      <c r="BK111" s="731">
        <v>54</v>
      </c>
      <c r="BL111" s="731">
        <v>18</v>
      </c>
      <c r="BM111" s="731">
        <v>10</v>
      </c>
      <c r="BN111" s="731">
        <v>3</v>
      </c>
      <c r="BO111" s="731">
        <v>4</v>
      </c>
      <c r="BP111" s="731">
        <v>5</v>
      </c>
      <c r="BQ111" s="731">
        <v>6</v>
      </c>
      <c r="BR111" s="731">
        <v>20</v>
      </c>
      <c r="BS111" s="731">
        <v>30</v>
      </c>
      <c r="BT111" s="731">
        <v>51</v>
      </c>
      <c r="FQ111" s="727"/>
      <c r="FR111" s="727"/>
      <c r="FS111" s="727"/>
      <c r="FT111" s="727"/>
      <c r="FU111" s="727"/>
      <c r="FV111" s="727"/>
      <c r="FW111" s="727"/>
      <c r="FX111" s="727"/>
      <c r="FY111" s="727"/>
      <c r="FZ111" s="727"/>
      <c r="GA111" s="727"/>
      <c r="GB111" s="727"/>
      <c r="GC111" s="727"/>
      <c r="GD111" s="727"/>
      <c r="GE111" s="727"/>
    </row>
    <row r="112" spans="2:187" ht="16">
      <c r="B112" s="734" t="s">
        <v>135</v>
      </c>
      <c r="C112" s="733" t="s">
        <v>139</v>
      </c>
      <c r="D112" s="539">
        <v>29.38</v>
      </c>
      <c r="E112" s="539">
        <v>66.819999999999993</v>
      </c>
      <c r="F112" s="539">
        <v>430</v>
      </c>
      <c r="G112" s="539" t="s">
        <v>98</v>
      </c>
      <c r="H112" s="539">
        <v>-0.6</v>
      </c>
      <c r="I112" s="539">
        <v>12.2</v>
      </c>
      <c r="J112" s="539">
        <v>27.3</v>
      </c>
      <c r="K112" s="539">
        <v>38.799999999999997</v>
      </c>
      <c r="L112" s="539">
        <v>56</v>
      </c>
      <c r="M112" s="539">
        <v>60</v>
      </c>
      <c r="N112" s="539">
        <v>56</v>
      </c>
      <c r="O112" s="539">
        <v>4</v>
      </c>
      <c r="P112" s="539">
        <v>53</v>
      </c>
      <c r="Q112" s="734">
        <v>1</v>
      </c>
      <c r="R112" s="539">
        <v>27.4</v>
      </c>
      <c r="S112" s="734">
        <v>0.49</v>
      </c>
      <c r="T112" s="734">
        <v>7.9</v>
      </c>
      <c r="U112" s="734">
        <v>12.3</v>
      </c>
      <c r="V112" s="734">
        <v>165</v>
      </c>
      <c r="W112" s="734">
        <v>50</v>
      </c>
      <c r="X112" s="734">
        <v>8.9999999999999993E-3</v>
      </c>
      <c r="Y112" s="734">
        <v>7.0000000000000001E-3</v>
      </c>
      <c r="Z112" s="547">
        <v>155</v>
      </c>
      <c r="AA112" s="547">
        <f t="shared" si="12"/>
        <v>1.55</v>
      </c>
      <c r="AB112" s="734">
        <v>30</v>
      </c>
      <c r="AC112" s="538"/>
      <c r="AD112" s="733" t="str">
        <f t="shared" si="14"/>
        <v>LA RIOJA</v>
      </c>
      <c r="AE112" s="737">
        <v>28</v>
      </c>
      <c r="AF112" s="737">
        <v>26.6</v>
      </c>
      <c r="AG112" s="737">
        <v>24</v>
      </c>
      <c r="AH112" s="737">
        <v>19</v>
      </c>
      <c r="AI112" s="737">
        <v>14.8</v>
      </c>
      <c r="AJ112" s="737">
        <v>11.4</v>
      </c>
      <c r="AK112" s="737">
        <v>10.9</v>
      </c>
      <c r="AL112" s="737">
        <v>13.8</v>
      </c>
      <c r="AM112" s="737">
        <v>17.5</v>
      </c>
      <c r="AN112" s="737">
        <v>21.3</v>
      </c>
      <c r="AO112" s="737">
        <v>25</v>
      </c>
      <c r="AP112" s="737">
        <v>27.3</v>
      </c>
      <c r="AQ112" s="538"/>
      <c r="AR112" s="733" t="str">
        <f t="shared" si="13"/>
        <v>LR</v>
      </c>
      <c r="AS112" s="733" t="str">
        <f t="shared" si="15"/>
        <v>LA RIOJA</v>
      </c>
      <c r="AT112" s="731">
        <v>5.5</v>
      </c>
      <c r="AU112" s="731">
        <v>5.5</v>
      </c>
      <c r="AV112" s="731">
        <v>4.5</v>
      </c>
      <c r="AW112" s="731">
        <v>3.5</v>
      </c>
      <c r="AX112" s="731">
        <v>3</v>
      </c>
      <c r="AY112" s="731">
        <v>2.5</v>
      </c>
      <c r="AZ112" s="731">
        <v>2.5</v>
      </c>
      <c r="BA112" s="731">
        <v>3.5</v>
      </c>
      <c r="BB112" s="731">
        <v>4.5</v>
      </c>
      <c r="BC112" s="731">
        <v>4.5</v>
      </c>
      <c r="BD112" s="731">
        <v>5.5</v>
      </c>
      <c r="BE112" s="731">
        <v>6</v>
      </c>
      <c r="BG112" s="733" t="str">
        <f t="shared" si="16"/>
        <v>LR</v>
      </c>
      <c r="BH112" s="733" t="str">
        <f t="shared" si="17"/>
        <v>LA RIOJA</v>
      </c>
      <c r="BI112" s="731">
        <v>71</v>
      </c>
      <c r="BJ112" s="731">
        <v>58</v>
      </c>
      <c r="BK112" s="731">
        <v>54</v>
      </c>
      <c r="BL112" s="731">
        <v>18</v>
      </c>
      <c r="BM112" s="731">
        <v>10</v>
      </c>
      <c r="BN112" s="731">
        <v>3</v>
      </c>
      <c r="BO112" s="731">
        <v>4</v>
      </c>
      <c r="BP112" s="731">
        <v>5</v>
      </c>
      <c r="BQ112" s="731">
        <v>6</v>
      </c>
      <c r="BR112" s="731">
        <v>20</v>
      </c>
      <c r="BS112" s="731">
        <v>30</v>
      </c>
      <c r="BT112" s="731">
        <v>51</v>
      </c>
      <c r="FQ112" s="727"/>
      <c r="FR112" s="727"/>
      <c r="FS112" s="727"/>
      <c r="FT112" s="727"/>
      <c r="FU112" s="727"/>
      <c r="FV112" s="727"/>
      <c r="FW112" s="727"/>
      <c r="FX112" s="727"/>
      <c r="FY112" s="727"/>
      <c r="FZ112" s="727"/>
      <c r="GA112" s="727"/>
      <c r="GB112" s="727"/>
      <c r="GC112" s="727"/>
      <c r="GD112" s="727"/>
      <c r="GE112" s="727"/>
    </row>
    <row r="113" spans="2:187" ht="16">
      <c r="B113" s="734" t="s">
        <v>140</v>
      </c>
      <c r="C113" s="733" t="s">
        <v>141</v>
      </c>
      <c r="D113" s="539">
        <v>35.869999999999997</v>
      </c>
      <c r="E113" s="539">
        <v>69.8</v>
      </c>
      <c r="F113" s="539">
        <v>1450</v>
      </c>
      <c r="G113" s="539" t="s">
        <v>106</v>
      </c>
      <c r="H113" s="539">
        <v>-5.7</v>
      </c>
      <c r="I113" s="539">
        <v>5.2</v>
      </c>
      <c r="J113" s="539">
        <v>18.5</v>
      </c>
      <c r="K113" s="539">
        <v>30.5</v>
      </c>
      <c r="L113" s="539">
        <v>36</v>
      </c>
      <c r="M113" s="539">
        <v>63</v>
      </c>
      <c r="N113" s="539">
        <v>36</v>
      </c>
      <c r="O113" s="539">
        <v>0</v>
      </c>
      <c r="P113" s="539">
        <v>0</v>
      </c>
      <c r="Q113" s="734">
        <v>5</v>
      </c>
      <c r="R113" s="539">
        <v>18.399999999999999</v>
      </c>
      <c r="S113" s="734">
        <v>0.53</v>
      </c>
      <c r="T113" s="734">
        <v>29.7</v>
      </c>
      <c r="U113" s="734">
        <v>8</v>
      </c>
      <c r="V113" s="734">
        <v>200</v>
      </c>
      <c r="W113" s="734">
        <v>123</v>
      </c>
      <c r="X113" s="734">
        <v>4.0000000000000001E-3</v>
      </c>
      <c r="Y113" s="734">
        <v>8.9999999999999993E-3</v>
      </c>
      <c r="Z113" s="547">
        <v>115</v>
      </c>
      <c r="AA113" s="547">
        <f t="shared" si="12"/>
        <v>1.1500000000000001</v>
      </c>
      <c r="AB113" s="734">
        <v>35</v>
      </c>
      <c r="AC113" s="538"/>
      <c r="AD113" s="733" t="str">
        <f t="shared" si="14"/>
        <v>BARDAS BLANCAS</v>
      </c>
      <c r="AE113" s="737">
        <v>18.3</v>
      </c>
      <c r="AF113" s="737">
        <v>17.399999999999999</v>
      </c>
      <c r="AG113" s="737">
        <v>14.8</v>
      </c>
      <c r="AH113" s="737">
        <v>10.6</v>
      </c>
      <c r="AI113" s="737">
        <v>7.2</v>
      </c>
      <c r="AJ113" s="737">
        <v>4</v>
      </c>
      <c r="AK113" s="737">
        <v>3.6</v>
      </c>
      <c r="AL113" s="737">
        <v>5.0999999999999996</v>
      </c>
      <c r="AM113" s="737">
        <v>7.3</v>
      </c>
      <c r="AN113" s="737">
        <v>10.9</v>
      </c>
      <c r="AO113" s="737">
        <v>14.3</v>
      </c>
      <c r="AP113" s="737">
        <v>17.100000000000001</v>
      </c>
      <c r="AQ113" s="538"/>
      <c r="AR113" s="733" t="str">
        <f t="shared" si="13"/>
        <v>MZ</v>
      </c>
      <c r="AS113" s="733" t="str">
        <f t="shared" si="15"/>
        <v>BARDAS BLANCAS</v>
      </c>
      <c r="AT113" s="731">
        <v>7.5</v>
      </c>
      <c r="AU113" s="731">
        <v>6.5</v>
      </c>
      <c r="AV113" s="731">
        <v>5</v>
      </c>
      <c r="AW113" s="731">
        <v>3</v>
      </c>
      <c r="AX113" s="731">
        <v>2.5</v>
      </c>
      <c r="AY113" s="731">
        <v>1.5</v>
      </c>
      <c r="AZ113" s="731">
        <v>2.5</v>
      </c>
      <c r="BA113" s="731">
        <v>3</v>
      </c>
      <c r="BB113" s="731">
        <v>4.5</v>
      </c>
      <c r="BC113" s="731">
        <v>6</v>
      </c>
      <c r="BD113" s="731">
        <v>7</v>
      </c>
      <c r="BE113" s="731">
        <v>7.5</v>
      </c>
      <c r="BG113" s="733" t="str">
        <f t="shared" si="16"/>
        <v>MZ</v>
      </c>
      <c r="BH113" s="733" t="str">
        <f t="shared" si="17"/>
        <v>BARDAS BLANCAS</v>
      </c>
      <c r="BI113" s="731">
        <v>34</v>
      </c>
      <c r="BJ113" s="731">
        <v>31</v>
      </c>
      <c r="BK113" s="731">
        <v>27</v>
      </c>
      <c r="BL113" s="731">
        <v>12</v>
      </c>
      <c r="BM113" s="731">
        <v>9</v>
      </c>
      <c r="BN113" s="731">
        <v>7</v>
      </c>
      <c r="BO113" s="731">
        <v>8</v>
      </c>
      <c r="BP113" s="731">
        <v>6</v>
      </c>
      <c r="BQ113" s="731">
        <v>11</v>
      </c>
      <c r="BR113" s="731">
        <v>20</v>
      </c>
      <c r="BS113" s="731">
        <v>21</v>
      </c>
      <c r="BT113" s="731">
        <v>27</v>
      </c>
      <c r="FQ113" s="727"/>
      <c r="FR113" s="727"/>
      <c r="FS113" s="727"/>
      <c r="FT113" s="727"/>
      <c r="FU113" s="727"/>
      <c r="FV113" s="727"/>
      <c r="FW113" s="727"/>
      <c r="FX113" s="727"/>
      <c r="FY113" s="727"/>
      <c r="FZ113" s="727"/>
      <c r="GA113" s="727"/>
      <c r="GB113" s="727"/>
      <c r="GC113" s="727"/>
      <c r="GD113" s="727"/>
      <c r="GE113" s="727"/>
    </row>
    <row r="114" spans="2:187" ht="16">
      <c r="B114" s="734" t="s">
        <v>140</v>
      </c>
      <c r="C114" s="733" t="s">
        <v>142</v>
      </c>
      <c r="D114" s="539">
        <v>35</v>
      </c>
      <c r="E114" s="539">
        <v>67.650000000000006</v>
      </c>
      <c r="F114" s="539">
        <v>465</v>
      </c>
      <c r="G114" s="539" t="s">
        <v>61</v>
      </c>
      <c r="H114" s="539">
        <v>-3.2</v>
      </c>
      <c r="I114" s="539">
        <v>8.5</v>
      </c>
      <c r="J114" s="539">
        <v>22.7</v>
      </c>
      <c r="K114" s="539">
        <v>35.5</v>
      </c>
      <c r="L114" s="539">
        <v>36</v>
      </c>
      <c r="M114" s="539">
        <v>63</v>
      </c>
      <c r="N114" s="539">
        <v>53</v>
      </c>
      <c r="O114" s="539">
        <v>6</v>
      </c>
      <c r="P114" s="539">
        <v>36</v>
      </c>
      <c r="Q114" s="734">
        <v>4</v>
      </c>
      <c r="R114" s="539">
        <v>22.8</v>
      </c>
      <c r="S114" s="734">
        <v>0.53</v>
      </c>
      <c r="T114" s="734">
        <v>29.7</v>
      </c>
      <c r="U114" s="734">
        <v>8</v>
      </c>
      <c r="V114" s="734">
        <v>200</v>
      </c>
      <c r="W114" s="734">
        <v>123</v>
      </c>
      <c r="X114" s="734">
        <v>4.0000000000000001E-3</v>
      </c>
      <c r="Y114" s="734">
        <v>8.9999999999999993E-3</v>
      </c>
      <c r="Z114" s="547">
        <v>145</v>
      </c>
      <c r="AA114" s="547">
        <f t="shared" si="12"/>
        <v>1.45</v>
      </c>
      <c r="AB114" s="734">
        <v>35</v>
      </c>
      <c r="AC114" s="538"/>
      <c r="AD114" s="733" t="str">
        <f t="shared" si="14"/>
        <v>COLONIA ALVEAR</v>
      </c>
      <c r="AE114" s="541">
        <v>23.8</v>
      </c>
      <c r="AF114" s="737">
        <v>23.5</v>
      </c>
      <c r="AG114" s="737">
        <v>20.6</v>
      </c>
      <c r="AH114" s="737">
        <v>15</v>
      </c>
      <c r="AI114" s="737">
        <v>11.7</v>
      </c>
      <c r="AJ114" s="737">
        <v>8.1999999999999993</v>
      </c>
      <c r="AK114" s="737">
        <v>8.4</v>
      </c>
      <c r="AL114" s="737">
        <v>10.199999999999999</v>
      </c>
      <c r="AM114" s="737">
        <v>12.9</v>
      </c>
      <c r="AN114" s="737">
        <v>16.3</v>
      </c>
      <c r="AO114" s="737">
        <v>20.5</v>
      </c>
      <c r="AP114" s="737">
        <v>22.7</v>
      </c>
      <c r="AQ114" s="538"/>
      <c r="AR114" s="733" t="str">
        <f t="shared" si="13"/>
        <v>MZ</v>
      </c>
      <c r="AS114" s="733" t="str">
        <f t="shared" si="15"/>
        <v>COLONIA ALVEAR</v>
      </c>
      <c r="AT114" s="731">
        <v>7</v>
      </c>
      <c r="AU114" s="731">
        <v>6</v>
      </c>
      <c r="AV114" s="731">
        <v>5</v>
      </c>
      <c r="AW114" s="731">
        <v>3.5</v>
      </c>
      <c r="AX114" s="731">
        <v>2.5</v>
      </c>
      <c r="AY114" s="731">
        <v>2</v>
      </c>
      <c r="AZ114" s="731">
        <v>2.5</v>
      </c>
      <c r="BA114" s="731">
        <v>3.5</v>
      </c>
      <c r="BB114" s="731">
        <v>4.5</v>
      </c>
      <c r="BC114" s="731">
        <v>5.5</v>
      </c>
      <c r="BD114" s="731">
        <v>7</v>
      </c>
      <c r="BE114" s="731">
        <v>7.5</v>
      </c>
      <c r="BG114" s="733" t="str">
        <f t="shared" si="16"/>
        <v>MZ</v>
      </c>
      <c r="BH114" s="733" t="str">
        <f t="shared" si="17"/>
        <v>COLONIA ALVEAR</v>
      </c>
      <c r="BI114" s="731">
        <v>34</v>
      </c>
      <c r="BJ114" s="731">
        <v>31</v>
      </c>
      <c r="BK114" s="731">
        <v>27</v>
      </c>
      <c r="BL114" s="731">
        <v>12</v>
      </c>
      <c r="BM114" s="731">
        <v>9</v>
      </c>
      <c r="BN114" s="731">
        <v>7</v>
      </c>
      <c r="BO114" s="731">
        <v>8</v>
      </c>
      <c r="BP114" s="731">
        <v>6</v>
      </c>
      <c r="BQ114" s="731">
        <v>11</v>
      </c>
      <c r="BR114" s="731">
        <v>20</v>
      </c>
      <c r="BS114" s="731">
        <v>21</v>
      </c>
      <c r="BT114" s="731">
        <v>27</v>
      </c>
      <c r="FQ114" s="727"/>
      <c r="FR114" s="727"/>
      <c r="FS114" s="727"/>
      <c r="FT114" s="727"/>
      <c r="FU114" s="727"/>
      <c r="FV114" s="727"/>
      <c r="FW114" s="727"/>
      <c r="FX114" s="727"/>
      <c r="FY114" s="727"/>
      <c r="FZ114" s="727"/>
      <c r="GA114" s="727"/>
      <c r="GB114" s="727"/>
      <c r="GC114" s="727"/>
      <c r="GD114" s="727"/>
      <c r="GE114" s="727"/>
    </row>
    <row r="115" spans="2:187" ht="17" customHeight="1">
      <c r="B115" s="734" t="s">
        <v>140</v>
      </c>
      <c r="C115" s="733" t="s">
        <v>143</v>
      </c>
      <c r="D115" s="539">
        <v>32.83</v>
      </c>
      <c r="E115" s="539">
        <v>70.08</v>
      </c>
      <c r="F115" s="539">
        <v>3832</v>
      </c>
      <c r="G115" s="539" t="s">
        <v>108</v>
      </c>
      <c r="H115" s="539">
        <v>-16.2</v>
      </c>
      <c r="I115" s="539">
        <v>-6.6</v>
      </c>
      <c r="J115" s="539">
        <v>3.2</v>
      </c>
      <c r="K115" s="539">
        <v>12.5</v>
      </c>
      <c r="L115" s="539">
        <v>58</v>
      </c>
      <c r="M115" s="539">
        <v>65</v>
      </c>
      <c r="N115" s="539">
        <v>58</v>
      </c>
      <c r="O115" s="539">
        <v>0</v>
      </c>
      <c r="P115" s="539">
        <v>0</v>
      </c>
      <c r="Q115" s="734">
        <v>6</v>
      </c>
      <c r="R115" s="539">
        <v>3.6</v>
      </c>
      <c r="S115" s="734">
        <v>0.51</v>
      </c>
      <c r="T115" s="734">
        <v>29.7</v>
      </c>
      <c r="U115" s="734">
        <v>8</v>
      </c>
      <c r="V115" s="734">
        <v>200</v>
      </c>
      <c r="W115" s="734">
        <v>123</v>
      </c>
      <c r="X115" s="734">
        <v>4.0000000000000001E-3</v>
      </c>
      <c r="Y115" s="734">
        <v>8.9999999999999993E-3</v>
      </c>
      <c r="Z115" s="547">
        <v>95</v>
      </c>
      <c r="AA115" s="547">
        <f t="shared" si="12"/>
        <v>0.95000000000000007</v>
      </c>
      <c r="AB115" s="734">
        <v>35</v>
      </c>
      <c r="AC115" s="538"/>
      <c r="AD115" s="733" t="str">
        <f t="shared" si="14"/>
        <v>CRISTO REDENTOR</v>
      </c>
      <c r="AE115" s="737">
        <v>22.2</v>
      </c>
      <c r="AF115" s="737">
        <v>21.6</v>
      </c>
      <c r="AG115" s="737">
        <v>20</v>
      </c>
      <c r="AH115" s="737">
        <v>16.899999999999999</v>
      </c>
      <c r="AI115" s="737">
        <v>14.4</v>
      </c>
      <c r="AJ115" s="737">
        <v>13.2</v>
      </c>
      <c r="AK115" s="737">
        <v>13.3</v>
      </c>
      <c r="AL115" s="737">
        <v>14.5</v>
      </c>
      <c r="AM115" s="737">
        <v>15.7</v>
      </c>
      <c r="AN115" s="737">
        <v>17.600000000000001</v>
      </c>
      <c r="AO115" s="737">
        <v>19.899999999999999</v>
      </c>
      <c r="AP115" s="737">
        <v>20.5</v>
      </c>
      <c r="AQ115" s="538"/>
      <c r="AR115" s="733" t="str">
        <f t="shared" si="13"/>
        <v>MZ</v>
      </c>
      <c r="AS115" s="733" t="str">
        <f t="shared" si="15"/>
        <v>CRISTO REDENTOR</v>
      </c>
      <c r="AT115" s="731">
        <v>7</v>
      </c>
      <c r="AU115" s="731">
        <v>6.5</v>
      </c>
      <c r="AV115" s="731">
        <v>5.5</v>
      </c>
      <c r="AW115" s="731">
        <v>4</v>
      </c>
      <c r="AX115" s="731">
        <v>3</v>
      </c>
      <c r="AY115" s="731">
        <v>2</v>
      </c>
      <c r="AZ115" s="731">
        <v>2</v>
      </c>
      <c r="BA115" s="731">
        <v>3</v>
      </c>
      <c r="BB115" s="731">
        <v>5</v>
      </c>
      <c r="BC115" s="731">
        <v>6</v>
      </c>
      <c r="BD115" s="731">
        <v>7</v>
      </c>
      <c r="BE115" s="731">
        <v>7.5</v>
      </c>
      <c r="BG115" s="733" t="str">
        <f t="shared" si="16"/>
        <v>MZ</v>
      </c>
      <c r="BH115" s="733" t="str">
        <f t="shared" si="17"/>
        <v>CRISTO REDENTOR</v>
      </c>
      <c r="BI115" s="731">
        <v>34</v>
      </c>
      <c r="BJ115" s="731">
        <v>31</v>
      </c>
      <c r="BK115" s="731">
        <v>27</v>
      </c>
      <c r="BL115" s="731">
        <v>12</v>
      </c>
      <c r="BM115" s="731">
        <v>9</v>
      </c>
      <c r="BN115" s="731">
        <v>7</v>
      </c>
      <c r="BO115" s="731">
        <v>8</v>
      </c>
      <c r="BP115" s="731">
        <v>6</v>
      </c>
      <c r="BQ115" s="731">
        <v>11</v>
      </c>
      <c r="BR115" s="731">
        <v>20</v>
      </c>
      <c r="BS115" s="731">
        <v>21</v>
      </c>
      <c r="BT115" s="731">
        <v>27</v>
      </c>
      <c r="FQ115" s="727"/>
      <c r="FR115" s="727"/>
      <c r="FS115" s="727"/>
      <c r="FT115" s="727"/>
      <c r="FU115" s="727"/>
      <c r="FV115" s="727"/>
      <c r="FW115" s="727"/>
      <c r="FX115" s="727"/>
      <c r="FY115" s="727"/>
      <c r="FZ115" s="727"/>
      <c r="GA115" s="727"/>
      <c r="GB115" s="727"/>
      <c r="GC115" s="727"/>
      <c r="GD115" s="727"/>
      <c r="GE115" s="727"/>
    </row>
    <row r="116" spans="2:187" ht="16">
      <c r="B116" s="734" t="s">
        <v>140</v>
      </c>
      <c r="C116" s="733" t="s">
        <v>144</v>
      </c>
      <c r="D116" s="539">
        <v>32.979999999999997</v>
      </c>
      <c r="E116" s="539">
        <v>68.87</v>
      </c>
      <c r="F116" s="539">
        <v>921</v>
      </c>
      <c r="G116" s="539" t="s">
        <v>72</v>
      </c>
      <c r="H116" s="539">
        <v>-3.9</v>
      </c>
      <c r="I116" s="539">
        <v>7</v>
      </c>
      <c r="J116" s="539">
        <v>21.6</v>
      </c>
      <c r="K116" s="539">
        <v>31.9</v>
      </c>
      <c r="L116" s="539">
        <v>55</v>
      </c>
      <c r="M116" s="539">
        <v>57</v>
      </c>
      <c r="N116" s="539">
        <v>55</v>
      </c>
      <c r="O116" s="539">
        <v>4</v>
      </c>
      <c r="P116" s="539">
        <v>31</v>
      </c>
      <c r="Q116" s="734">
        <v>4</v>
      </c>
      <c r="R116" s="539">
        <v>21</v>
      </c>
      <c r="S116" s="734">
        <v>0.51</v>
      </c>
      <c r="T116" s="734">
        <v>29.7</v>
      </c>
      <c r="U116" s="734">
        <v>8</v>
      </c>
      <c r="V116" s="734">
        <v>200</v>
      </c>
      <c r="W116" s="734">
        <v>123</v>
      </c>
      <c r="X116" s="734">
        <v>4.0000000000000001E-3</v>
      </c>
      <c r="Y116" s="734">
        <v>8.9999999999999993E-3</v>
      </c>
      <c r="Z116" s="547">
        <v>110</v>
      </c>
      <c r="AA116" s="547">
        <f t="shared" si="12"/>
        <v>1.1000000000000001</v>
      </c>
      <c r="AB116" s="734">
        <v>35</v>
      </c>
      <c r="AC116" s="538"/>
      <c r="AD116" s="733" t="str">
        <f t="shared" si="14"/>
        <v>CHACRAS DE CORIA</v>
      </c>
      <c r="AE116" s="737">
        <v>22.9</v>
      </c>
      <c r="AF116" s="737">
        <v>21.8</v>
      </c>
      <c r="AG116" s="737">
        <v>19.2</v>
      </c>
      <c r="AH116" s="737">
        <v>14.9</v>
      </c>
      <c r="AI116" s="737">
        <v>10.8</v>
      </c>
      <c r="AJ116" s="737">
        <v>7.8</v>
      </c>
      <c r="AK116" s="737">
        <v>7.4</v>
      </c>
      <c r="AL116" s="737">
        <v>9.3000000000000007</v>
      </c>
      <c r="AM116" s="737">
        <v>12.6</v>
      </c>
      <c r="AN116" s="737">
        <v>16.100000000000001</v>
      </c>
      <c r="AO116" s="737">
        <v>19.600000000000001</v>
      </c>
      <c r="AP116" s="737">
        <v>22</v>
      </c>
      <c r="AQ116" s="538"/>
      <c r="AR116" s="733" t="str">
        <f t="shared" si="13"/>
        <v>MZ</v>
      </c>
      <c r="AS116" s="733" t="str">
        <f t="shared" si="15"/>
        <v>CHACRAS DE CORIA</v>
      </c>
      <c r="AT116" s="731">
        <v>7</v>
      </c>
      <c r="AU116" s="731">
        <v>6</v>
      </c>
      <c r="AV116" s="731">
        <v>5</v>
      </c>
      <c r="AW116" s="731">
        <v>4</v>
      </c>
      <c r="AX116" s="731">
        <v>3</v>
      </c>
      <c r="AY116" s="731">
        <v>2.5</v>
      </c>
      <c r="AZ116" s="731">
        <v>3</v>
      </c>
      <c r="BA116" s="731">
        <v>3.5</v>
      </c>
      <c r="BB116" s="731">
        <v>5</v>
      </c>
      <c r="BC116" s="731">
        <v>6</v>
      </c>
      <c r="BD116" s="731">
        <v>7</v>
      </c>
      <c r="BE116" s="731">
        <v>7.5</v>
      </c>
      <c r="BG116" s="733" t="str">
        <f t="shared" si="16"/>
        <v>MZ</v>
      </c>
      <c r="BH116" s="733" t="str">
        <f t="shared" si="17"/>
        <v>CHACRAS DE CORIA</v>
      </c>
      <c r="BI116" s="731">
        <v>34</v>
      </c>
      <c r="BJ116" s="731">
        <v>31</v>
      </c>
      <c r="BK116" s="731">
        <v>27</v>
      </c>
      <c r="BL116" s="731">
        <v>12</v>
      </c>
      <c r="BM116" s="731">
        <v>9</v>
      </c>
      <c r="BN116" s="731">
        <v>7</v>
      </c>
      <c r="BO116" s="731">
        <v>8</v>
      </c>
      <c r="BP116" s="731">
        <v>6</v>
      </c>
      <c r="BQ116" s="731">
        <v>11</v>
      </c>
      <c r="BR116" s="731">
        <v>20</v>
      </c>
      <c r="BS116" s="731">
        <v>21</v>
      </c>
      <c r="BT116" s="731">
        <v>27</v>
      </c>
      <c r="FQ116" s="727"/>
      <c r="FR116" s="727"/>
      <c r="FS116" s="727"/>
      <c r="FT116" s="727"/>
      <c r="FU116" s="727"/>
      <c r="FV116" s="727"/>
      <c r="FW116" s="727"/>
      <c r="FX116" s="727"/>
      <c r="FY116" s="727"/>
      <c r="FZ116" s="727"/>
      <c r="GA116" s="727"/>
      <c r="GB116" s="727"/>
      <c r="GC116" s="727"/>
      <c r="GD116" s="727"/>
      <c r="GE116" s="727"/>
    </row>
    <row r="117" spans="2:187" ht="16">
      <c r="B117" s="734" t="s">
        <v>140</v>
      </c>
      <c r="C117" s="733" t="s">
        <v>145</v>
      </c>
      <c r="D117" s="539">
        <v>33.299999999999997</v>
      </c>
      <c r="E117" s="539">
        <v>69.2</v>
      </c>
      <c r="F117" s="539">
        <v>750</v>
      </c>
      <c r="G117" s="539" t="s">
        <v>72</v>
      </c>
      <c r="H117" s="539">
        <v>-5.0999999999999996</v>
      </c>
      <c r="I117" s="539">
        <v>6.9</v>
      </c>
      <c r="J117" s="539">
        <v>23.2</v>
      </c>
      <c r="K117" s="539">
        <v>34.1</v>
      </c>
      <c r="L117" s="539">
        <v>52</v>
      </c>
      <c r="M117" s="539">
        <v>67</v>
      </c>
      <c r="N117" s="539">
        <v>52</v>
      </c>
      <c r="O117" s="539">
        <v>3</v>
      </c>
      <c r="P117" s="539">
        <v>32</v>
      </c>
      <c r="Q117" s="734">
        <v>4</v>
      </c>
      <c r="R117" s="539">
        <v>22.6</v>
      </c>
      <c r="S117" s="734">
        <v>0.51</v>
      </c>
      <c r="T117" s="734">
        <v>29.7</v>
      </c>
      <c r="U117" s="734">
        <v>8</v>
      </c>
      <c r="V117" s="734">
        <v>200</v>
      </c>
      <c r="W117" s="734">
        <v>123</v>
      </c>
      <c r="X117" s="734">
        <v>4.0000000000000001E-3</v>
      </c>
      <c r="Y117" s="734">
        <v>8.9999999999999993E-3</v>
      </c>
      <c r="Z117" s="547"/>
      <c r="AA117" s="547">
        <f t="shared" si="12"/>
        <v>0</v>
      </c>
      <c r="AB117" s="734">
        <v>35</v>
      </c>
      <c r="AC117" s="538"/>
      <c r="AD117" s="733" t="str">
        <f t="shared" si="14"/>
        <v>ING DAGOBERT SARDINA</v>
      </c>
      <c r="AE117" s="737">
        <v>23.6</v>
      </c>
      <c r="AF117" s="737">
        <v>22.4</v>
      </c>
      <c r="AG117" s="737">
        <v>19.899999999999999</v>
      </c>
      <c r="AH117" s="737">
        <v>15.4</v>
      </c>
      <c r="AI117" s="737">
        <v>11.5</v>
      </c>
      <c r="AJ117" s="737">
        <v>8.1999999999999993</v>
      </c>
      <c r="AK117" s="737">
        <v>7.8</v>
      </c>
      <c r="AL117" s="737">
        <v>10.1</v>
      </c>
      <c r="AM117" s="737">
        <v>13.2</v>
      </c>
      <c r="AN117" s="737">
        <v>16.899999999999999</v>
      </c>
      <c r="AO117" s="737">
        <v>20.100000000000001</v>
      </c>
      <c r="AP117" s="737">
        <v>22.6</v>
      </c>
      <c r="AQ117" s="538"/>
      <c r="AR117" s="733" t="str">
        <f t="shared" si="13"/>
        <v>MZ</v>
      </c>
      <c r="AS117" s="733" t="str">
        <f t="shared" si="15"/>
        <v>ING DAGOBERT SARDINA</v>
      </c>
      <c r="AT117" s="731"/>
      <c r="AU117" s="731"/>
      <c r="AV117" s="731"/>
      <c r="AW117" s="731"/>
      <c r="AX117" s="731"/>
      <c r="AY117" s="731"/>
      <c r="AZ117" s="731"/>
      <c r="BA117" s="731"/>
      <c r="BB117" s="731"/>
      <c r="BC117" s="731"/>
      <c r="BD117" s="731">
        <v>7</v>
      </c>
      <c r="BE117" s="731">
        <v>7.5</v>
      </c>
      <c r="BG117" s="733" t="str">
        <f t="shared" si="16"/>
        <v>MZ</v>
      </c>
      <c r="BH117" s="733" t="str">
        <f t="shared" si="17"/>
        <v>ING DAGOBERT SARDINA</v>
      </c>
      <c r="BI117" s="731">
        <v>34</v>
      </c>
      <c r="BJ117" s="731">
        <v>31</v>
      </c>
      <c r="BK117" s="731">
        <v>27</v>
      </c>
      <c r="BL117" s="731">
        <v>12</v>
      </c>
      <c r="BM117" s="731">
        <v>9</v>
      </c>
      <c r="BN117" s="731">
        <v>7</v>
      </c>
      <c r="BO117" s="731">
        <v>8</v>
      </c>
      <c r="BP117" s="731">
        <v>6</v>
      </c>
      <c r="BQ117" s="731">
        <v>11</v>
      </c>
      <c r="BR117" s="731">
        <v>20</v>
      </c>
      <c r="BS117" s="731">
        <v>21</v>
      </c>
      <c r="BT117" s="731">
        <v>27</v>
      </c>
      <c r="FQ117" s="727"/>
      <c r="FR117" s="727"/>
      <c r="FS117" s="727"/>
      <c r="FT117" s="727"/>
      <c r="FU117" s="727"/>
      <c r="FV117" s="727"/>
      <c r="FW117" s="727"/>
      <c r="FX117" s="727"/>
      <c r="FY117" s="727"/>
      <c r="FZ117" s="727"/>
      <c r="GA117" s="727"/>
      <c r="GB117" s="727"/>
      <c r="GC117" s="727"/>
      <c r="GD117" s="727"/>
      <c r="GE117" s="727"/>
    </row>
    <row r="118" spans="2:187" ht="16">
      <c r="B118" s="734" t="s">
        <v>140</v>
      </c>
      <c r="C118" s="733" t="s">
        <v>146</v>
      </c>
      <c r="D118" s="539">
        <v>35.5</v>
      </c>
      <c r="E118" s="539">
        <v>69.58</v>
      </c>
      <c r="F118" s="539">
        <v>1423</v>
      </c>
      <c r="G118" s="539" t="s">
        <v>106</v>
      </c>
      <c r="H118" s="539">
        <v>-9.6</v>
      </c>
      <c r="I118" s="539">
        <v>4.3</v>
      </c>
      <c r="J118" s="539">
        <v>18.7</v>
      </c>
      <c r="K118" s="539">
        <v>30.6</v>
      </c>
      <c r="L118" s="539">
        <v>49</v>
      </c>
      <c r="M118" s="539">
        <v>65</v>
      </c>
      <c r="N118" s="539">
        <v>49</v>
      </c>
      <c r="O118" s="539">
        <v>20</v>
      </c>
      <c r="P118" s="539">
        <v>17</v>
      </c>
      <c r="Q118" s="734">
        <v>5</v>
      </c>
      <c r="R118" s="539">
        <v>17.899999999999999</v>
      </c>
      <c r="S118" s="734">
        <v>0.53</v>
      </c>
      <c r="T118" s="734">
        <v>29.7</v>
      </c>
      <c r="U118" s="734">
        <v>8</v>
      </c>
      <c r="V118" s="734">
        <v>200</v>
      </c>
      <c r="W118" s="734">
        <v>123</v>
      </c>
      <c r="X118" s="734">
        <v>4.0000000000000001E-3</v>
      </c>
      <c r="Y118" s="734">
        <v>8.9999999999999993E-3</v>
      </c>
      <c r="Z118" s="547">
        <v>105</v>
      </c>
      <c r="AA118" s="547">
        <f t="shared" si="12"/>
        <v>1.05</v>
      </c>
      <c r="AB118" s="734">
        <v>35</v>
      </c>
      <c r="AC118" s="538"/>
      <c r="AD118" s="733" t="str">
        <f t="shared" si="14"/>
        <v>MALARGUE</v>
      </c>
      <c r="AE118" s="737">
        <v>19.100000000000001</v>
      </c>
      <c r="AF118" s="737">
        <v>18.3</v>
      </c>
      <c r="AG118" s="737">
        <v>15.6</v>
      </c>
      <c r="AH118" s="737">
        <v>11.5</v>
      </c>
      <c r="AI118" s="737">
        <v>7.8</v>
      </c>
      <c r="AJ118" s="737">
        <v>4.8</v>
      </c>
      <c r="AK118" s="737">
        <v>4.0999999999999996</v>
      </c>
      <c r="AL118" s="737">
        <v>5.8</v>
      </c>
      <c r="AM118" s="737">
        <v>8.1</v>
      </c>
      <c r="AN118" s="737">
        <v>11.7</v>
      </c>
      <c r="AO118" s="737">
        <v>15</v>
      </c>
      <c r="AP118" s="737">
        <v>17.7</v>
      </c>
      <c r="AQ118" s="538"/>
      <c r="AR118" s="733" t="str">
        <f t="shared" si="13"/>
        <v>MZ</v>
      </c>
      <c r="AS118" s="733" t="str">
        <f t="shared" si="15"/>
        <v>MALARGUE</v>
      </c>
      <c r="AT118" s="731">
        <v>7.5</v>
      </c>
      <c r="AU118" s="731">
        <v>6.5</v>
      </c>
      <c r="AV118" s="731">
        <v>5</v>
      </c>
      <c r="AW118" s="731">
        <v>3.5</v>
      </c>
      <c r="AX118" s="731">
        <v>2.5</v>
      </c>
      <c r="AY118" s="731">
        <v>2</v>
      </c>
      <c r="AZ118" s="731">
        <v>2.5</v>
      </c>
      <c r="BA118" s="731">
        <v>3</v>
      </c>
      <c r="BB118" s="731">
        <v>4.5</v>
      </c>
      <c r="BC118" s="731">
        <v>6</v>
      </c>
      <c r="BD118" s="731">
        <v>7</v>
      </c>
      <c r="BE118" s="731">
        <v>7.5</v>
      </c>
      <c r="BG118" s="733" t="str">
        <f t="shared" si="16"/>
        <v>MZ</v>
      </c>
      <c r="BH118" s="733" t="str">
        <f t="shared" si="17"/>
        <v>MALARGUE</v>
      </c>
      <c r="BI118" s="731">
        <v>34</v>
      </c>
      <c r="BJ118" s="731">
        <v>31</v>
      </c>
      <c r="BK118" s="731">
        <v>27</v>
      </c>
      <c r="BL118" s="731">
        <v>12</v>
      </c>
      <c r="BM118" s="731">
        <v>9</v>
      </c>
      <c r="BN118" s="731">
        <v>7</v>
      </c>
      <c r="BO118" s="731">
        <v>8</v>
      </c>
      <c r="BP118" s="731">
        <v>6</v>
      </c>
      <c r="BQ118" s="731">
        <v>11</v>
      </c>
      <c r="BR118" s="731">
        <v>20</v>
      </c>
      <c r="BS118" s="731">
        <v>21</v>
      </c>
      <c r="BT118" s="731">
        <v>27</v>
      </c>
      <c r="FQ118" s="727"/>
      <c r="FR118" s="727"/>
      <c r="FS118" s="727"/>
      <c r="FT118" s="727"/>
      <c r="FU118" s="727"/>
      <c r="FV118" s="727"/>
      <c r="FW118" s="727"/>
      <c r="FX118" s="727"/>
      <c r="FY118" s="727"/>
      <c r="FZ118" s="727"/>
      <c r="GA118" s="727"/>
      <c r="GB118" s="727"/>
      <c r="GC118" s="727"/>
      <c r="GD118" s="727"/>
      <c r="GE118" s="727"/>
    </row>
    <row r="119" spans="2:187" ht="16">
      <c r="B119" s="734" t="s">
        <v>140</v>
      </c>
      <c r="C119" s="733" t="s">
        <v>147</v>
      </c>
      <c r="D119" s="539">
        <v>32.83</v>
      </c>
      <c r="E119" s="539">
        <v>68.78</v>
      </c>
      <c r="F119" s="539">
        <v>704</v>
      </c>
      <c r="G119" s="539" t="s">
        <v>72</v>
      </c>
      <c r="H119" s="539">
        <v>-3.1</v>
      </c>
      <c r="I119" s="539">
        <v>8.3000000000000007</v>
      </c>
      <c r="J119" s="539">
        <v>24.2</v>
      </c>
      <c r="K119" s="539">
        <v>35.200000000000003</v>
      </c>
      <c r="L119" s="539">
        <v>50</v>
      </c>
      <c r="M119" s="539">
        <v>58</v>
      </c>
      <c r="N119" s="539">
        <v>51</v>
      </c>
      <c r="O119" s="539">
        <v>4</v>
      </c>
      <c r="P119" s="539">
        <v>23</v>
      </c>
      <c r="Q119" s="734">
        <v>4</v>
      </c>
      <c r="R119" s="539">
        <v>23.8</v>
      </c>
      <c r="S119" s="734">
        <v>0.51</v>
      </c>
      <c r="T119" s="734">
        <v>29.7</v>
      </c>
      <c r="U119" s="734">
        <v>8</v>
      </c>
      <c r="V119" s="734">
        <v>200</v>
      </c>
      <c r="W119" s="734">
        <v>123</v>
      </c>
      <c r="X119" s="734">
        <v>4.0000000000000001E-3</v>
      </c>
      <c r="Y119" s="734">
        <v>8.9999999999999993E-3</v>
      </c>
      <c r="Z119" s="547">
        <v>110</v>
      </c>
      <c r="AA119" s="547">
        <f t="shared" si="12"/>
        <v>1.1000000000000001</v>
      </c>
      <c r="AB119" s="734">
        <v>35</v>
      </c>
      <c r="AC119" s="538"/>
      <c r="AD119" s="733" t="str">
        <f t="shared" si="14"/>
        <v>MENDOZA AERO</v>
      </c>
      <c r="AE119" s="737">
        <v>23.6</v>
      </c>
      <c r="AF119" s="737">
        <v>22.7</v>
      </c>
      <c r="AG119" s="737">
        <v>19.5</v>
      </c>
      <c r="AH119" s="737">
        <v>16.399999999999999</v>
      </c>
      <c r="AI119" s="737">
        <v>12.1</v>
      </c>
      <c r="AJ119" s="737">
        <v>8</v>
      </c>
      <c r="AK119" s="737">
        <v>7.8</v>
      </c>
      <c r="AL119" s="737">
        <v>10.5</v>
      </c>
      <c r="AM119" s="737">
        <v>13</v>
      </c>
      <c r="AN119" s="737">
        <v>16.8</v>
      </c>
      <c r="AO119" s="737">
        <v>20.3</v>
      </c>
      <c r="AP119" s="737">
        <v>22.5</v>
      </c>
      <c r="AQ119" s="538"/>
      <c r="AR119" s="733" t="str">
        <f t="shared" si="13"/>
        <v>MZ</v>
      </c>
      <c r="AS119" s="733" t="str">
        <f t="shared" si="15"/>
        <v>MENDOZA AERO</v>
      </c>
      <c r="AT119" s="731">
        <v>7</v>
      </c>
      <c r="AU119" s="731">
        <v>6</v>
      </c>
      <c r="AV119" s="731">
        <v>5.5</v>
      </c>
      <c r="AW119" s="731">
        <v>4</v>
      </c>
      <c r="AX119" s="731">
        <v>3</v>
      </c>
      <c r="AY119" s="731">
        <v>2</v>
      </c>
      <c r="AZ119" s="731">
        <v>3</v>
      </c>
      <c r="BA119" s="731">
        <v>3.5</v>
      </c>
      <c r="BB119" s="731">
        <v>5</v>
      </c>
      <c r="BC119" s="731">
        <v>6</v>
      </c>
      <c r="BD119" s="731">
        <v>7</v>
      </c>
      <c r="BE119" s="731">
        <v>7.5</v>
      </c>
      <c r="BG119" s="733" t="str">
        <f t="shared" si="16"/>
        <v>MZ</v>
      </c>
      <c r="BH119" s="733" t="str">
        <f t="shared" si="17"/>
        <v>MENDOZA AERO</v>
      </c>
      <c r="BI119" s="731">
        <v>34</v>
      </c>
      <c r="BJ119" s="731">
        <v>31</v>
      </c>
      <c r="BK119" s="731">
        <v>27</v>
      </c>
      <c r="BL119" s="731">
        <v>12</v>
      </c>
      <c r="BM119" s="731">
        <v>9</v>
      </c>
      <c r="BN119" s="731">
        <v>7</v>
      </c>
      <c r="BO119" s="731">
        <v>8</v>
      </c>
      <c r="BP119" s="731">
        <v>6</v>
      </c>
      <c r="BQ119" s="731">
        <v>11</v>
      </c>
      <c r="BR119" s="731">
        <v>20</v>
      </c>
      <c r="BS119" s="731">
        <v>21</v>
      </c>
      <c r="BT119" s="731">
        <v>27</v>
      </c>
      <c r="FQ119" s="1272" t="s">
        <v>2087</v>
      </c>
      <c r="FR119" s="1272"/>
      <c r="FS119" s="727"/>
      <c r="FT119" s="727"/>
      <c r="FU119" s="727"/>
      <c r="FV119" s="727"/>
      <c r="FW119" s="727"/>
      <c r="FX119" s="727"/>
      <c r="FY119" s="727"/>
      <c r="FZ119" s="727"/>
      <c r="GA119" s="727"/>
      <c r="GB119" s="727"/>
      <c r="GC119" s="727"/>
      <c r="GD119" s="727"/>
      <c r="GE119" s="727"/>
    </row>
    <row r="120" spans="2:187" ht="17" customHeight="1">
      <c r="B120" s="734" t="s">
        <v>140</v>
      </c>
      <c r="C120" s="733" t="s">
        <v>148</v>
      </c>
      <c r="D120" s="539">
        <v>32.880000000000003</v>
      </c>
      <c r="E120" s="539">
        <v>68.849999999999994</v>
      </c>
      <c r="F120" s="539">
        <v>828</v>
      </c>
      <c r="G120" s="539" t="s">
        <v>72</v>
      </c>
      <c r="H120" s="539">
        <v>-1.2</v>
      </c>
      <c r="I120" s="539">
        <v>8.8000000000000007</v>
      </c>
      <c r="J120" s="539">
        <v>22.9</v>
      </c>
      <c r="K120" s="539">
        <v>33</v>
      </c>
      <c r="L120" s="539">
        <v>54</v>
      </c>
      <c r="M120" s="539">
        <v>60</v>
      </c>
      <c r="N120" s="539">
        <v>50</v>
      </c>
      <c r="O120" s="539">
        <v>2</v>
      </c>
      <c r="P120" s="539">
        <v>29</v>
      </c>
      <c r="Q120" s="734">
        <v>4</v>
      </c>
      <c r="R120" s="539">
        <v>23.2</v>
      </c>
      <c r="S120" s="734">
        <v>0.51</v>
      </c>
      <c r="T120" s="734">
        <v>29.7</v>
      </c>
      <c r="U120" s="734">
        <v>8</v>
      </c>
      <c r="V120" s="734">
        <v>200</v>
      </c>
      <c r="W120" s="734">
        <v>123</v>
      </c>
      <c r="X120" s="734">
        <v>4.0000000000000001E-3</v>
      </c>
      <c r="Y120" s="734">
        <v>8.9999999999999993E-3</v>
      </c>
      <c r="Z120" s="547">
        <v>110</v>
      </c>
      <c r="AA120" s="547">
        <f t="shared" si="12"/>
        <v>1.1000000000000001</v>
      </c>
      <c r="AB120" s="734">
        <v>35</v>
      </c>
      <c r="AC120" s="538"/>
      <c r="AD120" s="733" t="str">
        <f t="shared" si="14"/>
        <v>MENDOZA</v>
      </c>
      <c r="AE120" s="737">
        <v>24</v>
      </c>
      <c r="AF120" s="737">
        <v>22.8</v>
      </c>
      <c r="AG120" s="737">
        <v>20.2</v>
      </c>
      <c r="AH120" s="737">
        <v>15.9</v>
      </c>
      <c r="AI120" s="737">
        <v>11.9</v>
      </c>
      <c r="AJ120" s="737">
        <v>8.5</v>
      </c>
      <c r="AK120" s="737">
        <v>8.1</v>
      </c>
      <c r="AL120" s="737">
        <v>10.4</v>
      </c>
      <c r="AM120" s="737">
        <v>13.5</v>
      </c>
      <c r="AN120" s="737">
        <v>17.2</v>
      </c>
      <c r="AO120" s="737">
        <v>20.7</v>
      </c>
      <c r="AP120" s="737">
        <v>23.2</v>
      </c>
      <c r="AQ120" s="538"/>
      <c r="AR120" s="733" t="str">
        <f t="shared" si="13"/>
        <v>MZ</v>
      </c>
      <c r="AS120" s="733" t="str">
        <f t="shared" si="15"/>
        <v>MENDOZA</v>
      </c>
      <c r="AT120" s="731">
        <v>7</v>
      </c>
      <c r="AU120" s="731">
        <v>6</v>
      </c>
      <c r="AV120" s="731">
        <v>5.5</v>
      </c>
      <c r="AW120" s="731">
        <v>4</v>
      </c>
      <c r="AX120" s="731">
        <v>3</v>
      </c>
      <c r="AY120" s="731">
        <v>2</v>
      </c>
      <c r="AZ120" s="731">
        <v>3</v>
      </c>
      <c r="BA120" s="731">
        <v>3.5</v>
      </c>
      <c r="BB120" s="731">
        <v>5</v>
      </c>
      <c r="BC120" s="731">
        <v>6</v>
      </c>
      <c r="BD120" s="731">
        <v>7</v>
      </c>
      <c r="BE120" s="731">
        <v>7.5</v>
      </c>
      <c r="BG120" s="733" t="str">
        <f t="shared" si="16"/>
        <v>MZ</v>
      </c>
      <c r="BH120" s="733" t="str">
        <f t="shared" si="17"/>
        <v>MENDOZA</v>
      </c>
      <c r="BI120" s="731">
        <v>34</v>
      </c>
      <c r="BJ120" s="731">
        <v>31</v>
      </c>
      <c r="BK120" s="731">
        <v>27</v>
      </c>
      <c r="BL120" s="731">
        <v>12</v>
      </c>
      <c r="BM120" s="731">
        <v>9</v>
      </c>
      <c r="BN120" s="731">
        <v>7</v>
      </c>
      <c r="BO120" s="731">
        <v>8</v>
      </c>
      <c r="BP120" s="731">
        <v>6</v>
      </c>
      <c r="BQ120" s="731">
        <v>11</v>
      </c>
      <c r="BR120" s="731">
        <v>20</v>
      </c>
      <c r="BS120" s="731">
        <v>21</v>
      </c>
      <c r="BT120" s="731">
        <v>27</v>
      </c>
      <c r="FQ120" s="727"/>
      <c r="FR120" s="727"/>
      <c r="FS120" s="727"/>
      <c r="FT120" s="727"/>
      <c r="FU120" s="727"/>
      <c r="FV120" s="727"/>
      <c r="FW120" s="727"/>
      <c r="FX120" s="727"/>
      <c r="FY120" s="727"/>
      <c r="FZ120" s="727"/>
      <c r="GA120" s="727"/>
      <c r="GB120" s="727"/>
      <c r="GC120" s="727"/>
      <c r="GD120" s="727"/>
      <c r="GE120" s="727"/>
    </row>
    <row r="121" spans="2:187" ht="16">
      <c r="B121" s="734" t="s">
        <v>140</v>
      </c>
      <c r="C121" s="733" t="s">
        <v>149</v>
      </c>
      <c r="D121" s="539">
        <v>32.82</v>
      </c>
      <c r="E121" s="539">
        <v>69.900000000000006</v>
      </c>
      <c r="F121" s="539">
        <v>2720</v>
      </c>
      <c r="G121" s="539" t="s">
        <v>108</v>
      </c>
      <c r="H121" s="539">
        <v>-7.9</v>
      </c>
      <c r="I121" s="539">
        <v>0.9</v>
      </c>
      <c r="J121" s="539">
        <v>20.399999999999999</v>
      </c>
      <c r="K121" s="539">
        <v>31.5</v>
      </c>
      <c r="L121" s="539">
        <v>36</v>
      </c>
      <c r="M121" s="539">
        <v>50</v>
      </c>
      <c r="N121" s="539">
        <v>36</v>
      </c>
      <c r="O121" s="539">
        <v>57</v>
      </c>
      <c r="P121" s="539">
        <v>26</v>
      </c>
      <c r="Q121" s="734">
        <v>6</v>
      </c>
      <c r="R121" s="539">
        <v>19.399999999999999</v>
      </c>
      <c r="S121" s="734">
        <v>0.51</v>
      </c>
      <c r="T121" s="734">
        <v>29.7</v>
      </c>
      <c r="U121" s="734">
        <v>8</v>
      </c>
      <c r="V121" s="734">
        <v>200</v>
      </c>
      <c r="W121" s="734">
        <v>123</v>
      </c>
      <c r="X121" s="734">
        <v>4.0000000000000001E-3</v>
      </c>
      <c r="Y121" s="734">
        <v>8.9999999999999993E-3</v>
      </c>
      <c r="Z121" s="547">
        <v>95</v>
      </c>
      <c r="AA121" s="547">
        <f t="shared" si="12"/>
        <v>0.95000000000000007</v>
      </c>
      <c r="AB121" s="734">
        <v>35</v>
      </c>
      <c r="AC121" s="538"/>
      <c r="AD121" s="733" t="str">
        <f t="shared" si="14"/>
        <v>PUENTE DEL INCA</v>
      </c>
      <c r="AE121" s="737">
        <v>12.5</v>
      </c>
      <c r="AF121" s="737">
        <v>12.6</v>
      </c>
      <c r="AG121" s="737">
        <v>10.9</v>
      </c>
      <c r="AH121" s="737">
        <v>7.6</v>
      </c>
      <c r="AI121" s="737">
        <v>3.2</v>
      </c>
      <c r="AJ121" s="737">
        <v>-0.4</v>
      </c>
      <c r="AK121" s="737">
        <v>0.3</v>
      </c>
      <c r="AL121" s="737">
        <v>1.8</v>
      </c>
      <c r="AM121" s="737">
        <v>3.3</v>
      </c>
      <c r="AN121" s="737">
        <v>4.7</v>
      </c>
      <c r="AO121" s="737">
        <v>8.9</v>
      </c>
      <c r="AP121" s="737">
        <v>11.3</v>
      </c>
      <c r="AQ121" s="538"/>
      <c r="AR121" s="733" t="str">
        <f t="shared" si="13"/>
        <v>MZ</v>
      </c>
      <c r="AS121" s="733" t="str">
        <f t="shared" si="15"/>
        <v>PUENTE DEL INCA</v>
      </c>
      <c r="AT121" s="731">
        <v>7.5</v>
      </c>
      <c r="AU121" s="731">
        <v>6.5</v>
      </c>
      <c r="AV121" s="731">
        <v>5.5</v>
      </c>
      <c r="AW121" s="731">
        <v>4</v>
      </c>
      <c r="AX121" s="731">
        <v>3</v>
      </c>
      <c r="AY121" s="731">
        <v>2</v>
      </c>
      <c r="AZ121" s="731">
        <v>2.5</v>
      </c>
      <c r="BA121" s="731">
        <v>3.5</v>
      </c>
      <c r="BB121" s="731">
        <v>5</v>
      </c>
      <c r="BC121" s="731">
        <v>6</v>
      </c>
      <c r="BD121" s="731">
        <v>7</v>
      </c>
      <c r="BE121" s="731">
        <v>7.5</v>
      </c>
      <c r="BG121" s="733" t="str">
        <f t="shared" si="16"/>
        <v>MZ</v>
      </c>
      <c r="BH121" s="733" t="str">
        <f t="shared" si="17"/>
        <v>PUENTE DEL INCA</v>
      </c>
      <c r="BI121" s="731">
        <v>34</v>
      </c>
      <c r="BJ121" s="731">
        <v>31</v>
      </c>
      <c r="BK121" s="731">
        <v>27</v>
      </c>
      <c r="BL121" s="731">
        <v>12</v>
      </c>
      <c r="BM121" s="731">
        <v>9</v>
      </c>
      <c r="BN121" s="731">
        <v>7</v>
      </c>
      <c r="BO121" s="731">
        <v>8</v>
      </c>
      <c r="BP121" s="731">
        <v>6</v>
      </c>
      <c r="BQ121" s="731">
        <v>11</v>
      </c>
      <c r="BR121" s="731">
        <v>20</v>
      </c>
      <c r="BS121" s="731">
        <v>21</v>
      </c>
      <c r="BT121" s="731">
        <v>27</v>
      </c>
      <c r="FQ121" s="727"/>
      <c r="FR121" s="727"/>
      <c r="FS121" s="727"/>
      <c r="FT121" s="727"/>
      <c r="FU121" s="727"/>
      <c r="FV121" s="727"/>
      <c r="FW121" s="727"/>
      <c r="FX121" s="727"/>
      <c r="FY121" s="727"/>
      <c r="FZ121" s="727"/>
      <c r="GA121" s="727"/>
      <c r="GB121" s="727"/>
      <c r="GC121" s="727"/>
      <c r="GD121" s="727"/>
      <c r="GE121" s="727"/>
    </row>
    <row r="122" spans="2:187">
      <c r="B122" s="734" t="s">
        <v>140</v>
      </c>
      <c r="C122" s="733" t="s">
        <v>150</v>
      </c>
      <c r="D122" s="539">
        <v>33.770000000000003</v>
      </c>
      <c r="E122" s="539">
        <v>69.03</v>
      </c>
      <c r="F122" s="539">
        <v>940</v>
      </c>
      <c r="G122" s="539" t="s">
        <v>61</v>
      </c>
      <c r="H122" s="539">
        <v>-6.5</v>
      </c>
      <c r="I122" s="539">
        <v>5.9</v>
      </c>
      <c r="J122" s="539">
        <v>20.399999999999999</v>
      </c>
      <c r="K122" s="539">
        <v>32.799999999999997</v>
      </c>
      <c r="L122" s="539">
        <v>53</v>
      </c>
      <c r="M122" s="539">
        <v>67</v>
      </c>
      <c r="N122" s="539">
        <v>53</v>
      </c>
      <c r="O122" s="539">
        <v>9</v>
      </c>
      <c r="P122" s="539">
        <v>31</v>
      </c>
      <c r="Q122" s="734">
        <v>4</v>
      </c>
      <c r="R122" s="539">
        <v>19.600000000000001</v>
      </c>
      <c r="S122" s="734">
        <v>0.51</v>
      </c>
      <c r="T122" s="734">
        <v>29.7</v>
      </c>
      <c r="U122" s="734">
        <v>8</v>
      </c>
      <c r="V122" s="734">
        <v>200</v>
      </c>
      <c r="W122" s="734">
        <v>123</v>
      </c>
      <c r="X122" s="734">
        <v>4.0000000000000001E-3</v>
      </c>
      <c r="Y122" s="734">
        <v>8.9999999999999993E-3</v>
      </c>
      <c r="Z122" s="547">
        <v>130</v>
      </c>
      <c r="AA122" s="547">
        <f t="shared" si="12"/>
        <v>1.3</v>
      </c>
      <c r="AB122" s="734">
        <v>35</v>
      </c>
      <c r="AC122" s="538"/>
      <c r="AD122" s="733" t="str">
        <f t="shared" si="14"/>
        <v>SAN CARLOS</v>
      </c>
      <c r="AE122" s="737">
        <v>20.6</v>
      </c>
      <c r="AF122" s="737">
        <v>19.7</v>
      </c>
      <c r="AG122" s="737">
        <v>17.399999999999999</v>
      </c>
      <c r="AH122" s="737">
        <v>12.7</v>
      </c>
      <c r="AI122" s="737">
        <v>8.9</v>
      </c>
      <c r="AJ122" s="737">
        <v>5.9</v>
      </c>
      <c r="AK122" s="737">
        <v>5.8</v>
      </c>
      <c r="AL122" s="737">
        <v>7.4</v>
      </c>
      <c r="AM122" s="737">
        <v>10.199999999999999</v>
      </c>
      <c r="AN122" s="737">
        <v>13.4</v>
      </c>
      <c r="AO122" s="737">
        <v>17.600000000000001</v>
      </c>
      <c r="AP122" s="737">
        <v>19.600000000000001</v>
      </c>
      <c r="AQ122" s="538"/>
      <c r="AR122" s="733" t="str">
        <f t="shared" si="13"/>
        <v>MZ</v>
      </c>
      <c r="AS122" s="733" t="str">
        <f t="shared" si="15"/>
        <v>SAN CARLOS</v>
      </c>
      <c r="AT122" s="731">
        <v>7</v>
      </c>
      <c r="AU122" s="731">
        <v>6</v>
      </c>
      <c r="AV122" s="731">
        <v>5.5</v>
      </c>
      <c r="AW122" s="731">
        <v>4</v>
      </c>
      <c r="AX122" s="731">
        <v>3</v>
      </c>
      <c r="AY122" s="731">
        <v>2</v>
      </c>
      <c r="AZ122" s="731">
        <v>2.5</v>
      </c>
      <c r="BA122" s="731">
        <v>3.5</v>
      </c>
      <c r="BB122" s="731">
        <v>4.5</v>
      </c>
      <c r="BC122" s="731">
        <v>6</v>
      </c>
      <c r="BD122" s="731">
        <v>7</v>
      </c>
      <c r="BE122" s="731">
        <v>7.5</v>
      </c>
      <c r="BG122" s="733" t="str">
        <f t="shared" si="16"/>
        <v>MZ</v>
      </c>
      <c r="BH122" s="733" t="str">
        <f t="shared" si="17"/>
        <v>SAN CARLOS</v>
      </c>
      <c r="BI122" s="731">
        <v>34</v>
      </c>
      <c r="BJ122" s="731">
        <v>31</v>
      </c>
      <c r="BK122" s="731">
        <v>27</v>
      </c>
      <c r="BL122" s="731">
        <v>12</v>
      </c>
      <c r="BM122" s="731">
        <v>9</v>
      </c>
      <c r="BN122" s="731">
        <v>7</v>
      </c>
      <c r="BO122" s="731">
        <v>8</v>
      </c>
      <c r="BP122" s="731">
        <v>6</v>
      </c>
      <c r="BQ122" s="731">
        <v>11</v>
      </c>
      <c r="BR122" s="731">
        <v>20</v>
      </c>
      <c r="BS122" s="731">
        <v>21</v>
      </c>
      <c r="BT122" s="731">
        <v>27</v>
      </c>
    </row>
    <row r="123" spans="2:187">
      <c r="B123" s="734" t="s">
        <v>140</v>
      </c>
      <c r="C123" s="733" t="s">
        <v>151</v>
      </c>
      <c r="D123" s="539">
        <v>33.08</v>
      </c>
      <c r="E123" s="539">
        <v>68.42</v>
      </c>
      <c r="F123" s="539">
        <v>653</v>
      </c>
      <c r="G123" s="539" t="s">
        <v>42</v>
      </c>
      <c r="H123" s="539">
        <v>-4.0999999999999996</v>
      </c>
      <c r="I123" s="539">
        <v>7.9</v>
      </c>
      <c r="J123" s="539">
        <v>23.1</v>
      </c>
      <c r="K123" s="539">
        <v>35.200000000000003</v>
      </c>
      <c r="L123" s="539">
        <v>54</v>
      </c>
      <c r="M123" s="539">
        <v>62</v>
      </c>
      <c r="N123" s="539">
        <v>54</v>
      </c>
      <c r="O123" s="539">
        <v>2</v>
      </c>
      <c r="P123" s="539">
        <v>28</v>
      </c>
      <c r="Q123" s="734">
        <v>3</v>
      </c>
      <c r="R123" s="539">
        <v>23.2</v>
      </c>
      <c r="S123" s="734">
        <v>0.51</v>
      </c>
      <c r="T123" s="734">
        <v>29.7</v>
      </c>
      <c r="U123" s="734">
        <v>8</v>
      </c>
      <c r="V123" s="734">
        <v>200</v>
      </c>
      <c r="W123" s="734">
        <v>123</v>
      </c>
      <c r="X123" s="734">
        <v>4.0000000000000001E-3</v>
      </c>
      <c r="Y123" s="734">
        <v>8.9999999999999993E-3</v>
      </c>
      <c r="Z123" s="547">
        <v>145</v>
      </c>
      <c r="AA123" s="547">
        <f t="shared" si="12"/>
        <v>1.45</v>
      </c>
      <c r="AB123" s="734">
        <v>35</v>
      </c>
      <c r="AC123" s="538"/>
      <c r="AD123" s="733" t="str">
        <f t="shared" si="14"/>
        <v>SAN MARTIN</v>
      </c>
      <c r="AE123" s="737">
        <v>15.8</v>
      </c>
      <c r="AF123" s="737">
        <v>15.4</v>
      </c>
      <c r="AG123" s="737">
        <v>13.2</v>
      </c>
      <c r="AH123" s="737">
        <v>9.8000000000000007</v>
      </c>
      <c r="AI123" s="737">
        <v>7.1</v>
      </c>
      <c r="AJ123" s="737">
        <v>4.7</v>
      </c>
      <c r="AK123" s="737">
        <v>4.3</v>
      </c>
      <c r="AL123" s="737">
        <v>4.8</v>
      </c>
      <c r="AM123" s="737">
        <v>6.5</v>
      </c>
      <c r="AN123" s="737">
        <v>9.5</v>
      </c>
      <c r="AO123" s="737">
        <v>12.2</v>
      </c>
      <c r="AP123" s="737">
        <v>14.6</v>
      </c>
      <c r="AQ123" s="538"/>
      <c r="AR123" s="733" t="str">
        <f t="shared" si="13"/>
        <v>MZ</v>
      </c>
      <c r="AS123" s="733" t="str">
        <f t="shared" si="15"/>
        <v>SAN MARTIN</v>
      </c>
      <c r="AT123" s="731">
        <v>7</v>
      </c>
      <c r="AU123" s="731">
        <v>6</v>
      </c>
      <c r="AV123" s="731">
        <v>5</v>
      </c>
      <c r="AW123" s="731">
        <v>4</v>
      </c>
      <c r="AX123" s="731">
        <v>3</v>
      </c>
      <c r="AY123" s="731">
        <v>2.5</v>
      </c>
      <c r="AZ123" s="731">
        <v>3</v>
      </c>
      <c r="BA123" s="731">
        <v>3.5</v>
      </c>
      <c r="BB123" s="731">
        <v>4.5</v>
      </c>
      <c r="BC123" s="731">
        <v>5.5</v>
      </c>
      <c r="BD123" s="731">
        <v>7</v>
      </c>
      <c r="BE123" s="731">
        <v>7.5</v>
      </c>
      <c r="BG123" s="733" t="str">
        <f t="shared" si="16"/>
        <v>MZ</v>
      </c>
      <c r="BH123" s="733" t="str">
        <f t="shared" si="17"/>
        <v>SAN MARTIN</v>
      </c>
      <c r="BI123" s="731">
        <v>34</v>
      </c>
      <c r="BJ123" s="731">
        <v>31</v>
      </c>
      <c r="BK123" s="731">
        <v>27</v>
      </c>
      <c r="BL123" s="731">
        <v>12</v>
      </c>
      <c r="BM123" s="731">
        <v>9</v>
      </c>
      <c r="BN123" s="731">
        <v>7</v>
      </c>
      <c r="BO123" s="731">
        <v>8</v>
      </c>
      <c r="BP123" s="731">
        <v>6</v>
      </c>
      <c r="BQ123" s="731">
        <v>11</v>
      </c>
      <c r="BR123" s="731">
        <v>20</v>
      </c>
      <c r="BS123" s="731">
        <v>21</v>
      </c>
      <c r="BT123" s="731">
        <v>27</v>
      </c>
    </row>
    <row r="124" spans="2:187">
      <c r="B124" s="734" t="s">
        <v>140</v>
      </c>
      <c r="C124" s="733" t="s">
        <v>152</v>
      </c>
      <c r="D124" s="539">
        <v>34.58</v>
      </c>
      <c r="E124" s="539">
        <v>68.400000000000006</v>
      </c>
      <c r="F124" s="539">
        <v>748</v>
      </c>
      <c r="G124" s="539" t="s">
        <v>61</v>
      </c>
      <c r="H124" s="539">
        <v>-3.2</v>
      </c>
      <c r="I124" s="539">
        <v>8.1</v>
      </c>
      <c r="J124" s="539">
        <v>22.5</v>
      </c>
      <c r="K124" s="539">
        <v>33.700000000000003</v>
      </c>
      <c r="L124" s="539">
        <v>50</v>
      </c>
      <c r="M124" s="539">
        <v>61</v>
      </c>
      <c r="N124" s="539">
        <v>50</v>
      </c>
      <c r="O124" s="539">
        <v>5</v>
      </c>
      <c r="P124" s="539">
        <v>39</v>
      </c>
      <c r="Q124" s="734">
        <v>4</v>
      </c>
      <c r="R124" s="539">
        <v>21.5</v>
      </c>
      <c r="S124" s="734">
        <v>0.53</v>
      </c>
      <c r="T124" s="734">
        <v>29.7</v>
      </c>
      <c r="U124" s="734">
        <v>8</v>
      </c>
      <c r="V124" s="734">
        <v>200</v>
      </c>
      <c r="W124" s="734">
        <v>123</v>
      </c>
      <c r="X124" s="734">
        <v>4.0000000000000001E-3</v>
      </c>
      <c r="Y124" s="734">
        <v>8.9999999999999993E-3</v>
      </c>
      <c r="Z124" s="547">
        <v>130</v>
      </c>
      <c r="AA124" s="547">
        <f t="shared" si="12"/>
        <v>1.3</v>
      </c>
      <c r="AB124" s="734">
        <v>35</v>
      </c>
      <c r="AC124" s="538"/>
      <c r="AD124" s="733" t="str">
        <f t="shared" si="14"/>
        <v>SAN RAFAEL</v>
      </c>
      <c r="AE124" s="737">
        <v>23</v>
      </c>
      <c r="AF124" s="737">
        <v>22.5</v>
      </c>
      <c r="AG124" s="737">
        <v>19.3</v>
      </c>
      <c r="AH124" s="737">
        <v>13.7</v>
      </c>
      <c r="AI124" s="737">
        <v>10.1</v>
      </c>
      <c r="AJ124" s="737">
        <v>7</v>
      </c>
      <c r="AK124" s="737">
        <v>7.3</v>
      </c>
      <c r="AL124" s="737">
        <v>8.8000000000000007</v>
      </c>
      <c r="AM124" s="737">
        <v>11.9</v>
      </c>
      <c r="AN124" s="737">
        <v>15.3</v>
      </c>
      <c r="AO124" s="737">
        <v>19.399999999999999</v>
      </c>
      <c r="AP124" s="737">
        <v>21.6</v>
      </c>
      <c r="AQ124" s="538"/>
      <c r="AR124" s="733" t="str">
        <f t="shared" si="13"/>
        <v>MZ</v>
      </c>
      <c r="AS124" s="733" t="str">
        <f t="shared" si="15"/>
        <v>SAN RAFAEL</v>
      </c>
      <c r="AT124" s="731">
        <v>7</v>
      </c>
      <c r="AU124" s="731">
        <v>6</v>
      </c>
      <c r="AV124" s="731">
        <v>5</v>
      </c>
      <c r="AW124" s="731">
        <v>3.5</v>
      </c>
      <c r="AX124" s="731">
        <v>3</v>
      </c>
      <c r="AY124" s="731">
        <v>2</v>
      </c>
      <c r="AZ124" s="731">
        <v>2.5</v>
      </c>
      <c r="BA124" s="731">
        <v>3.5</v>
      </c>
      <c r="BB124" s="731">
        <v>4.5</v>
      </c>
      <c r="BC124" s="731">
        <v>6</v>
      </c>
      <c r="BD124" s="731">
        <v>7</v>
      </c>
      <c r="BE124" s="731">
        <v>7.5</v>
      </c>
      <c r="BG124" s="733" t="str">
        <f t="shared" si="16"/>
        <v>MZ</v>
      </c>
      <c r="BH124" s="733" t="str">
        <f t="shared" si="17"/>
        <v>SAN RAFAEL</v>
      </c>
      <c r="BI124" s="731">
        <v>34</v>
      </c>
      <c r="BJ124" s="731">
        <v>31</v>
      </c>
      <c r="BK124" s="731">
        <v>27</v>
      </c>
      <c r="BL124" s="731">
        <v>12</v>
      </c>
      <c r="BM124" s="731">
        <v>9</v>
      </c>
      <c r="BN124" s="731">
        <v>7</v>
      </c>
      <c r="BO124" s="731">
        <v>8</v>
      </c>
      <c r="BP124" s="731">
        <v>6</v>
      </c>
      <c r="BQ124" s="731">
        <v>11</v>
      </c>
      <c r="BR124" s="731">
        <v>20</v>
      </c>
      <c r="BS124" s="731">
        <v>21</v>
      </c>
      <c r="BT124" s="731">
        <v>27</v>
      </c>
    </row>
    <row r="125" spans="2:187">
      <c r="B125" s="734" t="s">
        <v>153</v>
      </c>
      <c r="C125" s="733" t="s">
        <v>154</v>
      </c>
      <c r="D125" s="539">
        <v>27.65</v>
      </c>
      <c r="E125" s="539">
        <v>55.43</v>
      </c>
      <c r="F125" s="539">
        <v>270</v>
      </c>
      <c r="G125" s="539" t="s">
        <v>88</v>
      </c>
      <c r="H125" s="539">
        <v>3.9</v>
      </c>
      <c r="I125" s="539">
        <v>16.2</v>
      </c>
      <c r="J125" s="539">
        <v>24.7</v>
      </c>
      <c r="K125" s="539">
        <v>34.6</v>
      </c>
      <c r="L125" s="539">
        <v>72</v>
      </c>
      <c r="M125" s="539">
        <v>76</v>
      </c>
      <c r="N125" s="539">
        <v>72</v>
      </c>
      <c r="O125" s="539">
        <v>120</v>
      </c>
      <c r="P125" s="539">
        <v>169</v>
      </c>
      <c r="Q125" s="734">
        <v>1</v>
      </c>
      <c r="R125" s="539">
        <v>24.6</v>
      </c>
      <c r="S125" s="734">
        <v>0.51</v>
      </c>
      <c r="T125" s="734">
        <v>7.3</v>
      </c>
      <c r="U125" s="734">
        <v>12.6</v>
      </c>
      <c r="V125" s="734">
        <v>30</v>
      </c>
      <c r="W125" s="734">
        <v>95</v>
      </c>
      <c r="X125" s="734">
        <v>8.9999999999999993E-3</v>
      </c>
      <c r="Y125" s="734">
        <v>8.0000000000000002E-3</v>
      </c>
      <c r="Z125" s="547">
        <v>130</v>
      </c>
      <c r="AA125" s="547">
        <f t="shared" si="12"/>
        <v>1.3</v>
      </c>
      <c r="AB125" s="734">
        <v>30</v>
      </c>
      <c r="AC125" s="538"/>
      <c r="AD125" s="733" t="str">
        <f t="shared" si="14"/>
        <v>CERRO AZUL</v>
      </c>
      <c r="AE125" s="737">
        <v>25.3</v>
      </c>
      <c r="AF125" s="737">
        <v>24.8</v>
      </c>
      <c r="AG125" s="737">
        <v>23.2</v>
      </c>
      <c r="AH125" s="737">
        <v>19.3</v>
      </c>
      <c r="AI125" s="737">
        <v>16.7</v>
      </c>
      <c r="AJ125" s="737">
        <v>15.2</v>
      </c>
      <c r="AK125" s="737">
        <v>15.1</v>
      </c>
      <c r="AL125" s="737">
        <v>16.600000000000001</v>
      </c>
      <c r="AM125" s="737">
        <v>18.3</v>
      </c>
      <c r="AN125" s="737">
        <v>20.6</v>
      </c>
      <c r="AO125" s="737">
        <v>22.6</v>
      </c>
      <c r="AP125" s="737">
        <v>23.9</v>
      </c>
      <c r="AQ125" s="538"/>
      <c r="AR125" s="733" t="str">
        <f t="shared" si="13"/>
        <v>MS</v>
      </c>
      <c r="AS125" s="733" t="str">
        <f t="shared" si="15"/>
        <v>CERRO AZUL</v>
      </c>
      <c r="AT125" s="731">
        <v>6</v>
      </c>
      <c r="AU125" s="731">
        <v>5.5</v>
      </c>
      <c r="AV125" s="731">
        <v>4.5</v>
      </c>
      <c r="AW125" s="731">
        <v>3.5</v>
      </c>
      <c r="AX125" s="731">
        <v>3</v>
      </c>
      <c r="AY125" s="731">
        <v>2.5</v>
      </c>
      <c r="AZ125" s="731">
        <v>2.5</v>
      </c>
      <c r="BA125" s="731">
        <v>3</v>
      </c>
      <c r="BB125" s="731">
        <v>4.5</v>
      </c>
      <c r="BC125" s="731">
        <v>5.5</v>
      </c>
      <c r="BD125" s="731">
        <v>6</v>
      </c>
      <c r="BE125" s="731">
        <v>6</v>
      </c>
      <c r="BG125" s="733" t="str">
        <f t="shared" si="16"/>
        <v>MS</v>
      </c>
      <c r="BH125" s="733" t="str">
        <f t="shared" si="17"/>
        <v>CERRO AZUL</v>
      </c>
      <c r="BI125" s="731">
        <v>140</v>
      </c>
      <c r="BJ125" s="731">
        <v>160</v>
      </c>
      <c r="BK125" s="731">
        <v>132</v>
      </c>
      <c r="BL125" s="731">
        <v>157</v>
      </c>
      <c r="BM125" s="731">
        <v>142</v>
      </c>
      <c r="BN125" s="731">
        <v>130</v>
      </c>
      <c r="BO125" s="731">
        <v>99</v>
      </c>
      <c r="BP125" s="731">
        <v>96</v>
      </c>
      <c r="BQ125" s="731">
        <v>134</v>
      </c>
      <c r="BR125" s="731">
        <v>176</v>
      </c>
      <c r="BS125" s="731">
        <v>148</v>
      </c>
      <c r="BT125" s="731">
        <v>141</v>
      </c>
    </row>
    <row r="126" spans="2:187">
      <c r="B126" s="734" t="s">
        <v>153</v>
      </c>
      <c r="C126" s="733" t="s">
        <v>1272</v>
      </c>
      <c r="D126" s="539">
        <v>25.68</v>
      </c>
      <c r="E126" s="539">
        <v>54.45</v>
      </c>
      <c r="F126" s="539">
        <v>180</v>
      </c>
      <c r="G126" s="539" t="s">
        <v>88</v>
      </c>
      <c r="H126" s="539">
        <v>1.9</v>
      </c>
      <c r="I126" s="539">
        <v>15.4</v>
      </c>
      <c r="J126" s="539">
        <v>24.7</v>
      </c>
      <c r="K126" s="539">
        <v>35.799999999999997</v>
      </c>
      <c r="L126" s="539">
        <v>80</v>
      </c>
      <c r="M126" s="539">
        <v>85</v>
      </c>
      <c r="N126" s="539">
        <v>80</v>
      </c>
      <c r="O126" s="539">
        <v>104</v>
      </c>
      <c r="P126" s="539">
        <v>152</v>
      </c>
      <c r="Q126" s="734">
        <v>1</v>
      </c>
      <c r="R126" s="539">
        <v>25</v>
      </c>
      <c r="S126" s="734">
        <v>0.49</v>
      </c>
      <c r="T126" s="734">
        <v>7.3</v>
      </c>
      <c r="U126" s="734">
        <v>12.6</v>
      </c>
      <c r="V126" s="734">
        <v>30</v>
      </c>
      <c r="W126" s="734">
        <v>95</v>
      </c>
      <c r="X126" s="734">
        <v>8.9999999999999993E-3</v>
      </c>
      <c r="Y126" s="734">
        <v>8.0000000000000002E-3</v>
      </c>
      <c r="Z126" s="547">
        <v>130</v>
      </c>
      <c r="AA126" s="547">
        <f t="shared" si="12"/>
        <v>1.3</v>
      </c>
      <c r="AB126" s="734">
        <v>30</v>
      </c>
      <c r="AC126" s="538"/>
      <c r="AD126" s="733" t="str">
        <f t="shared" si="14"/>
        <v>IGUAZÚ</v>
      </c>
      <c r="AE126" s="737">
        <v>24.9</v>
      </c>
      <c r="AF126" s="737">
        <v>25</v>
      </c>
      <c r="AG126" s="737">
        <v>23.7</v>
      </c>
      <c r="AH126" s="737">
        <v>20.2</v>
      </c>
      <c r="AI126" s="737">
        <v>17.100000000000001</v>
      </c>
      <c r="AJ126" s="737">
        <v>15.4</v>
      </c>
      <c r="AK126" s="737">
        <v>15.8</v>
      </c>
      <c r="AL126" s="737">
        <v>16.399999999999999</v>
      </c>
      <c r="AM126" s="737">
        <v>18.5</v>
      </c>
      <c r="AN126" s="737">
        <v>20.6</v>
      </c>
      <c r="AO126" s="737">
        <v>22.5</v>
      </c>
      <c r="AP126" s="737">
        <v>24.1</v>
      </c>
      <c r="AQ126" s="538"/>
      <c r="AR126" s="733" t="str">
        <f t="shared" si="13"/>
        <v>MS</v>
      </c>
      <c r="AS126" s="733" t="str">
        <f t="shared" si="15"/>
        <v>IGUAZÚ</v>
      </c>
      <c r="AT126" s="731">
        <v>6</v>
      </c>
      <c r="AU126" s="731">
        <v>5.5</v>
      </c>
      <c r="AV126" s="731">
        <v>4.5</v>
      </c>
      <c r="AW126" s="731">
        <v>3.5</v>
      </c>
      <c r="AX126" s="731">
        <v>3</v>
      </c>
      <c r="AY126" s="731">
        <v>2.5</v>
      </c>
      <c r="AZ126" s="731">
        <v>2.5</v>
      </c>
      <c r="BA126" s="731">
        <v>3</v>
      </c>
      <c r="BB126" s="731">
        <v>4.5</v>
      </c>
      <c r="BC126" s="731">
        <v>5.5</v>
      </c>
      <c r="BD126" s="731">
        <v>6</v>
      </c>
      <c r="BE126" s="731">
        <v>6</v>
      </c>
      <c r="BG126" s="733" t="str">
        <f t="shared" si="16"/>
        <v>MS</v>
      </c>
      <c r="BH126" s="733" t="str">
        <f t="shared" si="17"/>
        <v>IGUAZÚ</v>
      </c>
      <c r="BI126" s="731">
        <v>140</v>
      </c>
      <c r="BJ126" s="731">
        <v>160</v>
      </c>
      <c r="BK126" s="731">
        <v>132</v>
      </c>
      <c r="BL126" s="731">
        <v>157</v>
      </c>
      <c r="BM126" s="731">
        <v>142</v>
      </c>
      <c r="BN126" s="731">
        <v>130</v>
      </c>
      <c r="BO126" s="731">
        <v>99</v>
      </c>
      <c r="BP126" s="731">
        <v>96</v>
      </c>
      <c r="BQ126" s="731">
        <v>134</v>
      </c>
      <c r="BR126" s="731">
        <v>176</v>
      </c>
      <c r="BS126" s="731">
        <v>148</v>
      </c>
      <c r="BT126" s="731">
        <v>141</v>
      </c>
    </row>
    <row r="127" spans="2:187">
      <c r="B127" s="734" t="s">
        <v>153</v>
      </c>
      <c r="C127" s="733" t="s">
        <v>155</v>
      </c>
      <c r="D127" s="539">
        <v>27.35</v>
      </c>
      <c r="E127" s="539">
        <v>55.5</v>
      </c>
      <c r="F127" s="539">
        <v>163</v>
      </c>
      <c r="G127" s="539" t="s">
        <v>88</v>
      </c>
      <c r="H127" s="539">
        <v>4.4000000000000004</v>
      </c>
      <c r="I127" s="539">
        <v>16</v>
      </c>
      <c r="J127" s="539">
        <v>24.9</v>
      </c>
      <c r="K127" s="539">
        <v>35.299999999999997</v>
      </c>
      <c r="L127" s="539">
        <v>80</v>
      </c>
      <c r="M127" s="539">
        <v>85</v>
      </c>
      <c r="N127" s="539">
        <v>80</v>
      </c>
      <c r="O127" s="539">
        <v>138</v>
      </c>
      <c r="P127" s="539">
        <v>177</v>
      </c>
      <c r="Q127" s="734">
        <v>1</v>
      </c>
      <c r="R127" s="539">
        <v>24.7</v>
      </c>
      <c r="S127" s="734">
        <v>0.51</v>
      </c>
      <c r="T127" s="734">
        <v>7.3</v>
      </c>
      <c r="U127" s="734">
        <v>12.6</v>
      </c>
      <c r="V127" s="734">
        <v>30</v>
      </c>
      <c r="W127" s="734">
        <v>95</v>
      </c>
      <c r="X127" s="734">
        <v>8.9999999999999993E-3</v>
      </c>
      <c r="Y127" s="734">
        <v>8.0000000000000002E-3</v>
      </c>
      <c r="Z127" s="547">
        <v>130</v>
      </c>
      <c r="AA127" s="547">
        <f t="shared" si="12"/>
        <v>1.3</v>
      </c>
      <c r="AB127" s="734">
        <v>30</v>
      </c>
      <c r="AC127" s="538"/>
      <c r="AD127" s="733" t="str">
        <f t="shared" si="14"/>
        <v>LORETO</v>
      </c>
      <c r="AE127" s="737">
        <v>27.7</v>
      </c>
      <c r="AF127" s="737">
        <v>26.2</v>
      </c>
      <c r="AG127" s="737">
        <v>24</v>
      </c>
      <c r="AH127" s="737">
        <v>19.8</v>
      </c>
      <c r="AI127" s="737">
        <v>16.8</v>
      </c>
      <c r="AJ127" s="737">
        <v>13.6</v>
      </c>
      <c r="AK127" s="737">
        <v>13.2</v>
      </c>
      <c r="AL127" s="737">
        <v>15.6</v>
      </c>
      <c r="AM127" s="737">
        <v>18.7</v>
      </c>
      <c r="AN127" s="737">
        <v>21.9</v>
      </c>
      <c r="AO127" s="737">
        <v>24.7</v>
      </c>
      <c r="AP127" s="737">
        <v>27.1</v>
      </c>
      <c r="AQ127" s="538"/>
      <c r="AR127" s="733" t="str">
        <f t="shared" si="13"/>
        <v>MS</v>
      </c>
      <c r="AS127" s="733" t="str">
        <f t="shared" si="15"/>
        <v>LORETO</v>
      </c>
      <c r="AT127" s="731">
        <v>6</v>
      </c>
      <c r="AU127" s="731">
        <v>5.5</v>
      </c>
      <c r="AV127" s="731">
        <v>4.5</v>
      </c>
      <c r="AW127" s="731">
        <v>3.5</v>
      </c>
      <c r="AX127" s="731">
        <v>3</v>
      </c>
      <c r="AY127" s="731">
        <v>2.5</v>
      </c>
      <c r="AZ127" s="731">
        <v>2.5</v>
      </c>
      <c r="BA127" s="731">
        <v>3</v>
      </c>
      <c r="BB127" s="731">
        <v>4.5</v>
      </c>
      <c r="BC127" s="731">
        <v>5.5</v>
      </c>
      <c r="BD127" s="731">
        <v>6</v>
      </c>
      <c r="BE127" s="731">
        <v>6</v>
      </c>
      <c r="BG127" s="733" t="str">
        <f t="shared" si="16"/>
        <v>MS</v>
      </c>
      <c r="BH127" s="733" t="str">
        <f t="shared" si="17"/>
        <v>LORETO</v>
      </c>
      <c r="BI127" s="731">
        <v>140</v>
      </c>
      <c r="BJ127" s="731">
        <v>160</v>
      </c>
      <c r="BK127" s="731">
        <v>132</v>
      </c>
      <c r="BL127" s="731">
        <v>157</v>
      </c>
      <c r="BM127" s="731">
        <v>142</v>
      </c>
      <c r="BN127" s="731">
        <v>130</v>
      </c>
      <c r="BO127" s="731">
        <v>99</v>
      </c>
      <c r="BP127" s="731">
        <v>96</v>
      </c>
      <c r="BQ127" s="731">
        <v>134</v>
      </c>
      <c r="BR127" s="731">
        <v>176</v>
      </c>
      <c r="BS127" s="731">
        <v>148</v>
      </c>
      <c r="BT127" s="731">
        <v>141</v>
      </c>
    </row>
    <row r="128" spans="2:187">
      <c r="B128" s="734" t="s">
        <v>153</v>
      </c>
      <c r="C128" s="733" t="s">
        <v>156</v>
      </c>
      <c r="D128" s="539">
        <v>27.48</v>
      </c>
      <c r="E128" s="539">
        <v>55.13</v>
      </c>
      <c r="F128" s="539">
        <v>343</v>
      </c>
      <c r="G128" s="539" t="s">
        <v>88</v>
      </c>
      <c r="H128" s="539">
        <v>5.4</v>
      </c>
      <c r="I128" s="539">
        <v>16.100000000000001</v>
      </c>
      <c r="J128" s="539">
        <v>24.8</v>
      </c>
      <c r="K128" s="539">
        <v>35.299999999999997</v>
      </c>
      <c r="L128" s="539">
        <v>71</v>
      </c>
      <c r="M128" s="539">
        <v>73</v>
      </c>
      <c r="N128" s="539">
        <v>71</v>
      </c>
      <c r="O128" s="539">
        <v>116</v>
      </c>
      <c r="P128" s="539">
        <v>164</v>
      </c>
      <c r="Q128" s="734">
        <v>1</v>
      </c>
      <c r="R128" s="539">
        <v>25.2</v>
      </c>
      <c r="S128" s="734">
        <v>0.51</v>
      </c>
      <c r="T128" s="734">
        <v>7.3</v>
      </c>
      <c r="U128" s="734">
        <v>12.6</v>
      </c>
      <c r="V128" s="734">
        <v>30</v>
      </c>
      <c r="W128" s="734">
        <v>95</v>
      </c>
      <c r="X128" s="734">
        <v>8.9999999999999993E-3</v>
      </c>
      <c r="Y128" s="734">
        <v>8.0000000000000002E-3</v>
      </c>
      <c r="Z128" s="547">
        <v>130</v>
      </c>
      <c r="AA128" s="547">
        <f t="shared" si="12"/>
        <v>1.3</v>
      </c>
      <c r="AB128" s="734">
        <v>30</v>
      </c>
      <c r="AC128" s="538"/>
      <c r="AD128" s="733" t="str">
        <f t="shared" si="14"/>
        <v>OBERA</v>
      </c>
      <c r="AE128" s="737">
        <v>24.9</v>
      </c>
      <c r="AF128" s="737">
        <v>24.2</v>
      </c>
      <c r="AG128" s="737">
        <v>22.7</v>
      </c>
      <c r="AH128" s="737">
        <v>19.100000000000001</v>
      </c>
      <c r="AI128" s="737">
        <v>16.399999999999999</v>
      </c>
      <c r="AJ128" s="737">
        <v>14.9</v>
      </c>
      <c r="AK128" s="737">
        <v>15</v>
      </c>
      <c r="AL128" s="737">
        <v>16.399999999999999</v>
      </c>
      <c r="AM128" s="737">
        <v>18.100000000000001</v>
      </c>
      <c r="AN128" s="737">
        <v>20.399999999999999</v>
      </c>
      <c r="AO128" s="737">
        <v>22.4</v>
      </c>
      <c r="AP128" s="737">
        <v>23.4</v>
      </c>
      <c r="AQ128" s="538"/>
      <c r="AR128" s="733" t="str">
        <f t="shared" si="13"/>
        <v>MS</v>
      </c>
      <c r="AS128" s="733" t="str">
        <f t="shared" si="15"/>
        <v>OBERA</v>
      </c>
      <c r="AT128" s="731">
        <v>6</v>
      </c>
      <c r="AU128" s="731">
        <v>5.5</v>
      </c>
      <c r="AV128" s="731">
        <v>4.5</v>
      </c>
      <c r="AW128" s="731">
        <v>3.5</v>
      </c>
      <c r="AX128" s="731">
        <v>3</v>
      </c>
      <c r="AY128" s="731">
        <v>2.5</v>
      </c>
      <c r="AZ128" s="731">
        <v>2.5</v>
      </c>
      <c r="BA128" s="731">
        <v>3</v>
      </c>
      <c r="BB128" s="731">
        <v>4.5</v>
      </c>
      <c r="BC128" s="731">
        <v>5.5</v>
      </c>
      <c r="BD128" s="731">
        <v>6</v>
      </c>
      <c r="BE128" s="731">
        <v>6</v>
      </c>
      <c r="BG128" s="733" t="str">
        <f t="shared" si="16"/>
        <v>MS</v>
      </c>
      <c r="BH128" s="733" t="str">
        <f t="shared" si="17"/>
        <v>OBERA</v>
      </c>
      <c r="BI128" s="731">
        <v>140</v>
      </c>
      <c r="BJ128" s="731">
        <v>160</v>
      </c>
      <c r="BK128" s="731">
        <v>132</v>
      </c>
      <c r="BL128" s="731">
        <v>157</v>
      </c>
      <c r="BM128" s="731">
        <v>142</v>
      </c>
      <c r="BN128" s="731">
        <v>130</v>
      </c>
      <c r="BO128" s="731">
        <v>99</v>
      </c>
      <c r="BP128" s="731">
        <v>96</v>
      </c>
      <c r="BQ128" s="731">
        <v>134</v>
      </c>
      <c r="BR128" s="731">
        <v>176</v>
      </c>
      <c r="BS128" s="731">
        <v>148</v>
      </c>
      <c r="BT128" s="731">
        <v>141</v>
      </c>
    </row>
    <row r="129" spans="2:72">
      <c r="B129" s="734" t="s">
        <v>153</v>
      </c>
      <c r="C129" s="733" t="s">
        <v>157</v>
      </c>
      <c r="D129" s="539">
        <v>27.37</v>
      </c>
      <c r="E129" s="539">
        <v>55.97</v>
      </c>
      <c r="F129" s="539">
        <v>133</v>
      </c>
      <c r="G129" s="539" t="s">
        <v>88</v>
      </c>
      <c r="H129" s="539">
        <v>4.7</v>
      </c>
      <c r="I129" s="539">
        <v>16.5</v>
      </c>
      <c r="J129" s="539">
        <v>25.6</v>
      </c>
      <c r="K129" s="539">
        <v>35.6</v>
      </c>
      <c r="L129" s="539">
        <v>71</v>
      </c>
      <c r="M129" s="539">
        <v>77</v>
      </c>
      <c r="N129" s="539">
        <v>71</v>
      </c>
      <c r="O129" s="539">
        <v>94</v>
      </c>
      <c r="P129" s="539">
        <v>157</v>
      </c>
      <c r="Q129" s="734">
        <v>1</v>
      </c>
      <c r="R129" s="539">
        <v>25.6</v>
      </c>
      <c r="S129" s="734">
        <v>0.51</v>
      </c>
      <c r="T129" s="734">
        <v>7.3</v>
      </c>
      <c r="U129" s="734">
        <v>12.6</v>
      </c>
      <c r="V129" s="734">
        <v>30</v>
      </c>
      <c r="W129" s="734">
        <v>95</v>
      </c>
      <c r="X129" s="734">
        <v>8.9999999999999993E-3</v>
      </c>
      <c r="Y129" s="734">
        <v>8.0000000000000002E-3</v>
      </c>
      <c r="Z129" s="547">
        <v>130</v>
      </c>
      <c r="AA129" s="547">
        <f t="shared" si="12"/>
        <v>1.3</v>
      </c>
      <c r="AB129" s="734">
        <v>30</v>
      </c>
      <c r="AC129" s="538"/>
      <c r="AD129" s="733" t="str">
        <f t="shared" si="14"/>
        <v>POSADAS</v>
      </c>
      <c r="AE129" s="737">
        <v>26.1</v>
      </c>
      <c r="AF129" s="737">
        <v>25.8</v>
      </c>
      <c r="AG129" s="737">
        <v>24.3</v>
      </c>
      <c r="AH129" s="737">
        <v>20.7</v>
      </c>
      <c r="AI129" s="737">
        <v>18.2</v>
      </c>
      <c r="AJ129" s="737">
        <v>16.3</v>
      </c>
      <c r="AK129" s="737">
        <v>15.9</v>
      </c>
      <c r="AL129" s="737">
        <v>17.2</v>
      </c>
      <c r="AM129" s="737">
        <v>18.7</v>
      </c>
      <c r="AN129" s="737">
        <v>21.1</v>
      </c>
      <c r="AO129" s="737">
        <v>23.3</v>
      </c>
      <c r="AP129" s="737">
        <v>25.5</v>
      </c>
      <c r="AQ129" s="538"/>
      <c r="AR129" s="733" t="str">
        <f t="shared" si="13"/>
        <v>MS</v>
      </c>
      <c r="AS129" s="733" t="str">
        <f t="shared" si="15"/>
        <v>POSADAS</v>
      </c>
      <c r="AT129" s="731">
        <v>6</v>
      </c>
      <c r="AU129" s="731">
        <v>5.5</v>
      </c>
      <c r="AV129" s="731">
        <v>4.5</v>
      </c>
      <c r="AW129" s="731">
        <v>3.5</v>
      </c>
      <c r="AX129" s="731">
        <v>3</v>
      </c>
      <c r="AY129" s="731">
        <v>2.5</v>
      </c>
      <c r="AZ129" s="731">
        <v>2.5</v>
      </c>
      <c r="BA129" s="731">
        <v>3</v>
      </c>
      <c r="BB129" s="731">
        <v>4.5</v>
      </c>
      <c r="BC129" s="731">
        <v>5.5</v>
      </c>
      <c r="BD129" s="731">
        <v>6</v>
      </c>
      <c r="BE129" s="731">
        <v>6</v>
      </c>
      <c r="BG129" s="733" t="str">
        <f t="shared" si="16"/>
        <v>MS</v>
      </c>
      <c r="BH129" s="733" t="str">
        <f t="shared" si="17"/>
        <v>POSADAS</v>
      </c>
      <c r="BI129" s="731">
        <v>140</v>
      </c>
      <c r="BJ129" s="731">
        <v>160</v>
      </c>
      <c r="BK129" s="731">
        <v>132</v>
      </c>
      <c r="BL129" s="731">
        <v>157</v>
      </c>
      <c r="BM129" s="731">
        <v>142</v>
      </c>
      <c r="BN129" s="731">
        <v>130</v>
      </c>
      <c r="BO129" s="731">
        <v>99</v>
      </c>
      <c r="BP129" s="731">
        <v>96</v>
      </c>
      <c r="BQ129" s="731">
        <v>134</v>
      </c>
      <c r="BR129" s="731">
        <v>176</v>
      </c>
      <c r="BS129" s="731">
        <v>148</v>
      </c>
      <c r="BT129" s="731">
        <v>141</v>
      </c>
    </row>
    <row r="130" spans="2:72" ht="17" customHeight="1">
      <c r="B130" s="734" t="s">
        <v>158</v>
      </c>
      <c r="C130" s="733" t="s">
        <v>159</v>
      </c>
      <c r="D130" s="539">
        <v>38.950000000000003</v>
      </c>
      <c r="E130" s="539">
        <v>69.22</v>
      </c>
      <c r="F130" s="539">
        <v>612</v>
      </c>
      <c r="G130" s="539" t="s">
        <v>106</v>
      </c>
      <c r="H130" s="539">
        <v>-3.7</v>
      </c>
      <c r="I130" s="539">
        <v>6.4</v>
      </c>
      <c r="J130" s="539">
        <v>20.5</v>
      </c>
      <c r="K130" s="539">
        <v>32.5</v>
      </c>
      <c r="L130" s="539">
        <v>34</v>
      </c>
      <c r="M130" s="539">
        <v>61</v>
      </c>
      <c r="N130" s="539">
        <v>34</v>
      </c>
      <c r="O130" s="539">
        <v>11</v>
      </c>
      <c r="P130" s="539">
        <v>13</v>
      </c>
      <c r="Q130" s="734">
        <v>5</v>
      </c>
      <c r="R130" s="539">
        <v>20.399999999999999</v>
      </c>
      <c r="S130" s="734">
        <v>0.55000000000000004</v>
      </c>
      <c r="T130" s="734">
        <v>86.3</v>
      </c>
      <c r="U130" s="734">
        <v>0</v>
      </c>
      <c r="V130" s="734">
        <v>300</v>
      </c>
      <c r="W130" s="734">
        <v>0</v>
      </c>
      <c r="X130" s="734">
        <v>2.1000000000000001E-2</v>
      </c>
      <c r="Y130" s="734">
        <v>0</v>
      </c>
      <c r="Z130" s="547">
        <v>130</v>
      </c>
      <c r="AA130" s="547">
        <f t="shared" si="12"/>
        <v>1.3</v>
      </c>
      <c r="AB130" s="734">
        <v>40</v>
      </c>
      <c r="AC130" s="538"/>
      <c r="AD130" s="733" t="str">
        <f t="shared" si="14"/>
        <v>CUTRAL CO</v>
      </c>
      <c r="AE130" s="737">
        <v>21</v>
      </c>
      <c r="AF130" s="737">
        <v>19.5</v>
      </c>
      <c r="AG130" s="737">
        <v>17.5</v>
      </c>
      <c r="AH130" s="737">
        <v>11.3</v>
      </c>
      <c r="AI130" s="737">
        <v>8</v>
      </c>
      <c r="AJ130" s="737">
        <v>5</v>
      </c>
      <c r="AK130" s="737">
        <v>4</v>
      </c>
      <c r="AL130" s="737">
        <v>6.8</v>
      </c>
      <c r="AM130" s="737">
        <v>10</v>
      </c>
      <c r="AN130" s="737">
        <v>13.5</v>
      </c>
      <c r="AO130" s="737">
        <v>16.5</v>
      </c>
      <c r="AP130" s="737">
        <v>20</v>
      </c>
      <c r="AQ130" s="538"/>
      <c r="AR130" s="733" t="str">
        <f t="shared" si="13"/>
        <v>NQ</v>
      </c>
      <c r="AS130" s="733" t="str">
        <f t="shared" si="15"/>
        <v>CUTRAL CO</v>
      </c>
      <c r="AT130" s="731">
        <v>7.5</v>
      </c>
      <c r="AU130" s="731">
        <v>6.5</v>
      </c>
      <c r="AV130" s="731">
        <v>5</v>
      </c>
      <c r="AW130" s="731">
        <v>3</v>
      </c>
      <c r="AX130" s="731">
        <v>2</v>
      </c>
      <c r="AY130" s="731">
        <v>1.5</v>
      </c>
      <c r="AZ130" s="731">
        <v>1.5</v>
      </c>
      <c r="BA130" s="731">
        <v>2.5</v>
      </c>
      <c r="BB130" s="731">
        <v>4</v>
      </c>
      <c r="BC130" s="731">
        <v>5.5</v>
      </c>
      <c r="BD130" s="731">
        <v>7</v>
      </c>
      <c r="BE130" s="731">
        <v>7.5</v>
      </c>
      <c r="BG130" s="733" t="str">
        <f t="shared" si="16"/>
        <v>NQ</v>
      </c>
      <c r="BH130" s="733" t="str">
        <f t="shared" si="17"/>
        <v>CUTRAL CO</v>
      </c>
      <c r="BI130" s="731">
        <v>12</v>
      </c>
      <c r="BJ130" s="731">
        <v>10</v>
      </c>
      <c r="BK130" s="731">
        <v>18</v>
      </c>
      <c r="BL130" s="731">
        <v>14</v>
      </c>
      <c r="BM130" s="731">
        <v>17</v>
      </c>
      <c r="BN130" s="731">
        <v>15</v>
      </c>
      <c r="BO130" s="731">
        <v>14</v>
      </c>
      <c r="BP130" s="731">
        <v>12</v>
      </c>
      <c r="BQ130" s="731">
        <v>14</v>
      </c>
      <c r="BR130" s="731">
        <v>22</v>
      </c>
      <c r="BS130" s="731">
        <v>12</v>
      </c>
      <c r="BT130" s="731">
        <v>12</v>
      </c>
    </row>
    <row r="131" spans="2:72">
      <c r="B131" s="734" t="s">
        <v>158</v>
      </c>
      <c r="C131" s="733" t="s">
        <v>160</v>
      </c>
      <c r="D131" s="539">
        <v>38.53</v>
      </c>
      <c r="E131" s="539">
        <v>70.38</v>
      </c>
      <c r="F131" s="539">
        <v>713</v>
      </c>
      <c r="G131" s="539" t="s">
        <v>106</v>
      </c>
      <c r="H131" s="539">
        <v>-5.7</v>
      </c>
      <c r="I131" s="539">
        <v>6</v>
      </c>
      <c r="J131" s="539">
        <v>18.7</v>
      </c>
      <c r="K131" s="539">
        <v>30.5</v>
      </c>
      <c r="L131" s="539">
        <v>49</v>
      </c>
      <c r="M131" s="539">
        <v>69</v>
      </c>
      <c r="N131" s="539">
        <v>49</v>
      </c>
      <c r="O131" s="539">
        <v>27</v>
      </c>
      <c r="P131" s="539">
        <v>11</v>
      </c>
      <c r="Q131" s="734">
        <v>5</v>
      </c>
      <c r="R131" s="539">
        <v>17.8</v>
      </c>
      <c r="S131" s="734">
        <v>0.55000000000000004</v>
      </c>
      <c r="T131" s="734">
        <v>86.3</v>
      </c>
      <c r="U131" s="734">
        <v>0</v>
      </c>
      <c r="V131" s="734">
        <v>300</v>
      </c>
      <c r="W131" s="734">
        <v>0</v>
      </c>
      <c r="X131" s="734">
        <v>2.1000000000000001E-2</v>
      </c>
      <c r="Y131" s="734">
        <v>0</v>
      </c>
      <c r="Z131" s="547">
        <v>110</v>
      </c>
      <c r="AA131" s="547">
        <f t="shared" ref="AA131:AA179" si="18">Z131*0.01</f>
        <v>1.1000000000000001</v>
      </c>
      <c r="AB131" s="734">
        <v>40</v>
      </c>
      <c r="AC131" s="538"/>
      <c r="AD131" s="733" t="str">
        <f t="shared" si="14"/>
        <v>LAS LAJAS</v>
      </c>
      <c r="AE131" s="737">
        <v>19</v>
      </c>
      <c r="AF131" s="737">
        <v>18</v>
      </c>
      <c r="AG131" s="737">
        <v>16</v>
      </c>
      <c r="AH131" s="737">
        <v>11</v>
      </c>
      <c r="AI131" s="737">
        <v>8</v>
      </c>
      <c r="AJ131" s="737">
        <v>6</v>
      </c>
      <c r="AK131" s="737">
        <v>4.5</v>
      </c>
      <c r="AL131" s="737">
        <v>6.5</v>
      </c>
      <c r="AM131" s="737">
        <v>9</v>
      </c>
      <c r="AN131" s="737">
        <v>11.5</v>
      </c>
      <c r="AO131" s="737">
        <v>14.5</v>
      </c>
      <c r="AP131" s="737">
        <v>17.5</v>
      </c>
      <c r="AQ131" s="538"/>
      <c r="AR131" s="733" t="str">
        <f t="shared" si="13"/>
        <v>NQ</v>
      </c>
      <c r="AS131" s="733" t="str">
        <f t="shared" si="15"/>
        <v>LAS LAJAS</v>
      </c>
      <c r="AT131" s="731">
        <v>7.5</v>
      </c>
      <c r="AU131" s="731">
        <v>6.5</v>
      </c>
      <c r="AV131" s="731">
        <v>5</v>
      </c>
      <c r="AW131" s="731">
        <v>3</v>
      </c>
      <c r="AX131" s="731">
        <v>2</v>
      </c>
      <c r="AY131" s="731">
        <v>1.5</v>
      </c>
      <c r="AZ131" s="731">
        <v>1.5</v>
      </c>
      <c r="BA131" s="731">
        <v>2.5</v>
      </c>
      <c r="BB131" s="731">
        <v>4</v>
      </c>
      <c r="BC131" s="731">
        <v>5.5</v>
      </c>
      <c r="BD131" s="731">
        <v>7</v>
      </c>
      <c r="BE131" s="731">
        <v>7.5</v>
      </c>
      <c r="BG131" s="733" t="str">
        <f t="shared" si="16"/>
        <v>NQ</v>
      </c>
      <c r="BH131" s="733" t="str">
        <f t="shared" si="17"/>
        <v>LAS LAJAS</v>
      </c>
      <c r="BI131" s="731">
        <v>12</v>
      </c>
      <c r="BJ131" s="731">
        <v>10</v>
      </c>
      <c r="BK131" s="731">
        <v>18</v>
      </c>
      <c r="BL131" s="731">
        <v>14</v>
      </c>
      <c r="BM131" s="731">
        <v>17</v>
      </c>
      <c r="BN131" s="731">
        <v>15</v>
      </c>
      <c r="BO131" s="731">
        <v>14</v>
      </c>
      <c r="BP131" s="731">
        <v>12</v>
      </c>
      <c r="BQ131" s="731">
        <v>14</v>
      </c>
      <c r="BR131" s="731">
        <v>22</v>
      </c>
      <c r="BS131" s="731">
        <v>12</v>
      </c>
      <c r="BT131" s="731">
        <v>12</v>
      </c>
    </row>
    <row r="132" spans="2:72">
      <c r="B132" s="734" t="s">
        <v>158</v>
      </c>
      <c r="C132" s="733" t="s">
        <v>1273</v>
      </c>
      <c r="D132" s="539">
        <v>38.950000000000003</v>
      </c>
      <c r="E132" s="539">
        <v>68.13</v>
      </c>
      <c r="F132" s="539">
        <v>270</v>
      </c>
      <c r="G132" s="539" t="s">
        <v>61</v>
      </c>
      <c r="H132" s="539">
        <v>-5.8</v>
      </c>
      <c r="I132" s="539">
        <v>6.4</v>
      </c>
      <c r="J132" s="539">
        <v>19</v>
      </c>
      <c r="K132" s="539">
        <v>34</v>
      </c>
      <c r="L132" s="539">
        <v>38</v>
      </c>
      <c r="M132" s="539">
        <v>64</v>
      </c>
      <c r="N132" s="539">
        <v>38</v>
      </c>
      <c r="O132" s="539">
        <v>8</v>
      </c>
      <c r="P132" s="539">
        <v>11</v>
      </c>
      <c r="Q132" s="734">
        <v>4</v>
      </c>
      <c r="R132" s="539">
        <v>21.6</v>
      </c>
      <c r="S132" s="734">
        <v>0.55000000000000004</v>
      </c>
      <c r="T132" s="734">
        <v>86.3</v>
      </c>
      <c r="U132" s="734">
        <v>0</v>
      </c>
      <c r="V132" s="734">
        <v>300</v>
      </c>
      <c r="W132" s="734">
        <v>0</v>
      </c>
      <c r="X132" s="734">
        <v>2.1000000000000001E-2</v>
      </c>
      <c r="Y132" s="734">
        <v>0</v>
      </c>
      <c r="Z132" s="547">
        <v>130</v>
      </c>
      <c r="AA132" s="547">
        <f t="shared" si="18"/>
        <v>1.3</v>
      </c>
      <c r="AB132" s="734">
        <v>40</v>
      </c>
      <c r="AC132" s="538"/>
      <c r="AD132" s="733" t="str">
        <f t="shared" si="14"/>
        <v>NEUQUÉN</v>
      </c>
      <c r="AE132" s="737">
        <v>22.1</v>
      </c>
      <c r="AF132" s="737">
        <v>21.2</v>
      </c>
      <c r="AG132" s="737">
        <v>17.8</v>
      </c>
      <c r="AH132" s="737">
        <v>13.3</v>
      </c>
      <c r="AI132" s="737">
        <v>9.5</v>
      </c>
      <c r="AJ132" s="737">
        <v>6.2</v>
      </c>
      <c r="AK132" s="737">
        <v>6.1</v>
      </c>
      <c r="AL132" s="737">
        <v>8.1999999999999993</v>
      </c>
      <c r="AM132" s="737">
        <v>11</v>
      </c>
      <c r="AN132" s="737">
        <v>14.8</v>
      </c>
      <c r="AO132" s="737">
        <v>18.7</v>
      </c>
      <c r="AP132" s="737">
        <v>21.2</v>
      </c>
      <c r="AQ132" s="538"/>
      <c r="AR132" s="733" t="str">
        <f t="shared" si="13"/>
        <v>NQ</v>
      </c>
      <c r="AS132" s="733" t="str">
        <f t="shared" si="15"/>
        <v>NEUQUÉN</v>
      </c>
      <c r="AT132" s="731">
        <v>7.5</v>
      </c>
      <c r="AU132" s="731">
        <v>6.5</v>
      </c>
      <c r="AV132" s="731">
        <v>5</v>
      </c>
      <c r="AW132" s="731">
        <v>3</v>
      </c>
      <c r="AX132" s="731">
        <v>2</v>
      </c>
      <c r="AY132" s="731">
        <v>1.5</v>
      </c>
      <c r="AZ132" s="731">
        <v>1.5</v>
      </c>
      <c r="BA132" s="731">
        <v>2.5</v>
      </c>
      <c r="BB132" s="731">
        <v>3.5</v>
      </c>
      <c r="BC132" s="731">
        <v>5.5</v>
      </c>
      <c r="BD132" s="731">
        <v>7</v>
      </c>
      <c r="BE132" s="731">
        <v>7.5</v>
      </c>
      <c r="BG132" s="733" t="str">
        <f t="shared" si="16"/>
        <v>NQ</v>
      </c>
      <c r="BH132" s="733" t="str">
        <f t="shared" si="17"/>
        <v>NEUQUÉN</v>
      </c>
      <c r="BI132" s="731">
        <v>12</v>
      </c>
      <c r="BJ132" s="731">
        <v>10</v>
      </c>
      <c r="BK132" s="731">
        <v>18</v>
      </c>
      <c r="BL132" s="731">
        <v>14</v>
      </c>
      <c r="BM132" s="731">
        <v>17</v>
      </c>
      <c r="BN132" s="731">
        <v>15</v>
      </c>
      <c r="BO132" s="731">
        <v>14</v>
      </c>
      <c r="BP132" s="731">
        <v>12</v>
      </c>
      <c r="BQ132" s="731">
        <v>14</v>
      </c>
      <c r="BR132" s="731">
        <v>22</v>
      </c>
      <c r="BS132" s="731">
        <v>12</v>
      </c>
      <c r="BT132" s="731">
        <v>12</v>
      </c>
    </row>
    <row r="133" spans="2:72">
      <c r="B133" s="734" t="s">
        <v>161</v>
      </c>
      <c r="C133" s="733" t="s">
        <v>162</v>
      </c>
      <c r="D133" s="539">
        <v>39.020000000000003</v>
      </c>
      <c r="E133" s="539">
        <v>67.67</v>
      </c>
      <c r="F133" s="539">
        <v>242</v>
      </c>
      <c r="G133" s="539" t="s">
        <v>61</v>
      </c>
      <c r="H133" s="539">
        <v>-6.4</v>
      </c>
      <c r="I133" s="539">
        <v>6.9</v>
      </c>
      <c r="J133" s="539">
        <v>21.4</v>
      </c>
      <c r="K133" s="539">
        <v>33.6</v>
      </c>
      <c r="L133" s="539">
        <v>48</v>
      </c>
      <c r="M133" s="539">
        <v>64</v>
      </c>
      <c r="N133" s="539">
        <v>48</v>
      </c>
      <c r="O133" s="539">
        <v>10</v>
      </c>
      <c r="P133" s="539">
        <v>13</v>
      </c>
      <c r="Q133" s="734">
        <v>4</v>
      </c>
      <c r="R133" s="539">
        <v>20.5</v>
      </c>
      <c r="S133" s="734">
        <v>0.55000000000000004</v>
      </c>
      <c r="T133" s="734">
        <v>86.3</v>
      </c>
      <c r="U133" s="734">
        <v>0</v>
      </c>
      <c r="V133" s="734">
        <v>300</v>
      </c>
      <c r="W133" s="734">
        <v>0</v>
      </c>
      <c r="X133" s="734">
        <v>2.1000000000000001E-2</v>
      </c>
      <c r="Y133" s="734">
        <v>0</v>
      </c>
      <c r="Z133" s="547">
        <v>130</v>
      </c>
      <c r="AA133" s="547">
        <f t="shared" si="18"/>
        <v>1.3</v>
      </c>
      <c r="AB133" s="734">
        <v>40</v>
      </c>
      <c r="AC133" s="538"/>
      <c r="AD133" s="733" t="str">
        <f t="shared" si="14"/>
        <v>ALTO VALLE</v>
      </c>
      <c r="AE133" s="737">
        <v>21.7</v>
      </c>
      <c r="AF133" s="737">
        <v>20.8</v>
      </c>
      <c r="AG133" s="737">
        <v>17.8</v>
      </c>
      <c r="AH133" s="737">
        <v>12.9</v>
      </c>
      <c r="AI133" s="737">
        <v>9.3000000000000007</v>
      </c>
      <c r="AJ133" s="737">
        <v>6</v>
      </c>
      <c r="AK133" s="737">
        <v>5.9</v>
      </c>
      <c r="AL133" s="737">
        <v>8.1</v>
      </c>
      <c r="AM133" s="737">
        <v>10.8</v>
      </c>
      <c r="AN133" s="737">
        <v>14.7</v>
      </c>
      <c r="AO133" s="737">
        <v>18.600000000000001</v>
      </c>
      <c r="AP133" s="737">
        <v>21</v>
      </c>
      <c r="AQ133" s="538"/>
      <c r="AR133" s="733" t="str">
        <f t="shared" si="13"/>
        <v>RN</v>
      </c>
      <c r="AS133" s="733" t="str">
        <f t="shared" si="15"/>
        <v>ALTO VALLE</v>
      </c>
      <c r="AT133" s="731">
        <v>7.5</v>
      </c>
      <c r="AU133" s="731">
        <v>6.5</v>
      </c>
      <c r="AV133" s="731">
        <v>5</v>
      </c>
      <c r="AW133" s="731">
        <v>3</v>
      </c>
      <c r="AX133" s="731">
        <v>2</v>
      </c>
      <c r="AY133" s="731">
        <v>1.5</v>
      </c>
      <c r="AZ133" s="731">
        <v>1.5</v>
      </c>
      <c r="BA133" s="731">
        <v>2.5</v>
      </c>
      <c r="BB133" s="731">
        <v>3.5</v>
      </c>
      <c r="BC133" s="731">
        <v>5.5</v>
      </c>
      <c r="BD133" s="731">
        <v>6.5</v>
      </c>
      <c r="BE133" s="731">
        <v>7.5</v>
      </c>
      <c r="BG133" s="733" t="str">
        <f t="shared" si="16"/>
        <v>RN</v>
      </c>
      <c r="BH133" s="733" t="str">
        <f t="shared" si="17"/>
        <v>ALTO VALLE</v>
      </c>
      <c r="BI133" s="731">
        <v>18</v>
      </c>
      <c r="BJ133" s="731">
        <v>21</v>
      </c>
      <c r="BK133" s="731">
        <v>28</v>
      </c>
      <c r="BL133" s="731">
        <v>22</v>
      </c>
      <c r="BM133" s="731">
        <v>27</v>
      </c>
      <c r="BN133" s="731">
        <v>19</v>
      </c>
      <c r="BO133" s="731">
        <v>21</v>
      </c>
      <c r="BP133" s="731">
        <v>17</v>
      </c>
      <c r="BQ133" s="731">
        <v>16</v>
      </c>
      <c r="BR133" s="731">
        <v>23</v>
      </c>
      <c r="BS133" s="731">
        <v>18</v>
      </c>
      <c r="BT133" s="731">
        <v>20</v>
      </c>
    </row>
    <row r="134" spans="2:72">
      <c r="B134" s="734" t="s">
        <v>161</v>
      </c>
      <c r="C134" s="733" t="s">
        <v>163</v>
      </c>
      <c r="D134" s="539">
        <v>41.15</v>
      </c>
      <c r="E134" s="539">
        <v>71.17</v>
      </c>
      <c r="F134" s="539">
        <v>836</v>
      </c>
      <c r="G134" s="539" t="s">
        <v>108</v>
      </c>
      <c r="H134" s="539">
        <v>-6.4</v>
      </c>
      <c r="I134" s="539">
        <v>2.5</v>
      </c>
      <c r="J134" s="539">
        <v>13.2</v>
      </c>
      <c r="K134" s="539">
        <v>23.9</v>
      </c>
      <c r="L134" s="539">
        <v>62</v>
      </c>
      <c r="M134" s="539">
        <v>84</v>
      </c>
      <c r="N134" s="539">
        <v>62</v>
      </c>
      <c r="O134" s="539">
        <v>124</v>
      </c>
      <c r="P134" s="539">
        <v>30</v>
      </c>
      <c r="Q134" s="734">
        <v>6</v>
      </c>
      <c r="R134" s="539">
        <v>12.5</v>
      </c>
      <c r="S134" s="734">
        <v>0.53</v>
      </c>
      <c r="T134" s="734">
        <v>86.3</v>
      </c>
      <c r="U134" s="734">
        <v>0</v>
      </c>
      <c r="V134" s="734">
        <v>300</v>
      </c>
      <c r="W134" s="734">
        <v>0</v>
      </c>
      <c r="X134" s="734">
        <v>2.1000000000000001E-2</v>
      </c>
      <c r="Y134" s="734">
        <v>0</v>
      </c>
      <c r="Z134" s="547">
        <v>95</v>
      </c>
      <c r="AA134" s="547">
        <f t="shared" si="18"/>
        <v>0.95000000000000007</v>
      </c>
      <c r="AB134" s="734">
        <v>40</v>
      </c>
      <c r="AC134" s="538"/>
      <c r="AD134" s="733" t="str">
        <f t="shared" si="14"/>
        <v>BARILOCHE</v>
      </c>
      <c r="AE134" s="737">
        <v>14.3</v>
      </c>
      <c r="AF134" s="737">
        <v>14.1</v>
      </c>
      <c r="AG134" s="737">
        <v>11.8</v>
      </c>
      <c r="AH134" s="737">
        <v>8.3000000000000007</v>
      </c>
      <c r="AI134" s="737">
        <v>5.7</v>
      </c>
      <c r="AJ134" s="737">
        <v>3.2</v>
      </c>
      <c r="AK134" s="737">
        <v>2.5</v>
      </c>
      <c r="AL134" s="737">
        <v>3.1</v>
      </c>
      <c r="AM134" s="737">
        <v>4.9000000000000004</v>
      </c>
      <c r="AN134" s="737">
        <v>7.7</v>
      </c>
      <c r="AO134" s="737">
        <v>10.8</v>
      </c>
      <c r="AP134" s="737">
        <v>13.4</v>
      </c>
      <c r="AQ134" s="538"/>
      <c r="AR134" s="733" t="str">
        <f t="shared" ref="AR134:AR197" si="19">B134</f>
        <v>RN</v>
      </c>
      <c r="AS134" s="733" t="str">
        <f t="shared" si="15"/>
        <v>BARILOCHE</v>
      </c>
      <c r="AT134" s="731">
        <v>7</v>
      </c>
      <c r="AU134" s="731">
        <v>6</v>
      </c>
      <c r="AV134" s="731">
        <v>4.5</v>
      </c>
      <c r="AW134" s="731">
        <v>3</v>
      </c>
      <c r="AX134" s="731">
        <v>2</v>
      </c>
      <c r="AY134" s="731">
        <v>1</v>
      </c>
      <c r="AZ134" s="731">
        <v>1.5</v>
      </c>
      <c r="BA134" s="731">
        <v>2.5</v>
      </c>
      <c r="BB134" s="731">
        <v>4</v>
      </c>
      <c r="BC134" s="731">
        <v>5.5</v>
      </c>
      <c r="BD134" s="731">
        <v>6.5</v>
      </c>
      <c r="BE134" s="731">
        <v>7.5</v>
      </c>
      <c r="BG134" s="733" t="str">
        <f t="shared" si="16"/>
        <v>RN</v>
      </c>
      <c r="BH134" s="733" t="str">
        <f t="shared" si="17"/>
        <v>BARILOCHE</v>
      </c>
      <c r="BI134" s="731">
        <v>18</v>
      </c>
      <c r="BJ134" s="731">
        <v>21</v>
      </c>
      <c r="BK134" s="731">
        <v>28</v>
      </c>
      <c r="BL134" s="731">
        <v>22</v>
      </c>
      <c r="BM134" s="731">
        <v>27</v>
      </c>
      <c r="BN134" s="731">
        <v>19</v>
      </c>
      <c r="BO134" s="731">
        <v>21</v>
      </c>
      <c r="BP134" s="731">
        <v>17</v>
      </c>
      <c r="BQ134" s="731">
        <v>16</v>
      </c>
      <c r="BR134" s="731">
        <v>23</v>
      </c>
      <c r="BS134" s="731">
        <v>18</v>
      </c>
      <c r="BT134" s="731">
        <v>20</v>
      </c>
    </row>
    <row r="135" spans="2:72">
      <c r="B135" s="734" t="s">
        <v>161</v>
      </c>
      <c r="C135" s="733" t="s">
        <v>164</v>
      </c>
      <c r="D135" s="539">
        <v>41.25</v>
      </c>
      <c r="E135" s="539">
        <v>71.62</v>
      </c>
      <c r="F135" s="539">
        <v>1955</v>
      </c>
      <c r="G135" s="539" t="s">
        <v>108</v>
      </c>
      <c r="H135" s="539">
        <v>-9</v>
      </c>
      <c r="I135" s="539">
        <v>-2.7</v>
      </c>
      <c r="J135" s="539">
        <v>6.9</v>
      </c>
      <c r="K135" s="539">
        <v>15.4</v>
      </c>
      <c r="L135" s="539">
        <v>70</v>
      </c>
      <c r="M135" s="539">
        <v>86</v>
      </c>
      <c r="N135" s="539">
        <v>70</v>
      </c>
      <c r="O135" s="539">
        <v>231</v>
      </c>
      <c r="P135" s="539">
        <v>63</v>
      </c>
      <c r="Q135" s="734">
        <v>6</v>
      </c>
      <c r="R135" s="539">
        <v>6.8</v>
      </c>
      <c r="S135" s="734">
        <v>0.53</v>
      </c>
      <c r="T135" s="734">
        <v>86.3</v>
      </c>
      <c r="U135" s="734">
        <v>0</v>
      </c>
      <c r="V135" s="734">
        <v>300</v>
      </c>
      <c r="W135" s="734">
        <v>0</v>
      </c>
      <c r="X135" s="734">
        <v>2.1000000000000001E-2</v>
      </c>
      <c r="Y135" s="734">
        <v>0</v>
      </c>
      <c r="Z135" s="547">
        <v>95</v>
      </c>
      <c r="AA135" s="547">
        <f t="shared" si="18"/>
        <v>0.95000000000000007</v>
      </c>
      <c r="AB135" s="734">
        <v>40</v>
      </c>
      <c r="AC135" s="538"/>
      <c r="AD135" s="733" t="str">
        <f t="shared" ref="AD135:AD198" si="20">C135</f>
        <v>CATEDRAL 2000</v>
      </c>
      <c r="AE135" s="737">
        <v>22.1</v>
      </c>
      <c r="AF135" s="737">
        <v>21.2</v>
      </c>
      <c r="AG135" s="737">
        <v>17.8</v>
      </c>
      <c r="AH135" s="737">
        <v>13.3</v>
      </c>
      <c r="AI135" s="737">
        <v>9.5</v>
      </c>
      <c r="AJ135" s="737">
        <v>6.2</v>
      </c>
      <c r="AK135" s="737">
        <v>6.1</v>
      </c>
      <c r="AL135" s="737">
        <v>8.1999999999999993</v>
      </c>
      <c r="AM135" s="737">
        <v>11</v>
      </c>
      <c r="AN135" s="737">
        <v>14.8</v>
      </c>
      <c r="AO135" s="737">
        <v>18.7</v>
      </c>
      <c r="AP135" s="737">
        <v>21.2</v>
      </c>
      <c r="AQ135" s="538"/>
      <c r="AR135" s="733" t="str">
        <f t="shared" si="19"/>
        <v>RN</v>
      </c>
      <c r="AS135" s="733" t="str">
        <f t="shared" ref="AS135:AS198" si="21">AD135</f>
        <v>CATEDRAL 2000</v>
      </c>
      <c r="AT135" s="731">
        <v>7.5</v>
      </c>
      <c r="AU135" s="731">
        <v>6.5</v>
      </c>
      <c r="AV135" s="731">
        <v>5</v>
      </c>
      <c r="AW135" s="731">
        <v>3</v>
      </c>
      <c r="AX135" s="731">
        <v>2</v>
      </c>
      <c r="AY135" s="731">
        <v>1.5</v>
      </c>
      <c r="AZ135" s="731">
        <v>1.5</v>
      </c>
      <c r="BA135" s="731">
        <v>2.5</v>
      </c>
      <c r="BB135" s="731">
        <v>4</v>
      </c>
      <c r="BC135" s="731">
        <v>5.5</v>
      </c>
      <c r="BD135" s="731">
        <v>6.5</v>
      </c>
      <c r="BE135" s="731">
        <v>7.5</v>
      </c>
      <c r="BG135" s="733" t="str">
        <f t="shared" ref="BG135:BG198" si="22">+AR135</f>
        <v>RN</v>
      </c>
      <c r="BH135" s="733" t="str">
        <f t="shared" ref="BH135:BH198" si="23">+AS135</f>
        <v>CATEDRAL 2000</v>
      </c>
      <c r="BI135" s="731">
        <v>18</v>
      </c>
      <c r="BJ135" s="731">
        <v>21</v>
      </c>
      <c r="BK135" s="731">
        <v>28</v>
      </c>
      <c r="BL135" s="731">
        <v>22</v>
      </c>
      <c r="BM135" s="731">
        <v>27</v>
      </c>
      <c r="BN135" s="731">
        <v>19</v>
      </c>
      <c r="BO135" s="731">
        <v>21</v>
      </c>
      <c r="BP135" s="731">
        <v>17</v>
      </c>
      <c r="BQ135" s="731">
        <v>16</v>
      </c>
      <c r="BR135" s="731">
        <v>23</v>
      </c>
      <c r="BS135" s="731">
        <v>18</v>
      </c>
      <c r="BT135" s="731">
        <v>20</v>
      </c>
    </row>
    <row r="136" spans="2:72">
      <c r="B136" s="734" t="s">
        <v>161</v>
      </c>
      <c r="C136" s="733" t="s">
        <v>165</v>
      </c>
      <c r="D136" s="539">
        <v>38.950000000000003</v>
      </c>
      <c r="E136" s="539">
        <v>67.98</v>
      </c>
      <c r="F136" s="539">
        <v>265</v>
      </c>
      <c r="G136" s="539" t="s">
        <v>61</v>
      </c>
      <c r="H136" s="539">
        <v>-4.0999999999999996</v>
      </c>
      <c r="I136" s="539">
        <v>7.1</v>
      </c>
      <c r="J136" s="539">
        <v>21.4</v>
      </c>
      <c r="K136" s="539">
        <v>33.4</v>
      </c>
      <c r="L136" s="539">
        <v>41</v>
      </c>
      <c r="M136" s="539">
        <v>62</v>
      </c>
      <c r="N136" s="539">
        <v>40</v>
      </c>
      <c r="O136" s="539">
        <v>10</v>
      </c>
      <c r="P136" s="539">
        <v>11</v>
      </c>
      <c r="Q136" s="734">
        <v>4</v>
      </c>
      <c r="R136" s="539">
        <v>21.5</v>
      </c>
      <c r="S136" s="734">
        <v>0.55000000000000004</v>
      </c>
      <c r="T136" s="734">
        <v>86.3</v>
      </c>
      <c r="U136" s="734">
        <v>0</v>
      </c>
      <c r="V136" s="734">
        <v>300</v>
      </c>
      <c r="W136" s="734">
        <v>0</v>
      </c>
      <c r="X136" s="734">
        <v>2.1000000000000001E-2</v>
      </c>
      <c r="Y136" s="734">
        <v>0</v>
      </c>
      <c r="Z136" s="547">
        <v>130</v>
      </c>
      <c r="AA136" s="547">
        <f t="shared" si="18"/>
        <v>1.3</v>
      </c>
      <c r="AB136" s="734">
        <v>40</v>
      </c>
      <c r="AC136" s="538"/>
      <c r="AD136" s="733" t="str">
        <f t="shared" si="20"/>
        <v>CIPOLLETTI</v>
      </c>
      <c r="AE136" s="737">
        <v>21.8</v>
      </c>
      <c r="AF136" s="737">
        <v>20.8</v>
      </c>
      <c r="AG136" s="737">
        <v>17.5</v>
      </c>
      <c r="AH136" s="737">
        <v>12.9</v>
      </c>
      <c r="AI136" s="737">
        <v>9.1999999999999993</v>
      </c>
      <c r="AJ136" s="737">
        <v>6</v>
      </c>
      <c r="AK136" s="737">
        <v>6</v>
      </c>
      <c r="AL136" s="737">
        <v>7.9</v>
      </c>
      <c r="AM136" s="737">
        <v>10.9</v>
      </c>
      <c r="AN136" s="737">
        <v>14.6</v>
      </c>
      <c r="AO136" s="737">
        <v>18.7</v>
      </c>
      <c r="AP136" s="737">
        <v>21.1</v>
      </c>
      <c r="AQ136" s="538"/>
      <c r="AR136" s="733" t="str">
        <f t="shared" si="19"/>
        <v>RN</v>
      </c>
      <c r="AS136" s="733" t="str">
        <f t="shared" si="21"/>
        <v>CIPOLLETTI</v>
      </c>
      <c r="AT136" s="731">
        <v>7.5</v>
      </c>
      <c r="AU136" s="731">
        <v>6.5</v>
      </c>
      <c r="AV136" s="731">
        <v>5</v>
      </c>
      <c r="AW136" s="731">
        <v>3</v>
      </c>
      <c r="AX136" s="731">
        <v>2</v>
      </c>
      <c r="AY136" s="731">
        <v>1.5</v>
      </c>
      <c r="AZ136" s="731">
        <v>1.5</v>
      </c>
      <c r="BA136" s="731">
        <v>2.5</v>
      </c>
      <c r="BB136" s="731">
        <v>3.5</v>
      </c>
      <c r="BC136" s="731">
        <v>5.5</v>
      </c>
      <c r="BD136" s="731">
        <v>6.5</v>
      </c>
      <c r="BE136" s="731">
        <v>7</v>
      </c>
      <c r="BG136" s="733" t="str">
        <f t="shared" si="22"/>
        <v>RN</v>
      </c>
      <c r="BH136" s="733" t="str">
        <f t="shared" si="23"/>
        <v>CIPOLLETTI</v>
      </c>
      <c r="BI136" s="731">
        <v>18</v>
      </c>
      <c r="BJ136" s="731">
        <v>21</v>
      </c>
      <c r="BK136" s="731">
        <v>28</v>
      </c>
      <c r="BL136" s="731">
        <v>22</v>
      </c>
      <c r="BM136" s="731">
        <v>27</v>
      </c>
      <c r="BN136" s="731">
        <v>19</v>
      </c>
      <c r="BO136" s="731">
        <v>21</v>
      </c>
      <c r="BP136" s="731">
        <v>17</v>
      </c>
      <c r="BQ136" s="731">
        <v>16</v>
      </c>
      <c r="BR136" s="731">
        <v>23</v>
      </c>
      <c r="BS136" s="731">
        <v>18</v>
      </c>
      <c r="BT136" s="731">
        <v>20</v>
      </c>
    </row>
    <row r="137" spans="2:72">
      <c r="B137" s="734" t="s">
        <v>161</v>
      </c>
      <c r="C137" s="733" t="s">
        <v>166</v>
      </c>
      <c r="D137" s="539">
        <v>39.28</v>
      </c>
      <c r="E137" s="539">
        <v>65.650000000000006</v>
      </c>
      <c r="F137" s="539">
        <v>131</v>
      </c>
      <c r="G137" s="539" t="s">
        <v>38</v>
      </c>
      <c r="H137" s="539">
        <v>-2.8</v>
      </c>
      <c r="I137" s="539">
        <v>8.4</v>
      </c>
      <c r="J137" s="539">
        <v>23</v>
      </c>
      <c r="K137" s="539">
        <v>34.700000000000003</v>
      </c>
      <c r="L137" s="539">
        <v>40</v>
      </c>
      <c r="M137" s="539">
        <v>61</v>
      </c>
      <c r="N137" s="539">
        <v>41</v>
      </c>
      <c r="O137" s="539">
        <v>15</v>
      </c>
      <c r="P137" s="539">
        <v>22</v>
      </c>
      <c r="Q137" s="734">
        <v>4</v>
      </c>
      <c r="R137" s="539">
        <v>22.7</v>
      </c>
      <c r="S137" s="734">
        <v>0.55000000000000004</v>
      </c>
      <c r="T137" s="734">
        <v>86.3</v>
      </c>
      <c r="U137" s="734">
        <v>0</v>
      </c>
      <c r="V137" s="734">
        <v>300</v>
      </c>
      <c r="W137" s="734">
        <v>0</v>
      </c>
      <c r="X137" s="734">
        <v>2.1000000000000001E-2</v>
      </c>
      <c r="Y137" s="734">
        <v>0</v>
      </c>
      <c r="Z137" s="547">
        <v>130</v>
      </c>
      <c r="AA137" s="547">
        <f t="shared" si="18"/>
        <v>1.3</v>
      </c>
      <c r="AB137" s="734">
        <v>40</v>
      </c>
      <c r="AC137" s="538"/>
      <c r="AD137" s="733" t="str">
        <f t="shared" si="20"/>
        <v>CHOELE CHOEL</v>
      </c>
      <c r="AE137" s="737">
        <v>23.9</v>
      </c>
      <c r="AF137" s="737">
        <v>22.7</v>
      </c>
      <c r="AG137" s="737">
        <v>20</v>
      </c>
      <c r="AH137" s="737">
        <v>14.5</v>
      </c>
      <c r="AI137" s="737">
        <v>11.1</v>
      </c>
      <c r="AJ137" s="737">
        <v>6.9</v>
      </c>
      <c r="AK137" s="737">
        <v>7.6</v>
      </c>
      <c r="AL137" s="737">
        <v>9.6999999999999993</v>
      </c>
      <c r="AM137" s="737">
        <v>11.7</v>
      </c>
      <c r="AN137" s="737">
        <v>15.7</v>
      </c>
      <c r="AO137" s="737">
        <v>19.7</v>
      </c>
      <c r="AP137" s="737">
        <v>21.9</v>
      </c>
      <c r="AQ137" s="538"/>
      <c r="AR137" s="733" t="str">
        <f t="shared" si="19"/>
        <v>RN</v>
      </c>
      <c r="AS137" s="733" t="str">
        <f t="shared" si="21"/>
        <v>CHOELE CHOEL</v>
      </c>
      <c r="AT137" s="731">
        <v>7</v>
      </c>
      <c r="AU137" s="731">
        <v>6</v>
      </c>
      <c r="AV137" s="731">
        <v>5</v>
      </c>
      <c r="AW137" s="731">
        <v>3</v>
      </c>
      <c r="AX137" s="731">
        <v>2</v>
      </c>
      <c r="AY137" s="731">
        <v>1.5</v>
      </c>
      <c r="AZ137" s="731">
        <v>1.5</v>
      </c>
      <c r="BA137" s="731">
        <v>2.5</v>
      </c>
      <c r="BB137" s="731">
        <v>3.5</v>
      </c>
      <c r="BC137" s="731">
        <v>5</v>
      </c>
      <c r="BD137" s="731">
        <v>6</v>
      </c>
      <c r="BE137" s="731">
        <v>7</v>
      </c>
      <c r="BG137" s="733" t="str">
        <f t="shared" si="22"/>
        <v>RN</v>
      </c>
      <c r="BH137" s="733" t="str">
        <f t="shared" si="23"/>
        <v>CHOELE CHOEL</v>
      </c>
      <c r="BI137" s="731">
        <v>18</v>
      </c>
      <c r="BJ137" s="731">
        <v>21</v>
      </c>
      <c r="BK137" s="731">
        <v>28</v>
      </c>
      <c r="BL137" s="731">
        <v>22</v>
      </c>
      <c r="BM137" s="731">
        <v>27</v>
      </c>
      <c r="BN137" s="731">
        <v>19</v>
      </c>
      <c r="BO137" s="731">
        <v>21</v>
      </c>
      <c r="BP137" s="731">
        <v>17</v>
      </c>
      <c r="BQ137" s="731">
        <v>16</v>
      </c>
      <c r="BR137" s="731">
        <v>23</v>
      </c>
      <c r="BS137" s="731">
        <v>18</v>
      </c>
      <c r="BT137" s="731">
        <v>20</v>
      </c>
    </row>
    <row r="138" spans="2:72">
      <c r="B138" s="734" t="s">
        <v>161</v>
      </c>
      <c r="C138" s="733" t="s">
        <v>1274</v>
      </c>
      <c r="D138" s="539">
        <v>41.93</v>
      </c>
      <c r="E138" s="539">
        <v>71.55</v>
      </c>
      <c r="F138" s="539">
        <v>310</v>
      </c>
      <c r="G138" s="539" t="s">
        <v>106</v>
      </c>
      <c r="H138" s="539">
        <v>-4.3</v>
      </c>
      <c r="I138" s="539">
        <v>3.9</v>
      </c>
      <c r="J138" s="539">
        <v>15</v>
      </c>
      <c r="K138" s="539">
        <v>26.6</v>
      </c>
      <c r="L138" s="539">
        <v>66</v>
      </c>
      <c r="M138" s="539">
        <v>84</v>
      </c>
      <c r="N138" s="539">
        <v>66</v>
      </c>
      <c r="O138" s="539">
        <v>138</v>
      </c>
      <c r="P138" s="539">
        <v>37</v>
      </c>
      <c r="Q138" s="734">
        <v>5</v>
      </c>
      <c r="R138" s="539">
        <v>14.3</v>
      </c>
      <c r="S138" s="734">
        <v>0.53</v>
      </c>
      <c r="T138" s="734">
        <v>86.3</v>
      </c>
      <c r="U138" s="734">
        <v>0</v>
      </c>
      <c r="V138" s="734">
        <v>300</v>
      </c>
      <c r="W138" s="734">
        <v>0</v>
      </c>
      <c r="X138" s="734">
        <v>2.1000000000000001E-2</v>
      </c>
      <c r="Y138" s="734">
        <v>0</v>
      </c>
      <c r="Z138" s="547">
        <v>95</v>
      </c>
      <c r="AA138" s="547">
        <f t="shared" si="18"/>
        <v>0.95000000000000007</v>
      </c>
      <c r="AB138" s="734">
        <v>40</v>
      </c>
      <c r="AC138" s="538"/>
      <c r="AD138" s="733" t="str">
        <f t="shared" si="20"/>
        <v>EL BOLSÓN</v>
      </c>
      <c r="AE138" s="737">
        <v>16.3</v>
      </c>
      <c r="AF138" s="737">
        <v>15.7</v>
      </c>
      <c r="AG138" s="737">
        <v>13.3</v>
      </c>
      <c r="AH138" s="737">
        <v>9.6999999999999993</v>
      </c>
      <c r="AI138" s="737">
        <v>7</v>
      </c>
      <c r="AJ138" s="737">
        <v>4.5</v>
      </c>
      <c r="AK138" s="737">
        <v>3.9</v>
      </c>
      <c r="AL138" s="737">
        <v>5</v>
      </c>
      <c r="AM138" s="737">
        <v>7.4</v>
      </c>
      <c r="AN138" s="737">
        <v>10.3</v>
      </c>
      <c r="AO138" s="737">
        <v>13.2</v>
      </c>
      <c r="AP138" s="737">
        <v>15.2</v>
      </c>
      <c r="AQ138" s="538"/>
      <c r="AR138" s="733" t="str">
        <f t="shared" si="19"/>
        <v>RN</v>
      </c>
      <c r="AS138" s="733" t="str">
        <f t="shared" si="21"/>
        <v>EL BOLSÓN</v>
      </c>
      <c r="AT138" s="731">
        <v>7</v>
      </c>
      <c r="AU138" s="731">
        <v>6</v>
      </c>
      <c r="AV138" s="731">
        <v>4.5</v>
      </c>
      <c r="AW138" s="731">
        <v>3</v>
      </c>
      <c r="AX138" s="731">
        <v>2</v>
      </c>
      <c r="AY138" s="731">
        <v>1</v>
      </c>
      <c r="AZ138" s="731">
        <v>1.5</v>
      </c>
      <c r="BA138" s="731">
        <v>2.5</v>
      </c>
      <c r="BB138" s="731">
        <v>3.5</v>
      </c>
      <c r="BC138" s="731">
        <v>5</v>
      </c>
      <c r="BD138" s="731">
        <v>6.5</v>
      </c>
      <c r="BE138" s="731">
        <v>7</v>
      </c>
      <c r="BG138" s="733" t="str">
        <f t="shared" si="22"/>
        <v>RN</v>
      </c>
      <c r="BH138" s="733" t="str">
        <f t="shared" si="23"/>
        <v>EL BOLSÓN</v>
      </c>
      <c r="BI138" s="731">
        <v>18</v>
      </c>
      <c r="BJ138" s="731">
        <v>21</v>
      </c>
      <c r="BK138" s="731">
        <v>28</v>
      </c>
      <c r="BL138" s="731">
        <v>22</v>
      </c>
      <c r="BM138" s="731">
        <v>27</v>
      </c>
      <c r="BN138" s="731">
        <v>19</v>
      </c>
      <c r="BO138" s="731">
        <v>21</v>
      </c>
      <c r="BP138" s="731">
        <v>17</v>
      </c>
      <c r="BQ138" s="731">
        <v>16</v>
      </c>
      <c r="BR138" s="731">
        <v>23</v>
      </c>
      <c r="BS138" s="731">
        <v>18</v>
      </c>
      <c r="BT138" s="731">
        <v>20</v>
      </c>
    </row>
    <row r="139" spans="2:72">
      <c r="B139" s="734" t="s">
        <v>161</v>
      </c>
      <c r="C139" s="733" t="s">
        <v>167</v>
      </c>
      <c r="D139" s="539">
        <v>41.25</v>
      </c>
      <c r="E139" s="539">
        <v>68.73</v>
      </c>
      <c r="F139" s="539">
        <v>888</v>
      </c>
      <c r="G139" s="539" t="s">
        <v>106</v>
      </c>
      <c r="H139" s="539">
        <v>-10.7</v>
      </c>
      <c r="I139" s="539">
        <v>2.5</v>
      </c>
      <c r="J139" s="539">
        <v>16.600000000000001</v>
      </c>
      <c r="K139" s="539">
        <v>29.2</v>
      </c>
      <c r="L139" s="539">
        <v>42</v>
      </c>
      <c r="M139" s="539">
        <v>70</v>
      </c>
      <c r="N139" s="539">
        <v>42</v>
      </c>
      <c r="O139" s="539">
        <v>14</v>
      </c>
      <c r="P139" s="539">
        <v>12</v>
      </c>
      <c r="Q139" s="734">
        <v>5</v>
      </c>
      <c r="R139" s="539">
        <v>15.6</v>
      </c>
      <c r="S139" s="734">
        <v>0.53</v>
      </c>
      <c r="T139" s="734">
        <v>86.3</v>
      </c>
      <c r="U139" s="734">
        <v>0</v>
      </c>
      <c r="V139" s="734">
        <v>300</v>
      </c>
      <c r="W139" s="734">
        <v>0</v>
      </c>
      <c r="X139" s="734">
        <v>2.1000000000000001E-2</v>
      </c>
      <c r="Y139" s="734">
        <v>0</v>
      </c>
      <c r="Z139" s="547">
        <v>105</v>
      </c>
      <c r="AA139" s="547">
        <f t="shared" si="18"/>
        <v>1.05</v>
      </c>
      <c r="AB139" s="734">
        <v>40</v>
      </c>
      <c r="AC139" s="538"/>
      <c r="AD139" s="733" t="str">
        <f t="shared" si="20"/>
        <v>MAQUINCHAO</v>
      </c>
      <c r="AE139" s="737">
        <v>17.3</v>
      </c>
      <c r="AF139" s="737">
        <v>16.899999999999999</v>
      </c>
      <c r="AG139" s="737">
        <v>13.9</v>
      </c>
      <c r="AH139" s="737">
        <v>9.1999999999999993</v>
      </c>
      <c r="AI139" s="737">
        <v>5.8</v>
      </c>
      <c r="AJ139" s="737">
        <v>1.6</v>
      </c>
      <c r="AK139" s="737">
        <v>1.7</v>
      </c>
      <c r="AL139" s="737">
        <v>3.7</v>
      </c>
      <c r="AM139" s="737">
        <v>5.9</v>
      </c>
      <c r="AN139" s="737">
        <v>9.6</v>
      </c>
      <c r="AO139" s="737">
        <v>13.8</v>
      </c>
      <c r="AP139" s="737">
        <v>16.2</v>
      </c>
      <c r="AQ139" s="538"/>
      <c r="AR139" s="733" t="str">
        <f t="shared" si="19"/>
        <v>RN</v>
      </c>
      <c r="AS139" s="733" t="str">
        <f t="shared" si="21"/>
        <v>MAQUINCHAO</v>
      </c>
      <c r="AT139" s="731">
        <v>7.5</v>
      </c>
      <c r="AU139" s="731">
        <v>6.5</v>
      </c>
      <c r="AV139" s="731">
        <v>4.5</v>
      </c>
      <c r="AW139" s="731">
        <v>3</v>
      </c>
      <c r="AX139" s="731">
        <v>2</v>
      </c>
      <c r="AY139" s="731">
        <v>1.5</v>
      </c>
      <c r="AZ139" s="731">
        <v>1.5</v>
      </c>
      <c r="BA139" s="731">
        <v>2.5</v>
      </c>
      <c r="BB139" s="731">
        <v>3.5</v>
      </c>
      <c r="BC139" s="731">
        <v>5.5</v>
      </c>
      <c r="BD139" s="731">
        <v>7</v>
      </c>
      <c r="BE139" s="731">
        <v>7.5</v>
      </c>
      <c r="BG139" s="733" t="str">
        <f t="shared" si="22"/>
        <v>RN</v>
      </c>
      <c r="BH139" s="733" t="str">
        <f t="shared" si="23"/>
        <v>MAQUINCHAO</v>
      </c>
      <c r="BI139" s="731">
        <v>18</v>
      </c>
      <c r="BJ139" s="731">
        <v>21</v>
      </c>
      <c r="BK139" s="731">
        <v>28</v>
      </c>
      <c r="BL139" s="731">
        <v>22</v>
      </c>
      <c r="BM139" s="731">
        <v>27</v>
      </c>
      <c r="BN139" s="731">
        <v>19</v>
      </c>
      <c r="BO139" s="731">
        <v>21</v>
      </c>
      <c r="BP139" s="731">
        <v>17</v>
      </c>
      <c r="BQ139" s="731">
        <v>16</v>
      </c>
      <c r="BR139" s="731">
        <v>23</v>
      </c>
      <c r="BS139" s="731">
        <v>18</v>
      </c>
      <c r="BT139" s="731">
        <v>20</v>
      </c>
    </row>
    <row r="140" spans="2:72">
      <c r="B140" s="734" t="s">
        <v>161</v>
      </c>
      <c r="C140" s="733" t="s">
        <v>168</v>
      </c>
      <c r="D140" s="539">
        <v>39.020000000000003</v>
      </c>
      <c r="E140" s="539">
        <v>64.08</v>
      </c>
      <c r="F140" s="539">
        <v>79</v>
      </c>
      <c r="G140" s="539" t="s">
        <v>38</v>
      </c>
      <c r="H140" s="539">
        <v>-3.7</v>
      </c>
      <c r="I140" s="539">
        <v>8.3000000000000007</v>
      </c>
      <c r="J140" s="539">
        <v>22.7</v>
      </c>
      <c r="K140" s="539">
        <v>34.5</v>
      </c>
      <c r="L140" s="539">
        <v>47</v>
      </c>
      <c r="M140" s="539">
        <v>68</v>
      </c>
      <c r="N140" s="539">
        <v>47</v>
      </c>
      <c r="O140" s="539">
        <v>20</v>
      </c>
      <c r="P140" s="539">
        <v>35</v>
      </c>
      <c r="Q140" s="734">
        <v>4</v>
      </c>
      <c r="R140" s="539">
        <v>22.1</v>
      </c>
      <c r="S140" s="734">
        <v>0.55000000000000004</v>
      </c>
      <c r="T140" s="734">
        <v>86.3</v>
      </c>
      <c r="U140" s="734">
        <v>0</v>
      </c>
      <c r="V140" s="734">
        <v>300</v>
      </c>
      <c r="W140" s="734">
        <v>0</v>
      </c>
      <c r="X140" s="734">
        <v>2.1000000000000001E-2</v>
      </c>
      <c r="Y140" s="734">
        <v>0</v>
      </c>
      <c r="Z140" s="547">
        <v>130</v>
      </c>
      <c r="AA140" s="547">
        <f t="shared" si="18"/>
        <v>1.3</v>
      </c>
      <c r="AB140" s="734">
        <v>40</v>
      </c>
      <c r="AC140" s="538"/>
      <c r="AD140" s="733" t="str">
        <f t="shared" si="20"/>
        <v>RIO COLORADO</v>
      </c>
      <c r="AE140" s="737">
        <v>23.3</v>
      </c>
      <c r="AF140" s="737">
        <v>22.5</v>
      </c>
      <c r="AG140" s="737">
        <v>19.8</v>
      </c>
      <c r="AH140" s="737">
        <v>14.3</v>
      </c>
      <c r="AI140" s="737">
        <v>10.9</v>
      </c>
      <c r="AJ140" s="737">
        <v>7.8</v>
      </c>
      <c r="AK140" s="737">
        <v>7.6</v>
      </c>
      <c r="AL140" s="737">
        <v>9</v>
      </c>
      <c r="AM140" s="737">
        <v>11.3</v>
      </c>
      <c r="AN140" s="737">
        <v>15.3</v>
      </c>
      <c r="AO140" s="737">
        <v>18.899999999999999</v>
      </c>
      <c r="AP140" s="737">
        <v>21.4</v>
      </c>
      <c r="AQ140" s="538"/>
      <c r="AR140" s="733" t="str">
        <f t="shared" si="19"/>
        <v>RN</v>
      </c>
      <c r="AS140" s="733" t="str">
        <f t="shared" si="21"/>
        <v>RIO COLORADO</v>
      </c>
      <c r="AT140" s="731">
        <v>6.5</v>
      </c>
      <c r="AU140" s="731">
        <v>6.5</v>
      </c>
      <c r="AV140" s="731">
        <v>4.5</v>
      </c>
      <c r="AW140" s="731">
        <v>3</v>
      </c>
      <c r="AX140" s="731">
        <v>2</v>
      </c>
      <c r="AY140" s="731">
        <v>1.5</v>
      </c>
      <c r="AZ140" s="731">
        <v>1.5</v>
      </c>
      <c r="BA140" s="731">
        <v>2.5</v>
      </c>
      <c r="BB140" s="731">
        <v>3.5</v>
      </c>
      <c r="BC140" s="731">
        <v>5</v>
      </c>
      <c r="BD140" s="731">
        <v>7</v>
      </c>
      <c r="BE140" s="731">
        <v>7</v>
      </c>
      <c r="BG140" s="733" t="str">
        <f t="shared" si="22"/>
        <v>RN</v>
      </c>
      <c r="BH140" s="733" t="str">
        <f t="shared" si="23"/>
        <v>RIO COLORADO</v>
      </c>
      <c r="BI140" s="731">
        <v>18</v>
      </c>
      <c r="BJ140" s="731">
        <v>21</v>
      </c>
      <c r="BK140" s="731">
        <v>28</v>
      </c>
      <c r="BL140" s="731">
        <v>22</v>
      </c>
      <c r="BM140" s="731">
        <v>27</v>
      </c>
      <c r="BN140" s="731">
        <v>19</v>
      </c>
      <c r="BO140" s="731">
        <v>21</v>
      </c>
      <c r="BP140" s="731">
        <v>17</v>
      </c>
      <c r="BQ140" s="731">
        <v>16</v>
      </c>
      <c r="BR140" s="731">
        <v>23</v>
      </c>
      <c r="BS140" s="731">
        <v>18</v>
      </c>
      <c r="BT140" s="731">
        <v>20</v>
      </c>
    </row>
    <row r="141" spans="2:72">
      <c r="B141" s="734" t="s">
        <v>161</v>
      </c>
      <c r="C141" s="733" t="s">
        <v>169</v>
      </c>
      <c r="D141" s="539">
        <v>40.729999999999997</v>
      </c>
      <c r="E141" s="539">
        <v>64.95</v>
      </c>
      <c r="F141" s="539">
        <v>7</v>
      </c>
      <c r="G141" s="539" t="s">
        <v>38</v>
      </c>
      <c r="H141" s="539">
        <v>-1.5</v>
      </c>
      <c r="I141" s="539">
        <v>8.9</v>
      </c>
      <c r="J141" s="539">
        <v>21.7</v>
      </c>
      <c r="K141" s="539">
        <v>32.700000000000003</v>
      </c>
      <c r="L141" s="539">
        <v>50</v>
      </c>
      <c r="M141" s="539">
        <v>67</v>
      </c>
      <c r="N141" s="539">
        <v>50</v>
      </c>
      <c r="O141" s="539">
        <v>16</v>
      </c>
      <c r="P141" s="539">
        <v>19</v>
      </c>
      <c r="Q141" s="734">
        <v>4</v>
      </c>
      <c r="R141" s="539">
        <v>21.9</v>
      </c>
      <c r="S141" s="734">
        <v>0.53</v>
      </c>
      <c r="T141" s="734">
        <v>86.3</v>
      </c>
      <c r="U141" s="734">
        <v>0</v>
      </c>
      <c r="V141" s="734">
        <v>300</v>
      </c>
      <c r="W141" s="734">
        <v>0</v>
      </c>
      <c r="X141" s="734">
        <v>2.1000000000000001E-2</v>
      </c>
      <c r="Y141" s="734">
        <v>0</v>
      </c>
      <c r="Z141" s="547">
        <v>130</v>
      </c>
      <c r="AA141" s="547">
        <f t="shared" si="18"/>
        <v>1.3</v>
      </c>
      <c r="AB141" s="734">
        <v>40</v>
      </c>
      <c r="AC141" s="538"/>
      <c r="AD141" s="733" t="str">
        <f t="shared" si="20"/>
        <v>SAN ANTONIO OESTE</v>
      </c>
      <c r="AE141" s="737">
        <v>23</v>
      </c>
      <c r="AF141" s="737">
        <v>22.3</v>
      </c>
      <c r="AG141" s="737">
        <v>19.8</v>
      </c>
      <c r="AH141" s="737">
        <v>15.1</v>
      </c>
      <c r="AI141" s="737">
        <v>11.6</v>
      </c>
      <c r="AJ141" s="737">
        <v>8.1999999999999993</v>
      </c>
      <c r="AK141" s="737">
        <v>8.1999999999999993</v>
      </c>
      <c r="AL141" s="737">
        <v>9.9</v>
      </c>
      <c r="AM141" s="737">
        <v>11.9</v>
      </c>
      <c r="AN141" s="737">
        <v>15.3</v>
      </c>
      <c r="AO141" s="737">
        <v>18.899999999999999</v>
      </c>
      <c r="AP141" s="737">
        <v>21.4</v>
      </c>
      <c r="AQ141" s="538"/>
      <c r="AR141" s="733" t="str">
        <f t="shared" si="19"/>
        <v>RN</v>
      </c>
      <c r="AS141" s="733" t="str">
        <f t="shared" si="21"/>
        <v>SAN ANTONIO OESTE</v>
      </c>
      <c r="AT141" s="731">
        <v>7</v>
      </c>
      <c r="AU141" s="731">
        <v>6</v>
      </c>
      <c r="AV141" s="731">
        <v>4.5</v>
      </c>
      <c r="AW141" s="731">
        <v>3</v>
      </c>
      <c r="AX141" s="731">
        <v>2</v>
      </c>
      <c r="AY141" s="731">
        <v>1.5</v>
      </c>
      <c r="AZ141" s="731">
        <v>1.5</v>
      </c>
      <c r="BA141" s="731">
        <v>2.5</v>
      </c>
      <c r="BB141" s="731">
        <v>3.5</v>
      </c>
      <c r="BC141" s="731">
        <v>5</v>
      </c>
      <c r="BD141" s="731">
        <v>6</v>
      </c>
      <c r="BE141" s="731">
        <v>7</v>
      </c>
      <c r="BG141" s="733" t="str">
        <f t="shared" si="22"/>
        <v>RN</v>
      </c>
      <c r="BH141" s="733" t="str">
        <f t="shared" si="23"/>
        <v>SAN ANTONIO OESTE</v>
      </c>
      <c r="BI141" s="731">
        <v>18</v>
      </c>
      <c r="BJ141" s="731">
        <v>21</v>
      </c>
      <c r="BK141" s="731">
        <v>28</v>
      </c>
      <c r="BL141" s="731">
        <v>22</v>
      </c>
      <c r="BM141" s="731">
        <v>27</v>
      </c>
      <c r="BN141" s="731">
        <v>19</v>
      </c>
      <c r="BO141" s="731">
        <v>21</v>
      </c>
      <c r="BP141" s="731">
        <v>17</v>
      </c>
      <c r="BQ141" s="731">
        <v>16</v>
      </c>
      <c r="BR141" s="731">
        <v>23</v>
      </c>
      <c r="BS141" s="731">
        <v>18</v>
      </c>
      <c r="BT141" s="731">
        <v>20</v>
      </c>
    </row>
    <row r="142" spans="2:72">
      <c r="B142" s="734" t="s">
        <v>161</v>
      </c>
      <c r="C142" s="733" t="s">
        <v>170</v>
      </c>
      <c r="D142" s="539">
        <v>40.58</v>
      </c>
      <c r="E142" s="539">
        <v>67.77</v>
      </c>
      <c r="F142" s="539">
        <v>665</v>
      </c>
      <c r="G142" s="539" t="s">
        <v>38</v>
      </c>
      <c r="H142" s="539">
        <v>-10.4</v>
      </c>
      <c r="I142" s="539">
        <v>4.5</v>
      </c>
      <c r="J142" s="539">
        <v>19.399999999999999</v>
      </c>
      <c r="K142" s="539">
        <v>31.5</v>
      </c>
      <c r="L142" s="539">
        <v>36</v>
      </c>
      <c r="M142" s="539">
        <v>65</v>
      </c>
      <c r="N142" s="539">
        <v>36</v>
      </c>
      <c r="O142" s="539">
        <v>19</v>
      </c>
      <c r="P142" s="539">
        <v>18</v>
      </c>
      <c r="Q142" s="734">
        <v>4</v>
      </c>
      <c r="R142" s="539">
        <v>18.8</v>
      </c>
      <c r="S142" s="734">
        <v>0.53</v>
      </c>
      <c r="T142" s="734">
        <v>86.3</v>
      </c>
      <c r="U142" s="734">
        <v>0</v>
      </c>
      <c r="V142" s="734">
        <v>300</v>
      </c>
      <c r="W142" s="734">
        <v>0</v>
      </c>
      <c r="X142" s="734">
        <v>2.1000000000000001E-2</v>
      </c>
      <c r="Y142" s="734">
        <v>0</v>
      </c>
      <c r="Z142" s="547">
        <v>115</v>
      </c>
      <c r="AA142" s="547">
        <f t="shared" si="18"/>
        <v>1.1500000000000001</v>
      </c>
      <c r="AB142" s="734">
        <v>40</v>
      </c>
      <c r="AC142" s="538"/>
      <c r="AD142" s="733" t="str">
        <f t="shared" si="20"/>
        <v>SIERRA COLORADA</v>
      </c>
      <c r="AE142" s="737">
        <v>19.5</v>
      </c>
      <c r="AF142" s="737">
        <v>18.899999999999999</v>
      </c>
      <c r="AG142" s="737">
        <v>16</v>
      </c>
      <c r="AH142" s="737">
        <v>11.1</v>
      </c>
      <c r="AI142" s="737">
        <v>7.5</v>
      </c>
      <c r="AJ142" s="737">
        <v>3.7</v>
      </c>
      <c r="AK142" s="737">
        <v>3.8</v>
      </c>
      <c r="AL142" s="737">
        <v>5.9</v>
      </c>
      <c r="AM142" s="737">
        <v>8</v>
      </c>
      <c r="AN142" s="737">
        <v>11.9</v>
      </c>
      <c r="AO142" s="737">
        <v>15.9</v>
      </c>
      <c r="AP142" s="737">
        <v>18.399999999999999</v>
      </c>
      <c r="AQ142" s="538"/>
      <c r="AR142" s="733" t="str">
        <f t="shared" si="19"/>
        <v>RN</v>
      </c>
      <c r="AS142" s="733" t="str">
        <f t="shared" si="21"/>
        <v>SIERRA COLORADA</v>
      </c>
      <c r="AT142" s="731">
        <v>7.5</v>
      </c>
      <c r="AU142" s="731">
        <v>6</v>
      </c>
      <c r="AV142" s="731">
        <v>4.5</v>
      </c>
      <c r="AW142" s="731">
        <v>3</v>
      </c>
      <c r="AX142" s="731">
        <v>2</v>
      </c>
      <c r="AY142" s="731">
        <v>1.5</v>
      </c>
      <c r="AZ142" s="731">
        <v>1.5</v>
      </c>
      <c r="BA142" s="731">
        <v>2.5</v>
      </c>
      <c r="BB142" s="731">
        <v>3.5</v>
      </c>
      <c r="BC142" s="731">
        <v>5.5</v>
      </c>
      <c r="BD142" s="731">
        <v>6.5</v>
      </c>
      <c r="BE142" s="731">
        <v>7</v>
      </c>
      <c r="BG142" s="733" t="str">
        <f t="shared" si="22"/>
        <v>RN</v>
      </c>
      <c r="BH142" s="733" t="str">
        <f t="shared" si="23"/>
        <v>SIERRA COLORADA</v>
      </c>
      <c r="BI142" s="731">
        <v>18</v>
      </c>
      <c r="BJ142" s="731">
        <v>21</v>
      </c>
      <c r="BK142" s="731">
        <v>28</v>
      </c>
      <c r="BL142" s="731">
        <v>22</v>
      </c>
      <c r="BM142" s="731">
        <v>27</v>
      </c>
      <c r="BN142" s="731">
        <v>19</v>
      </c>
      <c r="BO142" s="731">
        <v>21</v>
      </c>
      <c r="BP142" s="731">
        <v>17</v>
      </c>
      <c r="BQ142" s="731">
        <v>16</v>
      </c>
      <c r="BR142" s="731">
        <v>23</v>
      </c>
      <c r="BS142" s="731">
        <v>18</v>
      </c>
      <c r="BT142" s="731">
        <v>20</v>
      </c>
    </row>
    <row r="143" spans="2:72">
      <c r="B143" s="734" t="s">
        <v>161</v>
      </c>
      <c r="C143" s="733" t="s">
        <v>171</v>
      </c>
      <c r="D143" s="539">
        <v>39.15</v>
      </c>
      <c r="E143" s="539">
        <v>67.069999999999993</v>
      </c>
      <c r="F143" s="539">
        <v>205</v>
      </c>
      <c r="G143" s="539" t="s">
        <v>38</v>
      </c>
      <c r="H143" s="539">
        <v>-5.9</v>
      </c>
      <c r="I143" s="539">
        <v>7</v>
      </c>
      <c r="J143" s="539">
        <v>21</v>
      </c>
      <c r="K143" s="539">
        <v>33.299999999999997</v>
      </c>
      <c r="L143" s="539">
        <v>60</v>
      </c>
      <c r="M143" s="539">
        <v>72</v>
      </c>
      <c r="N143" s="539">
        <v>60</v>
      </c>
      <c r="O143" s="539">
        <v>10</v>
      </c>
      <c r="P143" s="539">
        <v>15</v>
      </c>
      <c r="Q143" s="734">
        <v>4</v>
      </c>
      <c r="R143" s="539">
        <v>20.3</v>
      </c>
      <c r="S143" s="734">
        <v>0.55000000000000004</v>
      </c>
      <c r="T143" s="734">
        <v>86.3</v>
      </c>
      <c r="U143" s="734">
        <v>0</v>
      </c>
      <c r="V143" s="734">
        <v>300</v>
      </c>
      <c r="W143" s="734">
        <v>0</v>
      </c>
      <c r="X143" s="734">
        <v>2.1000000000000001E-2</v>
      </c>
      <c r="Y143" s="734">
        <v>0</v>
      </c>
      <c r="Z143" s="547">
        <v>130</v>
      </c>
      <c r="AA143" s="547">
        <f t="shared" si="18"/>
        <v>1.3</v>
      </c>
      <c r="AB143" s="734">
        <v>40</v>
      </c>
      <c r="AC143" s="538"/>
      <c r="AD143" s="733" t="str">
        <f t="shared" si="20"/>
        <v>VILLA REGINA</v>
      </c>
      <c r="AE143" s="737">
        <v>22.7</v>
      </c>
      <c r="AF143" s="737">
        <v>21.2</v>
      </c>
      <c r="AG143" s="737">
        <v>19</v>
      </c>
      <c r="AH143" s="737">
        <v>13.9</v>
      </c>
      <c r="AI143" s="737">
        <v>10.3</v>
      </c>
      <c r="AJ143" s="737">
        <v>6.9</v>
      </c>
      <c r="AK143" s="737">
        <v>7.1</v>
      </c>
      <c r="AL143" s="737">
        <v>9.1999999999999993</v>
      </c>
      <c r="AM143" s="737">
        <v>11.4</v>
      </c>
      <c r="AN143" s="737">
        <v>15.4</v>
      </c>
      <c r="AO143" s="737">
        <v>19.3</v>
      </c>
      <c r="AP143" s="737">
        <v>21.8</v>
      </c>
      <c r="AQ143" s="538"/>
      <c r="AR143" s="733" t="str">
        <f t="shared" si="19"/>
        <v>RN</v>
      </c>
      <c r="AS143" s="733" t="str">
        <f t="shared" si="21"/>
        <v>VILLA REGINA</v>
      </c>
      <c r="AT143" s="731">
        <v>7</v>
      </c>
      <c r="AU143" s="731">
        <v>6</v>
      </c>
      <c r="AV143" s="731">
        <v>5</v>
      </c>
      <c r="AW143" s="731">
        <v>3</v>
      </c>
      <c r="AX143" s="731">
        <v>2</v>
      </c>
      <c r="AY143" s="731">
        <v>1.5</v>
      </c>
      <c r="AZ143" s="731">
        <v>1.5</v>
      </c>
      <c r="BA143" s="731">
        <v>2.5</v>
      </c>
      <c r="BB143" s="731">
        <v>3.5</v>
      </c>
      <c r="BC143" s="731">
        <v>5.5</v>
      </c>
      <c r="BD143" s="731">
        <v>6</v>
      </c>
      <c r="BE143" s="731">
        <v>7</v>
      </c>
      <c r="BG143" s="733" t="str">
        <f t="shared" si="22"/>
        <v>RN</v>
      </c>
      <c r="BH143" s="733" t="str">
        <f t="shared" si="23"/>
        <v>VILLA REGINA</v>
      </c>
      <c r="BI143" s="731">
        <v>18</v>
      </c>
      <c r="BJ143" s="731">
        <v>21</v>
      </c>
      <c r="BK143" s="731">
        <v>28</v>
      </c>
      <c r="BL143" s="731">
        <v>22</v>
      </c>
      <c r="BM143" s="731">
        <v>27</v>
      </c>
      <c r="BN143" s="731">
        <v>19</v>
      </c>
      <c r="BO143" s="731">
        <v>21</v>
      </c>
      <c r="BP143" s="731">
        <v>17</v>
      </c>
      <c r="BQ143" s="731">
        <v>16</v>
      </c>
      <c r="BR143" s="731">
        <v>23</v>
      </c>
      <c r="BS143" s="731">
        <v>18</v>
      </c>
      <c r="BT143" s="731">
        <v>20</v>
      </c>
    </row>
    <row r="144" spans="2:72">
      <c r="B144" s="734" t="s">
        <v>172</v>
      </c>
      <c r="C144" s="733" t="s">
        <v>173</v>
      </c>
      <c r="D144" s="539">
        <v>23.15</v>
      </c>
      <c r="E144" s="539">
        <v>64.319999999999993</v>
      </c>
      <c r="F144" s="539">
        <v>357</v>
      </c>
      <c r="G144" s="539" t="s">
        <v>78</v>
      </c>
      <c r="H144" s="539">
        <v>3.1</v>
      </c>
      <c r="I144" s="539">
        <v>15.3</v>
      </c>
      <c r="J144" s="539">
        <v>25.6</v>
      </c>
      <c r="K144" s="539">
        <v>36.1</v>
      </c>
      <c r="L144" s="539">
        <v>77</v>
      </c>
      <c r="M144" s="539">
        <v>72</v>
      </c>
      <c r="N144" s="539">
        <v>77</v>
      </c>
      <c r="O144" s="539">
        <v>4</v>
      </c>
      <c r="P144" s="539">
        <v>151</v>
      </c>
      <c r="Q144" s="734">
        <v>2</v>
      </c>
      <c r="R144" s="539">
        <v>26.1</v>
      </c>
      <c r="S144" s="734">
        <v>0.47</v>
      </c>
      <c r="T144" s="734">
        <v>24.3</v>
      </c>
      <c r="U144" s="734">
        <v>2.9</v>
      </c>
      <c r="V144" s="734">
        <v>165</v>
      </c>
      <c r="W144" s="734">
        <v>50</v>
      </c>
      <c r="X144" s="734">
        <v>4.0000000000000001E-3</v>
      </c>
      <c r="Y144" s="734">
        <v>1.0999999999999999E-2</v>
      </c>
      <c r="Z144" s="547">
        <v>165</v>
      </c>
      <c r="AA144" s="547">
        <f t="shared" si="18"/>
        <v>1.6500000000000001</v>
      </c>
      <c r="AB144" s="734">
        <v>30</v>
      </c>
      <c r="AC144" s="538"/>
      <c r="AD144" s="733" t="str">
        <f t="shared" si="20"/>
        <v>ORAN</v>
      </c>
      <c r="AE144" s="737">
        <v>27</v>
      </c>
      <c r="AF144" s="737">
        <v>26.2</v>
      </c>
      <c r="AG144" s="737">
        <v>24.7</v>
      </c>
      <c r="AH144" s="737">
        <v>22</v>
      </c>
      <c r="AI144" s="737">
        <v>19.2</v>
      </c>
      <c r="AJ144" s="737">
        <v>15.8</v>
      </c>
      <c r="AK144" s="737">
        <v>15.9</v>
      </c>
      <c r="AL144" s="737">
        <v>18.100000000000001</v>
      </c>
      <c r="AM144" s="737">
        <v>21.3</v>
      </c>
      <c r="AN144" s="737">
        <v>24.5</v>
      </c>
      <c r="AO144" s="737">
        <v>25.7</v>
      </c>
      <c r="AP144" s="737">
        <v>26.9</v>
      </c>
      <c r="AQ144" s="538"/>
      <c r="AR144" s="733" t="str">
        <f t="shared" si="19"/>
        <v>ST</v>
      </c>
      <c r="AS144" s="733" t="str">
        <f t="shared" si="21"/>
        <v>ORAN</v>
      </c>
      <c r="AT144" s="731">
        <v>5</v>
      </c>
      <c r="AU144" s="731">
        <v>4.5</v>
      </c>
      <c r="AV144" s="731">
        <v>4</v>
      </c>
      <c r="AW144" s="731">
        <v>3.5</v>
      </c>
      <c r="AX144" s="731">
        <v>3</v>
      </c>
      <c r="AY144" s="731">
        <v>3</v>
      </c>
      <c r="AZ144" s="731">
        <v>2.5</v>
      </c>
      <c r="BA144" s="731">
        <v>2.5</v>
      </c>
      <c r="BB144" s="731">
        <v>4.5</v>
      </c>
      <c r="BC144" s="731">
        <v>5</v>
      </c>
      <c r="BD144" s="731">
        <v>5.5</v>
      </c>
      <c r="BE144" s="731">
        <v>6</v>
      </c>
      <c r="BG144" s="733" t="str">
        <f t="shared" si="22"/>
        <v>ST</v>
      </c>
      <c r="BH144" s="733" t="str">
        <f t="shared" si="23"/>
        <v>ORAN</v>
      </c>
      <c r="BI144" s="731">
        <v>176</v>
      </c>
      <c r="BJ144" s="731">
        <v>149</v>
      </c>
      <c r="BK144" s="731">
        <v>101</v>
      </c>
      <c r="BL144" s="731">
        <v>28</v>
      </c>
      <c r="BM144" s="731">
        <v>7</v>
      </c>
      <c r="BN144" s="731">
        <v>4</v>
      </c>
      <c r="BO144" s="731">
        <v>3</v>
      </c>
      <c r="BP144" s="731">
        <v>4</v>
      </c>
      <c r="BQ144" s="731">
        <v>6</v>
      </c>
      <c r="BR144" s="731">
        <v>26</v>
      </c>
      <c r="BS144" s="731">
        <v>62</v>
      </c>
      <c r="BT144" s="731">
        <v>123</v>
      </c>
    </row>
    <row r="145" spans="2:72">
      <c r="B145" s="734" t="s">
        <v>172</v>
      </c>
      <c r="C145" s="733" t="s">
        <v>174</v>
      </c>
      <c r="D145" s="539">
        <v>24.85</v>
      </c>
      <c r="E145" s="539">
        <v>65.48</v>
      </c>
      <c r="F145" s="539">
        <v>1226</v>
      </c>
      <c r="G145" s="539" t="s">
        <v>42</v>
      </c>
      <c r="H145" s="539">
        <v>-3.1</v>
      </c>
      <c r="I145" s="539">
        <v>10.8</v>
      </c>
      <c r="J145" s="539">
        <v>20.8</v>
      </c>
      <c r="K145" s="539">
        <v>30.6</v>
      </c>
      <c r="L145" s="539">
        <v>77</v>
      </c>
      <c r="M145" s="539">
        <v>75</v>
      </c>
      <c r="N145" s="539">
        <v>77</v>
      </c>
      <c r="O145" s="539">
        <v>3</v>
      </c>
      <c r="P145" s="539">
        <v>151</v>
      </c>
      <c r="Q145" s="734">
        <v>3</v>
      </c>
      <c r="R145" s="539">
        <v>20.9</v>
      </c>
      <c r="S145" s="734">
        <v>0.47</v>
      </c>
      <c r="T145" s="734">
        <v>24.3</v>
      </c>
      <c r="U145" s="734">
        <v>2.9</v>
      </c>
      <c r="V145" s="734">
        <v>165</v>
      </c>
      <c r="W145" s="734">
        <v>50</v>
      </c>
      <c r="X145" s="734">
        <v>4.0000000000000001E-3</v>
      </c>
      <c r="Y145" s="734">
        <v>1.0999999999999999E-2</v>
      </c>
      <c r="Z145" s="547">
        <v>105</v>
      </c>
      <c r="AA145" s="547">
        <f t="shared" si="18"/>
        <v>1.05</v>
      </c>
      <c r="AB145" s="734">
        <v>30</v>
      </c>
      <c r="AC145" s="538"/>
      <c r="AD145" s="733" t="str">
        <f t="shared" si="20"/>
        <v>SALTA</v>
      </c>
      <c r="AE145" s="737">
        <v>21.6</v>
      </c>
      <c r="AF145" s="737">
        <v>20.5</v>
      </c>
      <c r="AG145" s="737">
        <v>19.399999999999999</v>
      </c>
      <c r="AH145" s="737">
        <v>16.5</v>
      </c>
      <c r="AI145" s="737">
        <v>13.6</v>
      </c>
      <c r="AJ145" s="737">
        <v>11.1</v>
      </c>
      <c r="AK145" s="737">
        <v>10.7</v>
      </c>
      <c r="AL145" s="737">
        <v>12.5</v>
      </c>
      <c r="AM145" s="737">
        <v>16.100000000000001</v>
      </c>
      <c r="AN145" s="737">
        <v>18.600000000000001</v>
      </c>
      <c r="AO145" s="737">
        <v>20.7</v>
      </c>
      <c r="AP145" s="737">
        <v>21.7</v>
      </c>
      <c r="AQ145" s="538"/>
      <c r="AR145" s="733" t="str">
        <f t="shared" si="19"/>
        <v>ST</v>
      </c>
      <c r="AS145" s="733" t="str">
        <f t="shared" si="21"/>
        <v>SALTA</v>
      </c>
      <c r="AT145" s="731">
        <v>5.5</v>
      </c>
      <c r="AU145" s="731">
        <v>5</v>
      </c>
      <c r="AV145" s="731">
        <v>4.5</v>
      </c>
      <c r="AW145" s="731">
        <v>4</v>
      </c>
      <c r="AX145" s="731">
        <v>3.5</v>
      </c>
      <c r="AY145" s="731">
        <v>3.5</v>
      </c>
      <c r="AZ145" s="731">
        <v>3</v>
      </c>
      <c r="BA145" s="731">
        <v>4</v>
      </c>
      <c r="BB145" s="731">
        <v>4</v>
      </c>
      <c r="BC145" s="731">
        <v>5</v>
      </c>
      <c r="BD145" s="731">
        <v>5</v>
      </c>
      <c r="BE145" s="731">
        <v>5.5</v>
      </c>
      <c r="BG145" s="733" t="str">
        <f t="shared" si="22"/>
        <v>ST</v>
      </c>
      <c r="BH145" s="733" t="str">
        <f t="shared" si="23"/>
        <v>SALTA</v>
      </c>
      <c r="BI145" s="731">
        <v>176</v>
      </c>
      <c r="BJ145" s="731">
        <v>149</v>
      </c>
      <c r="BK145" s="731">
        <v>101</v>
      </c>
      <c r="BL145" s="731">
        <v>28</v>
      </c>
      <c r="BM145" s="731">
        <v>7</v>
      </c>
      <c r="BN145" s="731">
        <v>4</v>
      </c>
      <c r="BO145" s="731">
        <v>3</v>
      </c>
      <c r="BP145" s="731">
        <v>4</v>
      </c>
      <c r="BQ145" s="731">
        <v>6</v>
      </c>
      <c r="BR145" s="731">
        <v>26</v>
      </c>
      <c r="BS145" s="731">
        <v>62</v>
      </c>
      <c r="BT145" s="731">
        <v>123</v>
      </c>
    </row>
    <row r="146" spans="2:72">
      <c r="B146" s="734" t="s">
        <v>175</v>
      </c>
      <c r="C146" s="733" t="s">
        <v>176</v>
      </c>
      <c r="D146" s="539">
        <v>30.95</v>
      </c>
      <c r="E146" s="539">
        <v>68.63</v>
      </c>
      <c r="F146" s="539">
        <v>928</v>
      </c>
      <c r="G146" s="539" t="s">
        <v>72</v>
      </c>
      <c r="H146" s="539">
        <v>-6.6</v>
      </c>
      <c r="I146" s="539">
        <v>8.8000000000000007</v>
      </c>
      <c r="J146" s="539">
        <v>25.6</v>
      </c>
      <c r="K146" s="539">
        <v>36.200000000000003</v>
      </c>
      <c r="L146" s="539">
        <v>40</v>
      </c>
      <c r="M146" s="539">
        <v>50</v>
      </c>
      <c r="N146" s="539">
        <v>40</v>
      </c>
      <c r="O146" s="539">
        <v>2</v>
      </c>
      <c r="P146" s="539">
        <v>14</v>
      </c>
      <c r="Q146" s="734">
        <v>4</v>
      </c>
      <c r="R146" s="539">
        <v>24.5</v>
      </c>
      <c r="S146" s="734">
        <v>0.49</v>
      </c>
      <c r="T146" s="734">
        <v>29.7</v>
      </c>
      <c r="U146" s="734">
        <v>8</v>
      </c>
      <c r="V146" s="734">
        <v>200</v>
      </c>
      <c r="W146" s="734">
        <v>123</v>
      </c>
      <c r="X146" s="734">
        <v>4.0000000000000001E-3</v>
      </c>
      <c r="Y146" s="734">
        <v>8.9999999999999993E-3</v>
      </c>
      <c r="Z146" s="547">
        <v>120</v>
      </c>
      <c r="AA146" s="547">
        <f t="shared" si="18"/>
        <v>1.2</v>
      </c>
      <c r="AB146" s="734">
        <v>30</v>
      </c>
      <c r="AC146" s="538"/>
      <c r="AD146" s="733" t="str">
        <f t="shared" si="20"/>
        <v>EL BALDE</v>
      </c>
      <c r="AE146" s="737">
        <v>24.8</v>
      </c>
      <c r="AF146" s="737">
        <v>23.5</v>
      </c>
      <c r="AG146" s="737">
        <v>20.5</v>
      </c>
      <c r="AH146" s="737">
        <v>15.6</v>
      </c>
      <c r="AI146" s="737">
        <v>11.9</v>
      </c>
      <c r="AJ146" s="737">
        <v>8.6999999999999993</v>
      </c>
      <c r="AK146" s="737">
        <v>8.3000000000000007</v>
      </c>
      <c r="AL146" s="737">
        <v>10.6</v>
      </c>
      <c r="AM146" s="737">
        <v>13.8</v>
      </c>
      <c r="AN146" s="737">
        <v>17.5</v>
      </c>
      <c r="AO146" s="737">
        <v>21.3</v>
      </c>
      <c r="AP146" s="737">
        <v>23.8</v>
      </c>
      <c r="AQ146" s="538"/>
      <c r="AR146" s="733" t="str">
        <f t="shared" si="19"/>
        <v>SJ</v>
      </c>
      <c r="AS146" s="733" t="str">
        <f t="shared" si="21"/>
        <v>EL BALDE</v>
      </c>
      <c r="AT146" s="731">
        <v>6</v>
      </c>
      <c r="AU146" s="731">
        <v>6</v>
      </c>
      <c r="AV146" s="731">
        <v>5</v>
      </c>
      <c r="AW146" s="731">
        <v>4</v>
      </c>
      <c r="AX146" s="731">
        <v>3.5</v>
      </c>
      <c r="AY146" s="731">
        <v>3</v>
      </c>
      <c r="AZ146" s="731">
        <v>3</v>
      </c>
      <c r="BA146" s="731">
        <v>4</v>
      </c>
      <c r="BB146" s="731">
        <v>4.5</v>
      </c>
      <c r="BC146" s="731">
        <v>6</v>
      </c>
      <c r="BD146" s="731">
        <v>6</v>
      </c>
      <c r="BE146" s="731">
        <v>6</v>
      </c>
      <c r="BG146" s="733" t="str">
        <f t="shared" si="22"/>
        <v>SJ</v>
      </c>
      <c r="BH146" s="733" t="str">
        <f t="shared" si="23"/>
        <v>EL BALDE</v>
      </c>
      <c r="BI146" s="731">
        <v>20</v>
      </c>
      <c r="BJ146" s="731">
        <v>18</v>
      </c>
      <c r="BK146" s="731">
        <v>12</v>
      </c>
      <c r="BL146" s="731">
        <v>4</v>
      </c>
      <c r="BM146" s="731">
        <v>2</v>
      </c>
      <c r="BN146" s="731">
        <v>3</v>
      </c>
      <c r="BO146" s="731">
        <v>4</v>
      </c>
      <c r="BP146" s="731">
        <v>2</v>
      </c>
      <c r="BQ146" s="731">
        <v>4</v>
      </c>
      <c r="BR146" s="731">
        <v>5</v>
      </c>
      <c r="BS146" s="731">
        <v>9</v>
      </c>
      <c r="BT146" s="731">
        <v>11</v>
      </c>
    </row>
    <row r="147" spans="2:72">
      <c r="B147" s="734" t="s">
        <v>175</v>
      </c>
      <c r="C147" s="733" t="s">
        <v>177</v>
      </c>
      <c r="D147" s="539">
        <v>30.25</v>
      </c>
      <c r="E147" s="539">
        <v>68.75</v>
      </c>
      <c r="F147" s="539">
        <v>1165</v>
      </c>
      <c r="G147" s="539" t="s">
        <v>106</v>
      </c>
      <c r="H147" s="539">
        <v>-4.2</v>
      </c>
      <c r="I147" s="539">
        <v>9.1999999999999993</v>
      </c>
      <c r="J147" s="539">
        <v>23.6</v>
      </c>
      <c r="K147" s="539">
        <v>34.700000000000003</v>
      </c>
      <c r="L147" s="539">
        <v>55</v>
      </c>
      <c r="M147" s="539">
        <v>60</v>
      </c>
      <c r="N147" s="539">
        <v>55</v>
      </c>
      <c r="O147" s="539">
        <v>4</v>
      </c>
      <c r="P147" s="539">
        <v>21</v>
      </c>
      <c r="Q147" s="734">
        <v>5</v>
      </c>
      <c r="R147" s="539">
        <v>23.1</v>
      </c>
      <c r="S147" s="734">
        <v>0.49</v>
      </c>
      <c r="T147" s="734">
        <v>29.7</v>
      </c>
      <c r="U147" s="734">
        <v>8</v>
      </c>
      <c r="V147" s="734">
        <v>200</v>
      </c>
      <c r="W147" s="734">
        <v>123</v>
      </c>
      <c r="X147" s="734">
        <v>4.0000000000000001E-3</v>
      </c>
      <c r="Y147" s="734">
        <v>8.9999999999999993E-3</v>
      </c>
      <c r="Z147" s="547">
        <v>110</v>
      </c>
      <c r="AA147" s="547">
        <f t="shared" si="18"/>
        <v>1.1000000000000001</v>
      </c>
      <c r="AB147" s="734">
        <v>30</v>
      </c>
      <c r="AC147" s="538"/>
      <c r="AD147" s="733" t="str">
        <f t="shared" si="20"/>
        <v>JACHAL</v>
      </c>
      <c r="AE147" s="737">
        <v>24.5</v>
      </c>
      <c r="AF147" s="737">
        <v>22.4</v>
      </c>
      <c r="AG147" s="737">
        <v>19.8</v>
      </c>
      <c r="AH147" s="737">
        <v>15.1</v>
      </c>
      <c r="AI147" s="737">
        <v>11.9</v>
      </c>
      <c r="AJ147" s="737">
        <v>8.6999999999999993</v>
      </c>
      <c r="AK147" s="737">
        <v>9.3000000000000007</v>
      </c>
      <c r="AL147" s="737">
        <v>10.1</v>
      </c>
      <c r="AM147" s="737">
        <v>13.2</v>
      </c>
      <c r="AN147" s="737">
        <v>17.899999999999999</v>
      </c>
      <c r="AO147" s="737">
        <v>21</v>
      </c>
      <c r="AP147" s="737">
        <v>23.6</v>
      </c>
      <c r="AQ147" s="538"/>
      <c r="AR147" s="733" t="str">
        <f t="shared" si="19"/>
        <v>SJ</v>
      </c>
      <c r="AS147" s="733" t="str">
        <f t="shared" si="21"/>
        <v>JACHAL</v>
      </c>
      <c r="AT147" s="731">
        <v>7</v>
      </c>
      <c r="AU147" s="731">
        <v>6</v>
      </c>
      <c r="AV147" s="731">
        <v>5</v>
      </c>
      <c r="AW147" s="731">
        <v>4.5</v>
      </c>
      <c r="AX147" s="731">
        <v>3.5</v>
      </c>
      <c r="AY147" s="731">
        <v>3</v>
      </c>
      <c r="AZ147" s="731">
        <v>3</v>
      </c>
      <c r="BA147" s="731">
        <v>4</v>
      </c>
      <c r="BB147" s="731">
        <v>5</v>
      </c>
      <c r="BC147" s="731">
        <v>7</v>
      </c>
      <c r="BD147" s="731">
        <v>7.5</v>
      </c>
      <c r="BE147" s="731">
        <v>7.5</v>
      </c>
      <c r="BG147" s="733" t="str">
        <f t="shared" si="22"/>
        <v>SJ</v>
      </c>
      <c r="BH147" s="733" t="str">
        <f t="shared" si="23"/>
        <v>JACHAL</v>
      </c>
      <c r="BI147" s="731">
        <v>20</v>
      </c>
      <c r="BJ147" s="731">
        <v>18</v>
      </c>
      <c r="BK147" s="731">
        <v>12</v>
      </c>
      <c r="BL147" s="731">
        <v>4</v>
      </c>
      <c r="BM147" s="731">
        <v>2</v>
      </c>
      <c r="BN147" s="731">
        <v>3</v>
      </c>
      <c r="BO147" s="731">
        <v>4</v>
      </c>
      <c r="BP147" s="731">
        <v>2</v>
      </c>
      <c r="BQ147" s="731">
        <v>4</v>
      </c>
      <c r="BR147" s="731">
        <v>5</v>
      </c>
      <c r="BS147" s="731">
        <v>9</v>
      </c>
      <c r="BT147" s="731">
        <v>11</v>
      </c>
    </row>
    <row r="148" spans="2:72">
      <c r="B148" s="734" t="s">
        <v>175</v>
      </c>
      <c r="C148" s="733" t="s">
        <v>178</v>
      </c>
      <c r="D148" s="539">
        <v>31.57</v>
      </c>
      <c r="E148" s="539">
        <v>68.42</v>
      </c>
      <c r="F148" s="539">
        <v>598</v>
      </c>
      <c r="G148" s="539" t="s">
        <v>42</v>
      </c>
      <c r="H148" s="539">
        <v>-4.8</v>
      </c>
      <c r="I148" s="539">
        <v>8.3000000000000007</v>
      </c>
      <c r="J148" s="539">
        <v>26.4</v>
      </c>
      <c r="K148" s="539">
        <v>38</v>
      </c>
      <c r="L148" s="539">
        <v>40</v>
      </c>
      <c r="M148" s="539">
        <v>56</v>
      </c>
      <c r="N148" s="539">
        <v>40</v>
      </c>
      <c r="O148" s="539">
        <v>4</v>
      </c>
      <c r="P148" s="539">
        <v>16</v>
      </c>
      <c r="Q148" s="734">
        <v>3</v>
      </c>
      <c r="R148" s="539">
        <v>25.8</v>
      </c>
      <c r="S148" s="734">
        <v>0.51</v>
      </c>
      <c r="T148" s="734">
        <v>29.7</v>
      </c>
      <c r="U148" s="734">
        <v>8</v>
      </c>
      <c r="V148" s="734">
        <v>200</v>
      </c>
      <c r="W148" s="734">
        <v>123</v>
      </c>
      <c r="X148" s="734">
        <v>4.0000000000000001E-3</v>
      </c>
      <c r="Y148" s="734">
        <v>8.9999999999999993E-3</v>
      </c>
      <c r="Z148" s="547">
        <v>130</v>
      </c>
      <c r="AA148" s="547">
        <f t="shared" si="18"/>
        <v>1.3</v>
      </c>
      <c r="AB148" s="734">
        <v>30</v>
      </c>
      <c r="AC148" s="538"/>
      <c r="AD148" s="733" t="str">
        <f t="shared" si="20"/>
        <v>SAN JUAN AERO</v>
      </c>
      <c r="AE148" s="737">
        <v>26</v>
      </c>
      <c r="AF148" s="737">
        <v>24.5</v>
      </c>
      <c r="AG148" s="737">
        <v>21.4</v>
      </c>
      <c r="AH148" s="737">
        <v>16.2</v>
      </c>
      <c r="AI148" s="737">
        <v>11.7</v>
      </c>
      <c r="AJ148" s="737">
        <v>8.4</v>
      </c>
      <c r="AK148" s="737">
        <v>8</v>
      </c>
      <c r="AL148" s="737">
        <v>10.6</v>
      </c>
      <c r="AM148" s="737">
        <v>14.3</v>
      </c>
      <c r="AN148" s="737">
        <v>18.399999999999999</v>
      </c>
      <c r="AO148" s="737">
        <v>22.1</v>
      </c>
      <c r="AP148" s="737">
        <v>25.2</v>
      </c>
      <c r="AQ148" s="538"/>
      <c r="AR148" s="733" t="str">
        <f t="shared" si="19"/>
        <v>SJ</v>
      </c>
      <c r="AS148" s="733" t="str">
        <f t="shared" si="21"/>
        <v>SAN JUAN AERO</v>
      </c>
      <c r="AT148" s="731">
        <v>7</v>
      </c>
      <c r="AU148" s="731">
        <v>6.5</v>
      </c>
      <c r="AV148" s="731">
        <v>5</v>
      </c>
      <c r="AW148" s="731">
        <v>4.5</v>
      </c>
      <c r="AX148" s="731">
        <v>3.5</v>
      </c>
      <c r="AY148" s="731">
        <v>2.5</v>
      </c>
      <c r="AZ148" s="731">
        <v>3</v>
      </c>
      <c r="BA148" s="731">
        <v>4</v>
      </c>
      <c r="BB148" s="731">
        <v>5</v>
      </c>
      <c r="BC148" s="731">
        <v>7</v>
      </c>
      <c r="BD148" s="731">
        <v>7.5</v>
      </c>
      <c r="BE148" s="731">
        <v>7.5</v>
      </c>
      <c r="BG148" s="733" t="str">
        <f t="shared" si="22"/>
        <v>SJ</v>
      </c>
      <c r="BH148" s="733" t="str">
        <f t="shared" si="23"/>
        <v>SAN JUAN AERO</v>
      </c>
      <c r="BI148" s="731">
        <v>20</v>
      </c>
      <c r="BJ148" s="731">
        <v>18</v>
      </c>
      <c r="BK148" s="731">
        <v>12</v>
      </c>
      <c r="BL148" s="731">
        <v>4</v>
      </c>
      <c r="BM148" s="731">
        <v>2</v>
      </c>
      <c r="BN148" s="731">
        <v>3</v>
      </c>
      <c r="BO148" s="731">
        <v>4</v>
      </c>
      <c r="BP148" s="731">
        <v>2</v>
      </c>
      <c r="BQ148" s="731">
        <v>4</v>
      </c>
      <c r="BR148" s="731">
        <v>5</v>
      </c>
      <c r="BS148" s="731">
        <v>9</v>
      </c>
      <c r="BT148" s="731">
        <v>11</v>
      </c>
    </row>
    <row r="149" spans="2:72">
      <c r="B149" s="734" t="s">
        <v>175</v>
      </c>
      <c r="C149" s="733" t="s">
        <v>179</v>
      </c>
      <c r="D149" s="539">
        <v>31.62</v>
      </c>
      <c r="E149" s="539">
        <v>68.53</v>
      </c>
      <c r="F149" s="539">
        <v>615</v>
      </c>
      <c r="G149" s="539" t="s">
        <v>42</v>
      </c>
      <c r="H149" s="539">
        <v>-1.3</v>
      </c>
      <c r="I149" s="539">
        <v>9.3000000000000007</v>
      </c>
      <c r="J149" s="539">
        <v>25.5</v>
      </c>
      <c r="K149" s="539">
        <v>37.1</v>
      </c>
      <c r="L149" s="539">
        <v>48</v>
      </c>
      <c r="M149" s="539">
        <v>61</v>
      </c>
      <c r="N149" s="539">
        <v>48</v>
      </c>
      <c r="O149" s="539">
        <v>2</v>
      </c>
      <c r="P149" s="539">
        <v>15</v>
      </c>
      <c r="Q149" s="734">
        <v>3</v>
      </c>
      <c r="R149" s="539">
        <v>25.5</v>
      </c>
      <c r="S149" s="734">
        <v>0.51</v>
      </c>
      <c r="T149" s="734">
        <v>29.7</v>
      </c>
      <c r="U149" s="734">
        <v>8</v>
      </c>
      <c r="V149" s="734">
        <v>200</v>
      </c>
      <c r="W149" s="734">
        <v>123</v>
      </c>
      <c r="X149" s="734">
        <v>4.0000000000000001E-3</v>
      </c>
      <c r="Y149" s="734">
        <v>8.9999999999999993E-3</v>
      </c>
      <c r="Z149" s="547">
        <v>130</v>
      </c>
      <c r="AA149" s="547">
        <f t="shared" si="18"/>
        <v>1.3</v>
      </c>
      <c r="AB149" s="734">
        <v>30</v>
      </c>
      <c r="AC149" s="538"/>
      <c r="AD149" s="733" t="str">
        <f t="shared" si="20"/>
        <v>SAN JUAN</v>
      </c>
      <c r="AE149" s="737">
        <v>27</v>
      </c>
      <c r="AF149" s="737">
        <v>25.5</v>
      </c>
      <c r="AG149" s="737">
        <v>24</v>
      </c>
      <c r="AH149" s="737">
        <v>18.600000000000001</v>
      </c>
      <c r="AI149" s="737">
        <v>13.5</v>
      </c>
      <c r="AJ149" s="737">
        <v>10</v>
      </c>
      <c r="AK149" s="737">
        <v>9</v>
      </c>
      <c r="AL149" s="737">
        <v>12.5</v>
      </c>
      <c r="AM149" s="737">
        <v>18.3</v>
      </c>
      <c r="AN149" s="737">
        <v>20.6</v>
      </c>
      <c r="AO149" s="737">
        <v>23</v>
      </c>
      <c r="AP149" s="737">
        <v>26.3</v>
      </c>
      <c r="AQ149" s="538"/>
      <c r="AR149" s="733" t="str">
        <f t="shared" si="19"/>
        <v>SJ</v>
      </c>
      <c r="AS149" s="733" t="str">
        <f t="shared" si="21"/>
        <v>SAN JUAN</v>
      </c>
      <c r="AT149" s="731">
        <v>7</v>
      </c>
      <c r="AU149" s="731">
        <v>6.5</v>
      </c>
      <c r="AV149" s="731">
        <v>5</v>
      </c>
      <c r="AW149" s="731">
        <v>4.5</v>
      </c>
      <c r="AX149" s="731">
        <v>3.5</v>
      </c>
      <c r="AY149" s="731">
        <v>2.5</v>
      </c>
      <c r="AZ149" s="731">
        <v>3</v>
      </c>
      <c r="BA149" s="731">
        <v>4</v>
      </c>
      <c r="BB149" s="731">
        <v>5</v>
      </c>
      <c r="BC149" s="731">
        <v>7</v>
      </c>
      <c r="BD149" s="731">
        <v>7.5</v>
      </c>
      <c r="BE149" s="731">
        <v>7.5</v>
      </c>
      <c r="BG149" s="733" t="str">
        <f t="shared" si="22"/>
        <v>SJ</v>
      </c>
      <c r="BH149" s="733" t="str">
        <f t="shared" si="23"/>
        <v>SAN JUAN</v>
      </c>
      <c r="BI149" s="731">
        <v>20</v>
      </c>
      <c r="BJ149" s="731">
        <v>18</v>
      </c>
      <c r="BK149" s="731">
        <v>12</v>
      </c>
      <c r="BL149" s="731">
        <v>4</v>
      </c>
      <c r="BM149" s="731">
        <v>2</v>
      </c>
      <c r="BN149" s="731">
        <v>3</v>
      </c>
      <c r="BO149" s="731">
        <v>4</v>
      </c>
      <c r="BP149" s="731">
        <v>2</v>
      </c>
      <c r="BQ149" s="731">
        <v>4</v>
      </c>
      <c r="BR149" s="731">
        <v>5</v>
      </c>
      <c r="BS149" s="731">
        <v>9</v>
      </c>
      <c r="BT149" s="731">
        <v>11</v>
      </c>
    </row>
    <row r="150" spans="2:72" ht="17" customHeight="1">
      <c r="B150" s="734" t="s">
        <v>175</v>
      </c>
      <c r="C150" s="733" t="s">
        <v>180</v>
      </c>
      <c r="D150" s="539">
        <v>30.63</v>
      </c>
      <c r="E150" s="539">
        <v>67.45</v>
      </c>
      <c r="F150" s="539">
        <v>857</v>
      </c>
      <c r="G150" s="539" t="s">
        <v>69</v>
      </c>
      <c r="H150" s="539">
        <v>-1.6</v>
      </c>
      <c r="I150" s="539">
        <v>103</v>
      </c>
      <c r="J150" s="539">
        <v>23.6</v>
      </c>
      <c r="K150" s="539">
        <v>35</v>
      </c>
      <c r="L150" s="539">
        <v>58</v>
      </c>
      <c r="M150" s="539">
        <v>59</v>
      </c>
      <c r="N150" s="539">
        <v>58</v>
      </c>
      <c r="O150" s="539">
        <v>2</v>
      </c>
      <c r="P150" s="539">
        <v>62</v>
      </c>
      <c r="Q150" s="734">
        <v>2</v>
      </c>
      <c r="R150" s="539">
        <v>23.8</v>
      </c>
      <c r="S150" s="734">
        <v>0.49</v>
      </c>
      <c r="T150" s="734">
        <v>29.7</v>
      </c>
      <c r="U150" s="734">
        <v>8</v>
      </c>
      <c r="V150" s="734">
        <v>200</v>
      </c>
      <c r="W150" s="734">
        <v>123</v>
      </c>
      <c r="X150" s="734">
        <v>4.0000000000000001E-3</v>
      </c>
      <c r="Y150" s="734">
        <v>8.9999999999999993E-3</v>
      </c>
      <c r="Z150" s="547">
        <v>120</v>
      </c>
      <c r="AA150" s="547">
        <f t="shared" si="18"/>
        <v>1.2</v>
      </c>
      <c r="AB150" s="734">
        <v>30</v>
      </c>
      <c r="AC150" s="538"/>
      <c r="AD150" s="733" t="str">
        <f t="shared" si="20"/>
        <v>VALLE FERTIL</v>
      </c>
      <c r="AE150" s="737">
        <v>26.2</v>
      </c>
      <c r="AF150" s="737">
        <v>24.8</v>
      </c>
      <c r="AG150" s="737">
        <v>21.9</v>
      </c>
      <c r="AH150" s="737">
        <v>16.899999999999999</v>
      </c>
      <c r="AI150" s="737">
        <v>13</v>
      </c>
      <c r="AJ150" s="737">
        <v>9.6999999999999993</v>
      </c>
      <c r="AK150" s="737">
        <v>9.4</v>
      </c>
      <c r="AL150" s="737">
        <v>11.7</v>
      </c>
      <c r="AM150" s="737">
        <v>15.1</v>
      </c>
      <c r="AN150" s="737">
        <v>18.899999999999999</v>
      </c>
      <c r="AO150" s="737">
        <v>22.5</v>
      </c>
      <c r="AP150" s="737">
        <v>25</v>
      </c>
      <c r="AQ150" s="538"/>
      <c r="AR150" s="733" t="str">
        <f t="shared" si="19"/>
        <v>SJ</v>
      </c>
      <c r="AS150" s="733" t="str">
        <f t="shared" si="21"/>
        <v>VALLE FERTIL</v>
      </c>
      <c r="AT150" s="731">
        <v>6</v>
      </c>
      <c r="AU150" s="731">
        <v>5.5</v>
      </c>
      <c r="AV150" s="731">
        <v>5</v>
      </c>
      <c r="AW150" s="731">
        <v>4</v>
      </c>
      <c r="AX150" s="731">
        <v>3.5</v>
      </c>
      <c r="AY150" s="731">
        <v>2.5</v>
      </c>
      <c r="AZ150" s="731">
        <v>3</v>
      </c>
      <c r="BA150" s="731">
        <v>3.5</v>
      </c>
      <c r="BB150" s="731">
        <v>4.5</v>
      </c>
      <c r="BC150" s="731">
        <v>5.5</v>
      </c>
      <c r="BD150" s="731">
        <v>6</v>
      </c>
      <c r="BE150" s="731">
        <v>6</v>
      </c>
      <c r="BG150" s="733" t="str">
        <f t="shared" si="22"/>
        <v>SJ</v>
      </c>
      <c r="BH150" s="733" t="str">
        <f t="shared" si="23"/>
        <v>VALLE FERTIL</v>
      </c>
      <c r="BI150" s="731">
        <v>20</v>
      </c>
      <c r="BJ150" s="731">
        <v>18</v>
      </c>
      <c r="BK150" s="731">
        <v>12</v>
      </c>
      <c r="BL150" s="731">
        <v>4</v>
      </c>
      <c r="BM150" s="731">
        <v>2</v>
      </c>
      <c r="BN150" s="731">
        <v>3</v>
      </c>
      <c r="BO150" s="731">
        <v>4</v>
      </c>
      <c r="BP150" s="731">
        <v>2</v>
      </c>
      <c r="BQ150" s="731">
        <v>4</v>
      </c>
      <c r="BR150" s="731">
        <v>5</v>
      </c>
      <c r="BS150" s="731">
        <v>9</v>
      </c>
      <c r="BT150" s="731">
        <v>11</v>
      </c>
    </row>
    <row r="151" spans="2:72">
      <c r="B151" s="734" t="s">
        <v>181</v>
      </c>
      <c r="C151" s="733" t="s">
        <v>182</v>
      </c>
      <c r="D151" s="539">
        <v>33.270000000000003</v>
      </c>
      <c r="E151" s="539">
        <v>66.349999999999994</v>
      </c>
      <c r="F151" s="539">
        <v>713</v>
      </c>
      <c r="G151" s="539" t="s">
        <v>42</v>
      </c>
      <c r="H151" s="539">
        <v>-3.7</v>
      </c>
      <c r="I151" s="539">
        <v>10.199999999999999</v>
      </c>
      <c r="J151" s="539">
        <v>23.8</v>
      </c>
      <c r="K151" s="539">
        <v>34.1</v>
      </c>
      <c r="L151" s="539">
        <v>51</v>
      </c>
      <c r="M151" s="539">
        <v>57</v>
      </c>
      <c r="N151" s="539">
        <v>51</v>
      </c>
      <c r="O151" s="539">
        <v>7</v>
      </c>
      <c r="P151" s="539">
        <v>86</v>
      </c>
      <c r="Q151" s="734">
        <v>3</v>
      </c>
      <c r="R151" s="539">
        <v>23.2</v>
      </c>
      <c r="S151" s="734">
        <v>0.53</v>
      </c>
      <c r="T151" s="734">
        <v>29.7</v>
      </c>
      <c r="U151" s="734">
        <v>8</v>
      </c>
      <c r="V151" s="734">
        <v>200</v>
      </c>
      <c r="W151" s="734">
        <v>123</v>
      </c>
      <c r="X151" s="734">
        <v>4.0000000000000001E-3</v>
      </c>
      <c r="Y151" s="734">
        <v>8.9999999999999993E-3</v>
      </c>
      <c r="Z151" s="547">
        <v>130</v>
      </c>
      <c r="AA151" s="547">
        <f t="shared" si="18"/>
        <v>1.3</v>
      </c>
      <c r="AB151" s="734">
        <v>35</v>
      </c>
      <c r="AC151" s="538"/>
      <c r="AD151" s="733" t="str">
        <f t="shared" si="20"/>
        <v>SAN LUIS</v>
      </c>
      <c r="AE151" s="737">
        <v>23.9</v>
      </c>
      <c r="AF151" s="737">
        <v>22.8</v>
      </c>
      <c r="AG151" s="737">
        <v>20</v>
      </c>
      <c r="AH151" s="737">
        <v>15.6</v>
      </c>
      <c r="AI151" s="737">
        <v>12</v>
      </c>
      <c r="AJ151" s="737">
        <v>8.9</v>
      </c>
      <c r="AK151" s="737">
        <v>8.6</v>
      </c>
      <c r="AL151" s="737">
        <v>10.4</v>
      </c>
      <c r="AM151" s="737">
        <v>13.7</v>
      </c>
      <c r="AN151" s="737">
        <v>17</v>
      </c>
      <c r="AO151" s="737">
        <v>20.399999999999999</v>
      </c>
      <c r="AP151" s="737">
        <v>23</v>
      </c>
      <c r="AQ151" s="538"/>
      <c r="AR151" s="733" t="str">
        <f t="shared" si="19"/>
        <v>SL</v>
      </c>
      <c r="AS151" s="733" t="str">
        <f t="shared" si="21"/>
        <v>SAN LUIS</v>
      </c>
      <c r="AT151" s="731">
        <v>6.5</v>
      </c>
      <c r="AU151" s="731">
        <v>5.5</v>
      </c>
      <c r="AV151" s="731">
        <v>4</v>
      </c>
      <c r="AW151" s="731">
        <v>3.5</v>
      </c>
      <c r="AX151" s="731">
        <v>2.5</v>
      </c>
      <c r="AY151" s="731">
        <v>2</v>
      </c>
      <c r="AZ151" s="731">
        <v>2.5</v>
      </c>
      <c r="BA151" s="731">
        <v>3.5</v>
      </c>
      <c r="BB151" s="731">
        <v>4.5</v>
      </c>
      <c r="BC151" s="731">
        <v>5</v>
      </c>
      <c r="BD151" s="731">
        <v>6</v>
      </c>
      <c r="BE151" s="731">
        <v>6.5</v>
      </c>
      <c r="BG151" s="733" t="str">
        <f t="shared" si="22"/>
        <v>SL</v>
      </c>
      <c r="BH151" s="733" t="str">
        <f t="shared" si="23"/>
        <v>SAN LUIS</v>
      </c>
      <c r="BI151" s="731">
        <v>106</v>
      </c>
      <c r="BJ151" s="731">
        <v>82</v>
      </c>
      <c r="BK151" s="731">
        <v>76</v>
      </c>
      <c r="BL151" s="731">
        <v>39</v>
      </c>
      <c r="BM151" s="731">
        <v>14</v>
      </c>
      <c r="BN151" s="731">
        <v>10</v>
      </c>
      <c r="BO151" s="731">
        <v>9</v>
      </c>
      <c r="BP151" s="731">
        <v>8</v>
      </c>
      <c r="BQ151" s="731">
        <v>19</v>
      </c>
      <c r="BR151" s="731">
        <v>40</v>
      </c>
      <c r="BS151" s="731">
        <v>70</v>
      </c>
      <c r="BT151" s="731">
        <v>100</v>
      </c>
    </row>
    <row r="152" spans="2:72">
      <c r="B152" s="734" t="s">
        <v>181</v>
      </c>
      <c r="C152" s="733" t="s">
        <v>1275</v>
      </c>
      <c r="D152" s="539">
        <v>35.17</v>
      </c>
      <c r="E152" s="539">
        <v>65.95</v>
      </c>
      <c r="F152" s="539">
        <v>372</v>
      </c>
      <c r="G152" s="539" t="s">
        <v>42</v>
      </c>
      <c r="H152" s="539">
        <v>-4.2</v>
      </c>
      <c r="I152" s="539">
        <v>8.4</v>
      </c>
      <c r="J152" s="539">
        <v>23.3</v>
      </c>
      <c r="K152" s="539">
        <v>34.700000000000003</v>
      </c>
      <c r="L152" s="539">
        <v>63</v>
      </c>
      <c r="M152" s="539">
        <v>76</v>
      </c>
      <c r="N152" s="539">
        <v>63</v>
      </c>
      <c r="O152" s="539">
        <v>10</v>
      </c>
      <c r="P152" s="539">
        <v>80</v>
      </c>
      <c r="Q152" s="734">
        <v>3</v>
      </c>
      <c r="R152" s="539">
        <v>22.1</v>
      </c>
      <c r="S152" s="734">
        <v>0.55000000000000004</v>
      </c>
      <c r="T152" s="734">
        <v>29.7</v>
      </c>
      <c r="U152" s="734">
        <v>8</v>
      </c>
      <c r="V152" s="734">
        <v>200</v>
      </c>
      <c r="W152" s="734">
        <v>123</v>
      </c>
      <c r="X152" s="734">
        <v>4.0000000000000001E-3</v>
      </c>
      <c r="Y152" s="734">
        <v>8.9999999999999993E-3</v>
      </c>
      <c r="Z152" s="547">
        <v>130</v>
      </c>
      <c r="AA152" s="547">
        <f t="shared" si="18"/>
        <v>1.3</v>
      </c>
      <c r="AB152" s="734">
        <v>35</v>
      </c>
      <c r="AC152" s="538"/>
      <c r="AD152" s="733" t="str">
        <f t="shared" si="20"/>
        <v>UNIÓN</v>
      </c>
      <c r="AE152" s="737">
        <v>24.3</v>
      </c>
      <c r="AF152" s="737">
        <v>22.9</v>
      </c>
      <c r="AG152" s="737">
        <v>20.100000000000001</v>
      </c>
      <c r="AH152" s="737">
        <v>15.8</v>
      </c>
      <c r="AI152" s="737">
        <v>11.8</v>
      </c>
      <c r="AJ152" s="737">
        <v>8.1999999999999993</v>
      </c>
      <c r="AK152" s="737">
        <v>8.1</v>
      </c>
      <c r="AL152" s="737">
        <v>10</v>
      </c>
      <c r="AM152" s="737">
        <v>12.7</v>
      </c>
      <c r="AN152" s="737">
        <v>16.899999999999999</v>
      </c>
      <c r="AO152" s="737">
        <v>20.6</v>
      </c>
      <c r="AP152" s="737">
        <v>23.1</v>
      </c>
      <c r="AQ152" s="538"/>
      <c r="AR152" s="733" t="str">
        <f t="shared" si="19"/>
        <v>SL</v>
      </c>
      <c r="AS152" s="733" t="str">
        <f t="shared" si="21"/>
        <v>UNIÓN</v>
      </c>
      <c r="AT152" s="731">
        <v>6.5</v>
      </c>
      <c r="AU152" s="731">
        <v>6</v>
      </c>
      <c r="AV152" s="731">
        <v>4.5</v>
      </c>
      <c r="AW152" s="731">
        <v>3</v>
      </c>
      <c r="AX152" s="731">
        <v>2.5</v>
      </c>
      <c r="AY152" s="731">
        <v>2</v>
      </c>
      <c r="AZ152" s="731">
        <v>2</v>
      </c>
      <c r="BA152" s="731">
        <v>3</v>
      </c>
      <c r="BB152" s="731">
        <v>4</v>
      </c>
      <c r="BC152" s="731">
        <v>5</v>
      </c>
      <c r="BD152" s="731">
        <v>6</v>
      </c>
      <c r="BE152" s="731">
        <v>6.5</v>
      </c>
      <c r="BG152" s="733" t="str">
        <f t="shared" si="22"/>
        <v>SL</v>
      </c>
      <c r="BH152" s="733" t="str">
        <f t="shared" si="23"/>
        <v>UNIÓN</v>
      </c>
      <c r="BI152" s="731">
        <v>106</v>
      </c>
      <c r="BJ152" s="731">
        <v>82</v>
      </c>
      <c r="BK152" s="731">
        <v>76</v>
      </c>
      <c r="BL152" s="731">
        <v>39</v>
      </c>
      <c r="BM152" s="731">
        <v>14</v>
      </c>
      <c r="BN152" s="731">
        <v>10</v>
      </c>
      <c r="BO152" s="731">
        <v>9</v>
      </c>
      <c r="BP152" s="731">
        <v>8</v>
      </c>
      <c r="BQ152" s="731">
        <v>19</v>
      </c>
      <c r="BR152" s="731">
        <v>40</v>
      </c>
      <c r="BS152" s="731">
        <v>70</v>
      </c>
      <c r="BT152" s="731">
        <v>100</v>
      </c>
    </row>
    <row r="153" spans="2:72">
      <c r="B153" s="734" t="s">
        <v>181</v>
      </c>
      <c r="C153" s="733" t="s">
        <v>183</v>
      </c>
      <c r="D153" s="539">
        <v>33.729999999999997</v>
      </c>
      <c r="E153" s="539">
        <v>65.38</v>
      </c>
      <c r="F153" s="539">
        <v>486</v>
      </c>
      <c r="G153" s="539" t="s">
        <v>42</v>
      </c>
      <c r="H153" s="539">
        <v>-5.0999999999999996</v>
      </c>
      <c r="I153" s="539">
        <v>8.6</v>
      </c>
      <c r="J153" s="539">
        <v>22.5</v>
      </c>
      <c r="K153" s="539">
        <v>34.1</v>
      </c>
      <c r="L153" s="539">
        <v>64</v>
      </c>
      <c r="M153" s="539">
        <v>69</v>
      </c>
      <c r="N153" s="539">
        <v>64</v>
      </c>
      <c r="O153" s="539">
        <v>8</v>
      </c>
      <c r="P153" s="539">
        <v>92</v>
      </c>
      <c r="Q153" s="734">
        <v>3</v>
      </c>
      <c r="R153" s="539">
        <v>21.9</v>
      </c>
      <c r="S153" s="734">
        <v>0.53</v>
      </c>
      <c r="T153" s="734">
        <v>29.7</v>
      </c>
      <c r="U153" s="734">
        <v>8</v>
      </c>
      <c r="V153" s="734">
        <v>200</v>
      </c>
      <c r="W153" s="734">
        <v>123</v>
      </c>
      <c r="X153" s="734">
        <v>4.0000000000000001E-3</v>
      </c>
      <c r="Y153" s="734">
        <v>8.9999999999999993E-3</v>
      </c>
      <c r="Z153" s="547">
        <v>130</v>
      </c>
      <c r="AA153" s="547">
        <f t="shared" si="18"/>
        <v>1.3</v>
      </c>
      <c r="AB153" s="734">
        <v>35</v>
      </c>
      <c r="AC153" s="538"/>
      <c r="AD153" s="733" t="str">
        <f t="shared" si="20"/>
        <v>VILLA REYNOLDS</v>
      </c>
      <c r="AE153" s="737">
        <v>23.3</v>
      </c>
      <c r="AF153" s="737">
        <v>22.4</v>
      </c>
      <c r="AG153" s="737">
        <v>20.2</v>
      </c>
      <c r="AH153" s="737">
        <v>15.4</v>
      </c>
      <c r="AI153" s="737">
        <v>12.4</v>
      </c>
      <c r="AJ153" s="737">
        <v>9.1</v>
      </c>
      <c r="AK153" s="737">
        <v>8.8000000000000007</v>
      </c>
      <c r="AL153" s="737">
        <v>10.1</v>
      </c>
      <c r="AM153" s="737">
        <v>13.2</v>
      </c>
      <c r="AN153" s="737">
        <v>16.600000000000001</v>
      </c>
      <c r="AO153" s="737">
        <v>19.899999999999999</v>
      </c>
      <c r="AP153" s="737">
        <v>22.1</v>
      </c>
      <c r="AQ153" s="538"/>
      <c r="AR153" s="733" t="str">
        <f t="shared" si="19"/>
        <v>SL</v>
      </c>
      <c r="AS153" s="733" t="str">
        <f t="shared" si="21"/>
        <v>VILLA REYNOLDS</v>
      </c>
      <c r="AT153" s="731">
        <v>6</v>
      </c>
      <c r="AU153" s="731">
        <v>5.5</v>
      </c>
      <c r="AV153" s="731">
        <v>4</v>
      </c>
      <c r="AW153" s="731">
        <v>3.5</v>
      </c>
      <c r="AX153" s="731">
        <v>2.5</v>
      </c>
      <c r="AY153" s="731">
        <v>2</v>
      </c>
      <c r="AZ153" s="731">
        <v>2.5</v>
      </c>
      <c r="BA153" s="731">
        <v>3.5</v>
      </c>
      <c r="BB153" s="731">
        <v>4</v>
      </c>
      <c r="BC153" s="731">
        <v>5</v>
      </c>
      <c r="BD153" s="731">
        <v>6</v>
      </c>
      <c r="BE153" s="731">
        <v>6.5</v>
      </c>
      <c r="BG153" s="733" t="str">
        <f t="shared" si="22"/>
        <v>SL</v>
      </c>
      <c r="BH153" s="733" t="str">
        <f t="shared" si="23"/>
        <v>VILLA REYNOLDS</v>
      </c>
      <c r="BI153" s="731">
        <v>106</v>
      </c>
      <c r="BJ153" s="731">
        <v>82</v>
      </c>
      <c r="BK153" s="731">
        <v>76</v>
      </c>
      <c r="BL153" s="731">
        <v>39</v>
      </c>
      <c r="BM153" s="731">
        <v>14</v>
      </c>
      <c r="BN153" s="731">
        <v>10</v>
      </c>
      <c r="BO153" s="731">
        <v>9</v>
      </c>
      <c r="BP153" s="731">
        <v>8</v>
      </c>
      <c r="BQ153" s="731">
        <v>19</v>
      </c>
      <c r="BR153" s="731">
        <v>40</v>
      </c>
      <c r="BS153" s="731">
        <v>70</v>
      </c>
      <c r="BT153" s="731">
        <v>100</v>
      </c>
    </row>
    <row r="154" spans="2:72">
      <c r="B154" s="734" t="s">
        <v>184</v>
      </c>
      <c r="C154" s="733" t="s">
        <v>185</v>
      </c>
      <c r="D154" s="539">
        <v>50.33</v>
      </c>
      <c r="E154" s="539">
        <v>72.3</v>
      </c>
      <c r="F154" s="539">
        <v>220</v>
      </c>
      <c r="G154" s="539" t="s">
        <v>108</v>
      </c>
      <c r="H154" s="539">
        <v>-7.4</v>
      </c>
      <c r="I154" s="539">
        <v>1.6</v>
      </c>
      <c r="J154" s="539">
        <v>12.7</v>
      </c>
      <c r="K154" s="539">
        <v>21.8</v>
      </c>
      <c r="L154" s="539">
        <v>44</v>
      </c>
      <c r="M154" s="539">
        <v>72</v>
      </c>
      <c r="N154" s="539">
        <v>44</v>
      </c>
      <c r="O154" s="539">
        <v>26</v>
      </c>
      <c r="P154" s="539">
        <v>15</v>
      </c>
      <c r="Q154" s="734">
        <v>6</v>
      </c>
      <c r="R154" s="539">
        <v>12.3</v>
      </c>
      <c r="S154" s="734">
        <v>0.51</v>
      </c>
      <c r="T154" s="734">
        <v>100.2</v>
      </c>
      <c r="U154" s="734">
        <v>0</v>
      </c>
      <c r="V154" s="734">
        <v>383</v>
      </c>
      <c r="W154" s="734">
        <v>0</v>
      </c>
      <c r="X154" s="734">
        <v>0.03</v>
      </c>
      <c r="Y154" s="734">
        <v>0</v>
      </c>
      <c r="Z154" s="547">
        <v>95</v>
      </c>
      <c r="AA154" s="547">
        <f t="shared" si="18"/>
        <v>0.95000000000000007</v>
      </c>
      <c r="AB154" s="734">
        <v>50</v>
      </c>
      <c r="AC154" s="538"/>
      <c r="AD154" s="733" t="str">
        <f t="shared" si="20"/>
        <v>LAGO ARGENTINO</v>
      </c>
      <c r="AE154" s="541">
        <v>13.3</v>
      </c>
      <c r="AF154" s="541">
        <v>12.8</v>
      </c>
      <c r="AG154" s="541">
        <v>10.9</v>
      </c>
      <c r="AH154" s="541">
        <v>7.5</v>
      </c>
      <c r="AI154" s="541">
        <v>4.3</v>
      </c>
      <c r="AJ154" s="541">
        <v>1.7</v>
      </c>
      <c r="AK154" s="541">
        <v>0.6</v>
      </c>
      <c r="AL154" s="541">
        <v>2.6</v>
      </c>
      <c r="AM154" s="541">
        <v>5</v>
      </c>
      <c r="AN154" s="541">
        <v>8.1999999999999993</v>
      </c>
      <c r="AO154" s="541">
        <v>11</v>
      </c>
      <c r="AP154" s="541">
        <v>12.1</v>
      </c>
      <c r="AQ154" s="538"/>
      <c r="AR154" s="733" t="str">
        <f t="shared" si="19"/>
        <v>SC</v>
      </c>
      <c r="AS154" s="733" t="str">
        <f t="shared" si="21"/>
        <v>LAGO ARGENTINO</v>
      </c>
      <c r="AT154" s="731">
        <v>5.5</v>
      </c>
      <c r="AU154" s="731">
        <v>4.5</v>
      </c>
      <c r="AV154" s="731">
        <v>2.5</v>
      </c>
      <c r="AW154" s="731">
        <v>1.5</v>
      </c>
      <c r="AX154" s="731">
        <v>1</v>
      </c>
      <c r="AY154" s="731">
        <v>0.5</v>
      </c>
      <c r="AZ154" s="731">
        <v>0.5</v>
      </c>
      <c r="BA154" s="731">
        <v>1.5</v>
      </c>
      <c r="BB154" s="731">
        <v>2.5</v>
      </c>
      <c r="BC154" s="731">
        <v>4</v>
      </c>
      <c r="BD154" s="731">
        <v>5</v>
      </c>
      <c r="BE154" s="731">
        <v>5.5</v>
      </c>
      <c r="BG154" s="733" t="str">
        <f t="shared" si="22"/>
        <v>SC</v>
      </c>
      <c r="BH154" s="733" t="str">
        <f t="shared" si="23"/>
        <v>LAGO ARGENTINO</v>
      </c>
      <c r="BI154" s="731">
        <v>21</v>
      </c>
      <c r="BJ154" s="731">
        <v>12.7</v>
      </c>
      <c r="BK154" s="731">
        <v>18.8</v>
      </c>
      <c r="BL154" s="731">
        <v>12.5</v>
      </c>
      <c r="BM154" s="731">
        <v>21.3</v>
      </c>
      <c r="BN154" s="731">
        <v>14.7</v>
      </c>
      <c r="BO154" s="731">
        <v>14.2</v>
      </c>
      <c r="BP154" s="731">
        <v>14</v>
      </c>
      <c r="BQ154" s="731">
        <v>12.7</v>
      </c>
      <c r="BR154" s="731">
        <v>10.199999999999999</v>
      </c>
      <c r="BS154" s="731">
        <v>13</v>
      </c>
      <c r="BT154" s="731">
        <v>16.600000000000001</v>
      </c>
    </row>
    <row r="155" spans="2:72">
      <c r="B155" s="734" t="s">
        <v>184</v>
      </c>
      <c r="C155" s="733" t="s">
        <v>186</v>
      </c>
      <c r="D155" s="539">
        <v>47.73</v>
      </c>
      <c r="E155" s="539">
        <v>65.92</v>
      </c>
      <c r="F155" s="539">
        <v>79</v>
      </c>
      <c r="G155" s="539" t="s">
        <v>108</v>
      </c>
      <c r="H155" s="539">
        <v>-5</v>
      </c>
      <c r="I155" s="539">
        <v>4.3</v>
      </c>
      <c r="J155" s="539">
        <v>13.9</v>
      </c>
      <c r="K155" s="539">
        <v>23.6</v>
      </c>
      <c r="L155" s="539">
        <v>36</v>
      </c>
      <c r="M155" s="539">
        <v>75</v>
      </c>
      <c r="N155" s="539">
        <v>35</v>
      </c>
      <c r="O155" s="539">
        <v>20</v>
      </c>
      <c r="P155" s="539">
        <v>9</v>
      </c>
      <c r="Q155" s="734">
        <v>6</v>
      </c>
      <c r="R155" s="539">
        <v>13</v>
      </c>
      <c r="S155" s="734">
        <v>0.51</v>
      </c>
      <c r="T155" s="734">
        <v>100.2</v>
      </c>
      <c r="U155" s="734">
        <v>0</v>
      </c>
      <c r="V155" s="734">
        <v>383</v>
      </c>
      <c r="W155" s="734">
        <v>0</v>
      </c>
      <c r="X155" s="734">
        <v>0.03</v>
      </c>
      <c r="Y155" s="734">
        <v>0</v>
      </c>
      <c r="Z155" s="547">
        <v>105</v>
      </c>
      <c r="AA155" s="547">
        <f t="shared" si="18"/>
        <v>1.05</v>
      </c>
      <c r="AB155" s="734">
        <v>50</v>
      </c>
      <c r="AC155" s="538"/>
      <c r="AD155" s="733" t="str">
        <f t="shared" si="20"/>
        <v>PUERTO DESEADO</v>
      </c>
      <c r="AE155" s="541">
        <v>15.1</v>
      </c>
      <c r="AF155" s="541">
        <v>14.8</v>
      </c>
      <c r="AG155" s="541">
        <v>13.2</v>
      </c>
      <c r="AH155" s="541">
        <v>10.199999999999999</v>
      </c>
      <c r="AI155" s="541">
        <v>7</v>
      </c>
      <c r="AJ155" s="541">
        <v>4</v>
      </c>
      <c r="AK155" s="541">
        <v>3.9</v>
      </c>
      <c r="AL155" s="541">
        <v>5.0999999999999996</v>
      </c>
      <c r="AM155" s="541">
        <v>7</v>
      </c>
      <c r="AN155" s="541">
        <v>9.6</v>
      </c>
      <c r="AO155" s="541">
        <v>12.6</v>
      </c>
      <c r="AP155" s="541">
        <v>14</v>
      </c>
      <c r="AQ155" s="538"/>
      <c r="AR155" s="733" t="str">
        <f t="shared" si="19"/>
        <v>SC</v>
      </c>
      <c r="AS155" s="733" t="str">
        <f t="shared" si="21"/>
        <v>PUERTO DESEADO</v>
      </c>
      <c r="AT155" s="731">
        <v>6</v>
      </c>
      <c r="AU155" s="731">
        <v>5</v>
      </c>
      <c r="AV155" s="731">
        <v>3.5</v>
      </c>
      <c r="AW155" s="731">
        <v>2</v>
      </c>
      <c r="AX155" s="731">
        <v>1</v>
      </c>
      <c r="AY155" s="731">
        <v>0.5</v>
      </c>
      <c r="AZ155" s="731">
        <v>1</v>
      </c>
      <c r="BA155" s="731">
        <v>2</v>
      </c>
      <c r="BB155" s="731">
        <v>3</v>
      </c>
      <c r="BC155" s="731">
        <v>4.5</v>
      </c>
      <c r="BD155" s="731">
        <v>5.5</v>
      </c>
      <c r="BE155" s="731">
        <v>6.5</v>
      </c>
      <c r="BG155" s="733" t="str">
        <f t="shared" si="22"/>
        <v>SC</v>
      </c>
      <c r="BH155" s="733" t="str">
        <f t="shared" si="23"/>
        <v>PUERTO DESEADO</v>
      </c>
      <c r="BI155" s="731">
        <v>21</v>
      </c>
      <c r="BJ155" s="731">
        <v>12.7</v>
      </c>
      <c r="BK155" s="731">
        <v>18.8</v>
      </c>
      <c r="BL155" s="731">
        <v>12.5</v>
      </c>
      <c r="BM155" s="731">
        <v>21.3</v>
      </c>
      <c r="BN155" s="731">
        <v>14.7</v>
      </c>
      <c r="BO155" s="731">
        <v>14.2</v>
      </c>
      <c r="BP155" s="731">
        <v>14</v>
      </c>
      <c r="BQ155" s="731">
        <v>12.7</v>
      </c>
      <c r="BR155" s="731">
        <v>10.199999999999999</v>
      </c>
      <c r="BS155" s="731">
        <v>13</v>
      </c>
      <c r="BT155" s="731">
        <v>16.600000000000001</v>
      </c>
    </row>
    <row r="156" spans="2:72">
      <c r="B156" s="734" t="s">
        <v>184</v>
      </c>
      <c r="C156" s="733" t="s">
        <v>187</v>
      </c>
      <c r="D156" s="539">
        <v>51.62</v>
      </c>
      <c r="E156" s="539">
        <v>69.28</v>
      </c>
      <c r="F156" s="539">
        <v>17</v>
      </c>
      <c r="G156" s="539" t="s">
        <v>108</v>
      </c>
      <c r="H156" s="539">
        <v>-10</v>
      </c>
      <c r="I156" s="539">
        <v>1.7</v>
      </c>
      <c r="J156" s="539">
        <v>12.6</v>
      </c>
      <c r="K156" s="539">
        <v>22</v>
      </c>
      <c r="L156" s="539">
        <v>56</v>
      </c>
      <c r="M156" s="539">
        <v>81</v>
      </c>
      <c r="N156" s="539">
        <v>56</v>
      </c>
      <c r="O156" s="539">
        <v>13</v>
      </c>
      <c r="P156" s="539">
        <v>22</v>
      </c>
      <c r="Q156" s="734">
        <v>6</v>
      </c>
      <c r="R156" s="539">
        <v>12.2</v>
      </c>
      <c r="S156" s="734">
        <v>0.51</v>
      </c>
      <c r="T156" s="734">
        <v>100.2</v>
      </c>
      <c r="U156" s="734">
        <v>0</v>
      </c>
      <c r="V156" s="734">
        <v>383</v>
      </c>
      <c r="W156" s="734">
        <v>0</v>
      </c>
      <c r="X156" s="734">
        <v>0.03</v>
      </c>
      <c r="Y156" s="734">
        <v>0</v>
      </c>
      <c r="Z156" s="547">
        <v>105</v>
      </c>
      <c r="AA156" s="547">
        <f t="shared" si="18"/>
        <v>1.05</v>
      </c>
      <c r="AB156" s="734">
        <v>50</v>
      </c>
      <c r="AC156" s="538"/>
      <c r="AD156" s="733" t="str">
        <f t="shared" si="20"/>
        <v>RIO GALLEGOS</v>
      </c>
      <c r="AE156" s="541">
        <v>12.9</v>
      </c>
      <c r="AF156" s="541">
        <v>12.5</v>
      </c>
      <c r="AG156" s="541">
        <v>10.6</v>
      </c>
      <c r="AH156" s="541">
        <v>7.3</v>
      </c>
      <c r="AI156" s="541">
        <v>3.8</v>
      </c>
      <c r="AJ156" s="541">
        <v>1.3</v>
      </c>
      <c r="AK156" s="541">
        <v>0.9</v>
      </c>
      <c r="AL156" s="541">
        <v>2.9</v>
      </c>
      <c r="AM156" s="541">
        <v>5.0999999999999996</v>
      </c>
      <c r="AN156" s="541">
        <v>8.3000000000000007</v>
      </c>
      <c r="AO156" s="541">
        <v>10.9</v>
      </c>
      <c r="AP156" s="541">
        <v>12.4</v>
      </c>
      <c r="AQ156" s="538"/>
      <c r="AR156" s="733" t="str">
        <f t="shared" si="19"/>
        <v>SC</v>
      </c>
      <c r="AS156" s="733" t="str">
        <f t="shared" si="21"/>
        <v>RIO GALLEGOS</v>
      </c>
      <c r="AT156" s="731">
        <v>6</v>
      </c>
      <c r="AU156" s="731">
        <v>5</v>
      </c>
      <c r="AV156" s="731">
        <v>3</v>
      </c>
      <c r="AW156" s="731">
        <v>1.5</v>
      </c>
      <c r="AX156" s="731">
        <v>1</v>
      </c>
      <c r="AY156" s="731">
        <v>0.5</v>
      </c>
      <c r="AZ156" s="731">
        <v>0.5</v>
      </c>
      <c r="BA156" s="731">
        <v>1.5</v>
      </c>
      <c r="BB156" s="731">
        <v>2.5</v>
      </c>
      <c r="BC156" s="731">
        <v>4</v>
      </c>
      <c r="BD156" s="731">
        <v>5</v>
      </c>
      <c r="BE156" s="731">
        <v>5.5</v>
      </c>
      <c r="BG156" s="733" t="str">
        <f t="shared" si="22"/>
        <v>SC</v>
      </c>
      <c r="BH156" s="733" t="str">
        <f t="shared" si="23"/>
        <v>RIO GALLEGOS</v>
      </c>
      <c r="BI156" s="731">
        <v>21</v>
      </c>
      <c r="BJ156" s="731">
        <v>12.7</v>
      </c>
      <c r="BK156" s="731">
        <v>18.8</v>
      </c>
      <c r="BL156" s="731">
        <v>12.5</v>
      </c>
      <c r="BM156" s="731">
        <v>21.3</v>
      </c>
      <c r="BN156" s="731">
        <v>14.7</v>
      </c>
      <c r="BO156" s="731">
        <v>14.2</v>
      </c>
      <c r="BP156" s="731">
        <v>14</v>
      </c>
      <c r="BQ156" s="731">
        <v>12.7</v>
      </c>
      <c r="BR156" s="731">
        <v>10.199999999999999</v>
      </c>
      <c r="BS156" s="731">
        <v>13</v>
      </c>
      <c r="BT156" s="731">
        <v>16.600000000000001</v>
      </c>
    </row>
    <row r="157" spans="2:72">
      <c r="B157" s="734" t="s">
        <v>188</v>
      </c>
      <c r="C157" s="733" t="s">
        <v>1276</v>
      </c>
      <c r="D157" s="539">
        <v>31.62</v>
      </c>
      <c r="E157" s="539">
        <v>60.68</v>
      </c>
      <c r="F157" s="539">
        <v>18</v>
      </c>
      <c r="G157" s="539" t="s">
        <v>78</v>
      </c>
      <c r="H157" s="539">
        <v>1.7</v>
      </c>
      <c r="I157" s="539">
        <v>12.6</v>
      </c>
      <c r="J157" s="539">
        <v>24.1</v>
      </c>
      <c r="K157" s="539">
        <v>34.299999999999997</v>
      </c>
      <c r="L157" s="539">
        <v>66</v>
      </c>
      <c r="M157" s="539">
        <v>74</v>
      </c>
      <c r="N157" s="539">
        <v>66</v>
      </c>
      <c r="O157" s="539">
        <v>31</v>
      </c>
      <c r="P157" s="539">
        <v>105</v>
      </c>
      <c r="Q157" s="734">
        <v>2</v>
      </c>
      <c r="R157" s="539">
        <v>23.9</v>
      </c>
      <c r="S157" s="734">
        <v>0.53</v>
      </c>
      <c r="T157" s="734">
        <v>20.9</v>
      </c>
      <c r="U157" s="734">
        <v>10</v>
      </c>
      <c r="V157" s="734">
        <v>50</v>
      </c>
      <c r="W157" s="734">
        <v>115</v>
      </c>
      <c r="X157" s="734">
        <v>1.6E-2</v>
      </c>
      <c r="Y157" s="734">
        <v>1.0999999999999999E-2</v>
      </c>
      <c r="Z157" s="547">
        <v>155</v>
      </c>
      <c r="AA157" s="547">
        <f t="shared" si="18"/>
        <v>1.55</v>
      </c>
      <c r="AB157" s="734">
        <v>30</v>
      </c>
      <c r="AC157" s="538"/>
      <c r="AD157" s="733" t="str">
        <f t="shared" si="20"/>
        <v>ÁNGEL GALLARDO</v>
      </c>
      <c r="AE157" s="737">
        <v>25.2</v>
      </c>
      <c r="AF157" s="737">
        <v>24.4</v>
      </c>
      <c r="AG157" s="737">
        <v>22.6</v>
      </c>
      <c r="AH157" s="737">
        <v>17.600000000000001</v>
      </c>
      <c r="AI157" s="737">
        <v>15.3</v>
      </c>
      <c r="AJ157" s="737">
        <v>12.4</v>
      </c>
      <c r="AK157" s="737">
        <v>12.3</v>
      </c>
      <c r="AL157" s="737">
        <v>13.7</v>
      </c>
      <c r="AM157" s="737">
        <v>15.4</v>
      </c>
      <c r="AN157" s="737">
        <v>18.399999999999999</v>
      </c>
      <c r="AO157" s="737">
        <v>21.5</v>
      </c>
      <c r="AP157" s="737">
        <v>23.6</v>
      </c>
      <c r="AQ157" s="538"/>
      <c r="AR157" s="733" t="str">
        <f t="shared" si="19"/>
        <v>SF</v>
      </c>
      <c r="AS157" s="733" t="str">
        <f t="shared" si="21"/>
        <v>ÁNGEL GALLARDO</v>
      </c>
      <c r="AT157" s="731">
        <v>6.5</v>
      </c>
      <c r="AU157" s="731">
        <v>5.5</v>
      </c>
      <c r="AV157" s="731">
        <v>5</v>
      </c>
      <c r="AW157" s="731">
        <v>3.5</v>
      </c>
      <c r="AX157" s="731">
        <v>3</v>
      </c>
      <c r="AY157" s="731">
        <v>2.5</v>
      </c>
      <c r="AZ157" s="731">
        <v>2.5</v>
      </c>
      <c r="BA157" s="731">
        <v>3.5</v>
      </c>
      <c r="BB157" s="731">
        <v>4</v>
      </c>
      <c r="BC157" s="731">
        <v>5.5</v>
      </c>
      <c r="BD157" s="731">
        <v>6</v>
      </c>
      <c r="BE157" s="731">
        <v>6.5</v>
      </c>
      <c r="BG157" s="733" t="str">
        <f t="shared" si="22"/>
        <v>SF</v>
      </c>
      <c r="BH157" s="733" t="str">
        <f t="shared" si="23"/>
        <v>ÁNGEL GALLARDO</v>
      </c>
      <c r="BI157" s="731">
        <v>128</v>
      </c>
      <c r="BJ157" s="731">
        <v>100</v>
      </c>
      <c r="BK157" s="731">
        <v>141</v>
      </c>
      <c r="BL157" s="731">
        <v>94</v>
      </c>
      <c r="BM157" s="731">
        <v>48</v>
      </c>
      <c r="BN157" s="731">
        <v>34</v>
      </c>
      <c r="BO157" s="731">
        <v>32</v>
      </c>
      <c r="BP157" s="731">
        <v>35</v>
      </c>
      <c r="BQ157" s="731">
        <v>47</v>
      </c>
      <c r="BR157" s="731">
        <v>97</v>
      </c>
      <c r="BS157" s="731">
        <v>111</v>
      </c>
      <c r="BT157" s="731">
        <v>103</v>
      </c>
    </row>
    <row r="158" spans="2:72">
      <c r="B158" s="734" t="s">
        <v>188</v>
      </c>
      <c r="C158" s="733" t="s">
        <v>189</v>
      </c>
      <c r="D158" s="539">
        <v>29.88</v>
      </c>
      <c r="E158" s="539">
        <v>61.95</v>
      </c>
      <c r="F158" s="539">
        <v>88</v>
      </c>
      <c r="G158" s="539" t="s">
        <v>69</v>
      </c>
      <c r="H158" s="539">
        <v>1.5</v>
      </c>
      <c r="I158" s="539">
        <v>13.1</v>
      </c>
      <c r="J158" s="539">
        <v>25.1</v>
      </c>
      <c r="K158" s="539">
        <v>35.6</v>
      </c>
      <c r="L158" s="539">
        <v>66</v>
      </c>
      <c r="M158" s="539">
        <v>74</v>
      </c>
      <c r="N158" s="539">
        <v>66</v>
      </c>
      <c r="O158" s="539">
        <v>22</v>
      </c>
      <c r="P158" s="539">
        <v>112</v>
      </c>
      <c r="Q158" s="734">
        <v>2</v>
      </c>
      <c r="R158" s="539">
        <v>24.7</v>
      </c>
      <c r="S158" s="734">
        <v>0.51</v>
      </c>
      <c r="T158" s="734">
        <v>20.9</v>
      </c>
      <c r="U158" s="734">
        <v>10</v>
      </c>
      <c r="V158" s="734">
        <v>50</v>
      </c>
      <c r="W158" s="734">
        <v>115</v>
      </c>
      <c r="X158" s="734">
        <v>1.6E-2</v>
      </c>
      <c r="Y158" s="734">
        <v>1.0999999999999999E-2</v>
      </c>
      <c r="Z158" s="547">
        <v>160</v>
      </c>
      <c r="AA158" s="547">
        <f t="shared" si="18"/>
        <v>1.6</v>
      </c>
      <c r="AB158" s="734">
        <v>30</v>
      </c>
      <c r="AC158" s="538"/>
      <c r="AD158" s="733" t="str">
        <f t="shared" si="20"/>
        <v>CERES</v>
      </c>
      <c r="AE158" s="737">
        <v>26.1</v>
      </c>
      <c r="AF158" s="737">
        <v>24.9</v>
      </c>
      <c r="AG158" s="737">
        <v>22.6</v>
      </c>
      <c r="AH158" s="737">
        <v>18.2</v>
      </c>
      <c r="AI158" s="737">
        <v>15.8</v>
      </c>
      <c r="AJ158" s="737">
        <v>13.1</v>
      </c>
      <c r="AK158" s="737">
        <v>12.4</v>
      </c>
      <c r="AL158" s="737">
        <v>14</v>
      </c>
      <c r="AM158" s="737">
        <v>16.5</v>
      </c>
      <c r="AN158" s="737">
        <v>19.3</v>
      </c>
      <c r="AO158" s="737">
        <v>22.3</v>
      </c>
      <c r="AP158" s="737">
        <v>24.9</v>
      </c>
      <c r="AQ158" s="538"/>
      <c r="AR158" s="733" t="str">
        <f t="shared" si="19"/>
        <v>SF</v>
      </c>
      <c r="AS158" s="733" t="str">
        <f t="shared" si="21"/>
        <v>CERES</v>
      </c>
      <c r="AT158" s="731">
        <v>6</v>
      </c>
      <c r="AU158" s="731">
        <v>6</v>
      </c>
      <c r="AV158" s="731">
        <v>5</v>
      </c>
      <c r="AW158" s="731">
        <v>3.5</v>
      </c>
      <c r="AX158" s="731">
        <v>3</v>
      </c>
      <c r="AY158" s="731">
        <v>2.5</v>
      </c>
      <c r="AZ158" s="731">
        <v>2.5</v>
      </c>
      <c r="BA158" s="731">
        <v>3</v>
      </c>
      <c r="BB158" s="731">
        <v>4.5</v>
      </c>
      <c r="BC158" s="731">
        <v>5.5</v>
      </c>
      <c r="BD158" s="731">
        <v>5.5</v>
      </c>
      <c r="BE158" s="731">
        <v>6.5</v>
      </c>
      <c r="BG158" s="733" t="str">
        <f t="shared" si="22"/>
        <v>SF</v>
      </c>
      <c r="BH158" s="733" t="str">
        <f t="shared" si="23"/>
        <v>CERES</v>
      </c>
      <c r="BI158" s="731">
        <v>128</v>
      </c>
      <c r="BJ158" s="731">
        <v>100</v>
      </c>
      <c r="BK158" s="731">
        <v>141</v>
      </c>
      <c r="BL158" s="731">
        <v>94</v>
      </c>
      <c r="BM158" s="731">
        <v>48</v>
      </c>
      <c r="BN158" s="731">
        <v>34</v>
      </c>
      <c r="BO158" s="731">
        <v>32</v>
      </c>
      <c r="BP158" s="731">
        <v>35</v>
      </c>
      <c r="BQ158" s="731">
        <v>47</v>
      </c>
      <c r="BR158" s="731">
        <v>97</v>
      </c>
      <c r="BS158" s="731">
        <v>111</v>
      </c>
      <c r="BT158" s="731">
        <v>103</v>
      </c>
    </row>
    <row r="159" spans="2:72">
      <c r="B159" s="734" t="s">
        <v>188</v>
      </c>
      <c r="C159" s="733" t="s">
        <v>190</v>
      </c>
      <c r="D159" s="539">
        <v>31.45</v>
      </c>
      <c r="E159" s="539">
        <v>60.93</v>
      </c>
      <c r="F159" s="539">
        <v>38</v>
      </c>
      <c r="G159" s="539" t="s">
        <v>69</v>
      </c>
      <c r="H159" s="539">
        <v>2.1</v>
      </c>
      <c r="I159" s="539">
        <v>12.5</v>
      </c>
      <c r="J159" s="539">
        <v>24.6</v>
      </c>
      <c r="K159" s="539">
        <v>35.4</v>
      </c>
      <c r="L159" s="539">
        <v>65</v>
      </c>
      <c r="M159" s="539">
        <v>75</v>
      </c>
      <c r="N159" s="539">
        <v>65</v>
      </c>
      <c r="O159" s="539">
        <v>27</v>
      </c>
      <c r="P159" s="539">
        <v>101</v>
      </c>
      <c r="Q159" s="734">
        <v>2</v>
      </c>
      <c r="R159" s="539">
        <v>24.5</v>
      </c>
      <c r="S159" s="734">
        <v>0.53</v>
      </c>
      <c r="T159" s="734">
        <v>20.9</v>
      </c>
      <c r="U159" s="734">
        <v>10</v>
      </c>
      <c r="V159" s="734">
        <v>50</v>
      </c>
      <c r="W159" s="734">
        <v>115</v>
      </c>
      <c r="X159" s="734">
        <v>1.6E-2</v>
      </c>
      <c r="Y159" s="734">
        <v>1.0999999999999999E-2</v>
      </c>
      <c r="Z159" s="547">
        <v>155</v>
      </c>
      <c r="AA159" s="547">
        <f t="shared" si="18"/>
        <v>1.55</v>
      </c>
      <c r="AB159" s="734">
        <v>30</v>
      </c>
      <c r="AC159" s="538"/>
      <c r="AD159" s="733" t="str">
        <f t="shared" si="20"/>
        <v>ESPERANZA</v>
      </c>
      <c r="AE159" s="737">
        <v>25.8</v>
      </c>
      <c r="AF159" s="737">
        <v>24.9</v>
      </c>
      <c r="AG159" s="737">
        <v>23.1</v>
      </c>
      <c r="AH159" s="737">
        <v>18</v>
      </c>
      <c r="AI159" s="737">
        <v>15.7</v>
      </c>
      <c r="AJ159" s="737">
        <v>12.7</v>
      </c>
      <c r="AK159" s="737">
        <v>12.4</v>
      </c>
      <c r="AL159" s="737">
        <v>13.9</v>
      </c>
      <c r="AM159" s="737">
        <v>15.7</v>
      </c>
      <c r="AN159" s="737">
        <v>18.8</v>
      </c>
      <c r="AO159" s="737">
        <v>22.1</v>
      </c>
      <c r="AP159" s="737">
        <v>24.1</v>
      </c>
      <c r="AQ159" s="538"/>
      <c r="AR159" s="733" t="str">
        <f t="shared" si="19"/>
        <v>SF</v>
      </c>
      <c r="AS159" s="733" t="str">
        <f t="shared" si="21"/>
        <v>ESPERANZA</v>
      </c>
      <c r="AT159" s="731">
        <v>6.5</v>
      </c>
      <c r="AU159" s="731">
        <v>6</v>
      </c>
      <c r="AV159" s="731">
        <v>5</v>
      </c>
      <c r="AW159" s="731">
        <v>3.5</v>
      </c>
      <c r="AX159" s="731">
        <v>3</v>
      </c>
      <c r="AY159" s="731">
        <v>2.5</v>
      </c>
      <c r="AZ159" s="731">
        <v>2.5</v>
      </c>
      <c r="BA159" s="731">
        <v>3.5</v>
      </c>
      <c r="BB159" s="731">
        <v>4</v>
      </c>
      <c r="BC159" s="731">
        <v>5.5</v>
      </c>
      <c r="BD159" s="731">
        <v>6</v>
      </c>
      <c r="BE159" s="731">
        <v>6.5</v>
      </c>
      <c r="BG159" s="733" t="str">
        <f t="shared" si="22"/>
        <v>SF</v>
      </c>
      <c r="BH159" s="733" t="str">
        <f t="shared" si="23"/>
        <v>ESPERANZA</v>
      </c>
      <c r="BI159" s="731">
        <v>128</v>
      </c>
      <c r="BJ159" s="731">
        <v>100</v>
      </c>
      <c r="BK159" s="731">
        <v>141</v>
      </c>
      <c r="BL159" s="731">
        <v>94</v>
      </c>
      <c r="BM159" s="731">
        <v>48</v>
      </c>
      <c r="BN159" s="731">
        <v>34</v>
      </c>
      <c r="BO159" s="731">
        <v>32</v>
      </c>
      <c r="BP159" s="731">
        <v>35</v>
      </c>
      <c r="BQ159" s="731">
        <v>47</v>
      </c>
      <c r="BR159" s="731">
        <v>97</v>
      </c>
      <c r="BS159" s="731">
        <v>111</v>
      </c>
      <c r="BT159" s="731">
        <v>103</v>
      </c>
    </row>
    <row r="160" spans="2:72">
      <c r="B160" s="734" t="s">
        <v>188</v>
      </c>
      <c r="C160" s="733" t="s">
        <v>191</v>
      </c>
      <c r="D160" s="539">
        <v>32.549999999999997</v>
      </c>
      <c r="E160" s="539">
        <v>60.85</v>
      </c>
      <c r="F160" s="539">
        <v>26</v>
      </c>
      <c r="G160" s="539" t="s">
        <v>42</v>
      </c>
      <c r="H160" s="539">
        <v>0.4</v>
      </c>
      <c r="I160" s="539">
        <v>11.1</v>
      </c>
      <c r="J160" s="539">
        <v>23.3</v>
      </c>
      <c r="K160" s="539">
        <v>33.700000000000003</v>
      </c>
      <c r="L160" s="539">
        <v>69</v>
      </c>
      <c r="M160" s="539">
        <v>79</v>
      </c>
      <c r="N160" s="539">
        <v>69</v>
      </c>
      <c r="O160" s="539">
        <v>35</v>
      </c>
      <c r="P160" s="539">
        <v>99</v>
      </c>
      <c r="Q160" s="734">
        <v>3</v>
      </c>
      <c r="R160" s="539">
        <v>22.9</v>
      </c>
      <c r="S160" s="734">
        <v>0.53</v>
      </c>
      <c r="T160" s="734">
        <v>20.9</v>
      </c>
      <c r="U160" s="734">
        <v>10</v>
      </c>
      <c r="V160" s="734">
        <v>50</v>
      </c>
      <c r="W160" s="734">
        <v>115</v>
      </c>
      <c r="X160" s="734">
        <v>1.6E-2</v>
      </c>
      <c r="Y160" s="734">
        <v>1.0999999999999999E-2</v>
      </c>
      <c r="Z160" s="547">
        <v>155</v>
      </c>
      <c r="AA160" s="547">
        <f t="shared" si="18"/>
        <v>1.55</v>
      </c>
      <c r="AB160" s="734">
        <v>30</v>
      </c>
      <c r="AC160" s="538"/>
      <c r="AD160" s="733" t="str">
        <f t="shared" si="20"/>
        <v>OLIVEROS</v>
      </c>
      <c r="AE160" s="737">
        <v>24.1</v>
      </c>
      <c r="AF160" s="737">
        <v>23.2</v>
      </c>
      <c r="AG160" s="737">
        <v>21.2</v>
      </c>
      <c r="AH160" s="737">
        <v>17.3</v>
      </c>
      <c r="AI160" s="737">
        <v>14.7</v>
      </c>
      <c r="AJ160" s="737">
        <v>11.3</v>
      </c>
      <c r="AK160" s="737">
        <v>11.5</v>
      </c>
      <c r="AL160" s="737">
        <v>12</v>
      </c>
      <c r="AM160" s="737">
        <v>14.4</v>
      </c>
      <c r="AN160" s="737">
        <v>17.2</v>
      </c>
      <c r="AO160" s="737">
        <v>20.2</v>
      </c>
      <c r="AP160" s="737">
        <v>22.8</v>
      </c>
      <c r="AQ160" s="538"/>
      <c r="AR160" s="733" t="str">
        <f t="shared" si="19"/>
        <v>SF</v>
      </c>
      <c r="AS160" s="733" t="str">
        <f t="shared" si="21"/>
        <v>OLIVEROS</v>
      </c>
      <c r="AT160" s="731">
        <v>6.5</v>
      </c>
      <c r="AU160" s="731">
        <v>5.5</v>
      </c>
      <c r="AV160" s="731">
        <v>5</v>
      </c>
      <c r="AW160" s="731">
        <v>3.5</v>
      </c>
      <c r="AX160" s="731">
        <v>2.5</v>
      </c>
      <c r="AY160" s="731">
        <v>2</v>
      </c>
      <c r="AZ160" s="731">
        <v>2</v>
      </c>
      <c r="BA160" s="731">
        <v>3</v>
      </c>
      <c r="BB160" s="731">
        <v>4</v>
      </c>
      <c r="BC160" s="731">
        <v>5.5</v>
      </c>
      <c r="BD160" s="731">
        <v>6</v>
      </c>
      <c r="BE160" s="731">
        <v>6.5</v>
      </c>
      <c r="BG160" s="733" t="str">
        <f t="shared" si="22"/>
        <v>SF</v>
      </c>
      <c r="BH160" s="733" t="str">
        <f t="shared" si="23"/>
        <v>OLIVEROS</v>
      </c>
      <c r="BI160" s="731">
        <v>128</v>
      </c>
      <c r="BJ160" s="731">
        <v>100</v>
      </c>
      <c r="BK160" s="731">
        <v>141</v>
      </c>
      <c r="BL160" s="731">
        <v>94</v>
      </c>
      <c r="BM160" s="731">
        <v>48</v>
      </c>
      <c r="BN160" s="731">
        <v>34</v>
      </c>
      <c r="BO160" s="731">
        <v>32</v>
      </c>
      <c r="BP160" s="731">
        <v>35</v>
      </c>
      <c r="BQ160" s="731">
        <v>47</v>
      </c>
      <c r="BR160" s="731">
        <v>97</v>
      </c>
      <c r="BS160" s="731">
        <v>111</v>
      </c>
      <c r="BT160" s="731">
        <v>103</v>
      </c>
    </row>
    <row r="161" spans="2:72">
      <c r="B161" s="734" t="s">
        <v>188</v>
      </c>
      <c r="C161" s="733" t="s">
        <v>192</v>
      </c>
      <c r="D161" s="539">
        <v>31.18</v>
      </c>
      <c r="E161" s="539">
        <v>61.55</v>
      </c>
      <c r="F161" s="539">
        <v>100</v>
      </c>
      <c r="G161" s="539" t="s">
        <v>69</v>
      </c>
      <c r="H161" s="539">
        <v>0.7</v>
      </c>
      <c r="I161" s="539">
        <v>969</v>
      </c>
      <c r="J161" s="539">
        <v>24.6</v>
      </c>
      <c r="K161" s="539">
        <v>35.4</v>
      </c>
      <c r="L161" s="539">
        <v>65</v>
      </c>
      <c r="M161" s="539">
        <v>75</v>
      </c>
      <c r="N161" s="539">
        <v>65</v>
      </c>
      <c r="O161" s="539">
        <v>27</v>
      </c>
      <c r="P161" s="539">
        <v>101</v>
      </c>
      <c r="Q161" s="734">
        <v>2</v>
      </c>
      <c r="R161" s="539">
        <v>24.5</v>
      </c>
      <c r="S161" s="734">
        <v>0.53</v>
      </c>
      <c r="T161" s="734">
        <v>20.9</v>
      </c>
      <c r="U161" s="734">
        <v>10</v>
      </c>
      <c r="V161" s="734">
        <v>50</v>
      </c>
      <c r="W161" s="734">
        <v>115</v>
      </c>
      <c r="X161" s="734">
        <v>1.6E-2</v>
      </c>
      <c r="Y161" s="734">
        <v>1.0999999999999999E-2</v>
      </c>
      <c r="Z161" s="547">
        <v>155</v>
      </c>
      <c r="AA161" s="547">
        <f t="shared" si="18"/>
        <v>1.55</v>
      </c>
      <c r="AB161" s="734">
        <v>30</v>
      </c>
      <c r="AC161" s="538"/>
      <c r="AD161" s="733" t="str">
        <f t="shared" si="20"/>
        <v>RAFAELA</v>
      </c>
      <c r="AE161" s="737">
        <v>24.9</v>
      </c>
      <c r="AF161" s="737">
        <v>24.3</v>
      </c>
      <c r="AG161" s="737">
        <v>22.1</v>
      </c>
      <c r="AH161" s="737">
        <v>17.5</v>
      </c>
      <c r="AI161" s="737">
        <v>15</v>
      </c>
      <c r="AJ161" s="737">
        <v>12.2</v>
      </c>
      <c r="AK161" s="737">
        <v>11.8</v>
      </c>
      <c r="AL161" s="737">
        <v>13.1</v>
      </c>
      <c r="AM161" s="737">
        <v>15.1</v>
      </c>
      <c r="AN161" s="737">
        <v>18.2</v>
      </c>
      <c r="AO161" s="737">
        <v>21.5</v>
      </c>
      <c r="AP161" s="737">
        <v>23.5</v>
      </c>
      <c r="AQ161" s="538"/>
      <c r="AR161" s="733" t="str">
        <f t="shared" si="19"/>
        <v>SF</v>
      </c>
      <c r="AS161" s="733" t="str">
        <f t="shared" si="21"/>
        <v>RAFAELA</v>
      </c>
      <c r="AT161" s="731">
        <v>6.5</v>
      </c>
      <c r="AU161" s="731">
        <v>6</v>
      </c>
      <c r="AV161" s="731">
        <v>5</v>
      </c>
      <c r="AW161" s="731">
        <v>3.5</v>
      </c>
      <c r="AX161" s="731">
        <v>3</v>
      </c>
      <c r="AY161" s="731">
        <v>2.5</v>
      </c>
      <c r="AZ161" s="731">
        <v>2.5</v>
      </c>
      <c r="BA161" s="731">
        <v>3</v>
      </c>
      <c r="BB161" s="731">
        <v>4.5</v>
      </c>
      <c r="BC161" s="731">
        <v>5.5</v>
      </c>
      <c r="BD161" s="731">
        <v>6</v>
      </c>
      <c r="BE161" s="731">
        <v>6.5</v>
      </c>
      <c r="BG161" s="733" t="str">
        <f t="shared" si="22"/>
        <v>SF</v>
      </c>
      <c r="BH161" s="733" t="str">
        <f t="shared" si="23"/>
        <v>RAFAELA</v>
      </c>
      <c r="BI161" s="731">
        <v>128</v>
      </c>
      <c r="BJ161" s="731">
        <v>100</v>
      </c>
      <c r="BK161" s="731">
        <v>141</v>
      </c>
      <c r="BL161" s="731">
        <v>94</v>
      </c>
      <c r="BM161" s="731">
        <v>48</v>
      </c>
      <c r="BN161" s="731">
        <v>34</v>
      </c>
      <c r="BO161" s="731">
        <v>32</v>
      </c>
      <c r="BP161" s="731">
        <v>35</v>
      </c>
      <c r="BQ161" s="731">
        <v>47</v>
      </c>
      <c r="BR161" s="731">
        <v>97</v>
      </c>
      <c r="BS161" s="731">
        <v>111</v>
      </c>
      <c r="BT161" s="731">
        <v>103</v>
      </c>
    </row>
    <row r="162" spans="2:72">
      <c r="B162" s="734" t="s">
        <v>188</v>
      </c>
      <c r="C162" s="733" t="s">
        <v>193</v>
      </c>
      <c r="D162" s="539">
        <v>29.18</v>
      </c>
      <c r="E162" s="539">
        <v>59.67</v>
      </c>
      <c r="F162" s="539">
        <v>49</v>
      </c>
      <c r="G162" s="539" t="s">
        <v>78</v>
      </c>
      <c r="H162" s="539">
        <v>3.3</v>
      </c>
      <c r="I162" s="539">
        <v>584</v>
      </c>
      <c r="J162" s="539">
        <v>24.6</v>
      </c>
      <c r="K162" s="539">
        <v>35.4</v>
      </c>
      <c r="L162" s="539">
        <v>65</v>
      </c>
      <c r="M162" s="539">
        <v>75</v>
      </c>
      <c r="N162" s="539">
        <v>65</v>
      </c>
      <c r="O162" s="539">
        <v>27</v>
      </c>
      <c r="P162" s="539">
        <v>101</v>
      </c>
      <c r="Q162" s="734">
        <v>2</v>
      </c>
      <c r="R162" s="539">
        <v>24.5</v>
      </c>
      <c r="S162" s="734">
        <v>0.53</v>
      </c>
      <c r="T162" s="734">
        <v>20.9</v>
      </c>
      <c r="U162" s="734">
        <v>10</v>
      </c>
      <c r="V162" s="734">
        <v>50</v>
      </c>
      <c r="W162" s="734">
        <v>115</v>
      </c>
      <c r="X162" s="734">
        <v>1.6E-2</v>
      </c>
      <c r="Y162" s="734">
        <v>1.0999999999999999E-2</v>
      </c>
      <c r="Z162" s="547">
        <v>155</v>
      </c>
      <c r="AA162" s="547">
        <f t="shared" si="18"/>
        <v>1.55</v>
      </c>
      <c r="AB162" s="734">
        <v>30</v>
      </c>
      <c r="AC162" s="538"/>
      <c r="AD162" s="733" t="str">
        <f t="shared" si="20"/>
        <v>RECONQUISTA</v>
      </c>
      <c r="AE162" s="737">
        <v>26.2</v>
      </c>
      <c r="AF162" s="737">
        <v>25.2</v>
      </c>
      <c r="AG162" s="737">
        <v>23.4</v>
      </c>
      <c r="AH162" s="737">
        <v>19.8</v>
      </c>
      <c r="AI162" s="737">
        <v>17.100000000000001</v>
      </c>
      <c r="AJ162" s="737">
        <v>14.1</v>
      </c>
      <c r="AK162" s="737">
        <v>14</v>
      </c>
      <c r="AL162" s="737">
        <v>15.1</v>
      </c>
      <c r="AM162" s="737">
        <v>17.100000000000001</v>
      </c>
      <c r="AN162" s="737">
        <v>20.2</v>
      </c>
      <c r="AO162" s="737">
        <v>22.5</v>
      </c>
      <c r="AP162" s="737">
        <v>25</v>
      </c>
      <c r="AQ162" s="538"/>
      <c r="AR162" s="733" t="str">
        <f t="shared" si="19"/>
        <v>SF</v>
      </c>
      <c r="AS162" s="733" t="str">
        <f t="shared" si="21"/>
        <v>RECONQUISTA</v>
      </c>
      <c r="AT162" s="731">
        <v>6.5</v>
      </c>
      <c r="AU162" s="731">
        <v>6</v>
      </c>
      <c r="AV162" s="731">
        <v>5</v>
      </c>
      <c r="AW162" s="731">
        <v>4</v>
      </c>
      <c r="AX162" s="731">
        <v>3</v>
      </c>
      <c r="AY162" s="731">
        <v>2.5</v>
      </c>
      <c r="AZ162" s="731">
        <v>2.5</v>
      </c>
      <c r="BA162" s="731">
        <v>3.5</v>
      </c>
      <c r="BB162" s="731">
        <v>4.5</v>
      </c>
      <c r="BC162" s="731">
        <v>5.5</v>
      </c>
      <c r="BD162" s="731">
        <v>5.5</v>
      </c>
      <c r="BE162" s="731">
        <v>6.5</v>
      </c>
      <c r="BG162" s="733" t="str">
        <f t="shared" si="22"/>
        <v>SF</v>
      </c>
      <c r="BH162" s="733" t="str">
        <f t="shared" si="23"/>
        <v>RECONQUISTA</v>
      </c>
      <c r="BI162" s="731">
        <v>128</v>
      </c>
      <c r="BJ162" s="731">
        <v>100</v>
      </c>
      <c r="BK162" s="731">
        <v>141</v>
      </c>
      <c r="BL162" s="731">
        <v>94</v>
      </c>
      <c r="BM162" s="731">
        <v>48</v>
      </c>
      <c r="BN162" s="731">
        <v>34</v>
      </c>
      <c r="BO162" s="731">
        <v>32</v>
      </c>
      <c r="BP162" s="731">
        <v>35</v>
      </c>
      <c r="BQ162" s="731">
        <v>47</v>
      </c>
      <c r="BR162" s="731">
        <v>97</v>
      </c>
      <c r="BS162" s="731">
        <v>111</v>
      </c>
      <c r="BT162" s="731">
        <v>103</v>
      </c>
    </row>
    <row r="163" spans="2:72">
      <c r="B163" s="734" t="s">
        <v>188</v>
      </c>
      <c r="C163" s="733" t="s">
        <v>194</v>
      </c>
      <c r="D163" s="539">
        <v>32.92</v>
      </c>
      <c r="E163" s="539">
        <v>60.78</v>
      </c>
      <c r="F163" s="539">
        <v>27</v>
      </c>
      <c r="G163" s="539" t="s">
        <v>23</v>
      </c>
      <c r="H163" s="539">
        <v>-0.4</v>
      </c>
      <c r="I163" s="539">
        <v>1314</v>
      </c>
      <c r="J163" s="539">
        <v>23.3</v>
      </c>
      <c r="K163" s="539">
        <v>33.700000000000003</v>
      </c>
      <c r="L163" s="539">
        <v>69</v>
      </c>
      <c r="M163" s="539">
        <v>79</v>
      </c>
      <c r="N163" s="539">
        <v>69</v>
      </c>
      <c r="O163" s="539">
        <v>35</v>
      </c>
      <c r="P163" s="539">
        <v>99</v>
      </c>
      <c r="Q163" s="734">
        <v>3</v>
      </c>
      <c r="R163" s="539">
        <v>22.9</v>
      </c>
      <c r="S163" s="734">
        <v>0.53</v>
      </c>
      <c r="T163" s="734">
        <v>20.9</v>
      </c>
      <c r="U163" s="734">
        <v>10</v>
      </c>
      <c r="V163" s="734">
        <v>50</v>
      </c>
      <c r="W163" s="734">
        <v>115</v>
      </c>
      <c r="X163" s="734">
        <v>1.6E-2</v>
      </c>
      <c r="Y163" s="734">
        <v>1.0999999999999999E-2</v>
      </c>
      <c r="Z163" s="547">
        <v>155</v>
      </c>
      <c r="AA163" s="547">
        <f t="shared" si="18"/>
        <v>1.55</v>
      </c>
      <c r="AB163" s="734">
        <v>30</v>
      </c>
      <c r="AC163" s="538"/>
      <c r="AD163" s="733" t="str">
        <f t="shared" si="20"/>
        <v>ROSARIO</v>
      </c>
      <c r="AE163" s="541">
        <v>23.714285714285715</v>
      </c>
      <c r="AF163" s="541">
        <v>22.857142857142858</v>
      </c>
      <c r="AG163" s="541">
        <v>21.166666666666668</v>
      </c>
      <c r="AH163" s="541">
        <v>16.666666666666668</v>
      </c>
      <c r="AI163" s="541">
        <v>14</v>
      </c>
      <c r="AJ163" s="541">
        <v>11.428571428571429</v>
      </c>
      <c r="AK163" s="541">
        <v>10.428571428571429</v>
      </c>
      <c r="AL163" s="541">
        <v>11.428571428571429</v>
      </c>
      <c r="AM163" s="541">
        <v>14.142857142857142</v>
      </c>
      <c r="AN163" s="541">
        <v>18</v>
      </c>
      <c r="AO163" s="541">
        <v>20</v>
      </c>
      <c r="AP163" s="541">
        <v>21.714285714285715</v>
      </c>
      <c r="AQ163" s="538"/>
      <c r="AR163" s="733" t="str">
        <f t="shared" si="19"/>
        <v>SF</v>
      </c>
      <c r="AS163" s="733" t="str">
        <f t="shared" si="21"/>
        <v>ROSARIO</v>
      </c>
      <c r="AT163" s="731">
        <v>6.5</v>
      </c>
      <c r="AU163" s="731">
        <v>5.5</v>
      </c>
      <c r="AV163" s="731">
        <v>5</v>
      </c>
      <c r="AW163" s="731">
        <v>3.5</v>
      </c>
      <c r="AX163" s="731">
        <v>2.5</v>
      </c>
      <c r="AY163" s="731">
        <v>2</v>
      </c>
      <c r="AZ163" s="731">
        <v>2</v>
      </c>
      <c r="BA163" s="731">
        <v>3</v>
      </c>
      <c r="BB163" s="731">
        <v>4</v>
      </c>
      <c r="BC163" s="731">
        <v>5.5</v>
      </c>
      <c r="BD163" s="731">
        <v>6</v>
      </c>
      <c r="BE163" s="731">
        <v>6.5</v>
      </c>
      <c r="BG163" s="733" t="str">
        <f t="shared" si="22"/>
        <v>SF</v>
      </c>
      <c r="BH163" s="733" t="str">
        <f t="shared" si="23"/>
        <v>ROSARIO</v>
      </c>
      <c r="BI163" s="731">
        <v>128</v>
      </c>
      <c r="BJ163" s="731">
        <v>100</v>
      </c>
      <c r="BK163" s="731">
        <v>141</v>
      </c>
      <c r="BL163" s="731">
        <v>94</v>
      </c>
      <c r="BM163" s="731">
        <v>48</v>
      </c>
      <c r="BN163" s="731">
        <v>34</v>
      </c>
      <c r="BO163" s="731">
        <v>32</v>
      </c>
      <c r="BP163" s="731">
        <v>35</v>
      </c>
      <c r="BQ163" s="731">
        <v>47</v>
      </c>
      <c r="BR163" s="731">
        <v>97</v>
      </c>
      <c r="BS163" s="731">
        <v>111</v>
      </c>
      <c r="BT163" s="731">
        <v>103</v>
      </c>
    </row>
    <row r="164" spans="2:72">
      <c r="B164" s="734" t="s">
        <v>188</v>
      </c>
      <c r="C164" s="733" t="s">
        <v>195</v>
      </c>
      <c r="D164" s="539">
        <v>31.7</v>
      </c>
      <c r="E164" s="539">
        <v>60.82</v>
      </c>
      <c r="F164" s="539">
        <v>18</v>
      </c>
      <c r="G164" s="539" t="s">
        <v>69</v>
      </c>
      <c r="H164" s="539">
        <v>1.1000000000000001</v>
      </c>
      <c r="I164" s="539">
        <v>956</v>
      </c>
      <c r="J164" s="539">
        <v>24.6</v>
      </c>
      <c r="K164" s="539">
        <v>35.4</v>
      </c>
      <c r="L164" s="539">
        <v>65</v>
      </c>
      <c r="M164" s="539">
        <v>75</v>
      </c>
      <c r="N164" s="539">
        <v>65</v>
      </c>
      <c r="O164" s="539">
        <v>27</v>
      </c>
      <c r="P164" s="539">
        <v>101</v>
      </c>
      <c r="Q164" s="734">
        <v>2</v>
      </c>
      <c r="R164" s="539">
        <v>24.5</v>
      </c>
      <c r="S164" s="734">
        <v>0.53</v>
      </c>
      <c r="T164" s="734">
        <v>20.9</v>
      </c>
      <c r="U164" s="734">
        <v>10</v>
      </c>
      <c r="V164" s="734">
        <v>50</v>
      </c>
      <c r="W164" s="734">
        <v>115</v>
      </c>
      <c r="X164" s="734">
        <v>1.6E-2</v>
      </c>
      <c r="Y164" s="734">
        <v>1.0999999999999999E-2</v>
      </c>
      <c r="Z164" s="547">
        <v>155</v>
      </c>
      <c r="AA164" s="547">
        <f t="shared" si="18"/>
        <v>1.55</v>
      </c>
      <c r="AB164" s="734">
        <v>30</v>
      </c>
      <c r="AC164" s="538"/>
      <c r="AD164" s="733" t="str">
        <f t="shared" si="20"/>
        <v>SAUCE VIEJO</v>
      </c>
      <c r="AE164" s="737">
        <v>25.2</v>
      </c>
      <c r="AF164" s="737">
        <v>24.5</v>
      </c>
      <c r="AG164" s="737">
        <v>22.5</v>
      </c>
      <c r="AH164" s="737">
        <v>17.5</v>
      </c>
      <c r="AI164" s="737">
        <v>15.3</v>
      </c>
      <c r="AJ164" s="737">
        <v>12.3</v>
      </c>
      <c r="AK164" s="737">
        <v>12.1</v>
      </c>
      <c r="AL164" s="737">
        <v>13.3</v>
      </c>
      <c r="AM164" s="737">
        <v>15.3</v>
      </c>
      <c r="AN164" s="737">
        <v>18.3</v>
      </c>
      <c r="AO164" s="737">
        <v>21.5</v>
      </c>
      <c r="AP164" s="737">
        <v>23.6</v>
      </c>
      <c r="AQ164" s="538"/>
      <c r="AR164" s="733" t="str">
        <f t="shared" si="19"/>
        <v>SF</v>
      </c>
      <c r="AS164" s="733" t="str">
        <f t="shared" si="21"/>
        <v>SAUCE VIEJO</v>
      </c>
      <c r="AT164" s="731">
        <v>6.5</v>
      </c>
      <c r="AU164" s="731">
        <v>5.5</v>
      </c>
      <c r="AV164" s="731">
        <v>5</v>
      </c>
      <c r="AW164" s="731">
        <v>3.5</v>
      </c>
      <c r="AX164" s="731">
        <v>3</v>
      </c>
      <c r="AY164" s="731">
        <v>2.5</v>
      </c>
      <c r="AZ164" s="731">
        <v>2.5</v>
      </c>
      <c r="BA164" s="731">
        <v>3.5</v>
      </c>
      <c r="BB164" s="731">
        <v>4</v>
      </c>
      <c r="BC164" s="731">
        <v>5.5</v>
      </c>
      <c r="BD164" s="731">
        <v>6</v>
      </c>
      <c r="BE164" s="731">
        <v>6.5</v>
      </c>
      <c r="BG164" s="733" t="str">
        <f t="shared" si="22"/>
        <v>SF</v>
      </c>
      <c r="BH164" s="733" t="str">
        <f t="shared" si="23"/>
        <v>SAUCE VIEJO</v>
      </c>
      <c r="BI164" s="731">
        <v>128</v>
      </c>
      <c r="BJ164" s="731">
        <v>100</v>
      </c>
      <c r="BK164" s="731">
        <v>141</v>
      </c>
      <c r="BL164" s="731">
        <v>94</v>
      </c>
      <c r="BM164" s="731">
        <v>48</v>
      </c>
      <c r="BN164" s="731">
        <v>34</v>
      </c>
      <c r="BO164" s="731">
        <v>32</v>
      </c>
      <c r="BP164" s="731">
        <v>35</v>
      </c>
      <c r="BQ164" s="731">
        <v>47</v>
      </c>
      <c r="BR164" s="731">
        <v>97</v>
      </c>
      <c r="BS164" s="731">
        <v>111</v>
      </c>
      <c r="BT164" s="731">
        <v>103</v>
      </c>
    </row>
    <row r="165" spans="2:72">
      <c r="B165" s="734" t="s">
        <v>196</v>
      </c>
      <c r="C165" s="733" t="s">
        <v>197</v>
      </c>
      <c r="D165" s="539">
        <v>27.75</v>
      </c>
      <c r="E165" s="539">
        <v>64.25</v>
      </c>
      <c r="F165" s="539">
        <v>187</v>
      </c>
      <c r="G165" s="539" t="s">
        <v>98</v>
      </c>
      <c r="H165" s="539">
        <v>0.4</v>
      </c>
      <c r="I165" s="539">
        <v>14</v>
      </c>
      <c r="J165" s="539">
        <v>25.9</v>
      </c>
      <c r="K165" s="539">
        <v>37.1</v>
      </c>
      <c r="L165" s="539">
        <v>68</v>
      </c>
      <c r="M165" s="539">
        <v>69</v>
      </c>
      <c r="N165" s="539">
        <v>68</v>
      </c>
      <c r="O165" s="539">
        <v>6</v>
      </c>
      <c r="P165" s="539">
        <v>92</v>
      </c>
      <c r="Q165" s="734">
        <v>1</v>
      </c>
      <c r="R165" s="539">
        <v>26.1</v>
      </c>
      <c r="S165" s="734">
        <v>0.49</v>
      </c>
      <c r="T165" s="734">
        <v>10.3</v>
      </c>
      <c r="U165" s="734">
        <v>13.7</v>
      </c>
      <c r="V165" s="734">
        <v>49</v>
      </c>
      <c r="W165" s="734">
        <v>97</v>
      </c>
      <c r="X165" s="734">
        <v>8.0000000000000002E-3</v>
      </c>
      <c r="Y165" s="734">
        <v>1.2E-2</v>
      </c>
      <c r="Z165" s="547">
        <v>165</v>
      </c>
      <c r="AA165" s="547">
        <f t="shared" si="18"/>
        <v>1.6500000000000001</v>
      </c>
      <c r="AB165" s="734">
        <v>30</v>
      </c>
      <c r="AC165" s="538"/>
      <c r="AD165" s="733" t="str">
        <f t="shared" si="20"/>
        <v>LA BANDA</v>
      </c>
      <c r="AE165" s="737">
        <v>27.3</v>
      </c>
      <c r="AF165" s="737">
        <v>25.8</v>
      </c>
      <c r="AG165" s="737">
        <v>23.6</v>
      </c>
      <c r="AH165" s="737">
        <v>19.8</v>
      </c>
      <c r="AI165" s="737">
        <v>16.5</v>
      </c>
      <c r="AJ165" s="737">
        <v>13.6</v>
      </c>
      <c r="AK165" s="737">
        <v>13.1</v>
      </c>
      <c r="AL165" s="737">
        <v>15.4</v>
      </c>
      <c r="AM165" s="737">
        <v>18.600000000000001</v>
      </c>
      <c r="AN165" s="737">
        <v>21.9</v>
      </c>
      <c r="AO165" s="737">
        <v>24.5</v>
      </c>
      <c r="AP165" s="737">
        <v>26.9</v>
      </c>
      <c r="AQ165" s="538"/>
      <c r="AR165" s="733" t="str">
        <f t="shared" si="19"/>
        <v>SE</v>
      </c>
      <c r="AS165" s="733" t="str">
        <f t="shared" si="21"/>
        <v>LA BANDA</v>
      </c>
      <c r="AT165" s="731">
        <v>5.5</v>
      </c>
      <c r="AU165" s="731">
        <v>5.5</v>
      </c>
      <c r="AV165" s="731">
        <v>4</v>
      </c>
      <c r="AW165" s="731">
        <v>3</v>
      </c>
      <c r="AX165" s="731">
        <v>3</v>
      </c>
      <c r="AY165" s="731">
        <v>2.5</v>
      </c>
      <c r="AZ165" s="731">
        <v>2.5</v>
      </c>
      <c r="BA165" s="731">
        <v>3</v>
      </c>
      <c r="BB165" s="731">
        <v>4</v>
      </c>
      <c r="BC165" s="731">
        <v>5</v>
      </c>
      <c r="BD165" s="731">
        <v>5</v>
      </c>
      <c r="BE165" s="731">
        <v>5.5</v>
      </c>
      <c r="BG165" s="733" t="str">
        <f t="shared" si="22"/>
        <v>SE</v>
      </c>
      <c r="BH165" s="733" t="str">
        <f t="shared" si="23"/>
        <v>LA BANDA</v>
      </c>
      <c r="BI165" s="731">
        <v>122</v>
      </c>
      <c r="BJ165" s="731">
        <v>103</v>
      </c>
      <c r="BK165" s="731">
        <v>86</v>
      </c>
      <c r="BL165" s="731">
        <v>36</v>
      </c>
      <c r="BM165" s="731">
        <v>16</v>
      </c>
      <c r="BN165" s="731">
        <v>8</v>
      </c>
      <c r="BO165" s="731">
        <v>5</v>
      </c>
      <c r="BP165" s="731">
        <v>3</v>
      </c>
      <c r="BQ165" s="731">
        <v>11</v>
      </c>
      <c r="BR165" s="731">
        <v>35</v>
      </c>
      <c r="BS165" s="731">
        <v>66</v>
      </c>
      <c r="BT165" s="731">
        <v>93</v>
      </c>
    </row>
    <row r="166" spans="2:72">
      <c r="B166" s="734" t="s">
        <v>196</v>
      </c>
      <c r="C166" s="733" t="s">
        <v>198</v>
      </c>
      <c r="D166" s="539">
        <v>25.8</v>
      </c>
      <c r="E166" s="539">
        <v>62.85</v>
      </c>
      <c r="F166" s="539">
        <v>221</v>
      </c>
      <c r="G166" s="539" t="s">
        <v>98</v>
      </c>
      <c r="H166" s="539">
        <v>2.1</v>
      </c>
      <c r="I166" s="539">
        <v>16.2</v>
      </c>
      <c r="J166" s="539">
        <v>27.2</v>
      </c>
      <c r="K166" s="539">
        <v>38.299999999999997</v>
      </c>
      <c r="L166" s="539">
        <v>64</v>
      </c>
      <c r="M166" s="539">
        <v>61</v>
      </c>
      <c r="N166" s="539">
        <v>64</v>
      </c>
      <c r="O166" s="539">
        <v>7</v>
      </c>
      <c r="P166" s="539">
        <v>104</v>
      </c>
      <c r="Q166" s="734">
        <v>1</v>
      </c>
      <c r="R166" s="539">
        <v>27.3</v>
      </c>
      <c r="S166" s="734">
        <v>0.47</v>
      </c>
      <c r="T166" s="734">
        <v>10.3</v>
      </c>
      <c r="U166" s="734">
        <v>13.7</v>
      </c>
      <c r="V166" s="734">
        <v>49</v>
      </c>
      <c r="W166" s="734">
        <v>97</v>
      </c>
      <c r="X166" s="734">
        <v>8.0000000000000002E-3</v>
      </c>
      <c r="Y166" s="734">
        <v>1.2E-2</v>
      </c>
      <c r="Z166" s="547">
        <v>165</v>
      </c>
      <c r="AA166" s="547">
        <f t="shared" si="18"/>
        <v>1.6500000000000001</v>
      </c>
      <c r="AB166" s="734">
        <v>30</v>
      </c>
      <c r="AC166" s="538"/>
      <c r="AD166" s="733" t="str">
        <f t="shared" si="20"/>
        <v>MONTE QUEMADO</v>
      </c>
      <c r="AE166" s="737">
        <v>27.8</v>
      </c>
      <c r="AF166" s="737">
        <v>26.6</v>
      </c>
      <c r="AG166" s="737">
        <v>24.6</v>
      </c>
      <c r="AH166" s="737">
        <v>21</v>
      </c>
      <c r="AI166" s="737">
        <v>18.100000000000001</v>
      </c>
      <c r="AJ166" s="737">
        <v>15.4</v>
      </c>
      <c r="AK166" s="737">
        <v>15.4</v>
      </c>
      <c r="AL166" s="737">
        <v>18.2</v>
      </c>
      <c r="AM166" s="737">
        <v>20.8</v>
      </c>
      <c r="AN166" s="737">
        <v>24</v>
      </c>
      <c r="AO166" s="737">
        <v>25.6</v>
      </c>
      <c r="AP166" s="737">
        <v>27.2</v>
      </c>
      <c r="AQ166" s="538"/>
      <c r="AR166" s="733" t="str">
        <f t="shared" si="19"/>
        <v>SE</v>
      </c>
      <c r="AS166" s="733" t="str">
        <f t="shared" si="21"/>
        <v>MONTE QUEMADO</v>
      </c>
      <c r="AT166" s="731">
        <v>6</v>
      </c>
      <c r="AU166" s="731">
        <v>5.5</v>
      </c>
      <c r="AV166" s="731">
        <v>4</v>
      </c>
      <c r="AW166" s="731">
        <v>3.5</v>
      </c>
      <c r="AX166" s="731">
        <v>3</v>
      </c>
      <c r="AY166" s="731">
        <v>2.5</v>
      </c>
      <c r="AZ166" s="731">
        <v>2.5</v>
      </c>
      <c r="BA166" s="731">
        <v>3</v>
      </c>
      <c r="BB166" s="731">
        <v>4</v>
      </c>
      <c r="BC166" s="731">
        <v>5</v>
      </c>
      <c r="BD166" s="731">
        <v>5.5</v>
      </c>
      <c r="BE166" s="731">
        <v>5.5</v>
      </c>
      <c r="BG166" s="733" t="str">
        <f t="shared" si="22"/>
        <v>SE</v>
      </c>
      <c r="BH166" s="733" t="str">
        <f t="shared" si="23"/>
        <v>MONTE QUEMADO</v>
      </c>
      <c r="BI166" s="731">
        <v>122</v>
      </c>
      <c r="BJ166" s="731">
        <v>103</v>
      </c>
      <c r="BK166" s="731">
        <v>86</v>
      </c>
      <c r="BL166" s="731">
        <v>36</v>
      </c>
      <c r="BM166" s="731">
        <v>16</v>
      </c>
      <c r="BN166" s="731">
        <v>8</v>
      </c>
      <c r="BO166" s="731">
        <v>5</v>
      </c>
      <c r="BP166" s="731">
        <v>3</v>
      </c>
      <c r="BQ166" s="731">
        <v>11</v>
      </c>
      <c r="BR166" s="731">
        <v>35</v>
      </c>
      <c r="BS166" s="731">
        <v>66</v>
      </c>
      <c r="BT166" s="731">
        <v>93</v>
      </c>
    </row>
    <row r="167" spans="2:72">
      <c r="B167" s="734" t="s">
        <v>196</v>
      </c>
      <c r="C167" s="733" t="s">
        <v>199</v>
      </c>
      <c r="D167" s="539">
        <v>27.77</v>
      </c>
      <c r="E167" s="539">
        <v>64.3</v>
      </c>
      <c r="F167" s="539">
        <v>199</v>
      </c>
      <c r="G167" s="539" t="s">
        <v>98</v>
      </c>
      <c r="H167" s="539">
        <v>-0.6</v>
      </c>
      <c r="I167" s="539">
        <v>13.8</v>
      </c>
      <c r="J167" s="539">
        <v>26.6</v>
      </c>
      <c r="K167" s="539">
        <v>37.4</v>
      </c>
      <c r="L167" s="539">
        <v>63</v>
      </c>
      <c r="M167" s="539">
        <v>65</v>
      </c>
      <c r="N167" s="539">
        <v>63</v>
      </c>
      <c r="O167" s="539">
        <v>5</v>
      </c>
      <c r="P167" s="539">
        <v>95</v>
      </c>
      <c r="Q167" s="734">
        <v>1</v>
      </c>
      <c r="R167" s="539">
        <v>26.4</v>
      </c>
      <c r="S167" s="734">
        <v>0.49</v>
      </c>
      <c r="T167" s="734">
        <v>10.3</v>
      </c>
      <c r="U167" s="734">
        <v>13.7</v>
      </c>
      <c r="V167" s="734">
        <v>49</v>
      </c>
      <c r="W167" s="734">
        <v>97</v>
      </c>
      <c r="X167" s="734">
        <v>8.0000000000000002E-3</v>
      </c>
      <c r="Y167" s="734">
        <v>1.2E-2</v>
      </c>
      <c r="Z167" s="547">
        <v>165</v>
      </c>
      <c r="AA167" s="547">
        <f t="shared" si="18"/>
        <v>1.6500000000000001</v>
      </c>
      <c r="AB167" s="734">
        <v>30</v>
      </c>
      <c r="AC167" s="538"/>
      <c r="AD167" s="733" t="str">
        <f t="shared" si="20"/>
        <v>SANTIAGO DEL ESTERO</v>
      </c>
      <c r="AE167" s="737">
        <v>27.4</v>
      </c>
      <c r="AF167" s="737">
        <v>25.6</v>
      </c>
      <c r="AG167" s="737">
        <v>23.5</v>
      </c>
      <c r="AH167" s="737">
        <v>19.7</v>
      </c>
      <c r="AI167" s="737">
        <v>16.5</v>
      </c>
      <c r="AJ167" s="737">
        <v>13.5</v>
      </c>
      <c r="AK167" s="737">
        <v>13</v>
      </c>
      <c r="AL167" s="737">
        <v>15.4</v>
      </c>
      <c r="AM167" s="737">
        <v>18.600000000000001</v>
      </c>
      <c r="AN167" s="737">
        <v>21.8</v>
      </c>
      <c r="AO167" s="737">
        <v>24.5</v>
      </c>
      <c r="AP167" s="737">
        <v>26.9</v>
      </c>
      <c r="AQ167" s="538"/>
      <c r="AR167" s="733" t="str">
        <f t="shared" si="19"/>
        <v>SE</v>
      </c>
      <c r="AS167" s="733" t="str">
        <f t="shared" si="21"/>
        <v>SANTIAGO DEL ESTERO</v>
      </c>
      <c r="AT167" s="731">
        <v>5.5</v>
      </c>
      <c r="AU167" s="731">
        <v>5.5</v>
      </c>
      <c r="AV167" s="731">
        <v>4</v>
      </c>
      <c r="AW167" s="731">
        <v>3</v>
      </c>
      <c r="AX167" s="731">
        <v>3</v>
      </c>
      <c r="AY167" s="731">
        <v>2.5</v>
      </c>
      <c r="AZ167" s="731">
        <v>2.5</v>
      </c>
      <c r="BA167" s="731">
        <v>3</v>
      </c>
      <c r="BB167" s="731">
        <v>4</v>
      </c>
      <c r="BC167" s="731">
        <v>5</v>
      </c>
      <c r="BD167" s="731">
        <v>5</v>
      </c>
      <c r="BE167" s="731">
        <v>5.5</v>
      </c>
      <c r="BG167" s="733" t="str">
        <f t="shared" si="22"/>
        <v>SE</v>
      </c>
      <c r="BH167" s="733" t="str">
        <f t="shared" si="23"/>
        <v>SANTIAGO DEL ESTERO</v>
      </c>
      <c r="BI167" s="731">
        <v>122</v>
      </c>
      <c r="BJ167" s="731">
        <v>103</v>
      </c>
      <c r="BK167" s="731">
        <v>86</v>
      </c>
      <c r="BL167" s="731">
        <v>36</v>
      </c>
      <c r="BM167" s="731">
        <v>16</v>
      </c>
      <c r="BN167" s="731">
        <v>8</v>
      </c>
      <c r="BO167" s="731">
        <v>5</v>
      </c>
      <c r="BP167" s="731">
        <v>3</v>
      </c>
      <c r="BQ167" s="731">
        <v>11</v>
      </c>
      <c r="BR167" s="731">
        <v>35</v>
      </c>
      <c r="BS167" s="731">
        <v>66</v>
      </c>
      <c r="BT167" s="731">
        <v>93</v>
      </c>
    </row>
    <row r="168" spans="2:72">
      <c r="B168" s="734" t="s">
        <v>200</v>
      </c>
      <c r="C168" s="733" t="s">
        <v>780</v>
      </c>
      <c r="D168" s="539">
        <v>26.83</v>
      </c>
      <c r="E168" s="539">
        <v>65.2</v>
      </c>
      <c r="F168" s="539">
        <v>420</v>
      </c>
      <c r="G168" s="539" t="s">
        <v>78</v>
      </c>
      <c r="H168" s="539">
        <v>1.8</v>
      </c>
      <c r="I168" s="539">
        <v>13.1</v>
      </c>
      <c r="J168" s="539">
        <v>24.9</v>
      </c>
      <c r="K168" s="539">
        <v>34.4</v>
      </c>
      <c r="L168" s="539">
        <v>71</v>
      </c>
      <c r="M168" s="539">
        <v>69</v>
      </c>
      <c r="N168" s="539">
        <v>71</v>
      </c>
      <c r="O168" s="539">
        <v>11</v>
      </c>
      <c r="P168" s="539">
        <v>160</v>
      </c>
      <c r="Q168" s="734">
        <v>2</v>
      </c>
      <c r="R168" s="539">
        <v>24.7</v>
      </c>
      <c r="S168" s="734">
        <v>0.47</v>
      </c>
      <c r="T168" s="734">
        <v>14.6</v>
      </c>
      <c r="U168" s="734">
        <v>11.5</v>
      </c>
      <c r="V168" s="734">
        <v>94</v>
      </c>
      <c r="W168" s="734">
        <v>85</v>
      </c>
      <c r="X168" s="734">
        <v>8.0000000000000002E-3</v>
      </c>
      <c r="Y168" s="734">
        <v>1.2E-2</v>
      </c>
      <c r="Z168" s="547">
        <v>145</v>
      </c>
      <c r="AA168" s="547">
        <f t="shared" si="18"/>
        <v>1.45</v>
      </c>
      <c r="AB168" s="734">
        <v>30</v>
      </c>
      <c r="AC168" s="538"/>
      <c r="AD168" s="733" t="str">
        <f t="shared" si="20"/>
        <v>TUCUMÁN AERO</v>
      </c>
      <c r="AE168" s="737">
        <v>25.3</v>
      </c>
      <c r="AF168" s="737">
        <v>24.1</v>
      </c>
      <c r="AG168" s="737">
        <v>22.6</v>
      </c>
      <c r="AH168" s="737">
        <v>18.899999999999999</v>
      </c>
      <c r="AI168" s="737">
        <v>15.8</v>
      </c>
      <c r="AJ168" s="737">
        <v>12.7</v>
      </c>
      <c r="AK168" s="737">
        <v>12.7</v>
      </c>
      <c r="AL168" s="737">
        <v>14.7</v>
      </c>
      <c r="AM168" s="737">
        <v>17.7</v>
      </c>
      <c r="AN168" s="737">
        <v>20.7</v>
      </c>
      <c r="AO168" s="737">
        <v>23.1</v>
      </c>
      <c r="AP168" s="737">
        <v>25</v>
      </c>
      <c r="AQ168" s="538"/>
      <c r="AR168" s="733" t="str">
        <f t="shared" si="19"/>
        <v>TC</v>
      </c>
      <c r="AS168" s="733" t="str">
        <f t="shared" si="21"/>
        <v>TUCUMÁN AERO</v>
      </c>
      <c r="AT168" s="731">
        <v>5</v>
      </c>
      <c r="AU168" s="731">
        <v>5.5</v>
      </c>
      <c r="AV168" s="731">
        <v>3.5</v>
      </c>
      <c r="AW168" s="731">
        <v>4</v>
      </c>
      <c r="AX168" s="731">
        <v>3</v>
      </c>
      <c r="AY168" s="731">
        <v>2.5</v>
      </c>
      <c r="AZ168" s="731">
        <v>2.5</v>
      </c>
      <c r="BA168" s="731">
        <v>3</v>
      </c>
      <c r="BB168" s="731">
        <v>4</v>
      </c>
      <c r="BC168" s="731">
        <v>5</v>
      </c>
      <c r="BD168" s="731">
        <v>5</v>
      </c>
      <c r="BE168" s="731">
        <v>6</v>
      </c>
      <c r="BG168" s="733" t="str">
        <f t="shared" si="22"/>
        <v>TC</v>
      </c>
      <c r="BH168" s="733" t="str">
        <f t="shared" si="23"/>
        <v>TUCUMÁN AERO</v>
      </c>
      <c r="BI168" s="731">
        <v>205</v>
      </c>
      <c r="BJ168" s="731">
        <v>172</v>
      </c>
      <c r="BK168" s="731">
        <v>160</v>
      </c>
      <c r="BL168" s="731">
        <v>62</v>
      </c>
      <c r="BM168" s="731">
        <v>27</v>
      </c>
      <c r="BN168" s="731">
        <v>16</v>
      </c>
      <c r="BO168" s="731">
        <v>12</v>
      </c>
      <c r="BP168" s="731">
        <v>10</v>
      </c>
      <c r="BQ168" s="731">
        <v>17</v>
      </c>
      <c r="BR168" s="731">
        <v>68</v>
      </c>
      <c r="BS168" s="731">
        <v>103</v>
      </c>
      <c r="BT168" s="731">
        <v>145</v>
      </c>
    </row>
    <row r="169" spans="2:72">
      <c r="B169" s="734" t="s">
        <v>200</v>
      </c>
      <c r="C169" s="733" t="s">
        <v>781</v>
      </c>
      <c r="D169" s="539">
        <v>26.8</v>
      </c>
      <c r="E169" s="539">
        <v>65.2</v>
      </c>
      <c r="F169" s="539">
        <v>481</v>
      </c>
      <c r="G169" s="539" t="s">
        <v>78</v>
      </c>
      <c r="H169" s="539">
        <v>1.6</v>
      </c>
      <c r="I169" s="539">
        <v>12.9</v>
      </c>
      <c r="J169" s="539">
        <v>23.9</v>
      </c>
      <c r="K169" s="539">
        <v>33.6</v>
      </c>
      <c r="L169" s="539">
        <v>76</v>
      </c>
      <c r="M169" s="539">
        <v>73</v>
      </c>
      <c r="N169" s="539">
        <v>76</v>
      </c>
      <c r="O169" s="539">
        <v>12</v>
      </c>
      <c r="P169" s="539">
        <v>172</v>
      </c>
      <c r="Q169" s="734">
        <v>2</v>
      </c>
      <c r="R169" s="539">
        <v>24</v>
      </c>
      <c r="S169" s="734">
        <v>0.47</v>
      </c>
      <c r="T169" s="734">
        <v>14.6</v>
      </c>
      <c r="U169" s="734">
        <v>11.5</v>
      </c>
      <c r="V169" s="734">
        <v>94</v>
      </c>
      <c r="W169" s="734">
        <v>85</v>
      </c>
      <c r="X169" s="734">
        <v>8.0000000000000002E-3</v>
      </c>
      <c r="Y169" s="734">
        <v>1.2E-2</v>
      </c>
      <c r="Z169" s="547">
        <v>145</v>
      </c>
      <c r="AA169" s="547">
        <f t="shared" si="18"/>
        <v>1.45</v>
      </c>
      <c r="AB169" s="734">
        <v>30</v>
      </c>
      <c r="AC169" s="538"/>
      <c r="AD169" s="733" t="str">
        <f t="shared" si="20"/>
        <v>TUCUMÁN</v>
      </c>
      <c r="AE169" s="737">
        <v>26</v>
      </c>
      <c r="AF169" s="737">
        <v>25.3</v>
      </c>
      <c r="AG169" s="737">
        <v>24</v>
      </c>
      <c r="AH169" s="737">
        <v>20.5</v>
      </c>
      <c r="AI169" s="737">
        <v>17.5</v>
      </c>
      <c r="AJ169" s="737">
        <v>14.5</v>
      </c>
      <c r="AK169" s="737">
        <v>14</v>
      </c>
      <c r="AL169" s="737">
        <v>16.8</v>
      </c>
      <c r="AM169" s="737">
        <v>18.7</v>
      </c>
      <c r="AN169" s="737">
        <v>23</v>
      </c>
      <c r="AO169" s="737">
        <v>24.3</v>
      </c>
      <c r="AP169" s="737">
        <v>26</v>
      </c>
      <c r="AQ169" s="538"/>
      <c r="AR169" s="733" t="str">
        <f t="shared" si="19"/>
        <v>TC</v>
      </c>
      <c r="AS169" s="733" t="str">
        <f t="shared" si="21"/>
        <v>TUCUMÁN</v>
      </c>
      <c r="AT169" s="731">
        <v>5</v>
      </c>
      <c r="AU169" s="731">
        <v>5.5</v>
      </c>
      <c r="AV169" s="731">
        <v>3.5</v>
      </c>
      <c r="AW169" s="731">
        <v>4</v>
      </c>
      <c r="AX169" s="731">
        <v>3</v>
      </c>
      <c r="AY169" s="731">
        <v>2.5</v>
      </c>
      <c r="AZ169" s="731">
        <v>2.5</v>
      </c>
      <c r="BA169" s="731">
        <v>3</v>
      </c>
      <c r="BB169" s="731">
        <v>4</v>
      </c>
      <c r="BC169" s="731">
        <v>5</v>
      </c>
      <c r="BD169" s="731">
        <v>5</v>
      </c>
      <c r="BE169" s="731">
        <v>6</v>
      </c>
      <c r="BG169" s="733" t="str">
        <f t="shared" si="22"/>
        <v>TC</v>
      </c>
      <c r="BH169" s="733" t="str">
        <f t="shared" si="23"/>
        <v>TUCUMÁN</v>
      </c>
      <c r="BI169" s="731">
        <v>205</v>
      </c>
      <c r="BJ169" s="731">
        <v>172</v>
      </c>
      <c r="BK169" s="731">
        <v>160</v>
      </c>
      <c r="BL169" s="731">
        <v>62</v>
      </c>
      <c r="BM169" s="731">
        <v>27</v>
      </c>
      <c r="BN169" s="731">
        <v>16</v>
      </c>
      <c r="BO169" s="731">
        <v>12</v>
      </c>
      <c r="BP169" s="731">
        <v>10</v>
      </c>
      <c r="BQ169" s="731">
        <v>17</v>
      </c>
      <c r="BR169" s="731">
        <v>68</v>
      </c>
      <c r="BS169" s="731">
        <v>103</v>
      </c>
      <c r="BT169" s="731">
        <v>145</v>
      </c>
    </row>
    <row r="170" spans="2:72">
      <c r="B170" s="734" t="s">
        <v>200</v>
      </c>
      <c r="C170" s="733" t="s">
        <v>201</v>
      </c>
      <c r="D170" s="539">
        <v>26.88</v>
      </c>
      <c r="E170" s="539">
        <v>65.38</v>
      </c>
      <c r="F170" s="539">
        <v>1388</v>
      </c>
      <c r="G170" s="539" t="s">
        <v>78</v>
      </c>
      <c r="H170" s="539">
        <v>1</v>
      </c>
      <c r="I170" s="539">
        <v>10.3</v>
      </c>
      <c r="J170" s="539">
        <v>18.600000000000001</v>
      </c>
      <c r="K170" s="539">
        <v>26.9</v>
      </c>
      <c r="L170" s="539">
        <v>79</v>
      </c>
      <c r="M170" s="539">
        <v>67</v>
      </c>
      <c r="N170" s="539">
        <v>79</v>
      </c>
      <c r="O170" s="539">
        <v>30</v>
      </c>
      <c r="P170" s="539">
        <v>237</v>
      </c>
      <c r="Q170" s="734">
        <v>2</v>
      </c>
      <c r="R170" s="539">
        <v>19</v>
      </c>
      <c r="S170" s="734">
        <v>0.47</v>
      </c>
      <c r="T170" s="734">
        <v>14.6</v>
      </c>
      <c r="U170" s="734">
        <v>11.5</v>
      </c>
      <c r="V170" s="734">
        <v>94</v>
      </c>
      <c r="W170" s="734">
        <v>85</v>
      </c>
      <c r="X170" s="734">
        <v>8.0000000000000002E-3</v>
      </c>
      <c r="Y170" s="734">
        <v>1.2E-2</v>
      </c>
      <c r="Z170" s="547">
        <v>145</v>
      </c>
      <c r="AA170" s="547">
        <f t="shared" si="18"/>
        <v>1.45</v>
      </c>
      <c r="AB170" s="734">
        <v>30</v>
      </c>
      <c r="AC170" s="538"/>
      <c r="AD170" s="733" t="str">
        <f t="shared" si="20"/>
        <v>VILLA NOGUES</v>
      </c>
      <c r="AE170" s="737">
        <v>21.9</v>
      </c>
      <c r="AF170" s="737">
        <v>20.9</v>
      </c>
      <c r="AG170" s="737">
        <v>19.5</v>
      </c>
      <c r="AH170" s="737">
        <v>16</v>
      </c>
      <c r="AI170" s="737">
        <v>13.5</v>
      </c>
      <c r="AJ170" s="737">
        <v>10.7</v>
      </c>
      <c r="AK170" s="737">
        <v>11.5</v>
      </c>
      <c r="AL170" s="737">
        <v>13.4</v>
      </c>
      <c r="AM170" s="737">
        <v>15.6</v>
      </c>
      <c r="AN170" s="737">
        <v>17.600000000000001</v>
      </c>
      <c r="AO170" s="737">
        <v>20</v>
      </c>
      <c r="AP170" s="737">
        <v>22.2</v>
      </c>
      <c r="AQ170" s="538"/>
      <c r="AR170" s="733" t="str">
        <f t="shared" si="19"/>
        <v>TC</v>
      </c>
      <c r="AS170" s="733" t="str">
        <f t="shared" si="21"/>
        <v>VILLA NOGUES</v>
      </c>
      <c r="AT170" s="731">
        <v>5</v>
      </c>
      <c r="AU170" s="731">
        <v>5.5</v>
      </c>
      <c r="AV170" s="731">
        <v>4</v>
      </c>
      <c r="AW170" s="731">
        <v>4</v>
      </c>
      <c r="AX170" s="731">
        <v>3</v>
      </c>
      <c r="AY170" s="731">
        <v>2.5</v>
      </c>
      <c r="AZ170" s="731">
        <v>3</v>
      </c>
      <c r="BA170" s="731">
        <v>3</v>
      </c>
      <c r="BB170" s="731">
        <v>4</v>
      </c>
      <c r="BC170" s="731">
        <v>5</v>
      </c>
      <c r="BD170" s="731">
        <v>5</v>
      </c>
      <c r="BE170" s="731">
        <v>6</v>
      </c>
      <c r="BG170" s="733" t="str">
        <f t="shared" si="22"/>
        <v>TC</v>
      </c>
      <c r="BH170" s="733" t="str">
        <f t="shared" si="23"/>
        <v>VILLA NOGUES</v>
      </c>
      <c r="BI170" s="731">
        <v>205</v>
      </c>
      <c r="BJ170" s="731">
        <v>172</v>
      </c>
      <c r="BK170" s="731">
        <v>160</v>
      </c>
      <c r="BL170" s="731">
        <v>62</v>
      </c>
      <c r="BM170" s="731">
        <v>27</v>
      </c>
      <c r="BN170" s="731">
        <v>16</v>
      </c>
      <c r="BO170" s="731">
        <v>12</v>
      </c>
      <c r="BP170" s="731">
        <v>10</v>
      </c>
      <c r="BQ170" s="731">
        <v>17</v>
      </c>
      <c r="BR170" s="731">
        <v>68</v>
      </c>
      <c r="BS170" s="731">
        <v>103</v>
      </c>
      <c r="BT170" s="731">
        <v>145</v>
      </c>
    </row>
    <row r="171" spans="2:72">
      <c r="B171" s="734" t="s">
        <v>202</v>
      </c>
      <c r="C171" s="733" t="s">
        <v>203</v>
      </c>
      <c r="D171" s="539">
        <v>63.4</v>
      </c>
      <c r="E171" s="539">
        <v>56.98</v>
      </c>
      <c r="F171" s="539">
        <v>8</v>
      </c>
      <c r="G171" s="539" t="s">
        <v>108</v>
      </c>
      <c r="H171" s="539">
        <v>-23.9</v>
      </c>
      <c r="I171" s="539">
        <v>-11.4</v>
      </c>
      <c r="J171" s="539">
        <v>-0.1</v>
      </c>
      <c r="K171" s="539">
        <v>6.4</v>
      </c>
      <c r="L171" s="539">
        <v>83</v>
      </c>
      <c r="M171" s="539">
        <v>80</v>
      </c>
      <c r="N171" s="539">
        <v>83</v>
      </c>
      <c r="O171" s="539">
        <v>61</v>
      </c>
      <c r="P171" s="539">
        <v>58</v>
      </c>
      <c r="Q171" s="734">
        <v>6</v>
      </c>
      <c r="R171" s="539">
        <v>-0.4</v>
      </c>
      <c r="S171" s="734">
        <v>0.47</v>
      </c>
      <c r="T171" s="734">
        <v>115.7</v>
      </c>
      <c r="U171" s="734">
        <v>0</v>
      </c>
      <c r="V171" s="734">
        <v>253</v>
      </c>
      <c r="W171" s="734">
        <v>0</v>
      </c>
      <c r="X171" s="734">
        <v>2.8000000000000001E-2</v>
      </c>
      <c r="Y171" s="734">
        <v>0</v>
      </c>
      <c r="Z171" s="547">
        <v>95</v>
      </c>
      <c r="AA171" s="547">
        <f t="shared" si="18"/>
        <v>0.95000000000000007</v>
      </c>
      <c r="AB171" s="734">
        <v>55</v>
      </c>
      <c r="AC171" s="538"/>
      <c r="AD171" s="733" t="str">
        <f t="shared" si="20"/>
        <v>BASE ESPERANZA</v>
      </c>
      <c r="AE171" s="737">
        <v>1.55</v>
      </c>
      <c r="AF171" s="737">
        <v>-0.15</v>
      </c>
      <c r="AG171" s="737">
        <v>-3</v>
      </c>
      <c r="AH171" s="737">
        <v>-7.25</v>
      </c>
      <c r="AI171" s="737">
        <v>-9.5</v>
      </c>
      <c r="AJ171" s="737">
        <v>-10.85</v>
      </c>
      <c r="AK171" s="737">
        <v>-10.7</v>
      </c>
      <c r="AL171" s="737">
        <v>-10.35</v>
      </c>
      <c r="AM171" s="737">
        <v>-6.9</v>
      </c>
      <c r="AN171" s="737">
        <v>-3.5</v>
      </c>
      <c r="AO171" s="737">
        <v>-2.95</v>
      </c>
      <c r="AP171" s="737">
        <v>0.55000000000000004</v>
      </c>
      <c r="AQ171" s="538"/>
      <c r="AR171" s="733" t="str">
        <f t="shared" si="19"/>
        <v>TF</v>
      </c>
      <c r="AS171" s="733" t="str">
        <f t="shared" si="21"/>
        <v>BASE ESPERANZA</v>
      </c>
      <c r="AT171" s="731">
        <v>5.5</v>
      </c>
      <c r="AU171" s="731">
        <v>4.5</v>
      </c>
      <c r="AV171" s="731">
        <v>2.5</v>
      </c>
      <c r="AW171" s="731">
        <v>1.5</v>
      </c>
      <c r="AX171" s="731">
        <v>0.5</v>
      </c>
      <c r="AY171" s="731">
        <v>0.15</v>
      </c>
      <c r="AZ171" s="731">
        <v>0.5</v>
      </c>
      <c r="BA171" s="731">
        <v>1</v>
      </c>
      <c r="BB171" s="731">
        <v>2.5</v>
      </c>
      <c r="BC171" s="731">
        <v>4</v>
      </c>
      <c r="BD171" s="731">
        <v>5</v>
      </c>
      <c r="BE171" s="731">
        <v>5.5</v>
      </c>
      <c r="BG171" s="733" t="str">
        <f t="shared" si="22"/>
        <v>TF</v>
      </c>
      <c r="BH171" s="733" t="str">
        <f t="shared" si="23"/>
        <v>BASE ESPERANZA</v>
      </c>
      <c r="BI171" s="731">
        <v>55</v>
      </c>
      <c r="BJ171" s="731">
        <v>50</v>
      </c>
      <c r="BK171" s="731">
        <v>54</v>
      </c>
      <c r="BL171" s="731">
        <v>54</v>
      </c>
      <c r="BM171" s="731">
        <v>53</v>
      </c>
      <c r="BN171" s="731">
        <v>51</v>
      </c>
      <c r="BO171" s="731">
        <v>45</v>
      </c>
      <c r="BP171" s="731">
        <v>47</v>
      </c>
      <c r="BQ171" s="731">
        <v>37</v>
      </c>
      <c r="BR171" s="731">
        <v>37</v>
      </c>
      <c r="BS171" s="731">
        <v>48</v>
      </c>
      <c r="BT171" s="731">
        <v>47</v>
      </c>
    </row>
    <row r="172" spans="2:72">
      <c r="B172" s="734" t="s">
        <v>202</v>
      </c>
      <c r="C172" s="733" t="s">
        <v>204</v>
      </c>
      <c r="D172" s="539">
        <v>60.73</v>
      </c>
      <c r="E172" s="539">
        <v>44.73</v>
      </c>
      <c r="F172" s="539">
        <v>4</v>
      </c>
      <c r="G172" s="539" t="s">
        <v>108</v>
      </c>
      <c r="H172" s="539">
        <v>-23.4</v>
      </c>
      <c r="I172" s="539">
        <v>-8.8000000000000007</v>
      </c>
      <c r="J172" s="539">
        <v>0.4</v>
      </c>
      <c r="K172" s="539">
        <v>6</v>
      </c>
      <c r="L172" s="539">
        <v>87</v>
      </c>
      <c r="M172" s="539">
        <v>86</v>
      </c>
      <c r="N172" s="539">
        <v>87</v>
      </c>
      <c r="O172" s="539">
        <v>57</v>
      </c>
      <c r="P172" s="539">
        <v>69</v>
      </c>
      <c r="Q172" s="734">
        <v>6</v>
      </c>
      <c r="R172" s="539">
        <v>0.1</v>
      </c>
      <c r="S172" s="734">
        <v>0.47</v>
      </c>
      <c r="T172" s="734">
        <v>115.7</v>
      </c>
      <c r="U172" s="734">
        <v>0</v>
      </c>
      <c r="V172" s="734">
        <v>253</v>
      </c>
      <c r="W172" s="734">
        <v>0</v>
      </c>
      <c r="X172" s="734">
        <v>2.8000000000000001E-2</v>
      </c>
      <c r="Y172" s="734">
        <v>0</v>
      </c>
      <c r="Z172" s="547">
        <v>95</v>
      </c>
      <c r="AA172" s="547">
        <f t="shared" si="18"/>
        <v>0.95000000000000007</v>
      </c>
      <c r="AB172" s="734">
        <v>55</v>
      </c>
      <c r="AC172" s="538"/>
      <c r="AD172" s="733" t="str">
        <f t="shared" si="20"/>
        <v>ISLAS ORCADAS</v>
      </c>
      <c r="AE172" s="737">
        <v>10.199999999999999</v>
      </c>
      <c r="AF172" s="737">
        <v>9.8000000000000007</v>
      </c>
      <c r="AG172" s="737">
        <v>8.1</v>
      </c>
      <c r="AH172" s="737">
        <v>5.4</v>
      </c>
      <c r="AI172" s="737">
        <v>2</v>
      </c>
      <c r="AJ172" s="737">
        <v>0.8</v>
      </c>
      <c r="AK172" s="737">
        <v>0.8</v>
      </c>
      <c r="AL172" s="737">
        <v>1.7</v>
      </c>
      <c r="AM172" s="737">
        <v>3.7</v>
      </c>
      <c r="AN172" s="737">
        <v>6.3</v>
      </c>
      <c r="AO172" s="737">
        <v>7.2</v>
      </c>
      <c r="AP172" s="737">
        <v>9.9</v>
      </c>
      <c r="AQ172" s="538"/>
      <c r="AR172" s="733" t="str">
        <f t="shared" si="19"/>
        <v>TF</v>
      </c>
      <c r="AS172" s="733" t="str">
        <f t="shared" si="21"/>
        <v>ISLAS ORCADAS</v>
      </c>
      <c r="AT172" s="731">
        <v>5.5</v>
      </c>
      <c r="AU172" s="731">
        <v>4.5</v>
      </c>
      <c r="AV172" s="731">
        <v>2.5</v>
      </c>
      <c r="AW172" s="731">
        <v>1.5</v>
      </c>
      <c r="AX172" s="731">
        <v>0.5</v>
      </c>
      <c r="AY172" s="731">
        <v>0.15</v>
      </c>
      <c r="AZ172" s="731">
        <v>0.5</v>
      </c>
      <c r="BA172" s="731">
        <v>1</v>
      </c>
      <c r="BB172" s="731">
        <v>2.5</v>
      </c>
      <c r="BC172" s="731">
        <v>4</v>
      </c>
      <c r="BD172" s="731">
        <v>5</v>
      </c>
      <c r="BE172" s="731">
        <v>5.5</v>
      </c>
      <c r="BG172" s="733" t="str">
        <f t="shared" si="22"/>
        <v>TF</v>
      </c>
      <c r="BH172" s="733" t="str">
        <f t="shared" si="23"/>
        <v>ISLAS ORCADAS</v>
      </c>
      <c r="BI172" s="731">
        <v>55</v>
      </c>
      <c r="BJ172" s="731">
        <v>50</v>
      </c>
      <c r="BK172" s="731">
        <v>54</v>
      </c>
      <c r="BL172" s="731">
        <v>54</v>
      </c>
      <c r="BM172" s="731">
        <v>53</v>
      </c>
      <c r="BN172" s="731">
        <v>51</v>
      </c>
      <c r="BO172" s="731">
        <v>45</v>
      </c>
      <c r="BP172" s="731">
        <v>47</v>
      </c>
      <c r="BQ172" s="731">
        <v>37</v>
      </c>
      <c r="BR172" s="731">
        <v>37</v>
      </c>
      <c r="BS172" s="731">
        <v>48</v>
      </c>
      <c r="BT172" s="731">
        <v>47</v>
      </c>
    </row>
    <row r="173" spans="2:72">
      <c r="B173" s="734" t="s">
        <v>202</v>
      </c>
      <c r="C173" s="733" t="s">
        <v>205</v>
      </c>
      <c r="D173" s="539">
        <v>54.8</v>
      </c>
      <c r="E173" s="539">
        <v>68.319999999999993</v>
      </c>
      <c r="F173" s="539">
        <v>14</v>
      </c>
      <c r="G173" s="539" t="s">
        <v>108</v>
      </c>
      <c r="H173" s="539">
        <v>-6.7</v>
      </c>
      <c r="I173" s="539">
        <v>1.9</v>
      </c>
      <c r="J173" s="539">
        <v>9.1</v>
      </c>
      <c r="K173" s="539">
        <v>16.899999999999999</v>
      </c>
      <c r="L173" s="539">
        <v>72</v>
      </c>
      <c r="M173" s="539">
        <v>78</v>
      </c>
      <c r="N173" s="539">
        <v>72</v>
      </c>
      <c r="O173" s="539">
        <v>39</v>
      </c>
      <c r="P173" s="539">
        <v>52</v>
      </c>
      <c r="Q173" s="734">
        <v>6</v>
      </c>
      <c r="R173" s="539">
        <v>8.8000000000000007</v>
      </c>
      <c r="S173" s="734">
        <v>0.47</v>
      </c>
      <c r="T173" s="734">
        <v>115.7</v>
      </c>
      <c r="U173" s="734">
        <v>0</v>
      </c>
      <c r="V173" s="734">
        <v>253</v>
      </c>
      <c r="W173" s="734">
        <v>0</v>
      </c>
      <c r="X173" s="734">
        <v>2.8000000000000001E-2</v>
      </c>
      <c r="Y173" s="734">
        <v>0</v>
      </c>
      <c r="Z173" s="547">
        <v>95</v>
      </c>
      <c r="AA173" s="547">
        <f t="shared" si="18"/>
        <v>0.95000000000000007</v>
      </c>
      <c r="AB173" s="734">
        <v>55</v>
      </c>
      <c r="AC173" s="538"/>
      <c r="AD173" s="733" t="str">
        <f t="shared" si="20"/>
        <v>USHUAIA</v>
      </c>
      <c r="AE173" s="541">
        <v>9.3000000000000007</v>
      </c>
      <c r="AF173" s="541">
        <v>9.1999999999999993</v>
      </c>
      <c r="AG173" s="541">
        <v>7.6</v>
      </c>
      <c r="AH173" s="541">
        <v>5.5</v>
      </c>
      <c r="AI173" s="541">
        <v>3.2</v>
      </c>
      <c r="AJ173" s="541">
        <v>1.9</v>
      </c>
      <c r="AK173" s="541">
        <v>1.7</v>
      </c>
      <c r="AL173" s="541">
        <v>2.2000000000000002</v>
      </c>
      <c r="AM173" s="541">
        <v>4</v>
      </c>
      <c r="AN173" s="541">
        <v>6</v>
      </c>
      <c r="AO173" s="541">
        <v>7.6</v>
      </c>
      <c r="AP173" s="737">
        <v>8</v>
      </c>
      <c r="AQ173" s="538"/>
      <c r="AR173" s="733" t="str">
        <f t="shared" si="19"/>
        <v>TF</v>
      </c>
      <c r="AS173" s="733" t="str">
        <f t="shared" si="21"/>
        <v>USHUAIA</v>
      </c>
      <c r="AT173" s="731">
        <v>5.5</v>
      </c>
      <c r="AU173" s="731">
        <v>4.5</v>
      </c>
      <c r="AV173" s="731">
        <v>2.5</v>
      </c>
      <c r="AW173" s="731">
        <v>1.5</v>
      </c>
      <c r="AX173" s="731">
        <v>0.5</v>
      </c>
      <c r="AY173" s="731">
        <v>0.15</v>
      </c>
      <c r="AZ173" s="731">
        <v>0.5</v>
      </c>
      <c r="BA173" s="731">
        <v>1</v>
      </c>
      <c r="BB173" s="731">
        <v>2.5</v>
      </c>
      <c r="BC173" s="731">
        <v>4</v>
      </c>
      <c r="BD173" s="731">
        <v>5</v>
      </c>
      <c r="BE173" s="731">
        <v>5.5</v>
      </c>
      <c r="BG173" s="733" t="str">
        <f t="shared" si="22"/>
        <v>TF</v>
      </c>
      <c r="BH173" s="733" t="str">
        <f t="shared" si="23"/>
        <v>USHUAIA</v>
      </c>
      <c r="BI173" s="731">
        <v>55</v>
      </c>
      <c r="BJ173" s="731">
        <v>50</v>
      </c>
      <c r="BK173" s="731">
        <v>54</v>
      </c>
      <c r="BL173" s="731">
        <v>54</v>
      </c>
      <c r="BM173" s="731">
        <v>53</v>
      </c>
      <c r="BN173" s="731">
        <v>51</v>
      </c>
      <c r="BO173" s="731">
        <v>45</v>
      </c>
      <c r="BP173" s="731">
        <v>47</v>
      </c>
      <c r="BQ173" s="731">
        <v>37</v>
      </c>
      <c r="BR173" s="731">
        <v>37</v>
      </c>
      <c r="BS173" s="731">
        <v>48</v>
      </c>
      <c r="BT173" s="731">
        <v>47</v>
      </c>
    </row>
    <row r="174" spans="2:72">
      <c r="B174" s="734" t="s">
        <v>202</v>
      </c>
      <c r="C174" s="733" t="s">
        <v>206</v>
      </c>
      <c r="D174" s="539">
        <v>53</v>
      </c>
      <c r="E174" s="539">
        <v>65.38</v>
      </c>
      <c r="F174" s="539">
        <v>20</v>
      </c>
      <c r="G174" s="539" t="s">
        <v>108</v>
      </c>
      <c r="H174" s="539">
        <v>1</v>
      </c>
      <c r="I174" s="539">
        <v>1.9</v>
      </c>
      <c r="J174" s="539">
        <v>9.1</v>
      </c>
      <c r="K174" s="539">
        <v>16.899999999999999</v>
      </c>
      <c r="L174" s="539">
        <v>72</v>
      </c>
      <c r="M174" s="539">
        <v>78</v>
      </c>
      <c r="N174" s="539">
        <v>72</v>
      </c>
      <c r="O174" s="539">
        <v>39</v>
      </c>
      <c r="P174" s="539">
        <v>52</v>
      </c>
      <c r="Q174" s="734">
        <v>6</v>
      </c>
      <c r="R174" s="539">
        <v>8.8000000000000007</v>
      </c>
      <c r="S174" s="734">
        <v>0.47</v>
      </c>
      <c r="T174" s="734">
        <v>115.7</v>
      </c>
      <c r="U174" s="734">
        <v>0</v>
      </c>
      <c r="V174" s="734">
        <v>253</v>
      </c>
      <c r="W174" s="734">
        <v>0</v>
      </c>
      <c r="X174" s="734">
        <v>2.8000000000000001E-2</v>
      </c>
      <c r="Y174" s="734">
        <v>0</v>
      </c>
      <c r="Z174" s="547">
        <v>95</v>
      </c>
      <c r="AA174" s="547">
        <f t="shared" si="18"/>
        <v>0.95000000000000007</v>
      </c>
      <c r="AB174" s="734">
        <v>55</v>
      </c>
      <c r="AC174" s="538"/>
      <c r="AD174" s="733" t="str">
        <f t="shared" si="20"/>
        <v>RIO GRANDE</v>
      </c>
      <c r="AE174" s="541">
        <v>11</v>
      </c>
      <c r="AF174" s="541">
        <v>10.1</v>
      </c>
      <c r="AG174" s="541">
        <v>8</v>
      </c>
      <c r="AH174" s="541">
        <v>5.2</v>
      </c>
      <c r="AI174" s="541">
        <v>2.5</v>
      </c>
      <c r="AJ174" s="541">
        <v>0</v>
      </c>
      <c r="AK174" s="541">
        <v>-0.2</v>
      </c>
      <c r="AL174" s="541">
        <v>1.2</v>
      </c>
      <c r="AM174" s="541">
        <v>3.4</v>
      </c>
      <c r="AN174" s="541">
        <v>6.3</v>
      </c>
      <c r="AO174" s="541">
        <v>8.6</v>
      </c>
      <c r="AP174" s="541">
        <v>10.1</v>
      </c>
      <c r="AQ174" s="538"/>
      <c r="AR174" s="733" t="str">
        <f t="shared" si="19"/>
        <v>TF</v>
      </c>
      <c r="AS174" s="733" t="str">
        <f t="shared" si="21"/>
        <v>RIO GRANDE</v>
      </c>
      <c r="AT174" s="731">
        <v>5.5</v>
      </c>
      <c r="AU174" s="731">
        <v>4.5</v>
      </c>
      <c r="AV174" s="731">
        <v>2.5</v>
      </c>
      <c r="AW174" s="731">
        <v>1.5</v>
      </c>
      <c r="AX174" s="731">
        <v>0.5</v>
      </c>
      <c r="AY174" s="731">
        <v>0.15</v>
      </c>
      <c r="AZ174" s="731">
        <v>0.5</v>
      </c>
      <c r="BA174" s="731">
        <v>1</v>
      </c>
      <c r="BB174" s="731">
        <v>2.5</v>
      </c>
      <c r="BC174" s="731">
        <v>4</v>
      </c>
      <c r="BD174" s="731">
        <v>5</v>
      </c>
      <c r="BE174" s="731">
        <v>5.5</v>
      </c>
      <c r="BG174" s="733" t="str">
        <f t="shared" si="22"/>
        <v>TF</v>
      </c>
      <c r="BH174" s="733" t="str">
        <f t="shared" si="23"/>
        <v>RIO GRANDE</v>
      </c>
      <c r="BI174" s="731">
        <v>55</v>
      </c>
      <c r="BJ174" s="731">
        <v>50</v>
      </c>
      <c r="BK174" s="731">
        <v>54</v>
      </c>
      <c r="BL174" s="731">
        <v>54</v>
      </c>
      <c r="BM174" s="731">
        <v>53</v>
      </c>
      <c r="BN174" s="731">
        <v>51</v>
      </c>
      <c r="BO174" s="731">
        <v>45</v>
      </c>
      <c r="BP174" s="731">
        <v>47</v>
      </c>
      <c r="BQ174" s="731">
        <v>37</v>
      </c>
      <c r="BR174" s="731">
        <v>37</v>
      </c>
      <c r="BS174" s="731">
        <v>48</v>
      </c>
      <c r="BT174" s="731">
        <v>47</v>
      </c>
    </row>
    <row r="175" spans="2:72">
      <c r="B175" s="734" t="s">
        <v>27</v>
      </c>
      <c r="C175" s="733" t="s">
        <v>1036</v>
      </c>
      <c r="D175" s="539">
        <v>37.53</v>
      </c>
      <c r="E175" s="539">
        <v>59.57</v>
      </c>
      <c r="F175" s="539">
        <v>233</v>
      </c>
      <c r="G175" s="539" t="s">
        <v>38</v>
      </c>
      <c r="H175" s="539">
        <v>-3.2</v>
      </c>
      <c r="I175" s="734">
        <v>10.199999999999999</v>
      </c>
      <c r="J175" s="735">
        <v>22.3</v>
      </c>
      <c r="K175" s="539">
        <v>30.8</v>
      </c>
      <c r="L175" s="539">
        <v>65</v>
      </c>
      <c r="M175" s="539">
        <v>83</v>
      </c>
      <c r="N175" s="539">
        <v>65</v>
      </c>
      <c r="O175" s="545">
        <v>67</v>
      </c>
      <c r="P175" s="545">
        <v>89</v>
      </c>
      <c r="Q175" s="734">
        <v>4</v>
      </c>
      <c r="R175" s="539">
        <v>19.100000000000001</v>
      </c>
      <c r="S175" s="734">
        <v>0.53</v>
      </c>
      <c r="T175" s="734">
        <v>35.799999999999997</v>
      </c>
      <c r="U175" s="734">
        <v>6</v>
      </c>
      <c r="V175" s="734">
        <v>185</v>
      </c>
      <c r="W175" s="734">
        <v>41</v>
      </c>
      <c r="X175" s="734">
        <v>1.4E-2</v>
      </c>
      <c r="Y175" s="734">
        <v>1.9E-2</v>
      </c>
      <c r="Z175" s="731">
        <v>130</v>
      </c>
      <c r="AA175" s="547">
        <f t="shared" si="18"/>
        <v>1.3</v>
      </c>
      <c r="AB175" s="734">
        <v>35</v>
      </c>
      <c r="AC175" s="538"/>
      <c r="AD175" s="733" t="str">
        <f t="shared" si="20"/>
        <v>LOS HORNOS</v>
      </c>
      <c r="AE175" s="737">
        <v>21.2</v>
      </c>
      <c r="AF175" s="737">
        <v>21</v>
      </c>
      <c r="AG175" s="737">
        <v>19.3</v>
      </c>
      <c r="AH175" s="737">
        <v>16.8</v>
      </c>
      <c r="AI175" s="737">
        <v>14.5</v>
      </c>
      <c r="AJ175" s="737">
        <v>12.6</v>
      </c>
      <c r="AK175" s="737">
        <v>12.6</v>
      </c>
      <c r="AL175" s="737">
        <v>13</v>
      </c>
      <c r="AM175" s="737">
        <v>14.4</v>
      </c>
      <c r="AN175" s="737">
        <v>16.3</v>
      </c>
      <c r="AO175" s="737">
        <v>18.600000000000001</v>
      </c>
      <c r="AP175" s="737">
        <v>20.3</v>
      </c>
      <c r="AQ175" s="538"/>
      <c r="AR175" s="733" t="str">
        <f t="shared" si="19"/>
        <v>BAP</v>
      </c>
      <c r="AS175" s="733" t="str">
        <f t="shared" si="21"/>
        <v>LOS HORNOS</v>
      </c>
      <c r="AT175" s="731">
        <v>6.5</v>
      </c>
      <c r="AU175" s="731">
        <v>6</v>
      </c>
      <c r="AV175" s="731">
        <v>4.5</v>
      </c>
      <c r="AW175" s="731">
        <v>3</v>
      </c>
      <c r="AX175" s="731">
        <v>2.5</v>
      </c>
      <c r="AY175" s="731">
        <v>1.5</v>
      </c>
      <c r="AZ175" s="731">
        <v>2</v>
      </c>
      <c r="BA175" s="731">
        <v>3</v>
      </c>
      <c r="BB175" s="731">
        <v>3.5</v>
      </c>
      <c r="BC175" s="731">
        <v>5</v>
      </c>
      <c r="BD175" s="731">
        <v>6</v>
      </c>
      <c r="BE175" s="731">
        <v>6.5</v>
      </c>
      <c r="BG175" s="733" t="str">
        <f t="shared" si="22"/>
        <v>BAP</v>
      </c>
      <c r="BH175" s="733" t="str">
        <f t="shared" si="23"/>
        <v>LOS HORNOS</v>
      </c>
      <c r="BI175" s="731">
        <v>104</v>
      </c>
      <c r="BJ175" s="731">
        <v>98</v>
      </c>
      <c r="BK175" s="731">
        <v>115</v>
      </c>
      <c r="BL175" s="731">
        <v>97</v>
      </c>
      <c r="BM175" s="731">
        <v>80</v>
      </c>
      <c r="BN175" s="731">
        <v>61</v>
      </c>
      <c r="BO175" s="731">
        <v>59</v>
      </c>
      <c r="BP175" s="731">
        <v>63</v>
      </c>
      <c r="BQ175" s="731">
        <v>68</v>
      </c>
      <c r="BR175" s="731">
        <v>104</v>
      </c>
      <c r="BS175" s="731">
        <v>98</v>
      </c>
      <c r="BT175" s="731">
        <v>93</v>
      </c>
    </row>
    <row r="176" spans="2:72">
      <c r="B176" s="734" t="s">
        <v>27</v>
      </c>
      <c r="C176" s="733" t="s">
        <v>1037</v>
      </c>
      <c r="D176" s="539">
        <v>37.53</v>
      </c>
      <c r="E176" s="539">
        <v>59.57</v>
      </c>
      <c r="F176" s="539">
        <v>233</v>
      </c>
      <c r="G176" s="539" t="s">
        <v>38</v>
      </c>
      <c r="H176" s="539">
        <v>-3.2</v>
      </c>
      <c r="I176" s="734">
        <v>10.199999999999999</v>
      </c>
      <c r="J176" s="735">
        <v>22</v>
      </c>
      <c r="K176" s="539">
        <v>30.8</v>
      </c>
      <c r="L176" s="539">
        <v>65</v>
      </c>
      <c r="M176" s="539">
        <v>83</v>
      </c>
      <c r="N176" s="539">
        <v>65</v>
      </c>
      <c r="O176" s="545">
        <v>63</v>
      </c>
      <c r="P176" s="545">
        <v>86</v>
      </c>
      <c r="Q176" s="734">
        <v>4</v>
      </c>
      <c r="R176" s="539">
        <v>19.100000000000001</v>
      </c>
      <c r="S176" s="734">
        <v>0.53</v>
      </c>
      <c r="T176" s="734">
        <v>35.799999999999997</v>
      </c>
      <c r="U176" s="734">
        <v>6</v>
      </c>
      <c r="V176" s="734">
        <v>185</v>
      </c>
      <c r="W176" s="734">
        <v>41</v>
      </c>
      <c r="X176" s="734">
        <v>1.4E-2</v>
      </c>
      <c r="Y176" s="734">
        <v>1.9E-2</v>
      </c>
      <c r="Z176" s="731">
        <v>130</v>
      </c>
      <c r="AA176" s="547">
        <f t="shared" si="18"/>
        <v>1.3</v>
      </c>
      <c r="AB176" s="734">
        <v>35</v>
      </c>
      <c r="AC176" s="538"/>
      <c r="AD176" s="733" t="str">
        <f t="shared" si="20"/>
        <v>PARQUE PEREYRA</v>
      </c>
      <c r="AE176" s="737">
        <v>23.4</v>
      </c>
      <c r="AF176" s="737">
        <v>22.4</v>
      </c>
      <c r="AG176" s="737">
        <v>20.5</v>
      </c>
      <c r="AH176" s="737">
        <v>16.399999999999999</v>
      </c>
      <c r="AI176" s="737">
        <v>13.3</v>
      </c>
      <c r="AJ176" s="737">
        <v>10.8</v>
      </c>
      <c r="AK176" s="737">
        <v>10.3</v>
      </c>
      <c r="AL176" s="737">
        <v>11.4</v>
      </c>
      <c r="AM176" s="737">
        <v>13.2</v>
      </c>
      <c r="AN176" s="737">
        <v>16.100000000000001</v>
      </c>
      <c r="AO176" s="737">
        <v>19</v>
      </c>
      <c r="AP176" s="737">
        <v>21.5</v>
      </c>
      <c r="AQ176" s="538"/>
      <c r="AR176" s="733" t="str">
        <f t="shared" si="19"/>
        <v>BAP</v>
      </c>
      <c r="AS176" s="733" t="str">
        <f t="shared" si="21"/>
        <v>PARQUE PEREYRA</v>
      </c>
      <c r="AT176" s="731">
        <v>6.5</v>
      </c>
      <c r="AU176" s="731">
        <v>6</v>
      </c>
      <c r="AV176" s="731">
        <v>4.5</v>
      </c>
      <c r="AW176" s="731">
        <v>3</v>
      </c>
      <c r="AX176" s="731">
        <v>2.5</v>
      </c>
      <c r="AY176" s="731">
        <v>1.5</v>
      </c>
      <c r="AZ176" s="731">
        <v>2</v>
      </c>
      <c r="BA176" s="731">
        <v>3</v>
      </c>
      <c r="BB176" s="731">
        <v>4</v>
      </c>
      <c r="BC176" s="731">
        <v>5</v>
      </c>
      <c r="BD176" s="731">
        <v>6</v>
      </c>
      <c r="BE176" s="731">
        <v>6.5</v>
      </c>
      <c r="BG176" s="733" t="str">
        <f t="shared" si="22"/>
        <v>BAP</v>
      </c>
      <c r="BH176" s="733" t="str">
        <f t="shared" si="23"/>
        <v>PARQUE PEREYRA</v>
      </c>
      <c r="BI176" s="731">
        <v>104</v>
      </c>
      <c r="BJ176" s="731">
        <v>98</v>
      </c>
      <c r="BK176" s="731">
        <v>115</v>
      </c>
      <c r="BL176" s="731">
        <v>97</v>
      </c>
      <c r="BM176" s="731">
        <v>80</v>
      </c>
      <c r="BN176" s="731">
        <v>61</v>
      </c>
      <c r="BO176" s="731">
        <v>59</v>
      </c>
      <c r="BP176" s="731">
        <v>63</v>
      </c>
      <c r="BQ176" s="731">
        <v>68</v>
      </c>
      <c r="BR176" s="731">
        <v>104</v>
      </c>
      <c r="BS176" s="731">
        <v>98</v>
      </c>
      <c r="BT176" s="731">
        <v>93</v>
      </c>
    </row>
    <row r="177" spans="2:72">
      <c r="B177" s="734" t="s">
        <v>104</v>
      </c>
      <c r="C177" s="733" t="s">
        <v>1038</v>
      </c>
      <c r="D177" s="539">
        <v>42.9</v>
      </c>
      <c r="E177" s="539">
        <v>71.37</v>
      </c>
      <c r="F177" s="539">
        <v>785</v>
      </c>
      <c r="G177" s="539" t="s">
        <v>108</v>
      </c>
      <c r="H177" s="539">
        <v>-12.4</v>
      </c>
      <c r="I177" s="734">
        <v>7.2</v>
      </c>
      <c r="J177" s="735">
        <v>16.2</v>
      </c>
      <c r="K177" s="539">
        <v>23.5</v>
      </c>
      <c r="L177" s="539">
        <v>51</v>
      </c>
      <c r="M177" s="539">
        <v>76</v>
      </c>
      <c r="N177" s="539">
        <v>51</v>
      </c>
      <c r="O177" s="545">
        <v>19</v>
      </c>
      <c r="P177" s="545">
        <v>11</v>
      </c>
      <c r="Q177" s="734">
        <v>6</v>
      </c>
      <c r="R177" s="539">
        <v>12.8</v>
      </c>
      <c r="S177" s="734">
        <v>0.51</v>
      </c>
      <c r="T177" s="734">
        <v>48.8</v>
      </c>
      <c r="U177" s="734">
        <v>1.2</v>
      </c>
      <c r="V177" s="734">
        <v>276</v>
      </c>
      <c r="W177" s="734">
        <v>35</v>
      </c>
      <c r="X177" s="734">
        <v>2.1000000000000001E-2</v>
      </c>
      <c r="Y177" s="734">
        <v>0</v>
      </c>
      <c r="Z177" s="731">
        <v>115</v>
      </c>
      <c r="AA177" s="547">
        <f t="shared" si="18"/>
        <v>1.1500000000000001</v>
      </c>
      <c r="AB177" s="734">
        <v>40</v>
      </c>
      <c r="AC177" s="538"/>
      <c r="AD177" s="733" t="str">
        <f t="shared" si="20"/>
        <v>CABO RASO</v>
      </c>
      <c r="AE177" s="737">
        <v>18.8</v>
      </c>
      <c r="AF177" s="737">
        <v>19.100000000000001</v>
      </c>
      <c r="AG177" s="737">
        <v>16.899999999999999</v>
      </c>
      <c r="AH177" s="737">
        <v>12.7</v>
      </c>
      <c r="AI177" s="737">
        <v>10</v>
      </c>
      <c r="AJ177" s="737">
        <v>7.1</v>
      </c>
      <c r="AK177" s="737">
        <v>6.6</v>
      </c>
      <c r="AL177" s="737">
        <v>8.4</v>
      </c>
      <c r="AM177" s="737">
        <v>9.6999999999999993</v>
      </c>
      <c r="AN177" s="737">
        <v>12.8</v>
      </c>
      <c r="AO177" s="737">
        <v>16.2</v>
      </c>
      <c r="AP177" s="737">
        <v>17.600000000000001</v>
      </c>
      <c r="AQ177" s="538"/>
      <c r="AR177" s="733" t="str">
        <f t="shared" si="19"/>
        <v>CHB</v>
      </c>
      <c r="AS177" s="733" t="str">
        <f t="shared" si="21"/>
        <v>CABO RASO</v>
      </c>
      <c r="AT177" s="731">
        <v>7</v>
      </c>
      <c r="AU177" s="731">
        <v>5.5</v>
      </c>
      <c r="AV177" s="731">
        <v>4</v>
      </c>
      <c r="AW177" s="731">
        <v>2.5</v>
      </c>
      <c r="AX177" s="731">
        <v>1.5</v>
      </c>
      <c r="AY177" s="731">
        <v>1</v>
      </c>
      <c r="AZ177" s="731">
        <v>1</v>
      </c>
      <c r="BA177" s="731">
        <v>2</v>
      </c>
      <c r="BB177" s="731">
        <v>3.5</v>
      </c>
      <c r="BC177" s="731">
        <v>5</v>
      </c>
      <c r="BD177" s="731">
        <v>6</v>
      </c>
      <c r="BE177" s="731">
        <v>7</v>
      </c>
      <c r="BG177" s="733" t="str">
        <f t="shared" si="22"/>
        <v>CHB</v>
      </c>
      <c r="BH177" s="733" t="str">
        <f t="shared" si="23"/>
        <v>CABO RASO</v>
      </c>
      <c r="BI177" s="731">
        <v>9</v>
      </c>
      <c r="BJ177" s="731">
        <v>13</v>
      </c>
      <c r="BK177" s="731">
        <v>17</v>
      </c>
      <c r="BL177" s="731">
        <v>27</v>
      </c>
      <c r="BM177" s="731">
        <v>56</v>
      </c>
      <c r="BN177" s="731">
        <v>54</v>
      </c>
      <c r="BO177" s="731">
        <v>35</v>
      </c>
      <c r="BP177" s="731">
        <v>33</v>
      </c>
      <c r="BQ177" s="731">
        <v>18</v>
      </c>
      <c r="BR177" s="731">
        <v>12</v>
      </c>
      <c r="BS177" s="731">
        <v>18</v>
      </c>
      <c r="BT177" s="731">
        <v>9</v>
      </c>
    </row>
    <row r="178" spans="2:72">
      <c r="B178" s="734" t="s">
        <v>96</v>
      </c>
      <c r="C178" s="733" t="s">
        <v>1277</v>
      </c>
      <c r="D178" s="539">
        <v>27.57</v>
      </c>
      <c r="E178" s="539">
        <v>60.73</v>
      </c>
      <c r="F178" s="539">
        <v>74</v>
      </c>
      <c r="G178" s="539" t="s">
        <v>98</v>
      </c>
      <c r="H178" s="539">
        <v>2.4</v>
      </c>
      <c r="I178" s="734">
        <v>15.7</v>
      </c>
      <c r="J178" s="735">
        <v>26.2</v>
      </c>
      <c r="K178" s="539">
        <v>37.299999999999997</v>
      </c>
      <c r="L178" s="539">
        <v>68</v>
      </c>
      <c r="M178" s="539">
        <v>72</v>
      </c>
      <c r="N178" s="539">
        <v>67</v>
      </c>
      <c r="O178" s="545">
        <v>20</v>
      </c>
      <c r="P178" s="545">
        <v>118</v>
      </c>
      <c r="Q178" s="734">
        <v>1</v>
      </c>
      <c r="R178" s="539">
        <v>26.3</v>
      </c>
      <c r="S178" s="734">
        <v>0.51</v>
      </c>
      <c r="T178" s="734">
        <v>10.3</v>
      </c>
      <c r="U178" s="734">
        <v>13.7</v>
      </c>
      <c r="V178" s="734">
        <v>49</v>
      </c>
      <c r="W178" s="734">
        <v>97</v>
      </c>
      <c r="X178" s="734">
        <v>0.01</v>
      </c>
      <c r="Y178" s="734">
        <v>0.01</v>
      </c>
      <c r="Z178" s="731">
        <v>165</v>
      </c>
      <c r="AA178" s="547">
        <f t="shared" si="18"/>
        <v>1.6500000000000001</v>
      </c>
      <c r="AB178" s="734">
        <v>30</v>
      </c>
      <c r="AC178" s="538"/>
      <c r="AD178" s="733" t="str">
        <f t="shared" si="20"/>
        <v>ROQUE SÁENZ PENA</v>
      </c>
      <c r="AE178" s="737">
        <v>27.2</v>
      </c>
      <c r="AF178" s="737">
        <v>26.2</v>
      </c>
      <c r="AG178" s="737">
        <v>24.4</v>
      </c>
      <c r="AH178" s="737">
        <v>20.3</v>
      </c>
      <c r="AI178" s="737">
        <v>17.899999999999999</v>
      </c>
      <c r="AJ178" s="737">
        <v>15.6</v>
      </c>
      <c r="AK178" s="737">
        <v>15.1</v>
      </c>
      <c r="AL178" s="737">
        <v>17.399999999999999</v>
      </c>
      <c r="AM178" s="737">
        <v>19.5</v>
      </c>
      <c r="AN178" s="737">
        <v>22.1</v>
      </c>
      <c r="AO178" s="737">
        <v>24.1</v>
      </c>
      <c r="AP178" s="737">
        <v>26.6</v>
      </c>
      <c r="AQ178" s="538"/>
      <c r="AR178" s="733" t="str">
        <f t="shared" si="19"/>
        <v>CHC</v>
      </c>
      <c r="AS178" s="733" t="str">
        <f t="shared" si="21"/>
        <v>ROQUE SÁENZ PENA</v>
      </c>
      <c r="AT178" s="731">
        <v>6</v>
      </c>
      <c r="AU178" s="731">
        <v>6</v>
      </c>
      <c r="AV178" s="731">
        <v>4.5</v>
      </c>
      <c r="AW178" s="731">
        <v>3.5</v>
      </c>
      <c r="AX178" s="731">
        <v>3</v>
      </c>
      <c r="AY178" s="731">
        <v>2.5</v>
      </c>
      <c r="AZ178" s="731">
        <v>2.5</v>
      </c>
      <c r="BA178" s="731">
        <v>3</v>
      </c>
      <c r="BB178" s="731">
        <v>4.5</v>
      </c>
      <c r="BC178" s="731">
        <v>5</v>
      </c>
      <c r="BD178" s="731">
        <v>5.5</v>
      </c>
      <c r="BE178" s="731">
        <v>6</v>
      </c>
      <c r="BG178" s="733" t="str">
        <f t="shared" si="22"/>
        <v>CHC</v>
      </c>
      <c r="BH178" s="733" t="str">
        <f t="shared" si="23"/>
        <v>ROQUE SÁENZ PENA</v>
      </c>
      <c r="BI178" s="731">
        <v>172</v>
      </c>
      <c r="BJ178" s="731">
        <v>214</v>
      </c>
      <c r="BK178" s="731">
        <v>237</v>
      </c>
      <c r="BL178" s="731">
        <v>292</v>
      </c>
      <c r="BM178" s="731">
        <v>280</v>
      </c>
      <c r="BN178" s="731">
        <v>302</v>
      </c>
      <c r="BO178" s="731">
        <v>288</v>
      </c>
      <c r="BP178" s="731">
        <v>209</v>
      </c>
      <c r="BQ178" s="731">
        <v>231</v>
      </c>
      <c r="BR178" s="731">
        <v>192</v>
      </c>
      <c r="BS178" s="731">
        <v>178</v>
      </c>
      <c r="BT178" s="731">
        <v>149</v>
      </c>
    </row>
    <row r="179" spans="2:72">
      <c r="B179" s="734" t="s">
        <v>96</v>
      </c>
      <c r="C179" s="733" t="s">
        <v>1278</v>
      </c>
      <c r="D179" s="539">
        <v>27.57</v>
      </c>
      <c r="E179" s="539">
        <v>60.73</v>
      </c>
      <c r="F179" s="539">
        <v>74</v>
      </c>
      <c r="G179" s="539" t="s">
        <v>98</v>
      </c>
      <c r="H179" s="539">
        <v>2.4</v>
      </c>
      <c r="I179" s="734">
        <v>15.7</v>
      </c>
      <c r="J179" s="735">
        <v>25.5</v>
      </c>
      <c r="K179" s="539">
        <v>37.299999999999997</v>
      </c>
      <c r="L179" s="539">
        <v>68</v>
      </c>
      <c r="M179" s="539">
        <v>72</v>
      </c>
      <c r="N179" s="539">
        <v>67</v>
      </c>
      <c r="O179" s="545">
        <v>45</v>
      </c>
      <c r="P179" s="545">
        <v>136</v>
      </c>
      <c r="Q179" s="734">
        <v>1</v>
      </c>
      <c r="R179" s="539">
        <v>26.3</v>
      </c>
      <c r="S179" s="734">
        <v>0.51</v>
      </c>
      <c r="T179" s="734">
        <v>10.3</v>
      </c>
      <c r="U179" s="734">
        <v>13.7</v>
      </c>
      <c r="V179" s="734">
        <v>49</v>
      </c>
      <c r="W179" s="734">
        <v>97</v>
      </c>
      <c r="X179" s="734">
        <v>0.01</v>
      </c>
      <c r="Y179" s="734">
        <v>0.01</v>
      </c>
      <c r="Z179" s="731">
        <v>155</v>
      </c>
      <c r="AA179" s="547">
        <f t="shared" si="18"/>
        <v>1.55</v>
      </c>
      <c r="AB179" s="734">
        <v>30</v>
      </c>
      <c r="AC179" s="538"/>
      <c r="AD179" s="733" t="str">
        <f t="shared" si="20"/>
        <v>COLONIA BENÍTEZ</v>
      </c>
      <c r="AE179" s="737">
        <v>27.2</v>
      </c>
      <c r="AF179" s="737">
        <v>26.7</v>
      </c>
      <c r="AG179" s="737">
        <v>25.2</v>
      </c>
      <c r="AH179" s="737">
        <v>21.2</v>
      </c>
      <c r="AI179" s="737">
        <v>18.399999999999999</v>
      </c>
      <c r="AJ179" s="737">
        <v>16.2</v>
      </c>
      <c r="AK179" s="737">
        <v>15.9</v>
      </c>
      <c r="AL179" s="737">
        <v>17.100000000000001</v>
      </c>
      <c r="AM179" s="737">
        <v>19.100000000000001</v>
      </c>
      <c r="AN179" s="737">
        <v>21.5</v>
      </c>
      <c r="AO179" s="737">
        <v>23.9</v>
      </c>
      <c r="AP179" s="737">
        <v>26.1</v>
      </c>
      <c r="AQ179" s="538"/>
      <c r="AR179" s="733" t="str">
        <f t="shared" si="19"/>
        <v>CHC</v>
      </c>
      <c r="AS179" s="733" t="str">
        <f t="shared" si="21"/>
        <v>COLONIA BENÍTEZ</v>
      </c>
      <c r="AT179" s="731">
        <v>6</v>
      </c>
      <c r="AU179" s="731">
        <v>6</v>
      </c>
      <c r="AV179" s="731">
        <v>5</v>
      </c>
      <c r="AW179" s="731">
        <v>4</v>
      </c>
      <c r="AX179" s="731">
        <v>3</v>
      </c>
      <c r="AY179" s="731">
        <v>2.5</v>
      </c>
      <c r="AZ179" s="731">
        <v>2.5</v>
      </c>
      <c r="BA179" s="731">
        <v>3</v>
      </c>
      <c r="BB179" s="731">
        <v>4</v>
      </c>
      <c r="BC179" s="731">
        <v>5.5</v>
      </c>
      <c r="BD179" s="731">
        <v>5.5</v>
      </c>
      <c r="BE179" s="731">
        <v>6.5</v>
      </c>
      <c r="BG179" s="733" t="str">
        <f t="shared" si="22"/>
        <v>CHC</v>
      </c>
      <c r="BH179" s="733" t="str">
        <f t="shared" si="23"/>
        <v>COLONIA BENÍTEZ</v>
      </c>
      <c r="BI179" s="731">
        <v>172</v>
      </c>
      <c r="BJ179" s="731">
        <v>214</v>
      </c>
      <c r="BK179" s="731">
        <v>237</v>
      </c>
      <c r="BL179" s="731">
        <v>292</v>
      </c>
      <c r="BM179" s="731">
        <v>280</v>
      </c>
      <c r="BN179" s="731">
        <v>302</v>
      </c>
      <c r="BO179" s="731">
        <v>288</v>
      </c>
      <c r="BP179" s="731">
        <v>209</v>
      </c>
      <c r="BQ179" s="731">
        <v>231</v>
      </c>
      <c r="BR179" s="731">
        <v>192</v>
      </c>
      <c r="BS179" s="731">
        <v>178</v>
      </c>
      <c r="BT179" s="731">
        <v>149</v>
      </c>
    </row>
    <row r="180" spans="2:72">
      <c r="B180" s="734"/>
      <c r="C180" s="733"/>
      <c r="D180" s="734"/>
      <c r="E180" s="734"/>
      <c r="F180" s="734"/>
      <c r="G180" s="734"/>
      <c r="H180" s="734"/>
      <c r="I180" s="734"/>
      <c r="J180" s="735"/>
      <c r="K180" s="735"/>
      <c r="L180" s="545"/>
      <c r="M180" s="545"/>
      <c r="N180" s="545"/>
      <c r="O180" s="545"/>
      <c r="P180" s="545"/>
      <c r="Q180" s="734"/>
      <c r="R180" s="734"/>
      <c r="S180" s="734"/>
      <c r="T180" s="734"/>
      <c r="U180" s="734"/>
      <c r="V180" s="734"/>
      <c r="W180" s="734"/>
      <c r="X180" s="734"/>
      <c r="Y180" s="734"/>
      <c r="Z180" s="734"/>
      <c r="AA180" s="734"/>
      <c r="AB180" s="734"/>
      <c r="AC180" s="538"/>
      <c r="AD180" s="733">
        <f t="shared" si="20"/>
        <v>0</v>
      </c>
      <c r="AE180" s="737"/>
      <c r="AF180" s="737"/>
      <c r="AG180" s="737"/>
      <c r="AH180" s="737"/>
      <c r="AI180" s="737"/>
      <c r="AJ180" s="737"/>
      <c r="AK180" s="737"/>
      <c r="AL180" s="737"/>
      <c r="AM180" s="737"/>
      <c r="AN180" s="737"/>
      <c r="AO180" s="737"/>
      <c r="AP180" s="737"/>
      <c r="AQ180" s="538"/>
      <c r="AR180" s="733">
        <f t="shared" si="19"/>
        <v>0</v>
      </c>
      <c r="AS180" s="733">
        <f t="shared" si="21"/>
        <v>0</v>
      </c>
      <c r="AT180" s="734"/>
      <c r="AU180" s="734"/>
      <c r="AV180" s="734"/>
      <c r="AW180" s="734"/>
      <c r="AX180" s="734"/>
      <c r="AY180" s="734"/>
      <c r="AZ180" s="734"/>
      <c r="BA180" s="734"/>
      <c r="BB180" s="734"/>
      <c r="BC180" s="734"/>
      <c r="BD180" s="734"/>
      <c r="BE180" s="734"/>
      <c r="BG180" s="733">
        <f t="shared" si="22"/>
        <v>0</v>
      </c>
      <c r="BH180" s="733">
        <f t="shared" si="23"/>
        <v>0</v>
      </c>
      <c r="BI180" s="734"/>
      <c r="BJ180" s="734"/>
      <c r="BK180" s="734"/>
      <c r="BL180" s="734"/>
      <c r="BM180" s="734"/>
      <c r="BN180" s="734"/>
      <c r="BO180" s="734"/>
      <c r="BP180" s="734"/>
      <c r="BQ180" s="734"/>
      <c r="BR180" s="734"/>
      <c r="BS180" s="734"/>
      <c r="BT180" s="734"/>
    </row>
    <row r="181" spans="2:72">
      <c r="B181" s="734"/>
      <c r="C181" s="733"/>
      <c r="D181" s="734"/>
      <c r="E181" s="734"/>
      <c r="F181" s="734"/>
      <c r="G181" s="734"/>
      <c r="H181" s="734"/>
      <c r="I181" s="734"/>
      <c r="J181" s="735"/>
      <c r="K181" s="735"/>
      <c r="L181" s="545"/>
      <c r="M181" s="545"/>
      <c r="N181" s="545"/>
      <c r="O181" s="545"/>
      <c r="P181" s="545"/>
      <c r="Q181" s="734"/>
      <c r="R181" s="734"/>
      <c r="S181" s="734"/>
      <c r="T181" s="734"/>
      <c r="U181" s="734"/>
      <c r="V181" s="734"/>
      <c r="W181" s="734"/>
      <c r="X181" s="734"/>
      <c r="Y181" s="734"/>
      <c r="Z181" s="734"/>
      <c r="AA181" s="734"/>
      <c r="AB181" s="734"/>
      <c r="AC181" s="538"/>
      <c r="AD181" s="733">
        <f t="shared" si="20"/>
        <v>0</v>
      </c>
      <c r="AE181" s="737"/>
      <c r="AF181" s="737"/>
      <c r="AG181" s="737"/>
      <c r="AH181" s="737"/>
      <c r="AI181" s="737"/>
      <c r="AJ181" s="737"/>
      <c r="AK181" s="737"/>
      <c r="AL181" s="737"/>
      <c r="AM181" s="737"/>
      <c r="AN181" s="737"/>
      <c r="AO181" s="737"/>
      <c r="AP181" s="737"/>
      <c r="AQ181" s="538"/>
      <c r="AR181" s="733">
        <f t="shared" si="19"/>
        <v>0</v>
      </c>
      <c r="AS181" s="733">
        <f t="shared" si="21"/>
        <v>0</v>
      </c>
      <c r="AT181" s="734"/>
      <c r="AU181" s="734"/>
      <c r="AV181" s="734"/>
      <c r="AW181" s="734"/>
      <c r="AX181" s="734"/>
      <c r="AY181" s="734"/>
      <c r="AZ181" s="734"/>
      <c r="BA181" s="734"/>
      <c r="BB181" s="734"/>
      <c r="BC181" s="734"/>
      <c r="BD181" s="734"/>
      <c r="BE181" s="734"/>
      <c r="BG181" s="733">
        <f t="shared" si="22"/>
        <v>0</v>
      </c>
      <c r="BH181" s="733">
        <f t="shared" si="23"/>
        <v>0</v>
      </c>
      <c r="BI181" s="734"/>
      <c r="BJ181" s="734"/>
      <c r="BK181" s="734"/>
      <c r="BL181" s="734"/>
      <c r="BM181" s="734"/>
      <c r="BN181" s="734"/>
      <c r="BO181" s="734"/>
      <c r="BP181" s="734"/>
      <c r="BQ181" s="734"/>
      <c r="BR181" s="734"/>
      <c r="BS181" s="734"/>
      <c r="BT181" s="734"/>
    </row>
    <row r="182" spans="2:72">
      <c r="B182" s="734"/>
      <c r="C182" s="733"/>
      <c r="D182" s="734"/>
      <c r="E182" s="734"/>
      <c r="F182" s="734"/>
      <c r="G182" s="734"/>
      <c r="H182" s="734"/>
      <c r="I182" s="734"/>
      <c r="J182" s="735"/>
      <c r="K182" s="735"/>
      <c r="L182" s="545"/>
      <c r="M182" s="545"/>
      <c r="N182" s="545"/>
      <c r="O182" s="545"/>
      <c r="P182" s="545"/>
      <c r="Q182" s="734"/>
      <c r="R182" s="734"/>
      <c r="S182" s="734"/>
      <c r="T182" s="734"/>
      <c r="U182" s="734"/>
      <c r="V182" s="734"/>
      <c r="W182" s="734"/>
      <c r="X182" s="734"/>
      <c r="Y182" s="734"/>
      <c r="Z182" s="734"/>
      <c r="AA182" s="734"/>
      <c r="AB182" s="734"/>
      <c r="AC182" s="538"/>
      <c r="AD182" s="733">
        <f t="shared" si="20"/>
        <v>0</v>
      </c>
      <c r="AE182" s="737"/>
      <c r="AF182" s="737"/>
      <c r="AG182" s="737"/>
      <c r="AH182" s="737"/>
      <c r="AI182" s="737"/>
      <c r="AJ182" s="737"/>
      <c r="AK182" s="737"/>
      <c r="AL182" s="737"/>
      <c r="AM182" s="737"/>
      <c r="AN182" s="737"/>
      <c r="AO182" s="737"/>
      <c r="AP182" s="737"/>
      <c r="AQ182" s="538"/>
      <c r="AR182" s="733">
        <f t="shared" si="19"/>
        <v>0</v>
      </c>
      <c r="AS182" s="733">
        <f t="shared" si="21"/>
        <v>0</v>
      </c>
      <c r="AT182" s="734"/>
      <c r="AU182" s="734"/>
      <c r="AV182" s="734"/>
      <c r="AW182" s="734"/>
      <c r="AX182" s="734"/>
      <c r="AY182" s="734"/>
      <c r="AZ182" s="734"/>
      <c r="BA182" s="734"/>
      <c r="BB182" s="734"/>
      <c r="BC182" s="734"/>
      <c r="BD182" s="734"/>
      <c r="BE182" s="734"/>
      <c r="BG182" s="733">
        <f t="shared" si="22"/>
        <v>0</v>
      </c>
      <c r="BH182" s="733">
        <f t="shared" si="23"/>
        <v>0</v>
      </c>
      <c r="BI182" s="734"/>
      <c r="BJ182" s="734"/>
      <c r="BK182" s="734"/>
      <c r="BL182" s="734"/>
      <c r="BM182" s="734"/>
      <c r="BN182" s="734"/>
      <c r="BO182" s="734"/>
      <c r="BP182" s="734"/>
      <c r="BQ182" s="734"/>
      <c r="BR182" s="734"/>
      <c r="BS182" s="734"/>
      <c r="BT182" s="734"/>
    </row>
    <row r="183" spans="2:72">
      <c r="B183" s="734"/>
      <c r="C183" s="733"/>
      <c r="D183" s="734"/>
      <c r="E183" s="734"/>
      <c r="F183" s="734"/>
      <c r="G183" s="734"/>
      <c r="H183" s="734"/>
      <c r="I183" s="734"/>
      <c r="J183" s="735"/>
      <c r="K183" s="735"/>
      <c r="L183" s="545"/>
      <c r="M183" s="545"/>
      <c r="N183" s="545"/>
      <c r="O183" s="545"/>
      <c r="P183" s="545"/>
      <c r="Q183" s="734"/>
      <c r="R183" s="734"/>
      <c r="S183" s="734"/>
      <c r="T183" s="734"/>
      <c r="U183" s="734"/>
      <c r="V183" s="734"/>
      <c r="W183" s="734"/>
      <c r="X183" s="734"/>
      <c r="Y183" s="734"/>
      <c r="Z183" s="734"/>
      <c r="AA183" s="734"/>
      <c r="AB183" s="734"/>
      <c r="AC183" s="538"/>
      <c r="AD183" s="733">
        <f t="shared" si="20"/>
        <v>0</v>
      </c>
      <c r="AE183" s="737"/>
      <c r="AF183" s="737"/>
      <c r="AG183" s="737"/>
      <c r="AH183" s="737"/>
      <c r="AI183" s="737"/>
      <c r="AJ183" s="737"/>
      <c r="AK183" s="737"/>
      <c r="AL183" s="737"/>
      <c r="AM183" s="737"/>
      <c r="AN183" s="737"/>
      <c r="AO183" s="737"/>
      <c r="AP183" s="737"/>
      <c r="AQ183" s="538"/>
      <c r="AR183" s="733">
        <f t="shared" si="19"/>
        <v>0</v>
      </c>
      <c r="AS183" s="733">
        <f t="shared" si="21"/>
        <v>0</v>
      </c>
      <c r="AT183" s="734"/>
      <c r="AU183" s="734"/>
      <c r="AV183" s="734"/>
      <c r="AW183" s="734"/>
      <c r="AX183" s="734"/>
      <c r="AY183" s="734"/>
      <c r="AZ183" s="734"/>
      <c r="BA183" s="734"/>
      <c r="BB183" s="734"/>
      <c r="BC183" s="734"/>
      <c r="BD183" s="734"/>
      <c r="BE183" s="734"/>
      <c r="BG183" s="733">
        <f t="shared" si="22"/>
        <v>0</v>
      </c>
      <c r="BH183" s="733">
        <f t="shared" si="23"/>
        <v>0</v>
      </c>
      <c r="BI183" s="734"/>
      <c r="BJ183" s="734"/>
      <c r="BK183" s="734"/>
      <c r="BL183" s="734"/>
      <c r="BM183" s="734"/>
      <c r="BN183" s="734"/>
      <c r="BO183" s="734"/>
      <c r="BP183" s="734"/>
      <c r="BQ183" s="734"/>
      <c r="BR183" s="734"/>
      <c r="BS183" s="734"/>
      <c r="BT183" s="734"/>
    </row>
    <row r="184" spans="2:72">
      <c r="B184" s="734"/>
      <c r="C184" s="733"/>
      <c r="D184" s="734"/>
      <c r="E184" s="734"/>
      <c r="F184" s="734"/>
      <c r="G184" s="734"/>
      <c r="H184" s="734"/>
      <c r="I184" s="734"/>
      <c r="J184" s="735"/>
      <c r="K184" s="735"/>
      <c r="L184" s="545"/>
      <c r="M184" s="545"/>
      <c r="N184" s="545"/>
      <c r="O184" s="545"/>
      <c r="P184" s="545"/>
      <c r="Q184" s="734"/>
      <c r="R184" s="734"/>
      <c r="S184" s="734"/>
      <c r="T184" s="734"/>
      <c r="U184" s="734"/>
      <c r="V184" s="734"/>
      <c r="W184" s="734"/>
      <c r="X184" s="734"/>
      <c r="Y184" s="734"/>
      <c r="Z184" s="734"/>
      <c r="AA184" s="734"/>
      <c r="AB184" s="734"/>
      <c r="AC184" s="538"/>
      <c r="AD184" s="733">
        <f t="shared" si="20"/>
        <v>0</v>
      </c>
      <c r="AE184" s="737"/>
      <c r="AF184" s="737"/>
      <c r="AG184" s="737"/>
      <c r="AH184" s="737"/>
      <c r="AI184" s="737"/>
      <c r="AJ184" s="737"/>
      <c r="AK184" s="737"/>
      <c r="AL184" s="737"/>
      <c r="AM184" s="737"/>
      <c r="AN184" s="737"/>
      <c r="AO184" s="737"/>
      <c r="AP184" s="737"/>
      <c r="AQ184" s="538"/>
      <c r="AR184" s="733">
        <f t="shared" si="19"/>
        <v>0</v>
      </c>
      <c r="AS184" s="733">
        <f t="shared" si="21"/>
        <v>0</v>
      </c>
      <c r="AT184" s="734"/>
      <c r="AU184" s="734"/>
      <c r="AV184" s="734"/>
      <c r="AW184" s="734"/>
      <c r="AX184" s="734"/>
      <c r="AY184" s="734"/>
      <c r="AZ184" s="734"/>
      <c r="BA184" s="734"/>
      <c r="BB184" s="734"/>
      <c r="BC184" s="734"/>
      <c r="BD184" s="734"/>
      <c r="BE184" s="734"/>
      <c r="BG184" s="733">
        <f t="shared" si="22"/>
        <v>0</v>
      </c>
      <c r="BH184" s="733">
        <f t="shared" si="23"/>
        <v>0</v>
      </c>
      <c r="BI184" s="734"/>
      <c r="BJ184" s="734"/>
      <c r="BK184" s="734"/>
      <c r="BL184" s="734"/>
      <c r="BM184" s="734"/>
      <c r="BN184" s="734"/>
      <c r="BO184" s="734"/>
      <c r="BP184" s="734"/>
      <c r="BQ184" s="734"/>
      <c r="BR184" s="734"/>
      <c r="BS184" s="734"/>
      <c r="BT184" s="734"/>
    </row>
    <row r="185" spans="2:72">
      <c r="B185" s="734"/>
      <c r="C185" s="733"/>
      <c r="D185" s="734"/>
      <c r="E185" s="734"/>
      <c r="F185" s="734"/>
      <c r="G185" s="734"/>
      <c r="H185" s="734"/>
      <c r="I185" s="734"/>
      <c r="J185" s="735"/>
      <c r="K185" s="735"/>
      <c r="L185" s="545"/>
      <c r="M185" s="545"/>
      <c r="N185" s="545"/>
      <c r="O185" s="545"/>
      <c r="P185" s="545"/>
      <c r="Q185" s="734"/>
      <c r="R185" s="734"/>
      <c r="S185" s="734"/>
      <c r="T185" s="734"/>
      <c r="U185" s="734"/>
      <c r="V185" s="734"/>
      <c r="W185" s="734"/>
      <c r="X185" s="734"/>
      <c r="Y185" s="734"/>
      <c r="Z185" s="734"/>
      <c r="AA185" s="734"/>
      <c r="AB185" s="734"/>
      <c r="AC185" s="538"/>
      <c r="AD185" s="733">
        <f t="shared" si="20"/>
        <v>0</v>
      </c>
      <c r="AE185" s="737"/>
      <c r="AF185" s="737"/>
      <c r="AG185" s="737"/>
      <c r="AH185" s="737"/>
      <c r="AI185" s="737"/>
      <c r="AJ185" s="737"/>
      <c r="AK185" s="737"/>
      <c r="AL185" s="737"/>
      <c r="AM185" s="737"/>
      <c r="AN185" s="737"/>
      <c r="AO185" s="737"/>
      <c r="AP185" s="737"/>
      <c r="AQ185" s="538"/>
      <c r="AR185" s="733">
        <f t="shared" si="19"/>
        <v>0</v>
      </c>
      <c r="AS185" s="733">
        <f t="shared" si="21"/>
        <v>0</v>
      </c>
      <c r="AT185" s="734"/>
      <c r="AU185" s="734"/>
      <c r="AV185" s="734"/>
      <c r="AW185" s="734"/>
      <c r="AX185" s="734"/>
      <c r="AY185" s="734"/>
      <c r="AZ185" s="734"/>
      <c r="BA185" s="734"/>
      <c r="BB185" s="734"/>
      <c r="BC185" s="734"/>
      <c r="BD185" s="734"/>
      <c r="BE185" s="734"/>
      <c r="BG185" s="733">
        <f t="shared" si="22"/>
        <v>0</v>
      </c>
      <c r="BH185" s="733">
        <f t="shared" si="23"/>
        <v>0</v>
      </c>
      <c r="BI185" s="734"/>
      <c r="BJ185" s="734"/>
      <c r="BK185" s="734"/>
      <c r="BL185" s="734"/>
      <c r="BM185" s="734"/>
      <c r="BN185" s="734"/>
      <c r="BO185" s="734"/>
      <c r="BP185" s="734"/>
      <c r="BQ185" s="734"/>
      <c r="BR185" s="734"/>
      <c r="BS185" s="734"/>
      <c r="BT185" s="734"/>
    </row>
    <row r="186" spans="2:72">
      <c r="B186" s="734"/>
      <c r="C186" s="733"/>
      <c r="D186" s="734"/>
      <c r="E186" s="734"/>
      <c r="F186" s="734"/>
      <c r="G186" s="734"/>
      <c r="H186" s="734"/>
      <c r="I186" s="734"/>
      <c r="J186" s="735"/>
      <c r="K186" s="735"/>
      <c r="L186" s="545"/>
      <c r="M186" s="545"/>
      <c r="N186" s="545"/>
      <c r="O186" s="545"/>
      <c r="P186" s="545"/>
      <c r="Q186" s="734"/>
      <c r="R186" s="734"/>
      <c r="S186" s="734"/>
      <c r="T186" s="734"/>
      <c r="U186" s="734"/>
      <c r="V186" s="734"/>
      <c r="W186" s="734"/>
      <c r="X186" s="734"/>
      <c r="Y186" s="734"/>
      <c r="Z186" s="734"/>
      <c r="AA186" s="734"/>
      <c r="AB186" s="734"/>
      <c r="AC186" s="538"/>
      <c r="AD186" s="733">
        <f t="shared" si="20"/>
        <v>0</v>
      </c>
      <c r="AE186" s="737"/>
      <c r="AF186" s="737"/>
      <c r="AG186" s="737"/>
      <c r="AH186" s="737"/>
      <c r="AI186" s="737"/>
      <c r="AJ186" s="737"/>
      <c r="AK186" s="737"/>
      <c r="AL186" s="737"/>
      <c r="AM186" s="737"/>
      <c r="AN186" s="737"/>
      <c r="AO186" s="737"/>
      <c r="AP186" s="737"/>
      <c r="AQ186" s="538"/>
      <c r="AR186" s="733">
        <f t="shared" si="19"/>
        <v>0</v>
      </c>
      <c r="AS186" s="733">
        <f t="shared" si="21"/>
        <v>0</v>
      </c>
      <c r="AT186" s="734"/>
      <c r="AU186" s="734"/>
      <c r="AV186" s="734"/>
      <c r="AW186" s="734"/>
      <c r="AX186" s="734"/>
      <c r="AY186" s="734"/>
      <c r="AZ186" s="734"/>
      <c r="BA186" s="734"/>
      <c r="BB186" s="734"/>
      <c r="BC186" s="734"/>
      <c r="BD186" s="734"/>
      <c r="BE186" s="734"/>
      <c r="BG186" s="733">
        <f t="shared" si="22"/>
        <v>0</v>
      </c>
      <c r="BH186" s="733">
        <f t="shared" si="23"/>
        <v>0</v>
      </c>
      <c r="BI186" s="734"/>
      <c r="BJ186" s="734"/>
      <c r="BK186" s="734"/>
      <c r="BL186" s="734"/>
      <c r="BM186" s="734"/>
      <c r="BN186" s="734"/>
      <c r="BO186" s="734"/>
      <c r="BP186" s="734"/>
      <c r="BQ186" s="734"/>
      <c r="BR186" s="734"/>
      <c r="BS186" s="734"/>
      <c r="BT186" s="734"/>
    </row>
    <row r="187" spans="2:72">
      <c r="B187" s="734"/>
      <c r="C187" s="733"/>
      <c r="D187" s="734"/>
      <c r="E187" s="734"/>
      <c r="F187" s="734"/>
      <c r="G187" s="734"/>
      <c r="H187" s="734"/>
      <c r="I187" s="734"/>
      <c r="J187" s="735"/>
      <c r="K187" s="735"/>
      <c r="L187" s="545"/>
      <c r="M187" s="545"/>
      <c r="N187" s="545"/>
      <c r="O187" s="545"/>
      <c r="P187" s="545"/>
      <c r="Q187" s="734"/>
      <c r="R187" s="734"/>
      <c r="S187" s="734"/>
      <c r="T187" s="734"/>
      <c r="U187" s="734"/>
      <c r="V187" s="734"/>
      <c r="W187" s="734"/>
      <c r="X187" s="734"/>
      <c r="Y187" s="734"/>
      <c r="Z187" s="734"/>
      <c r="AA187" s="734"/>
      <c r="AB187" s="734"/>
      <c r="AC187" s="538"/>
      <c r="AD187" s="733">
        <f t="shared" si="20"/>
        <v>0</v>
      </c>
      <c r="AE187" s="737"/>
      <c r="AF187" s="737"/>
      <c r="AG187" s="737"/>
      <c r="AH187" s="737"/>
      <c r="AI187" s="737"/>
      <c r="AJ187" s="737"/>
      <c r="AK187" s="737"/>
      <c r="AL187" s="737"/>
      <c r="AM187" s="737"/>
      <c r="AN187" s="737"/>
      <c r="AO187" s="737"/>
      <c r="AP187" s="737"/>
      <c r="AQ187" s="538"/>
      <c r="AR187" s="733">
        <f t="shared" si="19"/>
        <v>0</v>
      </c>
      <c r="AS187" s="733">
        <f t="shared" si="21"/>
        <v>0</v>
      </c>
      <c r="AT187" s="734"/>
      <c r="AU187" s="734"/>
      <c r="AV187" s="734"/>
      <c r="AW187" s="734"/>
      <c r="AX187" s="734"/>
      <c r="AY187" s="734"/>
      <c r="AZ187" s="734"/>
      <c r="BA187" s="734"/>
      <c r="BB187" s="734"/>
      <c r="BC187" s="734"/>
      <c r="BD187" s="734"/>
      <c r="BE187" s="734"/>
      <c r="BG187" s="733">
        <f t="shared" si="22"/>
        <v>0</v>
      </c>
      <c r="BH187" s="733">
        <f t="shared" si="23"/>
        <v>0</v>
      </c>
      <c r="BI187" s="734"/>
      <c r="BJ187" s="734"/>
      <c r="BK187" s="734"/>
      <c r="BL187" s="734"/>
      <c r="BM187" s="734"/>
      <c r="BN187" s="734"/>
      <c r="BO187" s="734"/>
      <c r="BP187" s="734"/>
      <c r="BQ187" s="734"/>
      <c r="BR187" s="734"/>
      <c r="BS187" s="734"/>
      <c r="BT187" s="734"/>
    </row>
    <row r="188" spans="2:72">
      <c r="B188" s="734"/>
      <c r="C188" s="733"/>
      <c r="D188" s="734"/>
      <c r="E188" s="734"/>
      <c r="F188" s="734"/>
      <c r="G188" s="734"/>
      <c r="H188" s="734"/>
      <c r="I188" s="734"/>
      <c r="J188" s="735"/>
      <c r="K188" s="735"/>
      <c r="L188" s="545"/>
      <c r="M188" s="545"/>
      <c r="N188" s="545"/>
      <c r="O188" s="545"/>
      <c r="P188" s="545"/>
      <c r="Q188" s="734"/>
      <c r="R188" s="734"/>
      <c r="S188" s="734"/>
      <c r="T188" s="734"/>
      <c r="U188" s="734"/>
      <c r="V188" s="734"/>
      <c r="W188" s="734"/>
      <c r="X188" s="734"/>
      <c r="Y188" s="734"/>
      <c r="Z188" s="734"/>
      <c r="AA188" s="734"/>
      <c r="AB188" s="734"/>
      <c r="AC188" s="538"/>
      <c r="AD188" s="733">
        <f t="shared" si="20"/>
        <v>0</v>
      </c>
      <c r="AE188" s="737"/>
      <c r="AF188" s="737"/>
      <c r="AG188" s="737"/>
      <c r="AH188" s="737"/>
      <c r="AI188" s="737"/>
      <c r="AJ188" s="737"/>
      <c r="AK188" s="737"/>
      <c r="AL188" s="737"/>
      <c r="AM188" s="737"/>
      <c r="AN188" s="737"/>
      <c r="AO188" s="737"/>
      <c r="AP188" s="737"/>
      <c r="AQ188" s="538"/>
      <c r="AR188" s="733">
        <f t="shared" si="19"/>
        <v>0</v>
      </c>
      <c r="AS188" s="733">
        <f t="shared" si="21"/>
        <v>0</v>
      </c>
      <c r="AT188" s="734"/>
      <c r="AU188" s="734"/>
      <c r="AV188" s="734"/>
      <c r="AW188" s="734"/>
      <c r="AX188" s="734"/>
      <c r="AY188" s="734"/>
      <c r="AZ188" s="734"/>
      <c r="BA188" s="734"/>
      <c r="BB188" s="734"/>
      <c r="BC188" s="734"/>
      <c r="BD188" s="734"/>
      <c r="BE188" s="734"/>
      <c r="BG188" s="733">
        <f t="shared" si="22"/>
        <v>0</v>
      </c>
      <c r="BH188" s="733">
        <f t="shared" si="23"/>
        <v>0</v>
      </c>
      <c r="BI188" s="734"/>
      <c r="BJ188" s="734"/>
      <c r="BK188" s="734"/>
      <c r="BL188" s="734"/>
      <c r="BM188" s="734"/>
      <c r="BN188" s="734"/>
      <c r="BO188" s="734"/>
      <c r="BP188" s="734"/>
      <c r="BQ188" s="734"/>
      <c r="BR188" s="734"/>
      <c r="BS188" s="734"/>
      <c r="BT188" s="734"/>
    </row>
    <row r="189" spans="2:72">
      <c r="B189" s="734"/>
      <c r="C189" s="733"/>
      <c r="D189" s="734"/>
      <c r="E189" s="734"/>
      <c r="F189" s="734"/>
      <c r="G189" s="734"/>
      <c r="H189" s="734"/>
      <c r="I189" s="734"/>
      <c r="J189" s="735"/>
      <c r="K189" s="735"/>
      <c r="L189" s="545"/>
      <c r="M189" s="545"/>
      <c r="N189" s="545"/>
      <c r="O189" s="545"/>
      <c r="P189" s="545"/>
      <c r="Q189" s="734"/>
      <c r="R189" s="734"/>
      <c r="S189" s="734"/>
      <c r="T189" s="734"/>
      <c r="U189" s="734"/>
      <c r="V189" s="734"/>
      <c r="W189" s="734"/>
      <c r="X189" s="734"/>
      <c r="Y189" s="734"/>
      <c r="Z189" s="734"/>
      <c r="AA189" s="734"/>
      <c r="AB189" s="734"/>
      <c r="AC189" s="538"/>
      <c r="AD189" s="733">
        <f t="shared" si="20"/>
        <v>0</v>
      </c>
      <c r="AE189" s="737"/>
      <c r="AF189" s="737"/>
      <c r="AG189" s="737"/>
      <c r="AH189" s="737"/>
      <c r="AI189" s="737"/>
      <c r="AJ189" s="737"/>
      <c r="AK189" s="737"/>
      <c r="AL189" s="737"/>
      <c r="AM189" s="737"/>
      <c r="AN189" s="737"/>
      <c r="AO189" s="737"/>
      <c r="AP189" s="737"/>
      <c r="AQ189" s="538"/>
      <c r="AR189" s="733">
        <f t="shared" si="19"/>
        <v>0</v>
      </c>
      <c r="AS189" s="733">
        <f t="shared" si="21"/>
        <v>0</v>
      </c>
      <c r="AT189" s="734"/>
      <c r="AU189" s="734"/>
      <c r="AV189" s="734"/>
      <c r="AW189" s="734"/>
      <c r="AX189" s="734"/>
      <c r="AY189" s="734"/>
      <c r="AZ189" s="734"/>
      <c r="BA189" s="734"/>
      <c r="BB189" s="734"/>
      <c r="BC189" s="734"/>
      <c r="BD189" s="734"/>
      <c r="BE189" s="734"/>
      <c r="BG189" s="733">
        <f t="shared" si="22"/>
        <v>0</v>
      </c>
      <c r="BH189" s="733">
        <f t="shared" si="23"/>
        <v>0</v>
      </c>
      <c r="BI189" s="734"/>
      <c r="BJ189" s="734"/>
      <c r="BK189" s="734"/>
      <c r="BL189" s="734"/>
      <c r="BM189" s="734"/>
      <c r="BN189" s="734"/>
      <c r="BO189" s="734"/>
      <c r="BP189" s="734"/>
      <c r="BQ189" s="734"/>
      <c r="BR189" s="734"/>
      <c r="BS189" s="734"/>
      <c r="BT189" s="734"/>
    </row>
    <row r="190" spans="2:72">
      <c r="B190" s="734"/>
      <c r="C190" s="733"/>
      <c r="D190" s="734"/>
      <c r="E190" s="734"/>
      <c r="F190" s="734"/>
      <c r="G190" s="734"/>
      <c r="H190" s="734"/>
      <c r="I190" s="734"/>
      <c r="J190" s="735"/>
      <c r="K190" s="735"/>
      <c r="L190" s="545"/>
      <c r="M190" s="545"/>
      <c r="N190" s="545"/>
      <c r="O190" s="545"/>
      <c r="P190" s="545"/>
      <c r="Q190" s="734"/>
      <c r="R190" s="734"/>
      <c r="S190" s="734"/>
      <c r="T190" s="734"/>
      <c r="U190" s="734"/>
      <c r="V190" s="734"/>
      <c r="W190" s="734"/>
      <c r="X190" s="734"/>
      <c r="Y190" s="734"/>
      <c r="Z190" s="734"/>
      <c r="AA190" s="734"/>
      <c r="AB190" s="734"/>
      <c r="AC190" s="538"/>
      <c r="AD190" s="733">
        <f t="shared" si="20"/>
        <v>0</v>
      </c>
      <c r="AE190" s="737"/>
      <c r="AF190" s="737"/>
      <c r="AG190" s="737"/>
      <c r="AH190" s="737"/>
      <c r="AI190" s="737"/>
      <c r="AJ190" s="737"/>
      <c r="AK190" s="737"/>
      <c r="AL190" s="737"/>
      <c r="AM190" s="737"/>
      <c r="AN190" s="737"/>
      <c r="AO190" s="737"/>
      <c r="AP190" s="737"/>
      <c r="AQ190" s="538"/>
      <c r="AR190" s="733">
        <f t="shared" si="19"/>
        <v>0</v>
      </c>
      <c r="AS190" s="733">
        <f t="shared" si="21"/>
        <v>0</v>
      </c>
      <c r="AT190" s="734"/>
      <c r="AU190" s="734"/>
      <c r="AV190" s="734"/>
      <c r="AW190" s="734"/>
      <c r="AX190" s="734"/>
      <c r="AY190" s="734"/>
      <c r="AZ190" s="734"/>
      <c r="BA190" s="734"/>
      <c r="BB190" s="734"/>
      <c r="BC190" s="734"/>
      <c r="BD190" s="734"/>
      <c r="BE190" s="734"/>
      <c r="BG190" s="733">
        <f t="shared" si="22"/>
        <v>0</v>
      </c>
      <c r="BH190" s="733">
        <f t="shared" si="23"/>
        <v>0</v>
      </c>
      <c r="BI190" s="734"/>
      <c r="BJ190" s="734"/>
      <c r="BK190" s="734"/>
      <c r="BL190" s="734"/>
      <c r="BM190" s="734"/>
      <c r="BN190" s="734"/>
      <c r="BO190" s="734"/>
      <c r="BP190" s="734"/>
      <c r="BQ190" s="734"/>
      <c r="BR190" s="734"/>
      <c r="BS190" s="734"/>
      <c r="BT190" s="734"/>
    </row>
    <row r="191" spans="2:72">
      <c r="B191" s="734"/>
      <c r="C191" s="733"/>
      <c r="D191" s="734"/>
      <c r="E191" s="734"/>
      <c r="F191" s="734"/>
      <c r="G191" s="734"/>
      <c r="H191" s="734"/>
      <c r="I191" s="734"/>
      <c r="J191" s="735"/>
      <c r="K191" s="735"/>
      <c r="L191" s="545"/>
      <c r="M191" s="545"/>
      <c r="N191" s="545"/>
      <c r="O191" s="545"/>
      <c r="P191" s="545"/>
      <c r="Q191" s="734"/>
      <c r="R191" s="734"/>
      <c r="S191" s="734"/>
      <c r="T191" s="734"/>
      <c r="U191" s="734"/>
      <c r="V191" s="734"/>
      <c r="W191" s="734"/>
      <c r="X191" s="734"/>
      <c r="Y191" s="734"/>
      <c r="Z191" s="734"/>
      <c r="AA191" s="734"/>
      <c r="AB191" s="734"/>
      <c r="AC191" s="538"/>
      <c r="AD191" s="733">
        <f t="shared" si="20"/>
        <v>0</v>
      </c>
      <c r="AE191" s="737"/>
      <c r="AF191" s="737"/>
      <c r="AG191" s="737"/>
      <c r="AH191" s="737"/>
      <c r="AI191" s="737"/>
      <c r="AJ191" s="737"/>
      <c r="AK191" s="737"/>
      <c r="AL191" s="737"/>
      <c r="AM191" s="737"/>
      <c r="AN191" s="737"/>
      <c r="AO191" s="737"/>
      <c r="AP191" s="737"/>
      <c r="AQ191" s="538"/>
      <c r="AR191" s="733">
        <f t="shared" si="19"/>
        <v>0</v>
      </c>
      <c r="AS191" s="733">
        <f t="shared" si="21"/>
        <v>0</v>
      </c>
      <c r="AT191" s="734"/>
      <c r="AU191" s="734"/>
      <c r="AV191" s="734"/>
      <c r="AW191" s="734"/>
      <c r="AX191" s="734"/>
      <c r="AY191" s="734"/>
      <c r="AZ191" s="734"/>
      <c r="BA191" s="734"/>
      <c r="BB191" s="734"/>
      <c r="BC191" s="734"/>
      <c r="BD191" s="734"/>
      <c r="BE191" s="734"/>
      <c r="BG191" s="733">
        <f t="shared" si="22"/>
        <v>0</v>
      </c>
      <c r="BH191" s="733">
        <f t="shared" si="23"/>
        <v>0</v>
      </c>
      <c r="BI191" s="734"/>
      <c r="BJ191" s="734"/>
      <c r="BK191" s="734"/>
      <c r="BL191" s="734"/>
      <c r="BM191" s="734"/>
      <c r="BN191" s="734"/>
      <c r="BO191" s="734"/>
      <c r="BP191" s="734"/>
      <c r="BQ191" s="734"/>
      <c r="BR191" s="734"/>
      <c r="BS191" s="734"/>
      <c r="BT191" s="734"/>
    </row>
    <row r="192" spans="2:72">
      <c r="B192" s="734"/>
      <c r="C192" s="733"/>
      <c r="D192" s="734"/>
      <c r="E192" s="734"/>
      <c r="F192" s="734"/>
      <c r="G192" s="734"/>
      <c r="H192" s="734"/>
      <c r="I192" s="734"/>
      <c r="J192" s="735"/>
      <c r="K192" s="735"/>
      <c r="L192" s="545"/>
      <c r="M192" s="545"/>
      <c r="N192" s="545"/>
      <c r="O192" s="545"/>
      <c r="P192" s="545"/>
      <c r="Q192" s="734"/>
      <c r="R192" s="734"/>
      <c r="S192" s="734"/>
      <c r="T192" s="734"/>
      <c r="U192" s="734"/>
      <c r="V192" s="734"/>
      <c r="W192" s="734"/>
      <c r="X192" s="734"/>
      <c r="Y192" s="734"/>
      <c r="Z192" s="734"/>
      <c r="AA192" s="734"/>
      <c r="AB192" s="734"/>
      <c r="AC192" s="538"/>
      <c r="AD192" s="733">
        <f t="shared" si="20"/>
        <v>0</v>
      </c>
      <c r="AE192" s="737"/>
      <c r="AF192" s="737"/>
      <c r="AG192" s="737"/>
      <c r="AH192" s="737"/>
      <c r="AI192" s="737"/>
      <c r="AJ192" s="737"/>
      <c r="AK192" s="737"/>
      <c r="AL192" s="737"/>
      <c r="AM192" s="737"/>
      <c r="AN192" s="737"/>
      <c r="AO192" s="737"/>
      <c r="AP192" s="737"/>
      <c r="AQ192" s="538"/>
      <c r="AR192" s="733">
        <f t="shared" si="19"/>
        <v>0</v>
      </c>
      <c r="AS192" s="733">
        <f t="shared" si="21"/>
        <v>0</v>
      </c>
      <c r="AT192" s="734"/>
      <c r="AU192" s="734"/>
      <c r="AV192" s="734"/>
      <c r="AW192" s="734"/>
      <c r="AX192" s="734"/>
      <c r="AY192" s="734"/>
      <c r="AZ192" s="734"/>
      <c r="BA192" s="734"/>
      <c r="BB192" s="734"/>
      <c r="BC192" s="734"/>
      <c r="BD192" s="734"/>
      <c r="BE192" s="734"/>
      <c r="BG192" s="733">
        <f t="shared" si="22"/>
        <v>0</v>
      </c>
      <c r="BH192" s="733">
        <f t="shared" si="23"/>
        <v>0</v>
      </c>
      <c r="BI192" s="734"/>
      <c r="BJ192" s="734"/>
      <c r="BK192" s="734"/>
      <c r="BL192" s="734"/>
      <c r="BM192" s="734"/>
      <c r="BN192" s="734"/>
      <c r="BO192" s="734"/>
      <c r="BP192" s="734"/>
      <c r="BQ192" s="734"/>
      <c r="BR192" s="734"/>
      <c r="BS192" s="734"/>
      <c r="BT192" s="734"/>
    </row>
    <row r="193" spans="2:72">
      <c r="B193" s="734"/>
      <c r="C193" s="733"/>
      <c r="D193" s="734"/>
      <c r="E193" s="734"/>
      <c r="F193" s="734"/>
      <c r="G193" s="734"/>
      <c r="H193" s="734"/>
      <c r="I193" s="734"/>
      <c r="J193" s="734"/>
      <c r="K193" s="734"/>
      <c r="L193" s="734"/>
      <c r="M193" s="734"/>
      <c r="N193" s="734"/>
      <c r="O193" s="734"/>
      <c r="P193" s="734"/>
      <c r="Q193" s="734"/>
      <c r="R193" s="734"/>
      <c r="S193" s="734"/>
      <c r="T193" s="734"/>
      <c r="U193" s="734"/>
      <c r="V193" s="734"/>
      <c r="W193" s="734"/>
      <c r="X193" s="734"/>
      <c r="Y193" s="734"/>
      <c r="Z193" s="734"/>
      <c r="AA193" s="734"/>
      <c r="AB193" s="734"/>
      <c r="AC193" s="538"/>
      <c r="AD193" s="733">
        <f t="shared" si="20"/>
        <v>0</v>
      </c>
      <c r="AE193" s="737"/>
      <c r="AF193" s="737"/>
      <c r="AG193" s="737"/>
      <c r="AH193" s="737"/>
      <c r="AI193" s="737"/>
      <c r="AJ193" s="737"/>
      <c r="AK193" s="737"/>
      <c r="AL193" s="737"/>
      <c r="AM193" s="737"/>
      <c r="AN193" s="737"/>
      <c r="AO193" s="737"/>
      <c r="AP193" s="737"/>
      <c r="AQ193" s="538"/>
      <c r="AR193" s="733">
        <f t="shared" si="19"/>
        <v>0</v>
      </c>
      <c r="AS193" s="733">
        <f t="shared" si="21"/>
        <v>0</v>
      </c>
      <c r="AT193" s="734"/>
      <c r="AU193" s="734"/>
      <c r="AV193" s="734"/>
      <c r="AW193" s="734"/>
      <c r="AX193" s="734"/>
      <c r="AY193" s="734"/>
      <c r="AZ193" s="734"/>
      <c r="BA193" s="734"/>
      <c r="BB193" s="734"/>
      <c r="BC193" s="734"/>
      <c r="BD193" s="734"/>
      <c r="BE193" s="734"/>
      <c r="BG193" s="733">
        <f t="shared" si="22"/>
        <v>0</v>
      </c>
      <c r="BH193" s="733">
        <f t="shared" si="23"/>
        <v>0</v>
      </c>
      <c r="BI193" s="734"/>
      <c r="BJ193" s="734"/>
      <c r="BK193" s="734"/>
      <c r="BL193" s="734"/>
      <c r="BM193" s="734"/>
      <c r="BN193" s="734"/>
      <c r="BO193" s="734"/>
      <c r="BP193" s="734"/>
      <c r="BQ193" s="734"/>
      <c r="BR193" s="734"/>
      <c r="BS193" s="734"/>
      <c r="BT193" s="734"/>
    </row>
    <row r="194" spans="2:72">
      <c r="B194" s="734"/>
      <c r="C194" s="733"/>
      <c r="D194" s="734"/>
      <c r="E194" s="734"/>
      <c r="F194" s="734"/>
      <c r="G194" s="734"/>
      <c r="H194" s="734"/>
      <c r="I194" s="734"/>
      <c r="J194" s="734"/>
      <c r="K194" s="734"/>
      <c r="L194" s="734"/>
      <c r="M194" s="734"/>
      <c r="N194" s="734"/>
      <c r="O194" s="734"/>
      <c r="P194" s="734"/>
      <c r="Q194" s="734"/>
      <c r="R194" s="734"/>
      <c r="S194" s="734"/>
      <c r="T194" s="734"/>
      <c r="U194" s="734"/>
      <c r="V194" s="734"/>
      <c r="W194" s="734"/>
      <c r="X194" s="734"/>
      <c r="Y194" s="734"/>
      <c r="Z194" s="734"/>
      <c r="AA194" s="734"/>
      <c r="AB194" s="734"/>
      <c r="AC194" s="538"/>
      <c r="AD194" s="733">
        <f t="shared" si="20"/>
        <v>0</v>
      </c>
      <c r="AE194" s="737"/>
      <c r="AF194" s="737"/>
      <c r="AG194" s="737"/>
      <c r="AH194" s="737"/>
      <c r="AI194" s="737"/>
      <c r="AJ194" s="737"/>
      <c r="AK194" s="737"/>
      <c r="AL194" s="737"/>
      <c r="AM194" s="737"/>
      <c r="AN194" s="737"/>
      <c r="AO194" s="737"/>
      <c r="AP194" s="737"/>
      <c r="AQ194" s="538"/>
      <c r="AR194" s="733">
        <f t="shared" si="19"/>
        <v>0</v>
      </c>
      <c r="AS194" s="733">
        <f t="shared" si="21"/>
        <v>0</v>
      </c>
      <c r="AT194" s="734"/>
      <c r="AU194" s="734"/>
      <c r="AV194" s="734"/>
      <c r="AW194" s="734"/>
      <c r="AX194" s="734"/>
      <c r="AY194" s="734"/>
      <c r="AZ194" s="734"/>
      <c r="BA194" s="734"/>
      <c r="BB194" s="734"/>
      <c r="BC194" s="734"/>
      <c r="BD194" s="734"/>
      <c r="BE194" s="734"/>
      <c r="BG194" s="733">
        <f t="shared" si="22"/>
        <v>0</v>
      </c>
      <c r="BH194" s="733">
        <f t="shared" si="23"/>
        <v>0</v>
      </c>
      <c r="BI194" s="734"/>
      <c r="BJ194" s="734"/>
      <c r="BK194" s="734"/>
      <c r="BL194" s="734"/>
      <c r="BM194" s="734"/>
      <c r="BN194" s="734"/>
      <c r="BO194" s="734"/>
      <c r="BP194" s="734"/>
      <c r="BQ194" s="734"/>
      <c r="BR194" s="734"/>
      <c r="BS194" s="734"/>
      <c r="BT194" s="734"/>
    </row>
    <row r="195" spans="2:72">
      <c r="B195" s="734"/>
      <c r="C195" s="733"/>
      <c r="D195" s="734"/>
      <c r="E195" s="734"/>
      <c r="F195" s="734"/>
      <c r="G195" s="734"/>
      <c r="H195" s="734"/>
      <c r="I195" s="734"/>
      <c r="J195" s="734"/>
      <c r="K195" s="734"/>
      <c r="L195" s="734"/>
      <c r="M195" s="734"/>
      <c r="N195" s="734"/>
      <c r="O195" s="734"/>
      <c r="P195" s="734"/>
      <c r="Q195" s="734"/>
      <c r="R195" s="734"/>
      <c r="S195" s="734"/>
      <c r="T195" s="734"/>
      <c r="U195" s="734"/>
      <c r="V195" s="734"/>
      <c r="W195" s="734"/>
      <c r="X195" s="734"/>
      <c r="Y195" s="734"/>
      <c r="Z195" s="734"/>
      <c r="AA195" s="734"/>
      <c r="AB195" s="734"/>
      <c r="AC195" s="538"/>
      <c r="AD195" s="733">
        <f t="shared" si="20"/>
        <v>0</v>
      </c>
      <c r="AE195" s="737"/>
      <c r="AF195" s="737"/>
      <c r="AG195" s="737"/>
      <c r="AH195" s="737"/>
      <c r="AI195" s="737"/>
      <c r="AJ195" s="737"/>
      <c r="AK195" s="737"/>
      <c r="AL195" s="737"/>
      <c r="AM195" s="737"/>
      <c r="AN195" s="737"/>
      <c r="AO195" s="737"/>
      <c r="AP195" s="737"/>
      <c r="AQ195" s="538"/>
      <c r="AR195" s="733">
        <f t="shared" si="19"/>
        <v>0</v>
      </c>
      <c r="AS195" s="733">
        <f t="shared" si="21"/>
        <v>0</v>
      </c>
      <c r="AT195" s="734"/>
      <c r="AU195" s="734"/>
      <c r="AV195" s="734"/>
      <c r="AW195" s="734"/>
      <c r="AX195" s="734"/>
      <c r="AY195" s="734"/>
      <c r="AZ195" s="734"/>
      <c r="BA195" s="734"/>
      <c r="BB195" s="734"/>
      <c r="BC195" s="734"/>
      <c r="BD195" s="734"/>
      <c r="BE195" s="734"/>
      <c r="BG195" s="733">
        <f t="shared" si="22"/>
        <v>0</v>
      </c>
      <c r="BH195" s="733">
        <f t="shared" si="23"/>
        <v>0</v>
      </c>
      <c r="BI195" s="734"/>
      <c r="BJ195" s="734"/>
      <c r="BK195" s="734"/>
      <c r="BL195" s="734"/>
      <c r="BM195" s="734"/>
      <c r="BN195" s="734"/>
      <c r="BO195" s="734"/>
      <c r="BP195" s="734"/>
      <c r="BQ195" s="734"/>
      <c r="BR195" s="734"/>
      <c r="BS195" s="734"/>
      <c r="BT195" s="734"/>
    </row>
    <row r="196" spans="2:72">
      <c r="B196" s="734"/>
      <c r="C196" s="733"/>
      <c r="D196" s="734"/>
      <c r="E196" s="734"/>
      <c r="F196" s="734"/>
      <c r="G196" s="734"/>
      <c r="H196" s="734"/>
      <c r="I196" s="734"/>
      <c r="J196" s="734"/>
      <c r="K196" s="734"/>
      <c r="L196" s="734"/>
      <c r="M196" s="734"/>
      <c r="N196" s="734"/>
      <c r="O196" s="734"/>
      <c r="P196" s="734"/>
      <c r="Q196" s="734"/>
      <c r="R196" s="734"/>
      <c r="S196" s="734"/>
      <c r="T196" s="734"/>
      <c r="U196" s="734"/>
      <c r="V196" s="734"/>
      <c r="W196" s="734"/>
      <c r="X196" s="734"/>
      <c r="Y196" s="734"/>
      <c r="Z196" s="734"/>
      <c r="AA196" s="734"/>
      <c r="AB196" s="734"/>
      <c r="AC196" s="538"/>
      <c r="AD196" s="733">
        <f t="shared" si="20"/>
        <v>0</v>
      </c>
      <c r="AE196" s="737"/>
      <c r="AF196" s="737"/>
      <c r="AG196" s="737"/>
      <c r="AH196" s="737"/>
      <c r="AI196" s="737"/>
      <c r="AJ196" s="737"/>
      <c r="AK196" s="737"/>
      <c r="AL196" s="737"/>
      <c r="AM196" s="737"/>
      <c r="AN196" s="737"/>
      <c r="AO196" s="737"/>
      <c r="AP196" s="737"/>
      <c r="AQ196" s="538"/>
      <c r="AR196" s="733">
        <f t="shared" si="19"/>
        <v>0</v>
      </c>
      <c r="AS196" s="733">
        <f t="shared" si="21"/>
        <v>0</v>
      </c>
      <c r="AT196" s="734"/>
      <c r="AU196" s="734"/>
      <c r="AV196" s="734"/>
      <c r="AW196" s="734"/>
      <c r="AX196" s="734"/>
      <c r="AY196" s="734"/>
      <c r="AZ196" s="734"/>
      <c r="BA196" s="734"/>
      <c r="BB196" s="734"/>
      <c r="BC196" s="734"/>
      <c r="BD196" s="734"/>
      <c r="BE196" s="734"/>
      <c r="BG196" s="733">
        <f t="shared" si="22"/>
        <v>0</v>
      </c>
      <c r="BH196" s="733">
        <f t="shared" si="23"/>
        <v>0</v>
      </c>
      <c r="BI196" s="734"/>
      <c r="BJ196" s="734"/>
      <c r="BK196" s="734"/>
      <c r="BL196" s="734"/>
      <c r="BM196" s="734"/>
      <c r="BN196" s="734"/>
      <c r="BO196" s="734"/>
      <c r="BP196" s="734"/>
      <c r="BQ196" s="734"/>
      <c r="BR196" s="734"/>
      <c r="BS196" s="734"/>
      <c r="BT196" s="734"/>
    </row>
    <row r="197" spans="2:72">
      <c r="B197" s="734"/>
      <c r="C197" s="733"/>
      <c r="D197" s="734"/>
      <c r="E197" s="734"/>
      <c r="F197" s="734"/>
      <c r="G197" s="734"/>
      <c r="H197" s="734"/>
      <c r="I197" s="734"/>
      <c r="J197" s="734"/>
      <c r="K197" s="734"/>
      <c r="L197" s="734"/>
      <c r="M197" s="734"/>
      <c r="N197" s="734"/>
      <c r="O197" s="734"/>
      <c r="P197" s="734"/>
      <c r="Q197" s="734"/>
      <c r="R197" s="734"/>
      <c r="S197" s="734"/>
      <c r="T197" s="734"/>
      <c r="U197" s="734"/>
      <c r="V197" s="734"/>
      <c r="W197" s="734"/>
      <c r="X197" s="734"/>
      <c r="Y197" s="734"/>
      <c r="Z197" s="734"/>
      <c r="AA197" s="734"/>
      <c r="AB197" s="734"/>
      <c r="AC197" s="538"/>
      <c r="AD197" s="733">
        <f t="shared" si="20"/>
        <v>0</v>
      </c>
      <c r="AE197" s="737"/>
      <c r="AF197" s="737"/>
      <c r="AG197" s="737"/>
      <c r="AH197" s="737"/>
      <c r="AI197" s="737"/>
      <c r="AJ197" s="737"/>
      <c r="AK197" s="737"/>
      <c r="AL197" s="737"/>
      <c r="AM197" s="737"/>
      <c r="AN197" s="737"/>
      <c r="AO197" s="737"/>
      <c r="AP197" s="737"/>
      <c r="AQ197" s="538"/>
      <c r="AR197" s="733">
        <f t="shared" si="19"/>
        <v>0</v>
      </c>
      <c r="AS197" s="733">
        <f t="shared" si="21"/>
        <v>0</v>
      </c>
      <c r="AT197" s="734"/>
      <c r="AU197" s="734"/>
      <c r="AV197" s="734"/>
      <c r="AW197" s="734"/>
      <c r="AX197" s="734"/>
      <c r="AY197" s="734"/>
      <c r="AZ197" s="734"/>
      <c r="BA197" s="734"/>
      <c r="BB197" s="734"/>
      <c r="BC197" s="734"/>
      <c r="BD197" s="734"/>
      <c r="BE197" s="734"/>
      <c r="BG197" s="733">
        <f t="shared" si="22"/>
        <v>0</v>
      </c>
      <c r="BH197" s="733">
        <f t="shared" si="23"/>
        <v>0</v>
      </c>
      <c r="BI197" s="734"/>
      <c r="BJ197" s="734"/>
      <c r="BK197" s="734"/>
      <c r="BL197" s="734"/>
      <c r="BM197" s="734"/>
      <c r="BN197" s="734"/>
      <c r="BO197" s="734"/>
      <c r="BP197" s="734"/>
      <c r="BQ197" s="734"/>
      <c r="BR197" s="734"/>
      <c r="BS197" s="734"/>
      <c r="BT197" s="734"/>
    </row>
    <row r="198" spans="2:72">
      <c r="B198" s="734"/>
      <c r="C198" s="733"/>
      <c r="D198" s="737"/>
      <c r="E198" s="734"/>
      <c r="F198" s="734"/>
      <c r="G198" s="734"/>
      <c r="H198" s="734"/>
      <c r="I198" s="734"/>
      <c r="J198" s="734"/>
      <c r="K198" s="734"/>
      <c r="L198" s="734"/>
      <c r="M198" s="734"/>
      <c r="N198" s="734"/>
      <c r="O198" s="734"/>
      <c r="P198" s="734"/>
      <c r="Q198" s="734"/>
      <c r="R198" s="734"/>
      <c r="S198" s="734"/>
      <c r="T198" s="734"/>
      <c r="U198" s="734"/>
      <c r="V198" s="734"/>
      <c r="W198" s="734"/>
      <c r="X198" s="734"/>
      <c r="Y198" s="734"/>
      <c r="Z198" s="734"/>
      <c r="AA198" s="734"/>
      <c r="AB198" s="734"/>
      <c r="AC198" s="538"/>
      <c r="AD198" s="733">
        <f t="shared" si="20"/>
        <v>0</v>
      </c>
      <c r="AE198" s="737"/>
      <c r="AF198" s="737"/>
      <c r="AG198" s="737"/>
      <c r="AH198" s="737"/>
      <c r="AI198" s="737"/>
      <c r="AJ198" s="737"/>
      <c r="AK198" s="737"/>
      <c r="AL198" s="737"/>
      <c r="AM198" s="737"/>
      <c r="AN198" s="737"/>
      <c r="AO198" s="737"/>
      <c r="AP198" s="737"/>
      <c r="AQ198" s="538"/>
      <c r="AR198" s="733">
        <f t="shared" ref="AR198:AR203" si="24">B198</f>
        <v>0</v>
      </c>
      <c r="AS198" s="733">
        <f t="shared" si="21"/>
        <v>0</v>
      </c>
      <c r="AT198" s="734"/>
      <c r="AU198" s="734"/>
      <c r="AV198" s="734"/>
      <c r="AW198" s="734"/>
      <c r="AX198" s="734"/>
      <c r="AY198" s="734"/>
      <c r="AZ198" s="734"/>
      <c r="BA198" s="734"/>
      <c r="BB198" s="734"/>
      <c r="BC198" s="734"/>
      <c r="BD198" s="734"/>
      <c r="BE198" s="734"/>
      <c r="BG198" s="733">
        <f t="shared" si="22"/>
        <v>0</v>
      </c>
      <c r="BH198" s="733">
        <f t="shared" si="23"/>
        <v>0</v>
      </c>
      <c r="BI198" s="734"/>
      <c r="BJ198" s="734"/>
      <c r="BK198" s="734"/>
      <c r="BL198" s="734"/>
      <c r="BM198" s="734"/>
      <c r="BN198" s="734"/>
      <c r="BO198" s="734"/>
      <c r="BP198" s="734"/>
      <c r="BQ198" s="734"/>
      <c r="BR198" s="734"/>
      <c r="BS198" s="734"/>
      <c r="BT198" s="734"/>
    </row>
    <row r="199" spans="2:72">
      <c r="B199" s="734"/>
      <c r="C199" s="733"/>
      <c r="D199" s="734"/>
      <c r="E199" s="734"/>
      <c r="F199" s="734"/>
      <c r="G199" s="734"/>
      <c r="H199" s="734"/>
      <c r="I199" s="734"/>
      <c r="J199" s="734"/>
      <c r="K199" s="734"/>
      <c r="L199" s="734"/>
      <c r="M199" s="734"/>
      <c r="N199" s="734"/>
      <c r="O199" s="734"/>
      <c r="P199" s="734"/>
      <c r="Q199" s="734"/>
      <c r="R199" s="734"/>
      <c r="S199" s="734"/>
      <c r="T199" s="734"/>
      <c r="U199" s="734"/>
      <c r="V199" s="734"/>
      <c r="W199" s="734"/>
      <c r="X199" s="734"/>
      <c r="Y199" s="734"/>
      <c r="Z199" s="734"/>
      <c r="AA199" s="734"/>
      <c r="AB199" s="734"/>
      <c r="AC199" s="538"/>
      <c r="AD199" s="733">
        <f t="shared" ref="AD199:AD203" si="25">C199</f>
        <v>0</v>
      </c>
      <c r="AE199" s="737"/>
      <c r="AF199" s="737"/>
      <c r="AG199" s="737"/>
      <c r="AH199" s="737"/>
      <c r="AI199" s="737"/>
      <c r="AJ199" s="737"/>
      <c r="AK199" s="737"/>
      <c r="AL199" s="737"/>
      <c r="AM199" s="737"/>
      <c r="AN199" s="737"/>
      <c r="AO199" s="737"/>
      <c r="AP199" s="737"/>
      <c r="AQ199" s="538"/>
      <c r="AR199" s="733">
        <f t="shared" si="24"/>
        <v>0</v>
      </c>
      <c r="AS199" s="733">
        <f t="shared" ref="AS199:AS205" si="26">AD199</f>
        <v>0</v>
      </c>
      <c r="AT199" s="734"/>
      <c r="AU199" s="734"/>
      <c r="AV199" s="734"/>
      <c r="AW199" s="734"/>
      <c r="AX199" s="734"/>
      <c r="AY199" s="734"/>
      <c r="AZ199" s="734"/>
      <c r="BA199" s="734"/>
      <c r="BB199" s="734"/>
      <c r="BC199" s="734"/>
      <c r="BD199" s="734"/>
      <c r="BE199" s="734"/>
      <c r="BG199" s="733">
        <f t="shared" ref="BG199:BG205" si="27">+AR199</f>
        <v>0</v>
      </c>
      <c r="BH199" s="733">
        <f t="shared" ref="BH199:BH205" si="28">+AS199</f>
        <v>0</v>
      </c>
      <c r="BI199" s="734"/>
      <c r="BJ199" s="734"/>
      <c r="BK199" s="734"/>
      <c r="BL199" s="734"/>
      <c r="BM199" s="734"/>
      <c r="BN199" s="734"/>
      <c r="BO199" s="734"/>
      <c r="BP199" s="734"/>
      <c r="BQ199" s="734"/>
      <c r="BR199" s="734"/>
      <c r="BS199" s="734"/>
      <c r="BT199" s="734"/>
    </row>
    <row r="200" spans="2:72">
      <c r="B200" s="734"/>
      <c r="C200" s="733"/>
      <c r="D200" s="734"/>
      <c r="E200" s="734"/>
      <c r="F200" s="734"/>
      <c r="G200" s="734"/>
      <c r="H200" s="734"/>
      <c r="I200" s="734"/>
      <c r="J200" s="734"/>
      <c r="K200" s="734"/>
      <c r="L200" s="734"/>
      <c r="M200" s="734"/>
      <c r="N200" s="545"/>
      <c r="O200" s="545"/>
      <c r="P200" s="545"/>
      <c r="Q200" s="734"/>
      <c r="R200" s="734"/>
      <c r="S200" s="734"/>
      <c r="T200" s="734"/>
      <c r="U200" s="734"/>
      <c r="V200" s="734"/>
      <c r="W200" s="734"/>
      <c r="X200" s="734"/>
      <c r="Y200" s="734"/>
      <c r="Z200" s="734"/>
      <c r="AA200" s="734"/>
      <c r="AB200" s="734"/>
      <c r="AC200" s="538"/>
      <c r="AD200" s="733">
        <f t="shared" si="25"/>
        <v>0</v>
      </c>
      <c r="AE200" s="737"/>
      <c r="AF200" s="737"/>
      <c r="AG200" s="737"/>
      <c r="AH200" s="737"/>
      <c r="AI200" s="737"/>
      <c r="AJ200" s="737"/>
      <c r="AK200" s="737"/>
      <c r="AL200" s="737"/>
      <c r="AM200" s="737"/>
      <c r="AN200" s="737"/>
      <c r="AO200" s="737"/>
      <c r="AP200" s="737"/>
      <c r="AQ200" s="538"/>
      <c r="AR200" s="733">
        <f t="shared" si="24"/>
        <v>0</v>
      </c>
      <c r="AS200" s="733">
        <f t="shared" si="26"/>
        <v>0</v>
      </c>
      <c r="AT200" s="734"/>
      <c r="AU200" s="734"/>
      <c r="AV200" s="734"/>
      <c r="AW200" s="734"/>
      <c r="AX200" s="734"/>
      <c r="AY200" s="734"/>
      <c r="AZ200" s="734"/>
      <c r="BA200" s="734"/>
      <c r="BB200" s="734"/>
      <c r="BC200" s="734"/>
      <c r="BD200" s="734"/>
      <c r="BE200" s="734"/>
      <c r="BG200" s="733">
        <f t="shared" si="27"/>
        <v>0</v>
      </c>
      <c r="BH200" s="733">
        <f t="shared" si="28"/>
        <v>0</v>
      </c>
      <c r="BI200" s="734"/>
      <c r="BJ200" s="734"/>
      <c r="BK200" s="734"/>
      <c r="BL200" s="734"/>
      <c r="BM200" s="734"/>
      <c r="BN200" s="734"/>
      <c r="BO200" s="734"/>
      <c r="BP200" s="734"/>
      <c r="BQ200" s="734"/>
      <c r="BR200" s="734"/>
      <c r="BS200" s="734"/>
      <c r="BT200" s="734"/>
    </row>
    <row r="201" spans="2:72">
      <c r="B201" s="734"/>
      <c r="C201" s="733"/>
      <c r="D201" s="734"/>
      <c r="E201" s="734"/>
      <c r="F201" s="734"/>
      <c r="G201" s="734"/>
      <c r="H201" s="734"/>
      <c r="I201" s="734"/>
      <c r="J201" s="734"/>
      <c r="K201" s="734"/>
      <c r="L201" s="734"/>
      <c r="M201" s="734"/>
      <c r="N201" s="545"/>
      <c r="O201" s="545"/>
      <c r="P201" s="545"/>
      <c r="Q201" s="734"/>
      <c r="R201" s="734"/>
      <c r="S201" s="734"/>
      <c r="T201" s="734"/>
      <c r="U201" s="734"/>
      <c r="V201" s="734"/>
      <c r="W201" s="734"/>
      <c r="X201" s="734"/>
      <c r="Y201" s="734"/>
      <c r="Z201" s="734"/>
      <c r="AA201" s="734"/>
      <c r="AB201" s="734"/>
      <c r="AC201" s="538"/>
      <c r="AD201" s="733">
        <f t="shared" si="25"/>
        <v>0</v>
      </c>
      <c r="AE201" s="737"/>
      <c r="AF201" s="737"/>
      <c r="AG201" s="737"/>
      <c r="AH201" s="737"/>
      <c r="AI201" s="737"/>
      <c r="AJ201" s="737"/>
      <c r="AK201" s="737"/>
      <c r="AL201" s="737"/>
      <c r="AM201" s="737"/>
      <c r="AN201" s="737"/>
      <c r="AO201" s="737"/>
      <c r="AP201" s="737"/>
      <c r="AQ201" s="538"/>
      <c r="AR201" s="733">
        <f t="shared" si="24"/>
        <v>0</v>
      </c>
      <c r="AS201" s="733">
        <f t="shared" si="26"/>
        <v>0</v>
      </c>
      <c r="AT201" s="734"/>
      <c r="AU201" s="734"/>
      <c r="AV201" s="734"/>
      <c r="AW201" s="734"/>
      <c r="AX201" s="734"/>
      <c r="AY201" s="734"/>
      <c r="AZ201" s="734"/>
      <c r="BA201" s="734"/>
      <c r="BB201" s="734"/>
      <c r="BC201" s="734"/>
      <c r="BD201" s="734"/>
      <c r="BE201" s="734"/>
      <c r="BG201" s="733">
        <f t="shared" si="27"/>
        <v>0</v>
      </c>
      <c r="BH201" s="733">
        <f t="shared" si="28"/>
        <v>0</v>
      </c>
      <c r="BI201" s="734"/>
      <c r="BJ201" s="734"/>
      <c r="BK201" s="734"/>
      <c r="BL201" s="734"/>
      <c r="BM201" s="734"/>
      <c r="BN201" s="734"/>
      <c r="BO201" s="734"/>
      <c r="BP201" s="734"/>
      <c r="BQ201" s="734"/>
      <c r="BR201" s="734"/>
      <c r="BS201" s="734"/>
      <c r="BT201" s="734"/>
    </row>
    <row r="202" spans="2:72">
      <c r="B202" s="734"/>
      <c r="C202" s="733"/>
      <c r="D202" s="734"/>
      <c r="E202" s="734"/>
      <c r="F202" s="734"/>
      <c r="G202" s="734"/>
      <c r="H202" s="734"/>
      <c r="I202" s="734"/>
      <c r="J202" s="735"/>
      <c r="K202" s="735"/>
      <c r="L202" s="545"/>
      <c r="M202" s="734"/>
      <c r="N202" s="736"/>
      <c r="O202" s="736"/>
      <c r="P202" s="736"/>
      <c r="Q202" s="734"/>
      <c r="R202" s="734"/>
      <c r="S202" s="734"/>
      <c r="T202" s="734"/>
      <c r="U202" s="734"/>
      <c r="V202" s="734"/>
      <c r="W202" s="734"/>
      <c r="X202" s="734"/>
      <c r="Y202" s="734"/>
      <c r="Z202" s="734"/>
      <c r="AA202" s="734"/>
      <c r="AB202" s="734"/>
      <c r="AC202" s="538"/>
      <c r="AD202" s="733">
        <f t="shared" si="25"/>
        <v>0</v>
      </c>
      <c r="AE202" s="737"/>
      <c r="AF202" s="737"/>
      <c r="AG202" s="737"/>
      <c r="AH202" s="737"/>
      <c r="AI202" s="737"/>
      <c r="AJ202" s="737"/>
      <c r="AK202" s="737"/>
      <c r="AL202" s="737"/>
      <c r="AM202" s="737"/>
      <c r="AN202" s="737"/>
      <c r="AO202" s="737"/>
      <c r="AP202" s="737"/>
      <c r="AQ202" s="538"/>
      <c r="AR202" s="733">
        <f t="shared" si="24"/>
        <v>0</v>
      </c>
      <c r="AS202" s="733">
        <f t="shared" si="26"/>
        <v>0</v>
      </c>
      <c r="AT202" s="734"/>
      <c r="AU202" s="734"/>
      <c r="AV202" s="734"/>
      <c r="AW202" s="734"/>
      <c r="AX202" s="734"/>
      <c r="AY202" s="734"/>
      <c r="AZ202" s="734"/>
      <c r="BA202" s="734"/>
      <c r="BB202" s="734"/>
      <c r="BC202" s="734"/>
      <c r="BD202" s="734"/>
      <c r="BE202" s="734"/>
      <c r="BG202" s="733">
        <f t="shared" si="27"/>
        <v>0</v>
      </c>
      <c r="BH202" s="733">
        <f t="shared" si="28"/>
        <v>0</v>
      </c>
      <c r="BI202" s="734"/>
      <c r="BJ202" s="734"/>
      <c r="BK202" s="734"/>
      <c r="BL202" s="734"/>
      <c r="BM202" s="734"/>
      <c r="BN202" s="734"/>
      <c r="BO202" s="734"/>
      <c r="BP202" s="734"/>
      <c r="BQ202" s="734"/>
      <c r="BR202" s="734"/>
      <c r="BS202" s="734"/>
      <c r="BT202" s="734"/>
    </row>
    <row r="203" spans="2:72">
      <c r="B203" s="734"/>
      <c r="C203" s="733"/>
      <c r="D203" s="734"/>
      <c r="E203" s="734"/>
      <c r="F203" s="734"/>
      <c r="G203" s="734"/>
      <c r="H203" s="734"/>
      <c r="I203" s="734"/>
      <c r="J203" s="735"/>
      <c r="K203" s="735"/>
      <c r="L203" s="545"/>
      <c r="M203" s="545"/>
      <c r="N203" s="545"/>
      <c r="O203" s="545"/>
      <c r="P203" s="545"/>
      <c r="Q203" s="734"/>
      <c r="R203" s="734"/>
      <c r="S203" s="734"/>
      <c r="T203" s="734"/>
      <c r="U203" s="734"/>
      <c r="V203" s="734"/>
      <c r="W203" s="734"/>
      <c r="X203" s="734"/>
      <c r="Y203" s="734"/>
      <c r="Z203" s="734"/>
      <c r="AA203" s="734"/>
      <c r="AB203" s="734"/>
      <c r="AC203" s="538"/>
      <c r="AD203" s="733">
        <f t="shared" si="25"/>
        <v>0</v>
      </c>
      <c r="AE203" s="737"/>
      <c r="AF203" s="737"/>
      <c r="AG203" s="737"/>
      <c r="AH203" s="737"/>
      <c r="AI203" s="737"/>
      <c r="AJ203" s="737"/>
      <c r="AK203" s="737"/>
      <c r="AL203" s="737"/>
      <c r="AM203" s="737"/>
      <c r="AN203" s="737"/>
      <c r="AO203" s="737"/>
      <c r="AP203" s="737"/>
      <c r="AQ203" s="538"/>
      <c r="AR203" s="733">
        <f t="shared" si="24"/>
        <v>0</v>
      </c>
      <c r="AS203" s="733">
        <f t="shared" si="26"/>
        <v>0</v>
      </c>
      <c r="AT203" s="734"/>
      <c r="AU203" s="734"/>
      <c r="AV203" s="734"/>
      <c r="AW203" s="734"/>
      <c r="AX203" s="734"/>
      <c r="AY203" s="734"/>
      <c r="AZ203" s="734"/>
      <c r="BA203" s="734"/>
      <c r="BB203" s="734"/>
      <c r="BC203" s="734"/>
      <c r="BD203" s="734"/>
      <c r="BE203" s="734"/>
      <c r="BG203" s="733">
        <f t="shared" si="27"/>
        <v>0</v>
      </c>
      <c r="BH203" s="733">
        <f t="shared" si="28"/>
        <v>0</v>
      </c>
      <c r="BI203" s="734"/>
      <c r="BJ203" s="734"/>
      <c r="BK203" s="734"/>
      <c r="BL203" s="734"/>
      <c r="BM203" s="734"/>
      <c r="BN203" s="734"/>
      <c r="BO203" s="734"/>
      <c r="BP203" s="734"/>
      <c r="BQ203" s="734"/>
      <c r="BR203" s="734"/>
      <c r="BS203" s="734"/>
      <c r="BT203" s="734"/>
    </row>
    <row r="204" spans="2:72">
      <c r="B204" s="734"/>
      <c r="C204" s="733"/>
      <c r="D204" s="734"/>
      <c r="E204" s="734"/>
      <c r="F204" s="734"/>
      <c r="G204" s="734"/>
      <c r="H204" s="734"/>
      <c r="I204" s="734"/>
      <c r="J204" s="735"/>
      <c r="K204" s="735"/>
      <c r="L204" s="545"/>
      <c r="M204" s="545"/>
      <c r="N204" s="545"/>
      <c r="O204" s="545"/>
      <c r="P204" s="545"/>
      <c r="Q204" s="734"/>
      <c r="R204" s="734"/>
      <c r="S204" s="734"/>
      <c r="T204" s="734"/>
      <c r="U204" s="734"/>
      <c r="V204" s="734"/>
      <c r="W204" s="734"/>
      <c r="X204" s="734"/>
      <c r="Y204" s="734"/>
      <c r="Z204" s="734"/>
      <c r="AA204" s="734"/>
      <c r="AB204" s="734"/>
      <c r="AC204" s="538"/>
      <c r="AD204" s="733">
        <f>C204</f>
        <v>0</v>
      </c>
      <c r="AE204" s="737"/>
      <c r="AF204" s="737"/>
      <c r="AG204" s="737"/>
      <c r="AH204" s="737"/>
      <c r="AI204" s="737"/>
      <c r="AJ204" s="737"/>
      <c r="AK204" s="737"/>
      <c r="AL204" s="737"/>
      <c r="AM204" s="737"/>
      <c r="AN204" s="737"/>
      <c r="AO204" s="737"/>
      <c r="AP204" s="737"/>
      <c r="AQ204" s="538"/>
      <c r="AR204" s="733">
        <f>B204</f>
        <v>0</v>
      </c>
      <c r="AS204" s="733">
        <f t="shared" si="26"/>
        <v>0</v>
      </c>
      <c r="AT204" s="734"/>
      <c r="AU204" s="734"/>
      <c r="AV204" s="734"/>
      <c r="AW204" s="734"/>
      <c r="AX204" s="734"/>
      <c r="AY204" s="734"/>
      <c r="AZ204" s="734"/>
      <c r="BA204" s="734"/>
      <c r="BB204" s="734"/>
      <c r="BC204" s="734"/>
      <c r="BD204" s="734"/>
      <c r="BE204" s="734"/>
      <c r="BG204" s="733">
        <f t="shared" si="27"/>
        <v>0</v>
      </c>
      <c r="BH204" s="733">
        <f t="shared" si="28"/>
        <v>0</v>
      </c>
      <c r="BI204" s="734"/>
      <c r="BJ204" s="734"/>
      <c r="BK204" s="734"/>
      <c r="BL204" s="734"/>
      <c r="BM204" s="734"/>
      <c r="BN204" s="734"/>
      <c r="BO204" s="734"/>
      <c r="BP204" s="734"/>
      <c r="BQ204" s="734"/>
      <c r="BR204" s="734"/>
      <c r="BS204" s="734"/>
      <c r="BT204" s="734"/>
    </row>
    <row r="205" spans="2:72">
      <c r="B205" s="734"/>
      <c r="C205" s="733"/>
      <c r="D205" s="734"/>
      <c r="E205" s="734"/>
      <c r="F205" s="734"/>
      <c r="G205" s="734"/>
      <c r="H205" s="734"/>
      <c r="I205" s="734"/>
      <c r="J205" s="735"/>
      <c r="K205" s="735"/>
      <c r="L205" s="545"/>
      <c r="M205" s="545"/>
      <c r="N205" s="545"/>
      <c r="O205" s="545"/>
      <c r="P205" s="545"/>
      <c r="Q205" s="734"/>
      <c r="R205" s="734"/>
      <c r="S205" s="734"/>
      <c r="T205" s="734"/>
      <c r="U205" s="734"/>
      <c r="V205" s="734"/>
      <c r="W205" s="734"/>
      <c r="X205" s="734"/>
      <c r="Y205" s="734"/>
      <c r="Z205" s="734"/>
      <c r="AA205" s="734"/>
      <c r="AB205" s="734"/>
      <c r="AC205" s="538"/>
      <c r="AD205" s="733">
        <f>C205</f>
        <v>0</v>
      </c>
      <c r="AE205" s="737"/>
      <c r="AF205" s="737"/>
      <c r="AG205" s="737"/>
      <c r="AH205" s="737"/>
      <c r="AI205" s="737"/>
      <c r="AJ205" s="737"/>
      <c r="AK205" s="737"/>
      <c r="AL205" s="737"/>
      <c r="AM205" s="737"/>
      <c r="AN205" s="737"/>
      <c r="AO205" s="737"/>
      <c r="AP205" s="737"/>
      <c r="AQ205" s="538"/>
      <c r="AR205" s="733">
        <f>B205</f>
        <v>0</v>
      </c>
      <c r="AS205" s="733">
        <f t="shared" si="26"/>
        <v>0</v>
      </c>
      <c r="AT205" s="734"/>
      <c r="AU205" s="734"/>
      <c r="AV205" s="734"/>
      <c r="AW205" s="734"/>
      <c r="AX205" s="734"/>
      <c r="AY205" s="734"/>
      <c r="AZ205" s="734"/>
      <c r="BA205" s="734"/>
      <c r="BB205" s="734"/>
      <c r="BC205" s="734"/>
      <c r="BD205" s="734"/>
      <c r="BE205" s="734"/>
      <c r="BG205" s="733">
        <f t="shared" si="27"/>
        <v>0</v>
      </c>
      <c r="BH205" s="733">
        <f t="shared" si="28"/>
        <v>0</v>
      </c>
      <c r="BI205" s="734"/>
      <c r="BJ205" s="734"/>
      <c r="BK205" s="734"/>
      <c r="BL205" s="734"/>
      <c r="BM205" s="734"/>
      <c r="BN205" s="734"/>
      <c r="BO205" s="734"/>
      <c r="BP205" s="734"/>
      <c r="BQ205" s="734"/>
      <c r="BR205" s="734"/>
      <c r="BS205" s="734"/>
      <c r="BT205" s="734"/>
    </row>
    <row r="206" spans="2:72">
      <c r="B206" s="1268" t="s">
        <v>2087</v>
      </c>
      <c r="C206" s="1268"/>
      <c r="D206" s="1268"/>
      <c r="E206" s="1268"/>
      <c r="F206" s="1268"/>
      <c r="G206" s="1268"/>
      <c r="H206" s="1268"/>
      <c r="I206" s="1268"/>
      <c r="J206" s="1268"/>
      <c r="K206" s="1268"/>
      <c r="L206" s="1268"/>
      <c r="M206" s="1268"/>
      <c r="N206" s="1268"/>
      <c r="O206" s="1268"/>
      <c r="P206" s="1268"/>
      <c r="Q206" s="1268"/>
      <c r="R206" s="1268"/>
      <c r="S206" s="1268"/>
      <c r="T206" s="1268"/>
      <c r="U206" s="1268"/>
      <c r="V206" s="1268"/>
      <c r="W206" s="1268"/>
      <c r="X206" s="1268"/>
      <c r="Y206" s="1268"/>
      <c r="Z206" s="1268"/>
      <c r="AA206" s="1268"/>
      <c r="AB206" s="1268"/>
      <c r="AD206" s="1268" t="s">
        <v>2087</v>
      </c>
      <c r="AE206" s="1268"/>
      <c r="AF206" s="1268"/>
      <c r="AG206" s="1268"/>
      <c r="AH206" s="1268"/>
      <c r="AI206" s="1268"/>
      <c r="AJ206" s="1268"/>
      <c r="AK206" s="1268"/>
      <c r="AL206" s="1268"/>
      <c r="AM206" s="1268"/>
      <c r="AN206" s="1268"/>
      <c r="AO206" s="1268"/>
      <c r="AP206" s="1268"/>
      <c r="AQ206" s="554"/>
      <c r="AR206" s="1268" t="s">
        <v>2087</v>
      </c>
      <c r="AS206" s="1268"/>
      <c r="AT206" s="1268"/>
      <c r="AU206" s="1268"/>
      <c r="AV206" s="1268"/>
      <c r="AW206" s="1268"/>
      <c r="AX206" s="1268"/>
      <c r="AY206" s="1268"/>
      <c r="AZ206" s="1268"/>
      <c r="BA206" s="1268"/>
      <c r="BB206" s="1268"/>
      <c r="BC206" s="1268"/>
      <c r="BD206" s="1268"/>
      <c r="BE206" s="1268"/>
      <c r="BG206" s="1268" t="s">
        <v>2087</v>
      </c>
      <c r="BH206" s="1268"/>
      <c r="BI206" s="1268"/>
      <c r="BJ206" s="1268"/>
      <c r="BK206" s="1268"/>
      <c r="BL206" s="1268"/>
      <c r="BM206" s="1268"/>
      <c r="BN206" s="1268"/>
      <c r="BO206" s="1268"/>
      <c r="BP206" s="1268"/>
      <c r="BQ206" s="1268"/>
      <c r="BR206" s="1268"/>
      <c r="BS206" s="1268"/>
      <c r="BT206" s="1268"/>
    </row>
  </sheetData>
  <sheetProtection algorithmName="SHA-512" hashValue="+m8L3u/FC/Wzqd7Vv4ZS/G1xBltfkRdLtahJPXj34gV52IoA+z10v7cBe8X9ZRuVA0uep+CKvw5o7qJFsUj/3w==" saltValue="q26SbsDSLjU6qiQMPSuosw==" spinCount="100000" sheet="1" objects="1" scenarios="1" selectLockedCells="1" selectUnlockedCells="1"/>
  <mergeCells count="126">
    <mergeCell ref="B206:AB206"/>
    <mergeCell ref="AD206:AP206"/>
    <mergeCell ref="AR206:BE206"/>
    <mergeCell ref="BG206:BT206"/>
    <mergeCell ref="FQ85:GE85"/>
    <mergeCell ref="FQ99:FR99"/>
    <mergeCell ref="FQ119:FR119"/>
    <mergeCell ref="GC32:GD32"/>
    <mergeCell ref="FV62:FY64"/>
    <mergeCell ref="FQ86:FR86"/>
    <mergeCell ref="CQ6:CR6"/>
    <mergeCell ref="CT6:CU6"/>
    <mergeCell ref="GW50:HC50"/>
    <mergeCell ref="GW51:HC51"/>
    <mergeCell ref="GW52:GY52"/>
    <mergeCell ref="HA52:HC52"/>
    <mergeCell ref="GW58:GY58"/>
    <mergeCell ref="HA58:HC58"/>
    <mergeCell ref="GO33:GU33"/>
    <mergeCell ref="GS30:GT30"/>
    <mergeCell ref="GO12:GQ12"/>
    <mergeCell ref="GS12:GU12"/>
    <mergeCell ref="GO14:GU14"/>
    <mergeCell ref="GW11:GY11"/>
    <mergeCell ref="GW14:HC14"/>
    <mergeCell ref="GW15:HC15"/>
    <mergeCell ref="GW16:GY16"/>
    <mergeCell ref="HA16:HC16"/>
    <mergeCell ref="GW46:GY46"/>
    <mergeCell ref="HA46:HC46"/>
    <mergeCell ref="GW47:GY47"/>
    <mergeCell ref="HA47:HC47"/>
    <mergeCell ref="GW35:GY35"/>
    <mergeCell ref="HA35:HC35"/>
    <mergeCell ref="GW59:GY59"/>
    <mergeCell ref="HA59:HC59"/>
    <mergeCell ref="BZ6:CA6"/>
    <mergeCell ref="CB6:CC6"/>
    <mergeCell ref="CD6:CE6"/>
    <mergeCell ref="CF6:CG6"/>
    <mergeCell ref="CH6:CI6"/>
    <mergeCell ref="CJ6:CK6"/>
    <mergeCell ref="FQ2:GE2"/>
    <mergeCell ref="FQ3:FS3"/>
    <mergeCell ref="FU3:FX3"/>
    <mergeCell ref="FZ3:GA3"/>
    <mergeCell ref="GC3:GE3"/>
    <mergeCell ref="BX3:CU3"/>
    <mergeCell ref="BX4:BY4"/>
    <mergeCell ref="BZ4:CC4"/>
    <mergeCell ref="CD4:CG4"/>
    <mergeCell ref="CH4:CK4"/>
    <mergeCell ref="CL4:CO4"/>
    <mergeCell ref="CP4:CR4"/>
    <mergeCell ref="CS4:CU4"/>
    <mergeCell ref="BX5:CU5"/>
    <mergeCell ref="CW2:FO2"/>
    <mergeCell ref="GG4:GI4"/>
    <mergeCell ref="GK4:GM4"/>
    <mergeCell ref="AR4:AS5"/>
    <mergeCell ref="B2:AB2"/>
    <mergeCell ref="AD2:AP2"/>
    <mergeCell ref="AR2:BE2"/>
    <mergeCell ref="B4:B5"/>
    <mergeCell ref="C4:C5"/>
    <mergeCell ref="D4:D5"/>
    <mergeCell ref="E4:E5"/>
    <mergeCell ref="G4:G5"/>
    <mergeCell ref="I4:J4"/>
    <mergeCell ref="O4:P4"/>
    <mergeCell ref="Q4:Q5"/>
    <mergeCell ref="S4:S5"/>
    <mergeCell ref="Z4:AA4"/>
    <mergeCell ref="AB4:AB5"/>
    <mergeCell ref="AD4:AD5"/>
    <mergeCell ref="BG2:BT2"/>
    <mergeCell ref="BG3:BH3"/>
    <mergeCell ref="BG4:BH5"/>
    <mergeCell ref="BV2:CU2"/>
    <mergeCell ref="BV3:BW6"/>
    <mergeCell ref="CL6:CM6"/>
    <mergeCell ref="CN6:CO6"/>
    <mergeCell ref="GO2:GU2"/>
    <mergeCell ref="GO3:GU3"/>
    <mergeCell ref="GO4:GQ4"/>
    <mergeCell ref="GS4:GU4"/>
    <mergeCell ref="GO10:GU10"/>
    <mergeCell ref="GG29:GM29"/>
    <mergeCell ref="GG2:GM2"/>
    <mergeCell ref="GG21:GM21"/>
    <mergeCell ref="GG3:GM3"/>
    <mergeCell ref="GG14:GM14"/>
    <mergeCell ref="GG15:GI15"/>
    <mergeCell ref="GK15:GM15"/>
    <mergeCell ref="GO15:GQ15"/>
    <mergeCell ref="GS15:GU15"/>
    <mergeCell ref="GG10:GM10"/>
    <mergeCell ref="GG11:GI11"/>
    <mergeCell ref="GK11:GM11"/>
    <mergeCell ref="GK12:GM12"/>
    <mergeCell ref="GG12:GI12"/>
    <mergeCell ref="GO21:GU21"/>
    <mergeCell ref="GO5:GU8"/>
    <mergeCell ref="GO29:GU29"/>
    <mergeCell ref="GO11:GQ11"/>
    <mergeCell ref="GS11:GU11"/>
    <mergeCell ref="HF2:HK2"/>
    <mergeCell ref="GW38:HC38"/>
    <mergeCell ref="GW39:HC39"/>
    <mergeCell ref="GW40:GY40"/>
    <mergeCell ref="HA40:HC40"/>
    <mergeCell ref="GW2:HC2"/>
    <mergeCell ref="GW3:HC3"/>
    <mergeCell ref="GW4:GY4"/>
    <mergeCell ref="HA4:HC4"/>
    <mergeCell ref="GW10:GY10"/>
    <mergeCell ref="GW27:HC27"/>
    <mergeCell ref="GW28:GY28"/>
    <mergeCell ref="HA28:HC28"/>
    <mergeCell ref="GW34:GY34"/>
    <mergeCell ref="HA34:HC34"/>
    <mergeCell ref="GW22:GY22"/>
    <mergeCell ref="GW23:GY23"/>
    <mergeCell ref="HA22:HC22"/>
    <mergeCell ref="HA23:HC23"/>
    <mergeCell ref="GW26:HC26"/>
  </mergeCells>
  <dataValidations count="10">
    <dataValidation type="list" allowBlank="1" showInputMessage="1" showErrorMessage="1" sqref="GI6:GJ8 GX6:GX8 GZ6:GZ8 GX18:GX20 GZ18:GZ20 GX30:GX32 GZ30:GZ32 GX42:GX44 GZ42:GZ44 GX54:GX56 GZ54:GZ56" xr:uid="{00000000-0002-0000-0800-000000000000}">
      <formula1>NIVELES</formula1>
    </dataValidation>
    <dataValidation type="list" allowBlank="1" showInputMessage="1" showErrorMessage="1" sqref="GM5 HC5 HC17 HC29 HC41 HC53" xr:uid="{00000000-0002-0000-0800-000001000000}">
      <formula1>BASTAAA</formula1>
    </dataValidation>
    <dataValidation type="list" allowBlank="1" showInputMessage="1" showErrorMessage="1" sqref="GG12 GO12" xr:uid="{00000000-0002-0000-0800-000002000000}">
      <formula1>CALEFACCION</formula1>
    </dataValidation>
    <dataValidation type="list" allowBlank="1" showInputMessage="1" showErrorMessage="1" sqref="GK12 GS12" xr:uid="{00000000-0002-0000-0800-000003000000}">
      <formula1>REFIGERACION</formula1>
    </dataValidation>
    <dataValidation type="list" allowBlank="1" showInputMessage="1" showErrorMessage="1" sqref="GI16 GM16 GQ16 GU16" xr:uid="{00000000-0002-0000-0800-000004000000}">
      <formula1>ILUMINACION</formula1>
    </dataValidation>
    <dataValidation type="list" allowBlank="1" showInputMessage="1" showErrorMessage="1" sqref="GI18 GM18 GQ18 GU18" xr:uid="{00000000-0002-0000-0800-000005000000}">
      <formula1>CONTROL</formula1>
    </dataValidation>
    <dataValidation type="list" allowBlank="1" showInputMessage="1" showErrorMessage="1" sqref="GI19 GQ19 GQ30 HA23 HA35 HA47 HA59" xr:uid="{00000000-0002-0000-0800-000006000000}">
      <formula1>SI_NO</formula1>
    </dataValidation>
    <dataValidation type="list" allowBlank="1" showInputMessage="1" showErrorMessage="1" sqref="GH23 GH25 GP25" xr:uid="{00000000-0002-0000-0800-000007000000}">
      <formula1>COMBUSTIBLE</formula1>
    </dataValidation>
    <dataValidation type="list" allowBlank="1" showInputMessage="1" showErrorMessage="1" sqref="GY6:GY7 GY18:GY19 GY30:GY31 GY42:GY43 GY54:GY55" xr:uid="{00000000-0002-0000-0800-000008000000}">
      <formula1>COLORES</formula1>
    </dataValidation>
    <dataValidation type="list" allowBlank="1" showInputMessage="1" showErrorMessage="1" sqref="GW11 GW23 GW35 GW47 GW59" xr:uid="{00000000-0002-0000-0800-000009000000}">
      <formula1>vent</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064" id="{9EEFEBA7-86CD-0F4C-98DD-0D86528B922E}">
            <xm:f>BASE!$GP$12=0</xm:f>
            <x14:dxf>
              <font>
                <color theme="0" tint="-4.9989318521683403E-2"/>
              </font>
              <fill>
                <patternFill>
                  <bgColor theme="0" tint="-4.9989318521683403E-2"/>
                </patternFill>
              </fill>
              <border>
                <left/>
                <right/>
                <top/>
                <bottom/>
              </border>
            </x14:dxf>
          </x14:cfRule>
          <xm:sqref>GY6:GY7 GY18:GY19 GY30:GY31 GY42:GY43 GY54:GY55</xm:sqref>
        </x14:conditionalFormatting>
        <x14:conditionalFormatting xmlns:xm="http://schemas.microsoft.com/office/excel/2006/main">
          <x14:cfRule type="expression" priority="1069" id="{D4AEBF2C-2CDE-8644-960C-2A3DDF8B5669}">
            <xm:f>BASE!$GQ$13=0</xm:f>
            <x14:dxf>
              <font>
                <color theme="0" tint="-4.9989318521683403E-2"/>
              </font>
              <fill>
                <patternFill>
                  <bgColor theme="0" tint="-4.9989318521683403E-2"/>
                </patternFill>
              </fill>
              <border>
                <left/>
                <right/>
                <top/>
                <bottom/>
              </border>
            </x14:dxf>
          </x14:cfRule>
          <xm:sqref>GY6:GY7 GY18:GY19 GY30:GY31 GY42:GY43 GY54:GY55</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15</vt:i4>
      </vt:variant>
      <vt:variant>
        <vt:lpstr>Rangos con nombre</vt:lpstr>
      </vt:variant>
      <vt:variant>
        <vt:i4>156</vt:i4>
      </vt:variant>
    </vt:vector>
  </HeadingPairs>
  <TitlesOfParts>
    <vt:vector size="171" baseType="lpstr">
      <vt:lpstr>DATOS</vt:lpstr>
      <vt:lpstr>SITIO</vt:lpstr>
      <vt:lpstr>ENERGÍA</vt:lpstr>
      <vt:lpstr>AGUA</vt:lpstr>
      <vt:lpstr>RESULTADOS</vt:lpstr>
      <vt:lpstr>Materiales Personalizados</vt:lpstr>
      <vt:lpstr>BASE</vt:lpstr>
      <vt:lpstr>Modelo de Radiación Solar</vt:lpstr>
      <vt:lpstr>BASE DE DATOS</vt:lpstr>
      <vt:lpstr>LINEA BASE MALA</vt:lpstr>
      <vt:lpstr>LINEAS BASE 1 y 2</vt:lpstr>
      <vt:lpstr>LINEAS BASE 3</vt:lpstr>
      <vt:lpstr>LINEAS BASE 4</vt:lpstr>
      <vt:lpstr>LINEAS BASE 5</vt:lpstr>
      <vt:lpstr>LINEAS BASE 6</vt:lpstr>
      <vt:lpstr>ab</vt:lpstr>
      <vt:lpstr>adtacented</vt:lpstr>
      <vt:lpstr>adyacented</vt:lpstr>
      <vt:lpstr>adyacentem</vt:lpstr>
      <vt:lpstr>AdyacenteT</vt:lpstr>
      <vt:lpstr>af</vt:lpstr>
      <vt:lpstr>AGUASS</vt:lpstr>
      <vt:lpstr>Aislantes</vt:lpstr>
      <vt:lpstr>Aislantes_Lanas_y_Perlita</vt:lpstr>
      <vt:lpstr>Aislantes_Plasticos</vt:lpstr>
      <vt:lpstr>RESULTADOS!Área_de_impresión</vt:lpstr>
      <vt:lpstr>Asfalto</vt:lpstr>
      <vt:lpstr>BAP</vt:lpstr>
      <vt:lpstr>Barreras_Vapor</vt:lpstr>
      <vt:lpstr>BASTAAA</vt:lpstr>
      <vt:lpstr>BIOCLIMATICO</vt:lpstr>
      <vt:lpstr>Bloques_Hormigon</vt:lpstr>
      <vt:lpstr>BRM</vt:lpstr>
      <vt:lpstr>Buena</vt:lpstr>
      <vt:lpstr>CA</vt:lpstr>
      <vt:lpstr>CALEFACCION</vt:lpstr>
      <vt:lpstr>CALEFACCIONm</vt:lpstr>
      <vt:lpstr>Camaras</vt:lpstr>
      <vt:lpstr>CAPAS</vt:lpstr>
      <vt:lpstr>CARPINTERIA</vt:lpstr>
      <vt:lpstr>CARPINTERIAm</vt:lpstr>
      <vt:lpstr>CAT</vt:lpstr>
      <vt:lpstr>CB</vt:lpstr>
      <vt:lpstr>CC</vt:lpstr>
      <vt:lpstr>CCC</vt:lpstr>
      <vt:lpstr>CD</vt:lpstr>
      <vt:lpstr>CERTIFICACION</vt:lpstr>
      <vt:lpstr>CHB</vt:lpstr>
      <vt:lpstr>CHC</vt:lpstr>
      <vt:lpstr>CLIMA</vt:lpstr>
      <vt:lpstr>COLORES</vt:lpstr>
      <vt:lpstr>COLORESEXT</vt:lpstr>
      <vt:lpstr>COMBUSTIBLE</vt:lpstr>
      <vt:lpstr>COMBUSTIBLES</vt:lpstr>
      <vt:lpstr>Contrapiso_Ultraliviano</vt:lpstr>
      <vt:lpstr>CONTROL</vt:lpstr>
      <vt:lpstr>CR</vt:lpstr>
      <vt:lpstr>Cuadras10</vt:lpstr>
      <vt:lpstr>Cuadras20</vt:lpstr>
      <vt:lpstr>Cuadras30</vt:lpstr>
      <vt:lpstr>Cuadras5</vt:lpstr>
      <vt:lpstr>dato1</vt:lpstr>
      <vt:lpstr>Distancia_a_5</vt:lpstr>
      <vt:lpstr>ENTORNO</vt:lpstr>
      <vt:lpstr>ER</vt:lpstr>
      <vt:lpstr>etiq</vt:lpstr>
      <vt:lpstr>ETIQUETA</vt:lpstr>
      <vt:lpstr>Extensivo</vt:lpstr>
      <vt:lpstr>FES</vt:lpstr>
      <vt:lpstr>FM</vt:lpstr>
      <vt:lpstr>Forjados</vt:lpstr>
      <vt:lpstr>Forjados_Vigueta_Ladrillo_Sapo_Capa_Comp</vt:lpstr>
      <vt:lpstr>Forzada</vt:lpstr>
      <vt:lpstr>Hormigones_Especiales</vt:lpstr>
      <vt:lpstr>Hormigones_Normales_y_Livianos</vt:lpstr>
      <vt:lpstr>ILUMINACION</vt:lpstr>
      <vt:lpstr>inclinaciones</vt:lpstr>
      <vt:lpstr>JJ</vt:lpstr>
      <vt:lpstr>kd</vt:lpstr>
      <vt:lpstr>kdm</vt:lpstr>
      <vt:lpstr>kmc</vt:lpstr>
      <vt:lpstr>kmcm</vt:lpstr>
      <vt:lpstr>KMURO</vt:lpstr>
      <vt:lpstr>ks</vt:lpstr>
      <vt:lpstr>ksm</vt:lpstr>
      <vt:lpstr>KTECHOI</vt:lpstr>
      <vt:lpstr>KTECHOV</vt:lpstr>
      <vt:lpstr>Ladrillos_Ceramicos</vt:lpstr>
      <vt:lpstr>Ladrillos_y_Bloques_Macizos</vt:lpstr>
      <vt:lpstr>LAVAROPA</vt:lpstr>
      <vt:lpstr>lineamientos</vt:lpstr>
      <vt:lpstr>LINEASBASE</vt:lpstr>
      <vt:lpstr>LLUVIA</vt:lpstr>
      <vt:lpstr>LOCALIDADES</vt:lpstr>
      <vt:lpstr>losass</vt:lpstr>
      <vt:lpstr>LP</vt:lpstr>
      <vt:lpstr>LR</vt:lpstr>
      <vt:lpstr>luz</vt:lpstr>
      <vt:lpstr>Maderas</vt:lpstr>
      <vt:lpstr>Materialesm</vt:lpstr>
      <vt:lpstr>MEDIANERAd</vt:lpstr>
      <vt:lpstr>MEDIANERAm</vt:lpstr>
      <vt:lpstr>medias</vt:lpstr>
      <vt:lpstr>Metales</vt:lpstr>
      <vt:lpstr>Mortero</vt:lpstr>
      <vt:lpstr>MS</vt:lpstr>
      <vt:lpstr>MZ</vt:lpstr>
      <vt:lpstr>Nacional</vt:lpstr>
      <vt:lpstr>NIVELES</vt:lpstr>
      <vt:lpstr>NQ</vt:lpstr>
      <vt:lpstr>ORIENTACIONES</vt:lpstr>
      <vt:lpstr>PAREDd</vt:lpstr>
      <vt:lpstr>PAREDm</vt:lpstr>
      <vt:lpstr>PERGOLA</vt:lpstr>
      <vt:lpstr>Pinturas</vt:lpstr>
      <vt:lpstr>PISOSd</vt:lpstr>
      <vt:lpstr>PISOSm</vt:lpstr>
      <vt:lpstr>Placas_y_Planchas</vt:lpstr>
      <vt:lpstr>POSICIONV</vt:lpstr>
      <vt:lpstr>PROTECCIONd</vt:lpstr>
      <vt:lpstr>provincias</vt:lpstr>
      <vt:lpstr>PUERTASd</vt:lpstr>
      <vt:lpstr>PUERTASm</vt:lpstr>
      <vt:lpstr>qw</vt:lpstr>
      <vt:lpstr>RADIACIONSOLAR</vt:lpstr>
      <vt:lpstr>REFIGERACION</vt:lpstr>
      <vt:lpstr>REFRIGERACIONm</vt:lpstr>
      <vt:lpstr>RENOVABLES</vt:lpstr>
      <vt:lpstr>RIEGO</vt:lpstr>
      <vt:lpstr>riegom</vt:lpstr>
      <vt:lpstr>RN</vt:lpstr>
      <vt:lpstr>Roca</vt:lpstr>
      <vt:lpstr>SC</vt:lpstr>
      <vt:lpstr>SE</vt:lpstr>
      <vt:lpstr>SF</vt:lpstr>
      <vt:lpstr>SI_NO</vt:lpstr>
      <vt:lpstr>SITIOd</vt:lpstr>
      <vt:lpstr>SJ</vt:lpstr>
      <vt:lpstr>SL</vt:lpstr>
      <vt:lpstr>SST</vt:lpstr>
      <vt:lpstr>SSTDESTINO</vt:lpstr>
      <vt:lpstr>ST</vt:lpstr>
      <vt:lpstr>Suelo</vt:lpstr>
      <vt:lpstr>Tableros</vt:lpstr>
      <vt:lpstr>TAD</vt:lpstr>
      <vt:lpstr>TC</vt:lpstr>
      <vt:lpstr>TECHOSd</vt:lpstr>
      <vt:lpstr>TECHOSm</vt:lpstr>
      <vt:lpstr>TEMPERATURASMENSUALES</vt:lpstr>
      <vt:lpstr>Terminaciones</vt:lpstr>
      <vt:lpstr>Terminaciones_Pisos_y_Techos</vt:lpstr>
      <vt:lpstr>TF</vt:lpstr>
      <vt:lpstr>TIPO</vt:lpstr>
      <vt:lpstr>TIPOAPERTURAS</vt:lpstr>
      <vt:lpstr>TIPOAPERTURASm</vt:lpstr>
      <vt:lpstr>transporte</vt:lpstr>
      <vt:lpstr>USOS</vt:lpstr>
      <vt:lpstr>vege</vt:lpstr>
      <vt:lpstr>VEGETACION</vt:lpstr>
      <vt:lpstr>vent</vt:lpstr>
      <vt:lpstr>ventilacion</vt:lpstr>
      <vt:lpstr>VIDRIOd</vt:lpstr>
      <vt:lpstr>Vidrios</vt:lpstr>
      <vt:lpstr>VIDRIOSm</vt:lpstr>
      <vt:lpstr>VIDRIOSTABLA</vt:lpstr>
      <vt:lpstr>WVSP</vt:lpstr>
      <vt:lpstr>Yeso</vt:lpstr>
      <vt:lpstr>ZONA1</vt:lpstr>
      <vt:lpstr>ZONA2</vt:lpstr>
      <vt:lpstr>ZONA3</vt:lpstr>
      <vt:lpstr>ZZONAS</vt:lpstr>
    </vt:vector>
  </TitlesOfParts>
  <Company>Green Group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Gisele Graciela Poitevin</dc:creator>
  <cp:lastModifiedBy>Usuario de Microsoft Office</cp:lastModifiedBy>
  <cp:lastPrinted>2019-12-04T14:04:16Z</cp:lastPrinted>
  <dcterms:created xsi:type="dcterms:W3CDTF">2019-08-17T13:05:56Z</dcterms:created>
  <dcterms:modified xsi:type="dcterms:W3CDTF">2019-12-11T14:01:48Z</dcterms:modified>
</cp:coreProperties>
</file>